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27.bin" ContentType="application/vnd.openxmlformats-officedocument.spreadsheetml.customProperty"/>
  <Override PartName="/xl/calcChain.xml" ContentType="application/vnd.openxmlformats-officedocument.spreadsheetml.calcChain+xml"/>
  <Override PartName="/xl/customProperty26.bin" ContentType="application/vnd.openxmlformats-officedocument.spreadsheetml.customProperty"/>
  <Override PartName="/xl/customProperty3.bin" ContentType="application/vnd.openxmlformats-officedocument.spreadsheetml.customProperty"/>
  <Override PartName="/xl/customProperty25.bin" ContentType="application/vnd.openxmlformats-officedocument.spreadsheetml.customProperty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xl/customProperty24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2.bin" ContentType="application/vnd.openxmlformats-officedocument.spreadsheetml.customProperty"/>
  <Override PartName="/xl/customProperty11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7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4.bin" ContentType="application/vnd.openxmlformats-officedocument.spreadsheetml.customProperty"/>
  <Override PartName="/xl/customProperty20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375" windowWidth="20100" windowHeight="8235" tabRatio="599" activeTab="4"/>
  </bookViews>
  <sheets>
    <sheet name="Table of Contents" sheetId="28" r:id="rId1"/>
    <sheet name="ECOS - INPUTS" sheetId="29" r:id="rId2"/>
    <sheet name="ECOS - CLASSIFIERS" sheetId="31" r:id="rId3"/>
    <sheet name="ECOS - EXTERNAL (2019 GRC)" sheetId="32" r:id="rId4"/>
    <sheet name="Peak Credit" sheetId="21" r:id="rId5"/>
    <sheet name="ROR" sheetId="26" r:id="rId6"/>
    <sheet name="Revenue Sensitive Items" sheetId="27" r:id="rId7"/>
    <sheet name="Proposed Rev" sheetId="38" r:id="rId8"/>
    <sheet name="Prop RW &amp; Spec Cont Rev" sheetId="39" r:id="rId9"/>
    <sheet name="Customer Counts" sheetId="1" r:id="rId10"/>
    <sheet name="Customer Deposits (235)" sheetId="4" r:id="rId11"/>
    <sheet name="Customer Advances (252)" sheetId="5" r:id="rId12"/>
    <sheet name="Proforma Revenue" sheetId="30" r:id="rId13"/>
    <sheet name="Other Op Rev (450-451)" sheetId="7" r:id="rId14"/>
    <sheet name="Other Op Rev Equip Rental (454)" sheetId="8" r:id="rId15"/>
    <sheet name="Records &amp; Collec (903)" sheetId="2" r:id="rId16"/>
    <sheet name="Uncollectibles (904)" sheetId="9" r:id="rId17"/>
    <sheet name="Dist Plant (360-368)" sheetId="14" r:id="rId18"/>
    <sheet name="Dist Accum Depr (360-368)" sheetId="15" r:id="rId19"/>
    <sheet name="NCP Dist Plant (360-362)" sheetId="16" r:id="rId20"/>
    <sheet name="NCP Dist OH-UG Plant (364-367)" sheetId="17" r:id="rId21"/>
    <sheet name="Dist Transformer Plant (368)" sheetId="18" r:id="rId22"/>
    <sheet name="Distribution Service (369)" sheetId="12" r:id="rId23"/>
    <sheet name="Meter Costs (370)" sheetId="11" r:id="rId24"/>
    <sheet name="Load Research Data - Summary" sheetId="13" r:id="rId25"/>
    <sheet name="Load Research Data - Dem 4CP" sheetId="19" r:id="rId26"/>
    <sheet name="Load Research Data -Energy" sheetId="20" r:id="rId27"/>
    <sheet name="BPA Delivered MWh" sheetId="37" r:id="rId28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11">'Customer Advances (252)'!#REF!</definedName>
    <definedName name="_xlnm.Print_Area" localSheetId="9">'Customer Counts'!$A$1:$Q$24</definedName>
    <definedName name="_xlnm.Print_Area" localSheetId="10">'Customer Deposits (235)'!$A$1:$B$16</definedName>
    <definedName name="_xlnm.Print_Area" localSheetId="18">'Dist Accum Depr (360-368)'!$A$1:$I$17</definedName>
    <definedName name="_xlnm.Print_Area" localSheetId="17">'Dist Plant (360-368)'!$A$1:$I$18</definedName>
    <definedName name="_xlnm.Print_Area" localSheetId="21">'Dist Transformer Plant (368)'!$A$1:$E$33</definedName>
    <definedName name="_xlnm.Print_Area" localSheetId="22">'Distribution Service (369)'!$A$1:$C$26</definedName>
    <definedName name="_xlnm.Print_Area" localSheetId="2">'ECOS - CLASSIFIERS'!$A$1:$I$22</definedName>
    <definedName name="_xlnm.Print_Area" localSheetId="3">'ECOS - EXTERNAL (2019 GRC)'!$A$1:$P$173</definedName>
    <definedName name="_xlnm.Print_Area" localSheetId="1">'ECOS - INPUTS'!$A$1:$F$74</definedName>
    <definedName name="_xlnm.Print_Area" localSheetId="25">'Load Research Data - Dem 4CP'!#REF!</definedName>
    <definedName name="_xlnm.Print_Area" localSheetId="24">'Load Research Data - Summary'!$A$1:$H$25</definedName>
    <definedName name="_xlnm.Print_Area" localSheetId="26">'Load Research Data -Energy'!#REF!</definedName>
    <definedName name="_xlnm.Print_Area" localSheetId="23">'Meter Costs (370)'!#REF!</definedName>
    <definedName name="_xlnm.Print_Area" localSheetId="20">'NCP Dist OH-UG Plant (364-367)'!$A$1:$C$22</definedName>
    <definedName name="_xlnm.Print_Area" localSheetId="19">'NCP Dist Plant (360-362)'!$A$1:$D$23</definedName>
    <definedName name="_xlnm.Print_Area" localSheetId="13">'Other Op Rev (450-451)'!$A$1:$N$12</definedName>
    <definedName name="_xlnm.Print_Area" localSheetId="14">'Other Op Rev Equip Rental (454)'!$A$1:$B$13</definedName>
    <definedName name="_xlnm.Print_Area" localSheetId="4">'Peak Credit'!#REF!</definedName>
    <definedName name="_xlnm.Print_Area" localSheetId="12">'Proforma Revenue'!$A$1:$N$40</definedName>
    <definedName name="_xlnm.Print_Area" localSheetId="8">'Prop RW &amp; Spec Cont Rev'!$A$1:$J$58</definedName>
    <definedName name="_xlnm.Print_Area" localSheetId="7">'Proposed Rev'!$A$1:$O$66</definedName>
    <definedName name="_xlnm.Print_Area" localSheetId="15">'Records &amp; Collec (903)'!$A$1:$L$23</definedName>
    <definedName name="_xlnm.Print_Area" localSheetId="6">'Revenue Sensitive Items'!#REF!</definedName>
    <definedName name="_xlnm.Print_Area" localSheetId="0">'Table of Contents'!$A$1:$B$36</definedName>
    <definedName name="_xlnm.Print_Area" localSheetId="16">'Uncollectibles (904)'!$A$1:$N$16</definedName>
    <definedName name="_xlnm.Print_Titles" localSheetId="3">'ECOS - EXTERNAL (2019 GRC)'!$1:$3</definedName>
  </definedNames>
  <calcPr calcId="162913" calcMode="manual" iterate="1" calcCompleted="0" calcOnSave="0"/>
</workbook>
</file>

<file path=xl/calcChain.xml><?xml version="1.0" encoding="utf-8"?>
<calcChain xmlns="http://schemas.openxmlformats.org/spreadsheetml/2006/main">
  <c r="A13" i="28" l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G44" i="29" l="1"/>
  <c r="P142" i="32" l="1"/>
  <c r="B19" i="17"/>
  <c r="B18" i="17"/>
  <c r="O142" i="32" s="1"/>
  <c r="B16" i="17"/>
  <c r="K142" i="32" s="1"/>
  <c r="B15" i="17"/>
  <c r="J142" i="32" s="1"/>
  <c r="B14" i="17"/>
  <c r="I142" i="32" s="1"/>
  <c r="B13" i="17"/>
  <c r="B12" i="17"/>
  <c r="H142" i="32" s="1"/>
  <c r="B11" i="17"/>
  <c r="B10" i="17"/>
  <c r="F142" i="32" s="1"/>
  <c r="B9" i="17"/>
  <c r="E142" i="32" s="1"/>
  <c r="C14" i="17"/>
  <c r="I148" i="32" s="1"/>
  <c r="C11" i="17"/>
  <c r="C19" i="17"/>
  <c r="P148" i="32" s="1"/>
  <c r="C18" i="17"/>
  <c r="O148" i="32" s="1"/>
  <c r="C16" i="17"/>
  <c r="K148" i="32" s="1"/>
  <c r="C15" i="17"/>
  <c r="J148" i="32" s="1"/>
  <c r="C13" i="17"/>
  <c r="C12" i="17"/>
  <c r="H148" i="32" s="1"/>
  <c r="C10" i="17"/>
  <c r="F148" i="32" s="1"/>
  <c r="C9" i="17"/>
  <c r="C45" i="17"/>
  <c r="C34" i="17" s="1"/>
  <c r="B45" i="17"/>
  <c r="B34" i="17" s="1"/>
  <c r="B56" i="17" s="1"/>
  <c r="B58" i="17" s="1"/>
  <c r="F133" i="32"/>
  <c r="D20" i="16"/>
  <c r="C20" i="16"/>
  <c r="D19" i="16"/>
  <c r="C19" i="16"/>
  <c r="D18" i="16"/>
  <c r="C18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B10" i="16"/>
  <c r="E133" i="32" s="1"/>
  <c r="B19" i="16"/>
  <c r="O133" i="32" s="1"/>
  <c r="B18" i="16"/>
  <c r="K133" i="32" s="1"/>
  <c r="B16" i="16"/>
  <c r="J133" i="32" s="1"/>
  <c r="B15" i="16"/>
  <c r="I133" i="32" s="1"/>
  <c r="B14" i="16"/>
  <c r="B13" i="16"/>
  <c r="H133" i="32" s="1"/>
  <c r="B12" i="16"/>
  <c r="B11" i="16"/>
  <c r="D45" i="16"/>
  <c r="D34" i="16" s="1"/>
  <c r="C45" i="16"/>
  <c r="C34" i="16" s="1"/>
  <c r="B45" i="16"/>
  <c r="B34" i="16" s="1"/>
  <c r="B20" i="16"/>
  <c r="P133" i="32" s="1"/>
  <c r="D17" i="16" l="1"/>
  <c r="B17" i="17"/>
  <c r="G148" i="32"/>
  <c r="G142" i="32"/>
  <c r="D21" i="16"/>
  <c r="D23" i="16" s="1"/>
  <c r="G133" i="32"/>
  <c r="C17" i="16"/>
  <c r="C21" i="16" s="1"/>
  <c r="C23" i="16" s="1"/>
  <c r="C17" i="17"/>
  <c r="B20" i="17"/>
  <c r="B22" i="17" s="1"/>
  <c r="C20" i="17"/>
  <c r="C56" i="17"/>
  <c r="C58" i="17" s="1"/>
  <c r="B17" i="16"/>
  <c r="B21" i="16" s="1"/>
  <c r="B23" i="16" s="1"/>
  <c r="B56" i="16"/>
  <c r="B58" i="16" s="1"/>
  <c r="C56" i="16"/>
  <c r="C58" i="16" s="1"/>
  <c r="D56" i="16"/>
  <c r="D58" i="16" s="1"/>
  <c r="C22" i="17" l="1"/>
  <c r="C60" i="17"/>
  <c r="M17" i="32" l="1"/>
  <c r="B35" i="11"/>
  <c r="B34" i="11"/>
  <c r="B33" i="11"/>
  <c r="B29" i="11"/>
  <c r="B28" i="11"/>
  <c r="G17" i="32"/>
  <c r="H17" i="32"/>
  <c r="I17" i="32"/>
  <c r="P17" i="32"/>
  <c r="N17" i="32"/>
  <c r="K17" i="32"/>
  <c r="J17" i="32"/>
  <c r="F17" i="32"/>
  <c r="E17" i="32"/>
  <c r="N172" i="32" l="1"/>
  <c r="L172" i="32"/>
  <c r="J166" i="32"/>
  <c r="I166" i="32"/>
  <c r="H166" i="32"/>
  <c r="G166" i="32"/>
  <c r="F166" i="32"/>
  <c r="E166" i="32"/>
  <c r="A8" i="37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D18" i="37"/>
  <c r="D8" i="37"/>
  <c r="D14" i="37"/>
  <c r="D22" i="37" s="1"/>
  <c r="P154" i="32" l="1"/>
  <c r="N154" i="32"/>
  <c r="M154" i="32"/>
  <c r="L154" i="32"/>
  <c r="K154" i="32"/>
  <c r="I154" i="32"/>
  <c r="B14" i="8"/>
  <c r="H151" i="32" l="1"/>
  <c r="G151" i="32"/>
  <c r="F151" i="32"/>
  <c r="E151" i="32"/>
  <c r="H145" i="32"/>
  <c r="G145" i="32"/>
  <c r="F145" i="32"/>
  <c r="E145" i="32"/>
  <c r="E15" i="18"/>
  <c r="B15" i="18"/>
  <c r="E33" i="18" l="1"/>
  <c r="E18" i="18" s="1"/>
  <c r="B33" i="18"/>
  <c r="B18" i="18" s="1"/>
  <c r="O145" i="32" l="1"/>
  <c r="B19" i="18"/>
  <c r="O151" i="32"/>
  <c r="E19" i="18"/>
  <c r="N97" i="32"/>
  <c r="L97" i="32"/>
  <c r="K94" i="32"/>
  <c r="G9" i="13"/>
  <c r="G10" i="13"/>
  <c r="G12" i="13"/>
  <c r="G13" i="13"/>
  <c r="G14" i="13"/>
  <c r="G15" i="13"/>
  <c r="G20" i="13"/>
  <c r="G18" i="13"/>
  <c r="D23" i="13"/>
  <c r="G16" i="13"/>
  <c r="P18" i="19" l="1"/>
  <c r="H20" i="13" s="1"/>
  <c r="D18" i="19"/>
  <c r="H9" i="13" s="1"/>
  <c r="L18" i="19"/>
  <c r="H16" i="13" s="1"/>
  <c r="H18" i="19"/>
  <c r="J18" i="19"/>
  <c r="H14" i="13" s="1"/>
  <c r="Q9" i="19"/>
  <c r="M18" i="19"/>
  <c r="I18" i="19"/>
  <c r="H13" i="13" s="1"/>
  <c r="G11" i="13"/>
  <c r="G19" i="13"/>
  <c r="N18" i="19"/>
  <c r="F18" i="19"/>
  <c r="Q13" i="19"/>
  <c r="R18" i="19"/>
  <c r="H19" i="13" s="1"/>
  <c r="Q5" i="19"/>
  <c r="O18" i="19"/>
  <c r="H18" i="13" s="1"/>
  <c r="K18" i="19"/>
  <c r="H15" i="13" s="1"/>
  <c r="G18" i="19"/>
  <c r="H12" i="13" s="1"/>
  <c r="G17" i="13"/>
  <c r="C23" i="13"/>
  <c r="Q15" i="19"/>
  <c r="Q11" i="19"/>
  <c r="Q10" i="19"/>
  <c r="Q7" i="19"/>
  <c r="Q6" i="19"/>
  <c r="E18" i="19"/>
  <c r="H10" i="13" s="1"/>
  <c r="G23" i="13"/>
  <c r="Q14" i="19"/>
  <c r="Q16" i="19"/>
  <c r="Q12" i="19"/>
  <c r="Q8" i="19"/>
  <c r="H65" i="32"/>
  <c r="G65" i="32"/>
  <c r="F65" i="32"/>
  <c r="E65" i="32"/>
  <c r="H11" i="13" l="1"/>
  <c r="H17" i="13"/>
  <c r="Q18" i="19"/>
  <c r="H23" i="13" s="1"/>
  <c r="E17" i="13"/>
  <c r="M94" i="32" s="1"/>
  <c r="B26" i="12"/>
  <c r="E23" i="13" l="1"/>
  <c r="F23" i="13"/>
  <c r="D26" i="11"/>
  <c r="K26" i="11" s="1"/>
  <c r="F62" i="32"/>
  <c r="I22" i="11"/>
  <c r="K22" i="11" s="1"/>
  <c r="I21" i="11"/>
  <c r="K21" i="11" s="1"/>
  <c r="I20" i="11"/>
  <c r="K20" i="11" s="1"/>
  <c r="N62" i="32" s="1"/>
  <c r="D19" i="11"/>
  <c r="G18" i="11"/>
  <c r="D18" i="11"/>
  <c r="F23" i="11"/>
  <c r="L17" i="32" s="1"/>
  <c r="D17" i="11"/>
  <c r="I16" i="11"/>
  <c r="K16" i="11" s="1"/>
  <c r="I15" i="11"/>
  <c r="K15" i="11" s="1"/>
  <c r="M62" i="32" s="1"/>
  <c r="I14" i="11"/>
  <c r="K14" i="11" s="1"/>
  <c r="K62" i="32" s="1"/>
  <c r="I13" i="11"/>
  <c r="K13" i="11" s="1"/>
  <c r="J62" i="32" s="1"/>
  <c r="I12" i="11"/>
  <c r="I11" i="11"/>
  <c r="K11" i="11" s="1"/>
  <c r="I10" i="11"/>
  <c r="I9" i="11"/>
  <c r="I8" i="11"/>
  <c r="K8" i="11" s="1"/>
  <c r="I7" i="11"/>
  <c r="K7" i="11" s="1"/>
  <c r="E62" i="32" s="1"/>
  <c r="J25" i="11" l="1"/>
  <c r="K25" i="11" s="1"/>
  <c r="L62" i="32" s="1"/>
  <c r="P62" i="32"/>
  <c r="J10" i="11"/>
  <c r="K10" i="11" s="1"/>
  <c r="H62" i="32" s="1"/>
  <c r="J12" i="11"/>
  <c r="K12" i="11" s="1"/>
  <c r="I62" i="32" s="1"/>
  <c r="E23" i="11"/>
  <c r="G17" i="11"/>
  <c r="G19" i="11"/>
  <c r="I27" i="11"/>
  <c r="J9" i="11"/>
  <c r="K9" i="11" s="1"/>
  <c r="G62" i="32" s="1"/>
  <c r="K27" i="11" l="1"/>
  <c r="G23" i="11"/>
  <c r="B30" i="11" s="1"/>
  <c r="B31" i="11" s="1"/>
  <c r="P115" i="32" l="1"/>
  <c r="L115" i="32"/>
  <c r="K118" i="32"/>
  <c r="P118" i="32"/>
  <c r="L118" i="32"/>
  <c r="K121" i="32"/>
  <c r="P121" i="32"/>
  <c r="L121" i="32"/>
  <c r="I124" i="32"/>
  <c r="K124" i="32"/>
  <c r="P124" i="32"/>
  <c r="L124" i="32"/>
  <c r="M124" i="32"/>
  <c r="N124" i="32"/>
  <c r="I127" i="32"/>
  <c r="K127" i="32"/>
  <c r="P127" i="32"/>
  <c r="L127" i="32"/>
  <c r="M127" i="32"/>
  <c r="N127" i="32"/>
  <c r="M112" i="32" l="1"/>
  <c r="I112" i="32"/>
  <c r="P109" i="32"/>
  <c r="L103" i="32"/>
  <c r="P103" i="32"/>
  <c r="M130" i="32"/>
  <c r="K103" i="32"/>
  <c r="N112" i="32"/>
  <c r="K112" i="32"/>
  <c r="L106" i="32"/>
  <c r="K100" i="32"/>
  <c r="P112" i="32"/>
  <c r="M109" i="32"/>
  <c r="I109" i="32"/>
  <c r="P106" i="32"/>
  <c r="P100" i="32"/>
  <c r="D124" i="32"/>
  <c r="D127" i="32"/>
  <c r="N130" i="32"/>
  <c r="K106" i="32"/>
  <c r="L109" i="32"/>
  <c r="N109" i="32"/>
  <c r="K109" i="32"/>
  <c r="L100" i="32"/>
  <c r="L112" i="32" l="1"/>
  <c r="P130" i="32" l="1"/>
  <c r="L130" i="32"/>
  <c r="K130" i="32"/>
  <c r="I130" i="32"/>
  <c r="D130" i="32" l="1"/>
  <c r="B15" i="9" l="1"/>
  <c r="O59" i="32" s="1"/>
  <c r="B14" i="9"/>
  <c r="I59" i="32" s="1"/>
  <c r="B13" i="9"/>
  <c r="B12" i="9"/>
  <c r="H59" i="32" s="1"/>
  <c r="B11" i="9"/>
  <c r="G59" i="32" s="1"/>
  <c r="B10" i="9"/>
  <c r="F59" i="32" s="1"/>
  <c r="B9" i="9"/>
  <c r="E59" i="32" s="1"/>
  <c r="N16" i="9"/>
  <c r="M16" i="9"/>
  <c r="L16" i="9"/>
  <c r="K16" i="9"/>
  <c r="J16" i="9"/>
  <c r="I16" i="9"/>
  <c r="H16" i="9"/>
  <c r="G16" i="9"/>
  <c r="F16" i="9"/>
  <c r="E16" i="9"/>
  <c r="D16" i="9"/>
  <c r="C16" i="9"/>
  <c r="B16" i="9" l="1"/>
  <c r="P56" i="32"/>
  <c r="O56" i="32"/>
  <c r="N56" i="32"/>
  <c r="M56" i="32"/>
  <c r="K56" i="32"/>
  <c r="I56" i="32"/>
  <c r="G56" i="32"/>
  <c r="H56" i="32"/>
  <c r="F56" i="32"/>
  <c r="E56" i="32"/>
  <c r="P53" i="32"/>
  <c r="O53" i="32"/>
  <c r="N53" i="32"/>
  <c r="M53" i="32"/>
  <c r="K53" i="32"/>
  <c r="I53" i="32"/>
  <c r="G53" i="32"/>
  <c r="H53" i="32"/>
  <c r="F53" i="32"/>
  <c r="E53" i="32"/>
  <c r="P50" i="32"/>
  <c r="O50" i="32"/>
  <c r="N50" i="32"/>
  <c r="M50" i="32"/>
  <c r="K50" i="32"/>
  <c r="I50" i="32"/>
  <c r="H50" i="32"/>
  <c r="G50" i="32"/>
  <c r="F50" i="32"/>
  <c r="E50" i="32"/>
  <c r="P47" i="32"/>
  <c r="O47" i="32"/>
  <c r="N47" i="32"/>
  <c r="M47" i="32"/>
  <c r="K47" i="32"/>
  <c r="I47" i="32"/>
  <c r="G47" i="32"/>
  <c r="H47" i="32"/>
  <c r="F47" i="32"/>
  <c r="E47" i="32"/>
  <c r="P44" i="32"/>
  <c r="O44" i="32"/>
  <c r="N44" i="32"/>
  <c r="M44" i="32"/>
  <c r="K44" i="32"/>
  <c r="I44" i="32"/>
  <c r="H44" i="32"/>
  <c r="G44" i="32"/>
  <c r="F44" i="32"/>
  <c r="E44" i="32"/>
  <c r="O11" i="7"/>
  <c r="O10" i="7"/>
  <c r="O9" i="7"/>
  <c r="O8" i="7"/>
  <c r="O7" i="7"/>
  <c r="D16" i="5" l="1"/>
  <c r="D20" i="5" s="1"/>
  <c r="F16" i="5"/>
  <c r="F13" i="5"/>
  <c r="F19" i="5" s="1"/>
  <c r="F12" i="5"/>
  <c r="F18" i="5" s="1"/>
  <c r="F11" i="5"/>
  <c r="F17" i="5" s="1"/>
  <c r="E10" i="5"/>
  <c r="E16" i="5" s="1"/>
  <c r="E20" i="5" s="1"/>
  <c r="C14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F20" i="5" l="1"/>
  <c r="C18" i="5"/>
  <c r="G35" i="32" s="1"/>
  <c r="C19" i="5"/>
  <c r="H35" i="32" s="1"/>
  <c r="C7" i="5"/>
  <c r="C17" i="5"/>
  <c r="F35" i="32" s="1"/>
  <c r="C16" i="5" l="1"/>
  <c r="C20" i="5" l="1"/>
  <c r="E35" i="32"/>
  <c r="O32" i="32"/>
  <c r="I32" i="32"/>
  <c r="H32" i="32"/>
  <c r="G32" i="32"/>
  <c r="F32" i="32"/>
  <c r="E32" i="32"/>
  <c r="B18" i="4"/>
  <c r="L8" i="32" l="1"/>
  <c r="O23" i="1" l="1"/>
  <c r="Q23" i="1" s="1"/>
  <c r="O22" i="1"/>
  <c r="O21" i="1"/>
  <c r="O20" i="1"/>
  <c r="Q20" i="1" s="1"/>
  <c r="O19" i="1"/>
  <c r="Q19" i="1" s="1"/>
  <c r="O18" i="1"/>
  <c r="O17" i="1"/>
  <c r="Q17" i="1" s="1"/>
  <c r="O16" i="1"/>
  <c r="Q16" i="1" s="1"/>
  <c r="J8" i="32" s="1"/>
  <c r="O15" i="1"/>
  <c r="Q15" i="1" s="1"/>
  <c r="I8" i="32" s="1"/>
  <c r="O14" i="1"/>
  <c r="O13" i="1"/>
  <c r="O12" i="1"/>
  <c r="Q12" i="1" s="1"/>
  <c r="G8" i="32" s="1"/>
  <c r="O11" i="1"/>
  <c r="Q11" i="1" s="1"/>
  <c r="O10" i="1"/>
  <c r="Q10" i="1" s="1"/>
  <c r="E8" i="32" s="1"/>
  <c r="Q22" i="1"/>
  <c r="O8" i="32" s="1"/>
  <c r="Q21" i="1"/>
  <c r="N8" i="32" s="1"/>
  <c r="Q18" i="1"/>
  <c r="K8" i="32" s="1"/>
  <c r="Q14" i="1"/>
  <c r="Q13" i="1"/>
  <c r="H8" i="32" s="1"/>
  <c r="P24" i="1"/>
  <c r="M24" i="1"/>
  <c r="L24" i="1"/>
  <c r="K24" i="1"/>
  <c r="J24" i="1"/>
  <c r="I24" i="1"/>
  <c r="H24" i="1"/>
  <c r="G24" i="1"/>
  <c r="F24" i="1"/>
  <c r="E24" i="1"/>
  <c r="D24" i="1"/>
  <c r="C24" i="1"/>
  <c r="B24" i="1"/>
  <c r="O24" i="1" l="1"/>
  <c r="M8" i="32"/>
  <c r="Q24" i="1"/>
  <c r="G35" i="29" l="1"/>
  <c r="F44" i="29"/>
  <c r="F30" i="29"/>
  <c r="F31" i="29"/>
  <c r="F29" i="29"/>
  <c r="E148" i="32" l="1"/>
  <c r="P139" i="32"/>
  <c r="O139" i="32"/>
  <c r="K139" i="32"/>
  <c r="J139" i="32"/>
  <c r="I139" i="32"/>
  <c r="H139" i="32"/>
  <c r="G139" i="32"/>
  <c r="F139" i="32"/>
  <c r="E139" i="32"/>
  <c r="P136" i="32"/>
  <c r="O136" i="32"/>
  <c r="K136" i="32"/>
  <c r="J136" i="32"/>
  <c r="I136" i="32"/>
  <c r="H136" i="32"/>
  <c r="G136" i="32"/>
  <c r="F136" i="32"/>
  <c r="E136" i="32"/>
  <c r="D136" i="32" l="1"/>
  <c r="N151" i="32" l="1"/>
  <c r="M151" i="32"/>
  <c r="L151" i="32"/>
  <c r="K151" i="32"/>
  <c r="J151" i="32"/>
  <c r="I151" i="32"/>
  <c r="P145" i="32"/>
  <c r="N145" i="32"/>
  <c r="M145" i="32"/>
  <c r="L145" i="32"/>
  <c r="K145" i="32"/>
  <c r="J145" i="32"/>
  <c r="I145" i="32"/>
  <c r="P151" i="32"/>
  <c r="C20" i="13" l="1"/>
  <c r="P169" i="32" s="1"/>
  <c r="C19" i="13"/>
  <c r="N169" i="32" s="1"/>
  <c r="C18" i="13"/>
  <c r="O169" i="32" s="1"/>
  <c r="C17" i="13"/>
  <c r="M169" i="32" s="1"/>
  <c r="C15" i="13"/>
  <c r="K169" i="32" s="1"/>
  <c r="C14" i="13"/>
  <c r="J169" i="32" s="1"/>
  <c r="C9" i="13"/>
  <c r="E169" i="32" s="1"/>
  <c r="D15" i="13" l="1"/>
  <c r="K172" i="32" s="1"/>
  <c r="D9" i="13"/>
  <c r="E172" i="32" s="1"/>
  <c r="D17" i="13"/>
  <c r="M172" i="32" s="1"/>
  <c r="D14" i="13"/>
  <c r="J172" i="32" s="1"/>
  <c r="D18" i="13"/>
  <c r="O172" i="32" s="1"/>
  <c r="D20" i="13"/>
  <c r="P172" i="32" s="1"/>
  <c r="F15" i="13"/>
  <c r="K97" i="32" s="1"/>
  <c r="E20" i="13"/>
  <c r="P94" i="32" s="1"/>
  <c r="E19" i="13"/>
  <c r="N94" i="32" s="1"/>
  <c r="E18" i="13"/>
  <c r="O94" i="32" s="1"/>
  <c r="E16" i="13"/>
  <c r="L94" i="32" s="1"/>
  <c r="E14" i="13"/>
  <c r="J94" i="32" s="1"/>
  <c r="E13" i="13"/>
  <c r="I94" i="32" s="1"/>
  <c r="E12" i="13"/>
  <c r="E11" i="13"/>
  <c r="G94" i="32" s="1"/>
  <c r="E10" i="13"/>
  <c r="F94" i="32" s="1"/>
  <c r="E9" i="13"/>
  <c r="E94" i="32" s="1"/>
  <c r="F12" i="13" l="1"/>
  <c r="H97" i="32" s="1"/>
  <c r="H94" i="32"/>
  <c r="F13" i="13"/>
  <c r="I97" i="32" s="1"/>
  <c r="F20" i="13"/>
  <c r="P97" i="32" s="1"/>
  <c r="F10" i="13"/>
  <c r="F97" i="32" s="1"/>
  <c r="F14" i="13"/>
  <c r="J97" i="32" s="1"/>
  <c r="F9" i="13"/>
  <c r="E97" i="32" s="1"/>
  <c r="F11" i="13"/>
  <c r="G97" i="32" s="1"/>
  <c r="F18" i="13"/>
  <c r="O97" i="32" s="1"/>
  <c r="H22" i="13"/>
  <c r="H24" i="13" l="1"/>
  <c r="E22" i="13"/>
  <c r="F17" i="13"/>
  <c r="M97" i="32" s="1"/>
  <c r="P38" i="32"/>
  <c r="L38" i="32"/>
  <c r="K38" i="32"/>
  <c r="I38" i="32"/>
  <c r="F22" i="13" l="1"/>
  <c r="F24" i="13" s="1"/>
  <c r="E24" i="13"/>
  <c r="D88" i="32" l="1"/>
  <c r="L56" i="32" l="1"/>
  <c r="D148" i="32" l="1"/>
  <c r="D142" i="32"/>
  <c r="B23" i="17" s="1"/>
  <c r="D139" i="32"/>
  <c r="D133" i="32"/>
  <c r="O38" i="32"/>
  <c r="N38" i="32"/>
  <c r="M38" i="32"/>
  <c r="J38" i="32"/>
  <c r="H38" i="32"/>
  <c r="G38" i="32"/>
  <c r="F38" i="32"/>
  <c r="E38" i="32"/>
  <c r="D97" i="32"/>
  <c r="D94" i="32"/>
  <c r="D56" i="32"/>
  <c r="D53" i="32"/>
  <c r="D50" i="32"/>
  <c r="D47" i="32"/>
  <c r="D44" i="32"/>
  <c r="D26" i="32"/>
  <c r="D38" i="32" l="1"/>
  <c r="D23" i="32"/>
  <c r="D80" i="32"/>
  <c r="D151" i="32"/>
  <c r="D112" i="32"/>
  <c r="D145" i="32"/>
  <c r="D109" i="32"/>
  <c r="D68" i="32"/>
  <c r="G11" i="32" l="1"/>
  <c r="P8" i="32"/>
  <c r="H11" i="32"/>
  <c r="F8" i="32"/>
  <c r="F11" i="32" s="1"/>
  <c r="E11" i="32"/>
  <c r="A172" i="32"/>
  <c r="A169" i="32"/>
  <c r="D166" i="32"/>
  <c r="I165" i="32" s="1"/>
  <c r="A166" i="32"/>
  <c r="A154" i="32"/>
  <c r="A155" i="32" s="1"/>
  <c r="A151" i="32"/>
  <c r="A152" i="32" s="1"/>
  <c r="P150" i="32"/>
  <c r="O150" i="32"/>
  <c r="N150" i="32"/>
  <c r="M150" i="32"/>
  <c r="L150" i="32"/>
  <c r="K150" i="32"/>
  <c r="J150" i="32"/>
  <c r="I150" i="32"/>
  <c r="H150" i="32"/>
  <c r="G150" i="32"/>
  <c r="F150" i="32"/>
  <c r="E150" i="32"/>
  <c r="A148" i="32"/>
  <c r="A149" i="32" s="1"/>
  <c r="A145" i="32"/>
  <c r="A69" i="32" s="1"/>
  <c r="P144" i="32"/>
  <c r="O144" i="32"/>
  <c r="M144" i="32"/>
  <c r="L144" i="32"/>
  <c r="J144" i="32"/>
  <c r="I144" i="32"/>
  <c r="H144" i="32"/>
  <c r="F144" i="32"/>
  <c r="E144" i="32"/>
  <c r="A142" i="32"/>
  <c r="A143" i="32" s="1"/>
  <c r="P141" i="32"/>
  <c r="O141" i="32"/>
  <c r="N141" i="32"/>
  <c r="M141" i="32"/>
  <c r="L141" i="32"/>
  <c r="K141" i="32"/>
  <c r="J141" i="32"/>
  <c r="I141" i="32"/>
  <c r="H141" i="32"/>
  <c r="G141" i="32"/>
  <c r="F141" i="32"/>
  <c r="E141" i="32"/>
  <c r="G138" i="32"/>
  <c r="A139" i="32"/>
  <c r="A140" i="32" s="1"/>
  <c r="A136" i="32"/>
  <c r="A137" i="32" s="1"/>
  <c r="M135" i="32"/>
  <c r="J135" i="32"/>
  <c r="F135" i="32"/>
  <c r="E135" i="32"/>
  <c r="A133" i="32"/>
  <c r="A134" i="32" s="1"/>
  <c r="P132" i="32"/>
  <c r="O132" i="32"/>
  <c r="M132" i="32"/>
  <c r="L132" i="32"/>
  <c r="J132" i="32"/>
  <c r="I132" i="32"/>
  <c r="H132" i="32"/>
  <c r="F132" i="32"/>
  <c r="E132" i="32"/>
  <c r="A130" i="32"/>
  <c r="A131" i="32" s="1"/>
  <c r="P129" i="32"/>
  <c r="M129" i="32"/>
  <c r="J129" i="32"/>
  <c r="I129" i="32"/>
  <c r="F129" i="32"/>
  <c r="E129" i="32"/>
  <c r="A127" i="32"/>
  <c r="A128" i="32" s="1"/>
  <c r="P126" i="32"/>
  <c r="O126" i="32"/>
  <c r="M126" i="32"/>
  <c r="L126" i="32"/>
  <c r="J126" i="32"/>
  <c r="I126" i="32"/>
  <c r="H126" i="32"/>
  <c r="F126" i="32"/>
  <c r="E126" i="32"/>
  <c r="A124" i="32"/>
  <c r="A125" i="32" s="1"/>
  <c r="P123" i="32"/>
  <c r="O123" i="32"/>
  <c r="N123" i="32"/>
  <c r="M123" i="32"/>
  <c r="L123" i="32"/>
  <c r="K123" i="32"/>
  <c r="J123" i="32"/>
  <c r="I123" i="32"/>
  <c r="H123" i="32"/>
  <c r="G123" i="32"/>
  <c r="F123" i="32"/>
  <c r="E123" i="32"/>
  <c r="A121" i="32"/>
  <c r="A122" i="32" s="1"/>
  <c r="A118" i="32"/>
  <c r="A119" i="32" s="1"/>
  <c r="A115" i="32"/>
  <c r="A116" i="32" s="1"/>
  <c r="A112" i="32"/>
  <c r="A113" i="32" s="1"/>
  <c r="P111" i="32"/>
  <c r="O111" i="32"/>
  <c r="N111" i="32"/>
  <c r="M111" i="32"/>
  <c r="L111" i="32"/>
  <c r="K111" i="32"/>
  <c r="J111" i="32"/>
  <c r="I111" i="32"/>
  <c r="H111" i="32"/>
  <c r="G111" i="32"/>
  <c r="F111" i="32"/>
  <c r="E111" i="32"/>
  <c r="A109" i="32"/>
  <c r="A110" i="32" s="1"/>
  <c r="K108" i="32"/>
  <c r="F108" i="32"/>
  <c r="A106" i="32"/>
  <c r="A107" i="32" s="1"/>
  <c r="A103" i="32"/>
  <c r="A104" i="32" s="1"/>
  <c r="A100" i="32"/>
  <c r="A101" i="32" s="1"/>
  <c r="A97" i="32"/>
  <c r="A98" i="32" s="1"/>
  <c r="E96" i="32"/>
  <c r="A94" i="32"/>
  <c r="A95" i="32" s="1"/>
  <c r="P93" i="32"/>
  <c r="O93" i="32"/>
  <c r="M93" i="32"/>
  <c r="L93" i="32"/>
  <c r="J93" i="32"/>
  <c r="H93" i="32"/>
  <c r="F93" i="32"/>
  <c r="E93" i="32"/>
  <c r="D91" i="32"/>
  <c r="A91" i="32"/>
  <c r="A66" i="32" s="1"/>
  <c r="E87" i="32"/>
  <c r="A88" i="32"/>
  <c r="A89" i="32" s="1"/>
  <c r="N87" i="32"/>
  <c r="J87" i="32"/>
  <c r="D85" i="32"/>
  <c r="A85" i="32"/>
  <c r="A86" i="32" s="1"/>
  <c r="A80" i="32"/>
  <c r="P79" i="32"/>
  <c r="O79" i="32"/>
  <c r="N79" i="32"/>
  <c r="M79" i="32"/>
  <c r="L79" i="32"/>
  <c r="K79" i="32"/>
  <c r="J79" i="32"/>
  <c r="I79" i="32"/>
  <c r="H79" i="32"/>
  <c r="G79" i="32"/>
  <c r="F79" i="32"/>
  <c r="E79" i="32"/>
  <c r="D77" i="32"/>
  <c r="A77" i="32"/>
  <c r="A78" i="32" s="1"/>
  <c r="A74" i="32"/>
  <c r="A75" i="32" s="1"/>
  <c r="A71" i="32"/>
  <c r="A72" i="32" s="1"/>
  <c r="A68" i="32"/>
  <c r="O67" i="32"/>
  <c r="N67" i="32"/>
  <c r="L67" i="32"/>
  <c r="K67" i="32"/>
  <c r="J67" i="32"/>
  <c r="H67" i="32"/>
  <c r="G67" i="32"/>
  <c r="F67" i="32"/>
  <c r="A65" i="32"/>
  <c r="A62" i="32"/>
  <c r="A63" i="32" s="1"/>
  <c r="A59" i="32"/>
  <c r="A60" i="32" s="1"/>
  <c r="A56" i="32"/>
  <c r="A57" i="32" s="1"/>
  <c r="A53" i="32"/>
  <c r="A54" i="32" s="1"/>
  <c r="J52" i="32"/>
  <c r="A50" i="32"/>
  <c r="A51" i="32" s="1"/>
  <c r="P49" i="32"/>
  <c r="O49" i="32"/>
  <c r="N49" i="32"/>
  <c r="M49" i="32"/>
  <c r="L49" i="32"/>
  <c r="K49" i="32"/>
  <c r="J49" i="32"/>
  <c r="I49" i="32"/>
  <c r="H49" i="32"/>
  <c r="G49" i="32"/>
  <c r="F49" i="32"/>
  <c r="E49" i="32"/>
  <c r="A47" i="32"/>
  <c r="N46" i="32"/>
  <c r="K46" i="32"/>
  <c r="J46" i="32"/>
  <c r="G46" i="32"/>
  <c r="A44" i="32"/>
  <c r="P43" i="32"/>
  <c r="O43" i="32"/>
  <c r="N43" i="32"/>
  <c r="M43" i="32"/>
  <c r="L43" i="32"/>
  <c r="K43" i="32"/>
  <c r="J43" i="32"/>
  <c r="I43" i="32"/>
  <c r="H43" i="32"/>
  <c r="G43" i="32"/>
  <c r="F43" i="32"/>
  <c r="E43" i="32"/>
  <c r="D41" i="32"/>
  <c r="A41" i="32"/>
  <c r="A42" i="32" s="1"/>
  <c r="A38" i="32"/>
  <c r="A39" i="32" s="1"/>
  <c r="P37" i="32"/>
  <c r="J37" i="32"/>
  <c r="I37" i="32"/>
  <c r="A35" i="32"/>
  <c r="A36" i="32" s="1"/>
  <c r="A32" i="32"/>
  <c r="A33" i="32" s="1"/>
  <c r="D29" i="32"/>
  <c r="A29" i="32"/>
  <c r="A30" i="32" s="1"/>
  <c r="A26" i="32"/>
  <c r="A27" i="32" s="1"/>
  <c r="P25" i="32"/>
  <c r="O25" i="32"/>
  <c r="N25" i="32"/>
  <c r="M25" i="32"/>
  <c r="L25" i="32"/>
  <c r="K25" i="32"/>
  <c r="J25" i="32"/>
  <c r="I25" i="32"/>
  <c r="H25" i="32"/>
  <c r="G25" i="32"/>
  <c r="F25" i="32"/>
  <c r="E25" i="32"/>
  <c r="A23" i="32"/>
  <c r="N22" i="32"/>
  <c r="K22" i="32"/>
  <c r="J22" i="32"/>
  <c r="G22" i="32"/>
  <c r="D20" i="32"/>
  <c r="A20" i="32"/>
  <c r="A21" i="32" s="1"/>
  <c r="A17" i="32"/>
  <c r="A18" i="32" s="1"/>
  <c r="A14" i="32"/>
  <c r="A15" i="32" s="1"/>
  <c r="A11" i="32"/>
  <c r="A12" i="32" s="1"/>
  <c r="A8" i="32"/>
  <c r="A9" i="32" s="1"/>
  <c r="D17" i="32" l="1"/>
  <c r="M16" i="32" s="1"/>
  <c r="D59" i="32"/>
  <c r="K58" i="32" s="1"/>
  <c r="F40" i="32"/>
  <c r="N40" i="32"/>
  <c r="J40" i="32"/>
  <c r="O40" i="32"/>
  <c r="H40" i="32"/>
  <c r="K40" i="32"/>
  <c r="D35" i="32"/>
  <c r="N34" i="32" s="1"/>
  <c r="D8" i="32"/>
  <c r="H7" i="32" s="1"/>
  <c r="N90" i="32"/>
  <c r="J90" i="32"/>
  <c r="K90" i="32"/>
  <c r="F90" i="32"/>
  <c r="O90" i="32"/>
  <c r="F84" i="32"/>
  <c r="L84" i="32"/>
  <c r="E84" i="32"/>
  <c r="M84" i="32"/>
  <c r="D65" i="32"/>
  <c r="D32" i="32"/>
  <c r="L31" i="32" s="1"/>
  <c r="J165" i="32"/>
  <c r="H84" i="32"/>
  <c r="O84" i="32"/>
  <c r="G90" i="32"/>
  <c r="L90" i="32"/>
  <c r="P165" i="32"/>
  <c r="J84" i="32"/>
  <c r="P84" i="32"/>
  <c r="H90" i="32"/>
  <c r="D154" i="32"/>
  <c r="G40" i="32"/>
  <c r="L40" i="32"/>
  <c r="D11" i="32"/>
  <c r="E10" i="32" s="1"/>
  <c r="I19" i="32"/>
  <c r="P19" i="32"/>
  <c r="H19" i="32"/>
  <c r="O28" i="32"/>
  <c r="L28" i="32"/>
  <c r="H28" i="32"/>
  <c r="N28" i="32"/>
  <c r="K28" i="32"/>
  <c r="G28" i="32"/>
  <c r="M28" i="32"/>
  <c r="P28" i="32"/>
  <c r="I28" i="32"/>
  <c r="F28" i="32"/>
  <c r="E28" i="32"/>
  <c r="J28" i="32"/>
  <c r="O52" i="32"/>
  <c r="L52" i="32"/>
  <c r="H52" i="32"/>
  <c r="N52" i="32"/>
  <c r="K52" i="32"/>
  <c r="G52" i="32"/>
  <c r="M52" i="32"/>
  <c r="P52" i="32"/>
  <c r="I52" i="32"/>
  <c r="F52" i="32"/>
  <c r="E52" i="32"/>
  <c r="K55" i="32"/>
  <c r="P76" i="32"/>
  <c r="M76" i="32"/>
  <c r="I76" i="32"/>
  <c r="E76" i="32"/>
  <c r="N76" i="32"/>
  <c r="J76" i="32"/>
  <c r="H76" i="32"/>
  <c r="L76" i="32"/>
  <c r="G76" i="32"/>
  <c r="P147" i="32"/>
  <c r="M147" i="32"/>
  <c r="I147" i="32"/>
  <c r="E147" i="32"/>
  <c r="O147" i="32"/>
  <c r="L147" i="32"/>
  <c r="H147" i="32"/>
  <c r="J147" i="32"/>
  <c r="N147" i="32"/>
  <c r="G147" i="32"/>
  <c r="K147" i="32"/>
  <c r="F147" i="32"/>
  <c r="O37" i="32"/>
  <c r="L37" i="32"/>
  <c r="H37" i="32"/>
  <c r="N37" i="32"/>
  <c r="K37" i="32"/>
  <c r="G37" i="32"/>
  <c r="O76" i="32"/>
  <c r="O96" i="32"/>
  <c r="L96" i="32"/>
  <c r="H96" i="32"/>
  <c r="I96" i="32"/>
  <c r="M96" i="32"/>
  <c r="G96" i="32"/>
  <c r="P96" i="32"/>
  <c r="K96" i="32"/>
  <c r="F96" i="32"/>
  <c r="E19" i="32"/>
  <c r="J19" i="32"/>
  <c r="P22" i="32"/>
  <c r="M22" i="32"/>
  <c r="I22" i="32"/>
  <c r="E22" i="32"/>
  <c r="O22" i="32"/>
  <c r="L22" i="32"/>
  <c r="H22" i="32"/>
  <c r="E37" i="32"/>
  <c r="M37" i="32"/>
  <c r="P46" i="32"/>
  <c r="M46" i="32"/>
  <c r="I46" i="32"/>
  <c r="E46" i="32"/>
  <c r="O46" i="32"/>
  <c r="L46" i="32"/>
  <c r="H46" i="32"/>
  <c r="G55" i="32"/>
  <c r="N55" i="32"/>
  <c r="N96" i="32"/>
  <c r="F19" i="32"/>
  <c r="M19" i="32"/>
  <c r="F22" i="32"/>
  <c r="F37" i="32"/>
  <c r="F46" i="32"/>
  <c r="J55" i="32"/>
  <c r="F76" i="32"/>
  <c r="O87" i="32"/>
  <c r="L87" i="32"/>
  <c r="H87" i="32"/>
  <c r="I87" i="32"/>
  <c r="M87" i="32"/>
  <c r="G87" i="32"/>
  <c r="P87" i="32"/>
  <c r="K87" i="32"/>
  <c r="F87" i="32"/>
  <c r="P55" i="32"/>
  <c r="M55" i="32"/>
  <c r="I55" i="32"/>
  <c r="E55" i="32"/>
  <c r="O55" i="32"/>
  <c r="L55" i="32"/>
  <c r="H55" i="32"/>
  <c r="K76" i="32"/>
  <c r="P138" i="32"/>
  <c r="M138" i="32"/>
  <c r="I138" i="32"/>
  <c r="E138" i="32"/>
  <c r="O138" i="32"/>
  <c r="L138" i="32"/>
  <c r="H138" i="32"/>
  <c r="J138" i="32"/>
  <c r="N138" i="32"/>
  <c r="F138" i="32"/>
  <c r="K138" i="32"/>
  <c r="F55" i="32"/>
  <c r="J96" i="32"/>
  <c r="O19" i="32"/>
  <c r="L19" i="32"/>
  <c r="N19" i="32"/>
  <c r="K19" i="32"/>
  <c r="G19" i="32"/>
  <c r="P108" i="32"/>
  <c r="M108" i="32"/>
  <c r="I108" i="32"/>
  <c r="E108" i="32"/>
  <c r="L108" i="32"/>
  <c r="G108" i="32"/>
  <c r="E40" i="32"/>
  <c r="I40" i="32"/>
  <c r="M40" i="32"/>
  <c r="P40" i="32"/>
  <c r="E67" i="32"/>
  <c r="I67" i="32"/>
  <c r="M67" i="32"/>
  <c r="P67" i="32"/>
  <c r="I84" i="32"/>
  <c r="P90" i="32"/>
  <c r="M90" i="32"/>
  <c r="I90" i="32"/>
  <c r="E90" i="32"/>
  <c r="I93" i="32"/>
  <c r="H108" i="32"/>
  <c r="N108" i="32"/>
  <c r="O135" i="32"/>
  <c r="L135" i="32"/>
  <c r="H135" i="32"/>
  <c r="N135" i="32"/>
  <c r="K135" i="32"/>
  <c r="G135" i="32"/>
  <c r="P135" i="32"/>
  <c r="I135" i="32"/>
  <c r="N84" i="32"/>
  <c r="K84" i="32"/>
  <c r="G84" i="32"/>
  <c r="N93" i="32"/>
  <c r="K93" i="32"/>
  <c r="G93" i="32"/>
  <c r="J108" i="32"/>
  <c r="O108" i="32"/>
  <c r="O165" i="32"/>
  <c r="L165" i="32"/>
  <c r="H165" i="32"/>
  <c r="N165" i="32"/>
  <c r="K165" i="32"/>
  <c r="G165" i="32"/>
  <c r="F165" i="32"/>
  <c r="M165" i="32"/>
  <c r="E165" i="32"/>
  <c r="O129" i="32"/>
  <c r="L129" i="32"/>
  <c r="H129" i="32"/>
  <c r="N129" i="32"/>
  <c r="K129" i="32"/>
  <c r="G129" i="32"/>
  <c r="G126" i="32"/>
  <c r="K126" i="32"/>
  <c r="N126" i="32"/>
  <c r="G132" i="32"/>
  <c r="K132" i="32"/>
  <c r="N132" i="32"/>
  <c r="G144" i="32"/>
  <c r="K144" i="32"/>
  <c r="N144" i="32"/>
  <c r="F16" i="32" l="1"/>
  <c r="I16" i="32"/>
  <c r="N16" i="32"/>
  <c r="I58" i="32"/>
  <c r="G58" i="32"/>
  <c r="M58" i="32"/>
  <c r="N58" i="32"/>
  <c r="L58" i="32"/>
  <c r="O58" i="32"/>
  <c r="E58" i="32"/>
  <c r="J58" i="32"/>
  <c r="F58" i="32"/>
  <c r="O16" i="32"/>
  <c r="K16" i="32"/>
  <c r="E16" i="32"/>
  <c r="L16" i="32"/>
  <c r="G16" i="32"/>
  <c r="P16" i="32"/>
  <c r="H16" i="32"/>
  <c r="J16" i="32"/>
  <c r="E34" i="32"/>
  <c r="L7" i="32"/>
  <c r="G7" i="32"/>
  <c r="F7" i="32"/>
  <c r="O7" i="32"/>
  <c r="K7" i="32"/>
  <c r="M7" i="32"/>
  <c r="O10" i="32"/>
  <c r="J7" i="32"/>
  <c r="F10" i="32"/>
  <c r="P58" i="32"/>
  <c r="H58" i="32"/>
  <c r="P7" i="32"/>
  <c r="E7" i="32"/>
  <c r="N7" i="32"/>
  <c r="I7" i="32"/>
  <c r="M34" i="32"/>
  <c r="G34" i="32"/>
  <c r="H34" i="32"/>
  <c r="P34" i="32"/>
  <c r="K34" i="32"/>
  <c r="O34" i="32"/>
  <c r="J34" i="32"/>
  <c r="G10" i="32"/>
  <c r="K10" i="32"/>
  <c r="L34" i="32"/>
  <c r="I34" i="32"/>
  <c r="F34" i="32"/>
  <c r="J10" i="32"/>
  <c r="P10" i="32"/>
  <c r="H64" i="32"/>
  <c r="L10" i="32"/>
  <c r="I10" i="32"/>
  <c r="N10" i="32"/>
  <c r="K153" i="32"/>
  <c r="N153" i="32"/>
  <c r="I153" i="32"/>
  <c r="L153" i="32"/>
  <c r="M153" i="32"/>
  <c r="H153" i="32"/>
  <c r="J153" i="32"/>
  <c r="E153" i="32"/>
  <c r="P64" i="32"/>
  <c r="E64" i="32"/>
  <c r="G64" i="32"/>
  <c r="L64" i="32"/>
  <c r="O64" i="32"/>
  <c r="I64" i="32"/>
  <c r="F64" i="32"/>
  <c r="J64" i="32"/>
  <c r="M64" i="32"/>
  <c r="N64" i="32"/>
  <c r="K64" i="32"/>
  <c r="E31" i="32"/>
  <c r="P31" i="32"/>
  <c r="M31" i="32"/>
  <c r="F31" i="32"/>
  <c r="G31" i="32"/>
  <c r="N31" i="32"/>
  <c r="O31" i="32"/>
  <c r="I31" i="32"/>
  <c r="H31" i="32"/>
  <c r="J31" i="32"/>
  <c r="K31" i="32"/>
  <c r="G153" i="32"/>
  <c r="F153" i="32"/>
  <c r="P153" i="32"/>
  <c r="O153" i="32"/>
  <c r="H10" i="32"/>
  <c r="M10" i="32"/>
  <c r="D62" i="32" l="1"/>
  <c r="P61" i="32" l="1"/>
  <c r="L61" i="32"/>
  <c r="N61" i="32"/>
  <c r="E61" i="32"/>
  <c r="H61" i="32"/>
  <c r="K61" i="32"/>
  <c r="M61" i="32"/>
  <c r="F61" i="32"/>
  <c r="I61" i="32"/>
  <c r="G61" i="32"/>
  <c r="J61" i="32"/>
  <c r="O61" i="32"/>
  <c r="C13" i="13" l="1"/>
  <c r="I169" i="32" s="1"/>
  <c r="C12" i="13"/>
  <c r="H169" i="32" s="1"/>
  <c r="D12" i="13" l="1"/>
  <c r="H172" i="32" s="1"/>
  <c r="D13" i="13"/>
  <c r="I172" i="32" s="1"/>
  <c r="C11" i="13"/>
  <c r="G169" i="32" s="1"/>
  <c r="D11" i="13" l="1"/>
  <c r="G172" i="32" s="1"/>
  <c r="C10" i="13" l="1"/>
  <c r="F169" i="32" s="1"/>
  <c r="D10" i="13" l="1"/>
  <c r="F172" i="32" s="1"/>
  <c r="C16" i="13"/>
  <c r="L169" i="32" s="1"/>
  <c r="G22" i="13"/>
  <c r="G24" i="13" s="1"/>
  <c r="D169" i="32" l="1"/>
  <c r="C22" i="13"/>
  <c r="C24" i="13" s="1"/>
  <c r="D172" i="32" l="1"/>
  <c r="D22" i="13"/>
  <c r="D24" i="13" s="1"/>
  <c r="J168" i="32"/>
  <c r="F168" i="32"/>
  <c r="M168" i="32"/>
  <c r="H168" i="32"/>
  <c r="K168" i="32"/>
  <c r="P168" i="32"/>
  <c r="I168" i="32"/>
  <c r="E168" i="32"/>
  <c r="O168" i="32"/>
  <c r="L168" i="32"/>
  <c r="N168" i="32"/>
  <c r="G168" i="32"/>
  <c r="M171" i="32" l="1"/>
  <c r="F171" i="32"/>
  <c r="E171" i="32"/>
  <c r="P171" i="32"/>
  <c r="J171" i="32"/>
  <c r="I171" i="32"/>
  <c r="N171" i="32"/>
  <c r="O171" i="32"/>
  <c r="K171" i="32"/>
  <c r="L171" i="32"/>
  <c r="H171" i="32"/>
  <c r="G171" i="32"/>
  <c r="H14" i="32" l="1"/>
  <c r="G14" i="32"/>
  <c r="P14" i="32"/>
  <c r="N14" i="32"/>
  <c r="K14" i="32"/>
  <c r="O14" i="32"/>
  <c r="I14" i="32"/>
  <c r="M14" i="32"/>
  <c r="J14" i="32"/>
  <c r="E14" i="32"/>
  <c r="F14" i="32"/>
  <c r="L14" i="32"/>
  <c r="D14" i="32" l="1"/>
  <c r="K13" i="32" l="1"/>
  <c r="I13" i="32"/>
  <c r="E13" i="32"/>
  <c r="H13" i="32"/>
  <c r="N13" i="32"/>
  <c r="O13" i="32"/>
  <c r="P13" i="32"/>
  <c r="G13" i="32"/>
  <c r="F13" i="32"/>
  <c r="J13" i="32"/>
  <c r="M13" i="32"/>
  <c r="L13" i="32"/>
  <c r="L71" i="32" l="1"/>
  <c r="E61" i="29"/>
  <c r="J71" i="32" l="1"/>
  <c r="E59" i="29"/>
  <c r="J74" i="32" l="1"/>
  <c r="M71" i="32"/>
  <c r="E62" i="29"/>
  <c r="M74" i="32" l="1"/>
  <c r="P71" i="32"/>
  <c r="E65" i="29"/>
  <c r="K71" i="32"/>
  <c r="E60" i="29"/>
  <c r="K74" i="32" l="1"/>
  <c r="O71" i="32"/>
  <c r="E64" i="29"/>
  <c r="O74" i="32" l="1"/>
  <c r="E71" i="32"/>
  <c r="E54" i="29"/>
  <c r="E74" i="32" l="1"/>
  <c r="N71" i="32" l="1"/>
  <c r="E63" i="29"/>
  <c r="H71" i="32" l="1"/>
  <c r="E57" i="29"/>
  <c r="H74" i="32" l="1"/>
  <c r="G71" i="32"/>
  <c r="E56" i="29"/>
  <c r="G74" i="32" l="1"/>
  <c r="I71" i="32"/>
  <c r="E58" i="29"/>
  <c r="I74" i="32" l="1"/>
  <c r="F71" i="32"/>
  <c r="E55" i="29"/>
  <c r="E74" i="29" l="1"/>
  <c r="F74" i="32"/>
  <c r="D71" i="32"/>
  <c r="D74" i="32" l="1"/>
  <c r="P73" i="32" s="1"/>
  <c r="H70" i="32"/>
  <c r="P70" i="32"/>
  <c r="E70" i="32"/>
  <c r="N70" i="32"/>
  <c r="K70" i="32"/>
  <c r="O70" i="32"/>
  <c r="G70" i="32"/>
  <c r="I70" i="32"/>
  <c r="M70" i="32"/>
  <c r="L70" i="32"/>
  <c r="J70" i="32"/>
  <c r="F70" i="32"/>
  <c r="I73" i="32"/>
  <c r="F73" i="32" l="1"/>
  <c r="O73" i="32"/>
  <c r="N73" i="32"/>
  <c r="K73" i="32"/>
  <c r="J73" i="32"/>
  <c r="E73" i="32"/>
  <c r="H73" i="32"/>
  <c r="G73" i="32"/>
  <c r="L73" i="32"/>
  <c r="M73" i="32"/>
  <c r="D12" i="31" l="1"/>
  <c r="D13" i="31" l="1"/>
  <c r="E12" i="31"/>
  <c r="E13" i="31" s="1"/>
  <c r="J25" i="39" l="1"/>
  <c r="F63" i="29" s="1"/>
  <c r="F65" i="29" l="1"/>
  <c r="I106" i="32" l="1"/>
  <c r="N121" i="32"/>
  <c r="I118" i="32"/>
  <c r="I103" i="32" l="1"/>
  <c r="I100" i="32"/>
  <c r="I115" i="32"/>
  <c r="I121" i="32"/>
  <c r="M118" i="32"/>
  <c r="N118" i="32"/>
  <c r="M115" i="32"/>
  <c r="M121" i="32"/>
  <c r="K115" i="32"/>
  <c r="N115" i="32"/>
  <c r="D118" i="32" l="1"/>
  <c r="F117" i="32" s="1"/>
  <c r="D115" i="32"/>
  <c r="D121" i="32"/>
  <c r="J117" i="32" l="1"/>
  <c r="M117" i="32"/>
  <c r="N117" i="32"/>
  <c r="I117" i="32"/>
  <c r="G117" i="32"/>
  <c r="E117" i="32"/>
  <c r="K117" i="32"/>
  <c r="P117" i="32"/>
  <c r="L117" i="32"/>
  <c r="O117" i="32"/>
  <c r="H117" i="32"/>
  <c r="L114" i="32"/>
  <c r="F114" i="32"/>
  <c r="P114" i="32"/>
  <c r="J114" i="32"/>
  <c r="E114" i="32"/>
  <c r="O114" i="32"/>
  <c r="I114" i="32"/>
  <c r="M114" i="32"/>
  <c r="H114" i="32"/>
  <c r="G114" i="32"/>
  <c r="N114" i="32"/>
  <c r="K114" i="32"/>
  <c r="N120" i="32"/>
  <c r="F120" i="32"/>
  <c r="K120" i="32"/>
  <c r="J120" i="32"/>
  <c r="O120" i="32"/>
  <c r="H120" i="32"/>
  <c r="M120" i="32"/>
  <c r="G120" i="32"/>
  <c r="I120" i="32"/>
  <c r="E120" i="32"/>
  <c r="P120" i="32"/>
  <c r="L120" i="32"/>
  <c r="M100" i="32" l="1"/>
  <c r="N103" i="32"/>
  <c r="M103" i="32"/>
  <c r="M106" i="32"/>
  <c r="N100" i="32"/>
  <c r="N106" i="32"/>
  <c r="D106" i="32" l="1"/>
  <c r="D103" i="32"/>
  <c r="D100" i="32"/>
  <c r="L99" i="32" l="1"/>
  <c r="G99" i="32"/>
  <c r="O99" i="32"/>
  <c r="H99" i="32"/>
  <c r="K99" i="32"/>
  <c r="F99" i="32"/>
  <c r="J99" i="32"/>
  <c r="N99" i="32"/>
  <c r="E99" i="32"/>
  <c r="M99" i="32"/>
  <c r="I99" i="32"/>
  <c r="P99" i="32"/>
  <c r="M102" i="32"/>
  <c r="I102" i="32"/>
  <c r="E102" i="32"/>
  <c r="O102" i="32"/>
  <c r="K102" i="32"/>
  <c r="N102" i="32"/>
  <c r="F102" i="32"/>
  <c r="P102" i="32"/>
  <c r="L102" i="32"/>
  <c r="H102" i="32"/>
  <c r="G102" i="32"/>
  <c r="J102" i="32"/>
  <c r="M105" i="32"/>
  <c r="P105" i="32"/>
  <c r="N105" i="32"/>
  <c r="J105" i="32"/>
  <c r="G105" i="32"/>
  <c r="F105" i="32"/>
  <c r="L105" i="32"/>
  <c r="E105" i="32"/>
  <c r="H105" i="32"/>
  <c r="I105" i="32"/>
  <c r="O105" i="32"/>
  <c r="K105" i="32"/>
  <c r="J41" i="39" l="1"/>
  <c r="F61" i="29" s="1"/>
  <c r="F58" i="29" l="1"/>
  <c r="F57" i="29"/>
  <c r="F62" i="29"/>
  <c r="F60" i="29"/>
  <c r="F55" i="29"/>
  <c r="F54" i="29"/>
  <c r="F56" i="29" l="1"/>
  <c r="F59" i="29"/>
  <c r="F64" i="29"/>
  <c r="F74" i="29" l="1"/>
</calcChain>
</file>

<file path=xl/comments1.xml><?xml version="1.0" encoding="utf-8"?>
<comments xmlns="http://schemas.openxmlformats.org/spreadsheetml/2006/main">
  <authors>
    <author>Chun Chang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This is to be used as the energy allocation factor in 2019 GRC.  04/29/19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Chun Chang:</t>
        </r>
        <r>
          <rPr>
            <sz val="9"/>
            <color indexed="81"/>
            <rFont val="Tahoma"/>
            <family val="2"/>
          </rPr>
          <t xml:space="preserve">
Reflects schedule 40 rate migrations anticipated after 2019 GRC.  04/29/19</t>
        </r>
      </text>
    </comment>
  </commentList>
</comments>
</file>

<file path=xl/sharedStrings.xml><?xml version="1.0" encoding="utf-8"?>
<sst xmlns="http://schemas.openxmlformats.org/spreadsheetml/2006/main" count="1285" uniqueCount="707">
  <si>
    <t>Key Figures</t>
  </si>
  <si>
    <t>Customer Counts</t>
  </si>
  <si>
    <t>Row Labels</t>
  </si>
  <si>
    <t>Average</t>
  </si>
  <si>
    <t>Total</t>
  </si>
  <si>
    <t>Lights</t>
  </si>
  <si>
    <t>Firm Resale</t>
  </si>
  <si>
    <t>449-459</t>
  </si>
  <si>
    <t>Grand Total</t>
  </si>
  <si>
    <t>Sum of Overall Result</t>
  </si>
  <si>
    <t>Customer Advances</t>
  </si>
  <si>
    <t>FERC Account 252</t>
  </si>
  <si>
    <t>Direct Assignment</t>
  </si>
  <si>
    <t>Line No</t>
  </si>
  <si>
    <t>Description</t>
  </si>
  <si>
    <t>A/C 25200161 Residential Single Family Elec Customer</t>
  </si>
  <si>
    <t>A/C 25200171 Residential Plat Elec Customer Advances</t>
  </si>
  <si>
    <t>A/C 25200181 Non-Residential Elec Customer Advances</t>
  </si>
  <si>
    <t>Schedule 7</t>
  </si>
  <si>
    <t>Schedule 24</t>
  </si>
  <si>
    <t>Schedule 25 &amp; 29</t>
  </si>
  <si>
    <t>Schedule 26</t>
  </si>
  <si>
    <t>G/L Account</t>
  </si>
  <si>
    <t>Equipment Rental Revenue</t>
  </si>
  <si>
    <t>FERC Account 454</t>
  </si>
  <si>
    <t>Distribution Service Line Allocation</t>
  </si>
  <si>
    <t>Source:  BRD-01, CIS</t>
  </si>
  <si>
    <t>Sum of Number_Of_Records</t>
  </si>
  <si>
    <t>Column Labels</t>
  </si>
  <si>
    <t>OVRH</t>
  </si>
  <si>
    <t>OH</t>
  </si>
  <si>
    <t>UG</t>
  </si>
  <si>
    <t>Other</t>
  </si>
  <si>
    <t>Puget Sound Energy</t>
  </si>
  <si>
    <t>Tab</t>
  </si>
  <si>
    <t>Customer Deposits</t>
  </si>
  <si>
    <t>Other Op Rev (450-451)</t>
  </si>
  <si>
    <t>Other Op Rev (454)</t>
  </si>
  <si>
    <t>Records &amp; Collec (903)</t>
  </si>
  <si>
    <t>Uncollectibles (904)</t>
  </si>
  <si>
    <t>Meter Costs (370)</t>
  </si>
  <si>
    <t>Distribution Service (369)</t>
  </si>
  <si>
    <t>Dist Plant (360-368)</t>
  </si>
  <si>
    <t>NCP Dist Plant (360-362)</t>
  </si>
  <si>
    <t>NCP Dist OH-UG Plant (364-367)</t>
  </si>
  <si>
    <t>Dist Transformer Plant (368)</t>
  </si>
  <si>
    <t>Load Research Data - Summary</t>
  </si>
  <si>
    <t>Load Research Data -Energy</t>
  </si>
  <si>
    <t>Global Inputs</t>
  </si>
  <si>
    <t>Model Choice</t>
  </si>
  <si>
    <t>Functions</t>
  </si>
  <si>
    <t>Reserved 1</t>
  </si>
  <si>
    <t>Reserved 2</t>
  </si>
  <si>
    <t>Name</t>
  </si>
  <si>
    <t>F_PRODU</t>
  </si>
  <si>
    <t>Production</t>
  </si>
  <si>
    <t>F_TRANS</t>
  </si>
  <si>
    <t>Transmission</t>
  </si>
  <si>
    <t>F_DISTR</t>
  </si>
  <si>
    <t>Distribution</t>
  </si>
  <si>
    <t>~</t>
  </si>
  <si>
    <t>Rate Classes</t>
  </si>
  <si>
    <t>Rate Class</t>
  </si>
  <si>
    <t>Res Svc</t>
  </si>
  <si>
    <t>Residential Sch 7</t>
  </si>
  <si>
    <t>Sec Svc 24</t>
  </si>
  <si>
    <t>Sec Volt Sch 24 (kW&lt; 50)</t>
  </si>
  <si>
    <t>Sec Svc 25 / 29 / 7A</t>
  </si>
  <si>
    <t>Sec Volt Sch 25 (kW &gt; 50 &amp; &lt; 350)</t>
  </si>
  <si>
    <t>Sec Svc 26 /26P</t>
  </si>
  <si>
    <t>Sec Volt Sch 26 (kW &gt; 350)</t>
  </si>
  <si>
    <t>Pri Svc 31</t>
  </si>
  <si>
    <t>Pri Volt Sch 31 (General Service)</t>
  </si>
  <si>
    <t>Factor Name</t>
  </si>
  <si>
    <t>Pri Svc 35</t>
  </si>
  <si>
    <t>Pri Volt Sch 35 (Irrigation)</t>
  </si>
  <si>
    <t>Unit Costs</t>
  </si>
  <si>
    <t>ENERGY_1</t>
  </si>
  <si>
    <t>Pri Svc 43</t>
  </si>
  <si>
    <t>Pri Volt Sch 43 (Interruptible)</t>
  </si>
  <si>
    <t>CUST_1</t>
  </si>
  <si>
    <t>DEM_2B</t>
  </si>
  <si>
    <t>High Volt 46/49</t>
  </si>
  <si>
    <t>ENERGY_2</t>
  </si>
  <si>
    <t>Rate of Return</t>
  </si>
  <si>
    <t>Percent</t>
  </si>
  <si>
    <t>Lighting 50-59</t>
  </si>
  <si>
    <t>Street &amp; Area Lighting</t>
  </si>
  <si>
    <t>ROR</t>
  </si>
  <si>
    <t>Firm Resale Small</t>
  </si>
  <si>
    <t>Firm Resale (Small)</t>
  </si>
  <si>
    <t>ROD</t>
  </si>
  <si>
    <t>ROE</t>
  </si>
  <si>
    <t>Income Tax</t>
  </si>
  <si>
    <t>State Income Tax</t>
  </si>
  <si>
    <t>Federal Income Tax</t>
  </si>
  <si>
    <t>Effective Tax Rate</t>
  </si>
  <si>
    <t>Uncollectible</t>
  </si>
  <si>
    <t>Classifers</t>
  </si>
  <si>
    <t>Residential</t>
  </si>
  <si>
    <t>DEM</t>
  </si>
  <si>
    <t>Demand</t>
  </si>
  <si>
    <t>NRG</t>
  </si>
  <si>
    <t>Energy</t>
  </si>
  <si>
    <t>Revenue Conversion Factors</t>
  </si>
  <si>
    <t>CUS</t>
  </si>
  <si>
    <t>Customer</t>
  </si>
  <si>
    <t>Proforma Delivered Sales</t>
  </si>
  <si>
    <t>kWh Sales</t>
  </si>
  <si>
    <t>$ Sales</t>
  </si>
  <si>
    <t>Line No.</t>
  </si>
  <si>
    <t>Total Secondary Voltage</t>
  </si>
  <si>
    <t>Total Primary Voltage</t>
  </si>
  <si>
    <t>50-59</t>
  </si>
  <si>
    <t>Proforma Revenue</t>
  </si>
  <si>
    <t>Classifiers</t>
  </si>
  <si>
    <t>PC1</t>
  </si>
  <si>
    <t>Peak Credit - All Customers Top 200 CP, No Int</t>
  </si>
  <si>
    <t>PC2</t>
  </si>
  <si>
    <t>Peak Credit - All Customers Top 200CP, No Int or Transp</t>
  </si>
  <si>
    <t>TFR</t>
  </si>
  <si>
    <t>Transformers</t>
  </si>
  <si>
    <t>PC3</t>
  </si>
  <si>
    <t>Peak Credit - All Customers 4 Monthly CP, No Int</t>
  </si>
  <si>
    <t>PC4</t>
  </si>
  <si>
    <t>Peak Credit - 4 Monthly CP, No Int or Transp</t>
  </si>
  <si>
    <t>External Allocators</t>
  </si>
  <si>
    <t>Classifier</t>
  </si>
  <si>
    <t>CUSTOMER EXTERNAL ALLOCATORS</t>
  </si>
  <si>
    <t>Ave. No. Cust.</t>
  </si>
  <si>
    <t>CUST_2</t>
  </si>
  <si>
    <t>Ave. No. Cust Incl. RES &amp; SEC Only, No Sch 40</t>
  </si>
  <si>
    <t>CUST_3</t>
  </si>
  <si>
    <t>CUST_4</t>
  </si>
  <si>
    <t>Meter Counts. A/C 902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</si>
  <si>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</si>
  <si>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</si>
  <si>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</si>
  <si>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</si>
  <si>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</si>
  <si>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</si>
  <si>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</si>
  <si>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DIR252.00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</si>
  <si>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</si>
  <si>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</si>
  <si>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</si>
  <si>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</si>
  <si>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</si>
  <si>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</si>
  <si>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</si>
  <si>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</si>
  <si>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</si>
  <si>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</si>
  <si>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</si>
  <si>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</si>
  <si>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</si>
  <si>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</si>
  <si>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</si>
  <si>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</si>
  <si>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</si>
  <si>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</si>
  <si>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</si>
  <si>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</si>
  <si>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</si>
  <si>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</si>
  <si>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</si>
  <si>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PROFORMA_RETAIL</t>
  </si>
  <si>
    <t>RESID</t>
  </si>
  <si>
    <t>Residential Allocation Only</t>
  </si>
  <si>
    <t>UG_TFMRC</t>
  </si>
  <si>
    <t>Allocate Underground Transformers</t>
  </si>
  <si>
    <t>DEMAND EXTERNAL ALLOCATORS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</si>
  <si>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</si>
  <si>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</si>
  <si>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</si>
  <si>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</si>
  <si>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</si>
  <si>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</si>
  <si>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</si>
  <si>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</si>
  <si>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</si>
  <si>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</si>
  <si>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</si>
  <si>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</si>
  <si>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</si>
  <si>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</si>
  <si>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</si>
  <si>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</si>
  <si>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</si>
  <si>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</si>
  <si>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</si>
  <si>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</si>
  <si>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</si>
  <si>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</si>
  <si>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</si>
  <si>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</si>
  <si>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</si>
  <si>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</si>
  <si>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</si>
  <si>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</si>
  <si>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</si>
  <si>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</si>
  <si>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</si>
  <si>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</si>
  <si>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</si>
  <si>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</si>
  <si>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</si>
  <si>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</si>
  <si>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</si>
  <si>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</si>
  <si>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</si>
  <si>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</si>
  <si>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</si>
  <si>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</si>
  <si>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</si>
  <si>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</si>
  <si>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ENERGY EXTERNAL ALLOCATORS</t>
  </si>
  <si>
    <t>BPAX</t>
  </si>
  <si>
    <t>Annual kWhs</t>
  </si>
  <si>
    <t>Energy - NO RETAIL WHEELING</t>
  </si>
  <si>
    <t>Secondary Voltage Only</t>
  </si>
  <si>
    <t>Sum of COUNT</t>
  </si>
  <si>
    <t>Sum of TOTAL_METER_COST</t>
  </si>
  <si>
    <t>459H</t>
  </si>
  <si>
    <t>SCH_449EC</t>
  </si>
  <si>
    <t>SCH_449EI</t>
  </si>
  <si>
    <t>Sum of Amount</t>
  </si>
  <si>
    <t>Tariff</t>
  </si>
  <si>
    <t>COS ID</t>
  </si>
  <si>
    <t>ID451.05</t>
  </si>
  <si>
    <t>Bill Initiation</t>
  </si>
  <si>
    <t>ID451.02</t>
  </si>
  <si>
    <t>Connection / Reconnection Fee</t>
  </si>
  <si>
    <t>ID450.02</t>
  </si>
  <si>
    <t>Disconnection</t>
  </si>
  <si>
    <t>ID451.06</t>
  </si>
  <si>
    <t>ID450.01</t>
  </si>
  <si>
    <t>Late Pay Fee</t>
  </si>
  <si>
    <t>Payment Return Fee</t>
  </si>
  <si>
    <t>Records &amp; Collections</t>
  </si>
  <si>
    <t>Meter Related Costs</t>
  </si>
  <si>
    <t>Other Cust Accounting Related Costs</t>
  </si>
  <si>
    <t>Meter Counts</t>
  </si>
  <si>
    <t>in A/C 903</t>
  </si>
  <si>
    <t>Allocated</t>
  </si>
  <si>
    <t>Non Large Volume Customer Count</t>
  </si>
  <si>
    <t>Direct Assignment (APUA, Credit Card, Major Accounts)</t>
  </si>
  <si>
    <t>Total Costs</t>
  </si>
  <si>
    <t>46 / 49</t>
  </si>
  <si>
    <t>449 HV</t>
  </si>
  <si>
    <t>Line</t>
  </si>
  <si>
    <t>FERC Account</t>
  </si>
  <si>
    <t>Schedule 31</t>
  </si>
  <si>
    <t>Schedule 46 / 49</t>
  </si>
  <si>
    <t>All Direct Assignment</t>
  </si>
  <si>
    <t>364-365</t>
  </si>
  <si>
    <t>366-367</t>
  </si>
  <si>
    <t>368 OH</t>
  </si>
  <si>
    <t>368 UG</t>
  </si>
  <si>
    <t>Total Direct Assignment</t>
  </si>
  <si>
    <t>Schedule 43</t>
  </si>
  <si>
    <t>Load Research Allocation Factors</t>
  </si>
  <si>
    <t>Electric Cost of Service Allocation Factors</t>
  </si>
  <si>
    <t>Load Research Data</t>
  </si>
  <si>
    <t>Energy - All Rate Schedules</t>
  </si>
  <si>
    <t>Energy - Exclude Transportation</t>
  </si>
  <si>
    <t>4 CP Demand - Exclude Interruptible</t>
  </si>
  <si>
    <t>4 CP Demand - Exclude Interruptible &amp; Transportation</t>
  </si>
  <si>
    <t>4 CP  Demand</t>
  </si>
  <si>
    <t>Check</t>
  </si>
  <si>
    <t>Distribution Line Transformers</t>
  </si>
  <si>
    <t>Source:  BRD-03</t>
  </si>
  <si>
    <t>OH-UG</t>
  </si>
  <si>
    <t>Sum of WEIGHTED COST</t>
  </si>
  <si>
    <t>Sum of Weighted Cost</t>
  </si>
  <si>
    <t>SCH_51E</t>
  </si>
  <si>
    <t>SCH_52E</t>
  </si>
  <si>
    <t>SCH_53E</t>
  </si>
  <si>
    <t>SCH_54E</t>
  </si>
  <si>
    <t>SCH_55E</t>
  </si>
  <si>
    <t>SCH_56E</t>
  </si>
  <si>
    <t>SCH_58E</t>
  </si>
  <si>
    <t>SCH_59E</t>
  </si>
  <si>
    <t>5x</t>
  </si>
  <si>
    <t>FERC Accounts 364, 365, 366, 367</t>
  </si>
  <si>
    <t>FERC Accounts 360, 361 &amp; 362</t>
  </si>
  <si>
    <t>Distribution Substation Costs</t>
  </si>
  <si>
    <t>OH &amp; UG Line Miles</t>
  </si>
  <si>
    <t>Load Research Data - Demand 4CP</t>
  </si>
  <si>
    <t>BPA Res Exchange kWh</t>
  </si>
  <si>
    <t>Wtd. Ave. No. Cust. A/C 903 Customer Records Direct Assignment</t>
  </si>
  <si>
    <t>Allocation of Account 904 Costs</t>
  </si>
  <si>
    <t>Uncollectible Accounts</t>
  </si>
  <si>
    <t>Page #</t>
  </si>
  <si>
    <t>Twelve Months ended December 2008</t>
  </si>
  <si>
    <t>Summary - Rate Spread</t>
  </si>
  <si>
    <t>Proposed Revenue</t>
  </si>
  <si>
    <t>12NCP Cost Assignment</t>
  </si>
  <si>
    <t>Historic Test Year Twelve Months ended December 2018</t>
  </si>
  <si>
    <t>Adjusted Test Year Twelve Months ended December 2018 @ Proforma Rev Requirement</t>
  </si>
  <si>
    <t>Adjusted Test Year Twelve Months ended December 2018 ~ Proposed Rate Increase</t>
  </si>
  <si>
    <t>Special Contract (Transportation)</t>
  </si>
  <si>
    <t xml:space="preserve">Special Contract </t>
  </si>
  <si>
    <t>Revenue Targets by Rate Class and Case</t>
  </si>
  <si>
    <t>GRC Test Year Ended December 2018</t>
  </si>
  <si>
    <t>Source:  Customer Counts YE 12-2018.xlsx</t>
  </si>
  <si>
    <t>Sum of 004/2018</t>
  </si>
  <si>
    <t>Sum of 005/2018</t>
  </si>
  <si>
    <t>Sum of 006/2018</t>
  </si>
  <si>
    <t>Sum of 007/2018</t>
  </si>
  <si>
    <t>Sum of 008/2018</t>
  </si>
  <si>
    <t>Sum of 003/2018</t>
  </si>
  <si>
    <t>Sum of 002/2018</t>
  </si>
  <si>
    <t>Sum of 001/2018</t>
  </si>
  <si>
    <t>Sum of 009/2018</t>
  </si>
  <si>
    <t>Sum of 010/2018</t>
  </si>
  <si>
    <t>Sum of 011/2018</t>
  </si>
  <si>
    <t>Sum of 012/2018</t>
  </si>
  <si>
    <t>TY ended December 2018</t>
  </si>
  <si>
    <t>Electric Rates</t>
  </si>
  <si>
    <t>Twelve Months ended December 2018</t>
  </si>
  <si>
    <t>Sum of Total YE 12-2018</t>
  </si>
  <si>
    <t>Twelve Months Ended December 2018</t>
  </si>
  <si>
    <t>Test Year ended December 2018</t>
  </si>
  <si>
    <t>2019 GRC</t>
  </si>
  <si>
    <t>GRC Test Year ending December 2018</t>
  </si>
  <si>
    <t>High Volt Sch 46 &amp; 49 (Interruptible &amp; Gen Svc)</t>
  </si>
  <si>
    <t>Choice/Retail Wheeling</t>
  </si>
  <si>
    <t>Sch 449-459 (Transportation)</t>
  </si>
  <si>
    <t>Sspecial Contract Adjustment</t>
  </si>
  <si>
    <t>Special Contract</t>
  </si>
  <si>
    <t>YE December 2018</t>
  </si>
  <si>
    <t>FERC 235</t>
  </si>
  <si>
    <t>Fuel</t>
  </si>
  <si>
    <t>Elec</t>
  </si>
  <si>
    <t>PSE/23500003</t>
  </si>
  <si>
    <t>AC Desc</t>
  </si>
  <si>
    <t>Customer Dep Comm</t>
  </si>
  <si>
    <t>Direct Assignment Special Contract</t>
  </si>
  <si>
    <t>One Time Charge Detail (BRD-07)</t>
  </si>
  <si>
    <t>Light</t>
  </si>
  <si>
    <t>APUA Accounts 14400311 &amp; 14400312</t>
  </si>
  <si>
    <t>Direct Assignment of Distribution Plant Accumulated Depreciation</t>
  </si>
  <si>
    <t>Direct Assignment of Distribution Plant</t>
  </si>
  <si>
    <t>ALTERNATE_SCHEDULE</t>
  </si>
  <si>
    <t>Average Schedule 40 Meter Cost</t>
  </si>
  <si>
    <t>Non-Special Contract Sch 40 Migration Basic Charges</t>
  </si>
  <si>
    <t>Special Contract Sch 40 Migration Basic Charges</t>
  </si>
  <si>
    <t>Sch 40 Migration Basic Charges</t>
  </si>
  <si>
    <t>Meter Cost Excl Sch 40</t>
  </si>
  <si>
    <t>Meter Cost Adjustment</t>
  </si>
  <si>
    <t>Adjusted Meter Costs</t>
  </si>
  <si>
    <t>Meter Cost Allocation Factor - BRD-02</t>
  </si>
  <si>
    <t>Twelve Months ended December 30, 2018</t>
  </si>
  <si>
    <t>Retail Wheeling (449-459)</t>
  </si>
  <si>
    <t>Lighting (50-59)</t>
  </si>
  <si>
    <t>8 &amp; 24</t>
  </si>
  <si>
    <t>7A, 11, 25 &amp; 29</t>
  </si>
  <si>
    <t>12 &amp; 26</t>
  </si>
  <si>
    <t>10 &amp; 31</t>
  </si>
  <si>
    <t>46 &amp;49</t>
  </si>
  <si>
    <t>Direct Assign UG Dist Lines - Accum Depr</t>
  </si>
  <si>
    <t>Schedule 449-459</t>
  </si>
  <si>
    <t>Subtotal</t>
  </si>
  <si>
    <t>BPA Exchange Load</t>
  </si>
  <si>
    <t>Test Year Ended December 2018</t>
  </si>
  <si>
    <t>Delivered Only</t>
  </si>
  <si>
    <t>Annual mWh Delivered Sales YE 12-2018</t>
  </si>
  <si>
    <t>Total Retail Sales</t>
  </si>
  <si>
    <t>BPA Residential Exchange MWh</t>
  </si>
  <si>
    <t>2019 General Rate Case</t>
  </si>
  <si>
    <t>Cost of Service Direct Assignment Workpapers</t>
  </si>
  <si>
    <t>Total Meter Count</t>
  </si>
  <si>
    <t>Less Sch 40</t>
  </si>
  <si>
    <t>Add Migration</t>
  </si>
  <si>
    <t>Subtotal Sch 25</t>
  </si>
  <si>
    <t>Subtotal Sch 31</t>
  </si>
  <si>
    <t>Subtotal Sch 26</t>
  </si>
  <si>
    <t>2019 GRC ECOS - Inputs</t>
  </si>
  <si>
    <t>2019 GRC ECOS - Classifiers</t>
  </si>
  <si>
    <t>2019 GRC ECOS - External Allocation Factors</t>
  </si>
  <si>
    <t>2019 GRC ROR</t>
  </si>
  <si>
    <t>2019 GRC Revenue Sensitive Items</t>
  </si>
  <si>
    <t>2019 GRC Peak Credit</t>
  </si>
  <si>
    <t>Dist Accum Depr (360-367)</t>
  </si>
  <si>
    <t>Terex</t>
  </si>
  <si>
    <t>Cardinal 31</t>
  </si>
  <si>
    <t>Costco 25</t>
  </si>
  <si>
    <t>Costco 26</t>
  </si>
  <si>
    <t>Evergreen 25</t>
  </si>
  <si>
    <t>Evergreen 31</t>
  </si>
  <si>
    <t>Kroger 25</t>
  </si>
  <si>
    <t>Kroger 26</t>
  </si>
  <si>
    <t>Kroger 31</t>
  </si>
  <si>
    <t>MCI 31</t>
  </si>
  <si>
    <t>Mikron 31</t>
  </si>
  <si>
    <t>MS SC</t>
  </si>
  <si>
    <t>Muckleshoot 25</t>
  </si>
  <si>
    <t>Muckleshoot 26</t>
  </si>
  <si>
    <t>Overlake 31</t>
  </si>
  <si>
    <t>Overlake 25</t>
  </si>
  <si>
    <t>Valley General 25</t>
  </si>
  <si>
    <t>Valley General 31</t>
  </si>
  <si>
    <t>Exclude Special Contract (Directly Assigned)</t>
  </si>
  <si>
    <t>Microsoft</t>
  </si>
  <si>
    <t/>
  </si>
  <si>
    <t>Proposed Revenue - Spec Cont &amp; Retail Wheeling</t>
  </si>
  <si>
    <t>Allocation of Account 903 Costs</t>
  </si>
  <si>
    <t>Proforma Retail Revenue - No Transportation or Firm Resale</t>
  </si>
  <si>
    <t>DIR_SC</t>
  </si>
  <si>
    <t>Monthly CP by Class</t>
  </si>
  <si>
    <t>with losses</t>
  </si>
  <si>
    <t>YearMo</t>
  </si>
  <si>
    <t>Date</t>
  </si>
  <si>
    <t>Hour</t>
  </si>
  <si>
    <t>_7</t>
  </si>
  <si>
    <t>_24</t>
  </si>
  <si>
    <t>_25</t>
  </si>
  <si>
    <t>_26</t>
  </si>
  <si>
    <t>_29</t>
  </si>
  <si>
    <t>_31</t>
  </si>
  <si>
    <t>_35</t>
  </si>
  <si>
    <t>_43</t>
  </si>
  <si>
    <t>SC</t>
  </si>
  <si>
    <t>_46</t>
  </si>
  <si>
    <t>_49</t>
  </si>
  <si>
    <t>_5</t>
  </si>
  <si>
    <t>System</t>
  </si>
  <si>
    <t>_449-459</t>
  </si>
  <si>
    <t>18:00</t>
  </si>
  <si>
    <t>08:00</t>
  </si>
  <si>
    <t>4 CP</t>
  </si>
  <si>
    <t>12 NCP</t>
  </si>
  <si>
    <t>25 / 29</t>
  </si>
  <si>
    <t>40</t>
  </si>
  <si>
    <t>449-459/Retail Wheeling</t>
  </si>
  <si>
    <t>50 / Lighting</t>
  </si>
  <si>
    <t>FR Small</t>
  </si>
  <si>
    <t>TEMPERATURE ADJUSTED ANNUAL ENERGY ALLOCATIONS BY RATE SCHEDULE</t>
  </si>
  <si>
    <t>12 MONTHS ENDED DECEMBER 31, 2018</t>
  </si>
  <si>
    <t>NET GPI</t>
  </si>
  <si>
    <t>TEMP ADJ</t>
  </si>
  <si>
    <t>TEMP ADJ GPI</t>
  </si>
  <si>
    <t>DELIVERED KWH (Cal View)</t>
  </si>
  <si>
    <t>TEMP ADJUSTED</t>
  </si>
  <si>
    <t>TEMP ADJ DELIVERED KWH</t>
  </si>
  <si>
    <t>(1b)</t>
  </si>
  <si>
    <t>(2b)</t>
  </si>
  <si>
    <t>(3b)</t>
  </si>
  <si>
    <t>(4b)</t>
  </si>
  <si>
    <t>(5b)</t>
  </si>
  <si>
    <t>(6b)</t>
  </si>
  <si>
    <t>(7b)</t>
  </si>
  <si>
    <t>(8b)</t>
  </si>
  <si>
    <t>(9b)</t>
  </si>
  <si>
    <t>(10b)</t>
  </si>
  <si>
    <t xml:space="preserve"> </t>
  </si>
  <si>
    <t>Annual kWh</t>
  </si>
  <si>
    <t>Temperature</t>
  </si>
  <si>
    <t>Annual</t>
  </si>
  <si>
    <t>Temp Adj</t>
  </si>
  <si>
    <t>Billed kWh</t>
  </si>
  <si>
    <t>(incl. losses</t>
  </si>
  <si>
    <t>Adjusted</t>
  </si>
  <si>
    <t>Class</t>
  </si>
  <si>
    <t>actual kWh</t>
  </si>
  <si>
    <t>kWh</t>
  </si>
  <si>
    <t>Losses</t>
  </si>
  <si>
    <t>Difference</t>
  </si>
  <si>
    <t>GPI kWh</t>
  </si>
  <si>
    <t>&amp; misc. usage)</t>
  </si>
  <si>
    <t>on temp adj</t>
  </si>
  <si>
    <t>Incl Losses</t>
  </si>
  <si>
    <t>Allocation</t>
  </si>
  <si>
    <t>(not incl. Losses)</t>
  </si>
  <si>
    <t>(calendar view)</t>
  </si>
  <si>
    <t>11a</t>
  </si>
  <si>
    <t>7b-4b</t>
  </si>
  <si>
    <t>4b/(1-5b)</t>
  </si>
  <si>
    <t>(7b/sum(7b) *B8</t>
  </si>
  <si>
    <t>10a</t>
  </si>
  <si>
    <t>8b+9b</t>
  </si>
  <si>
    <t>============</t>
  </si>
  <si>
    <t>===============</t>
  </si>
  <si>
    <t>===================</t>
  </si>
  <si>
    <t>07</t>
  </si>
  <si>
    <t>Small Resale (05)</t>
  </si>
  <si>
    <t>50-54,57-58</t>
  </si>
  <si>
    <t>Transportation Schedules:</t>
  </si>
  <si>
    <t>449 PV</t>
  </si>
  <si>
    <t>Total Transp.</t>
  </si>
  <si>
    <t>Note:  Annual actual kWh includes the impacts of schedule 40 rate migrations anticipated during the rate year on Schedules 24, 25, 26, 31 &amp; Special Contract.</t>
  </si>
  <si>
    <t>ANNUAL ENERGY LOSS ALLOCATIONS BY RATE SCHEDULE</t>
  </si>
  <si>
    <t>Delivery</t>
  </si>
  <si>
    <t>% of Total</t>
  </si>
  <si>
    <t>% of Annual</t>
  </si>
  <si>
    <t>Voltage Level</t>
  </si>
  <si>
    <t>Energy Losses</t>
  </si>
  <si>
    <t>High Voltage (Sch 46,49)</t>
  </si>
  <si>
    <t>Primary (Sch 05,31,35,40,43)</t>
  </si>
  <si>
    <t>Secondary (7,24,25,26,29,Lighting)</t>
  </si>
  <si>
    <t>Total (not incl. transportation)</t>
  </si>
  <si>
    <t>KWH LOSSES</t>
  </si>
  <si>
    <t>MISC USAGE</t>
  </si>
  <si>
    <t>KWH BILLED</t>
  </si>
  <si>
    <t>(1a)</t>
  </si>
  <si>
    <t>(2a)</t>
  </si>
  <si>
    <t>(3a)</t>
  </si>
  <si>
    <t>(4a)</t>
  </si>
  <si>
    <t>(5a)</t>
  </si>
  <si>
    <t>(6a)</t>
  </si>
  <si>
    <t>(7a)</t>
  </si>
  <si>
    <t>(8a)</t>
  </si>
  <si>
    <t>(9a)</t>
  </si>
  <si>
    <t>(10a)</t>
  </si>
  <si>
    <t>(11a)</t>
  </si>
  <si>
    <t>Ave Monthly</t>
  </si>
  <si>
    <t>Annual Actual</t>
  </si>
  <si>
    <t>Misc. Use</t>
  </si>
  <si>
    <t>Coincident</t>
  </si>
  <si>
    <t>Annual Loss</t>
  </si>
  <si>
    <t>Delivered kWh</t>
  </si>
  <si>
    <t>Coincident kW</t>
  </si>
  <si>
    <t>kW</t>
  </si>
  <si>
    <t>Load Factor</t>
  </si>
  <si>
    <t>kW Losses</t>
  </si>
  <si>
    <t>kWh Losses</t>
  </si>
  <si>
    <t>(2a/sum(2a)</t>
  </si>
  <si>
    <t>(SAS Output)</t>
  </si>
  <si>
    <t>((2+3)/8760)</t>
  </si>
  <si>
    <t>(5/4)</t>
  </si>
  <si>
    <t>(6*7*8784)</t>
  </si>
  <si>
    <t>8/sum(8)</t>
  </si>
  <si>
    <t>(2+3+9)</t>
  </si>
  <si>
    <t>(9/(2+3))</t>
  </si>
  <si>
    <t>calendar view</t>
  </si>
  <si>
    <t>*misc use)</t>
  </si>
  <si>
    <t>*total kWh losses</t>
  </si>
  <si>
    <t>=================</t>
  </si>
  <si>
    <t>50-54,57-59</t>
  </si>
  <si>
    <t>Column K (11a) is used as an input for LINECST2 and SUBCSTA4 allocation programs.</t>
  </si>
  <si>
    <t>Data in 4a and 7a are calculated in Losses.sas program -- for system schedules (non-transportation)</t>
  </si>
  <si>
    <t>Data in 4a and 7a are calculated in 'Avg CP kW and Losses OFFSYS' sheet for off-system schedules (transportation)</t>
  </si>
  <si>
    <t>Secondary Volt.</t>
  </si>
  <si>
    <t>Primary Volt.</t>
  </si>
  <si>
    <t>Transm. Volt.</t>
  </si>
  <si>
    <t>4-6</t>
  </si>
  <si>
    <t>29-30</t>
  </si>
  <si>
    <t>Electric Cost of Service Direct Assignments</t>
  </si>
  <si>
    <t>Docket No. UE-190529</t>
  </si>
  <si>
    <t xml:space="preserve">PUGET SOUND ENERGY </t>
  </si>
  <si>
    <t>ELECTRIC RESULTS OF OPERATIONS</t>
  </si>
  <si>
    <t>2019 GENERAL RATE CASE</t>
  </si>
  <si>
    <t>COST OF CAPITAL - GRC</t>
  </si>
  <si>
    <t>LINE</t>
  </si>
  <si>
    <t>CAPITAL</t>
  </si>
  <si>
    <t>WEIGHTED</t>
  </si>
  <si>
    <t>NO.</t>
  </si>
  <si>
    <t>DESCRIPTION</t>
  </si>
  <si>
    <t>STRUCTURE</t>
  </si>
  <si>
    <t>COST</t>
  </si>
  <si>
    <t>SHORT AND LONG TERM DEBT</t>
  </si>
  <si>
    <t>EQUITY</t>
  </si>
  <si>
    <t>TOTAL</t>
  </si>
  <si>
    <t>AFTER TAX SHORT TERM DEBT ( (LINE 1)* 79%)</t>
  </si>
  <si>
    <t>TOTAL AFTER TAX COST OF CAPITAL</t>
  </si>
  <si>
    <t>CONVERSION FACTOR</t>
  </si>
  <si>
    <t>BAD DEBTS</t>
  </si>
  <si>
    <t>ANNUAL FILING FEE</t>
  </si>
  <si>
    <t>STATE UTILITY TAX ( 3.8406% - ( LINE 1 * 3.8406% )  )</t>
  </si>
  <si>
    <t>SUM OF TAXES OTHER</t>
  </si>
  <si>
    <t>CONVERSION FACTOR EXCLUDING FEDERAL INCOME TAX ( 1 - LINE 6 )</t>
  </si>
  <si>
    <t>FEDERAL INCOME TAX ( LINE 7  * 21% )</t>
  </si>
  <si>
    <t xml:space="preserve">CONVERSION FACTOR INCL FEDERAL INCOME TAX ( LINE 7 - LINE 8 ) </t>
  </si>
  <si>
    <t>PUGET SOUND ENERGY</t>
  </si>
  <si>
    <t>PEAK CREDIT METHOD FOR 2019 GRC WITH UPDATED DATA</t>
  </si>
  <si>
    <t>COMPANY PROPOSAL</t>
  </si>
  <si>
    <t>Peak</t>
  </si>
  <si>
    <t>Peaker</t>
  </si>
  <si>
    <t>CCCT</t>
  </si>
  <si>
    <t>Credit</t>
  </si>
  <si>
    <t xml:space="preserve">Levelized Cost ($/MWh) </t>
  </si>
  <si>
    <t>Levelized Cost ($/kW-yr)</t>
  </si>
  <si>
    <t>Assumptions</t>
  </si>
  <si>
    <t>Plant Assumptions</t>
  </si>
  <si>
    <t>Notes</t>
  </si>
  <si>
    <t>2019 Dollars</t>
  </si>
  <si>
    <t>Weighted Cost of Capital</t>
  </si>
  <si>
    <t>Pro Forma</t>
  </si>
  <si>
    <t>Cost of</t>
  </si>
  <si>
    <t>Capital %</t>
  </si>
  <si>
    <t>Cost %</t>
  </si>
  <si>
    <t>Capital</t>
  </si>
  <si>
    <t>Capital Costs ($/kW-yr)</t>
  </si>
  <si>
    <t>Fixed Charge Rate</t>
  </si>
  <si>
    <t>Fixed O&amp;M ($/kW-yr)</t>
  </si>
  <si>
    <t>Variable O&amp;M ($/MWh)</t>
  </si>
  <si>
    <t>Heat Rate (Btu/kWh)</t>
  </si>
  <si>
    <t>Capacity Factor</t>
  </si>
  <si>
    <t>Reserve Margin</t>
  </si>
  <si>
    <t>Planning Margin</t>
  </si>
  <si>
    <t>CO2 Emissions (tons/GWh)</t>
  </si>
  <si>
    <t>Debt</t>
  </si>
  <si>
    <t>Common Equity</t>
  </si>
  <si>
    <t>Rate Sch</t>
  </si>
  <si>
    <t>12 Months ended December 2018</t>
  </si>
  <si>
    <t>Billed Sales</t>
  </si>
  <si>
    <t>Unbilled Sales</t>
  </si>
  <si>
    <t>Schedule 40 Migration</t>
  </si>
  <si>
    <t>Temperature Adjustmemt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</si>
  <si>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</si>
  <si>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</si>
  <si>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</si>
  <si>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</si>
  <si>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</si>
  <si>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</si>
  <si>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</si>
  <si>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</si>
  <si>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</si>
  <si>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</si>
  <si>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</si>
  <si>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</si>
  <si>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7A</t>
  </si>
  <si>
    <t>Residential Master Meters</t>
  </si>
  <si>
    <t>Total Residential</t>
  </si>
  <si>
    <t>8 / 24</t>
  </si>
  <si>
    <t>Gen Svc &lt; 50kW</t>
  </si>
  <si>
    <t>11 / 25</t>
  </si>
  <si>
    <t>Gen Svc &gt;50 &amp; &lt; 350kW</t>
  </si>
  <si>
    <t>12 / 26</t>
  </si>
  <si>
    <t>Gen Svc &gt; 350kW</t>
  </si>
  <si>
    <t>26P</t>
  </si>
  <si>
    <t>Gen Svc &gt; 350kW (pv)</t>
  </si>
  <si>
    <t>Irrigation Service</t>
  </si>
  <si>
    <t>10 / 31</t>
  </si>
  <si>
    <t>General Service</t>
  </si>
  <si>
    <t>Interruptible Elec Schools</t>
  </si>
  <si>
    <t>Campus</t>
  </si>
  <si>
    <t>Interruptible Service</t>
  </si>
  <si>
    <t>Total High Voltage</t>
  </si>
  <si>
    <t>449 / 459 / SC</t>
  </si>
  <si>
    <t>Retail Wheeling</t>
  </si>
  <si>
    <t>Total Retail Delivered Sales</t>
  </si>
  <si>
    <t>005</t>
  </si>
  <si>
    <t>Total Delivered Sales</t>
  </si>
  <si>
    <t>Schedule</t>
  </si>
  <si>
    <t>MWh</t>
  </si>
  <si>
    <t>Proforma
Revenue
($000)</t>
  </si>
  <si>
    <t>Proposed
Increase
($)</t>
  </si>
  <si>
    <t>Percent of Total w/o Schedule 449, MSSC &amp; Firm Resale</t>
  </si>
  <si>
    <t>Percent of Uniform Increase</t>
  </si>
  <si>
    <t>Proposed Revenue Increase (%)</t>
  </si>
  <si>
    <t>Proposed
Revenue
Increase
($000)</t>
  </si>
  <si>
    <t>Proposed
Revenue
($000)</t>
  </si>
  <si>
    <t>Proposed
Revenue
Increase
($)</t>
  </si>
  <si>
    <t>A</t>
  </si>
  <si>
    <t>B</t>
  </si>
  <si>
    <t>C</t>
  </si>
  <si>
    <t>D</t>
  </si>
  <si>
    <t>E</t>
  </si>
  <si>
    <t>F</t>
  </si>
  <si>
    <t>G  = B * F</t>
  </si>
  <si>
    <t>H = B + G</t>
  </si>
  <si>
    <t>Secondary Voltage</t>
  </si>
  <si>
    <t>Demand &lt;= 50 kW</t>
  </si>
  <si>
    <t>Demand &gt; 50 kW but &lt;= 350 kW</t>
  </si>
  <si>
    <t>7A / 11/ 25 / 29</t>
  </si>
  <si>
    <t>Demand &gt; 350 kW</t>
  </si>
  <si>
    <t>12 / 26 / 26P</t>
  </si>
  <si>
    <t>Primary Voltage</t>
  </si>
  <si>
    <t>Irrigation</t>
  </si>
  <si>
    <t>Interruptible Total Electric Schools</t>
  </si>
  <si>
    <t>Choice / Retail Wheeling / Special Contract</t>
  </si>
  <si>
    <t>Lighting</t>
  </si>
  <si>
    <t>Total Jurisdictional Retail Sales</t>
  </si>
  <si>
    <t>Total Sales</t>
  </si>
  <si>
    <t>Average Increase Before Transportation, Special Contract &amp; Firm Resale</t>
  </si>
  <si>
    <t>Average Increase After Transportation, Special Contract, Firm Resale</t>
  </si>
  <si>
    <t>Adjustment to Average Increase for Unequal Allocation of Increase</t>
  </si>
  <si>
    <t>Average Increase After Firm Resale adjusted for Unequal Allocation of Increase</t>
  </si>
  <si>
    <t>STATE OF WASHINGTON</t>
  </si>
  <si>
    <t>12 MONTHS ENDED DECEMBER 2018</t>
  </si>
  <si>
    <t>(Including Effects of Unbilled Revenue, Unbilled MWh and Weather Normalization)</t>
  </si>
  <si>
    <t>Transportation &amp; Wholesale for Resale &amp; Special Contract</t>
  </si>
  <si>
    <t>Units</t>
  </si>
  <si>
    <t>Present</t>
  </si>
  <si>
    <t>Proposed Effective May 2020</t>
  </si>
  <si>
    <t>Actual</t>
  </si>
  <si>
    <t>Price</t>
  </si>
  <si>
    <t>Dollars</t>
  </si>
  <si>
    <t>SCHEDULES 449 &amp; 459</t>
  </si>
  <si>
    <t>Choice / Retail Wheeling Service</t>
  </si>
  <si>
    <t>Customer Charges</t>
  </si>
  <si>
    <t>Energy Charge</t>
  </si>
  <si>
    <t>All kWh</t>
  </si>
  <si>
    <t>Temperature Adjustment</t>
  </si>
  <si>
    <t>Unbilled</t>
  </si>
  <si>
    <t>Total kVa</t>
  </si>
  <si>
    <t>OATT Charges</t>
  </si>
  <si>
    <t xml:space="preserve">  Total</t>
  </si>
  <si>
    <t>Distribution Charges</t>
  </si>
  <si>
    <t>SCHEDULE 005</t>
  </si>
  <si>
    <t>Wholesale for Resale</t>
  </si>
  <si>
    <t>Annual Customer Count</t>
  </si>
  <si>
    <t>Demand Charge</t>
  </si>
  <si>
    <t>Reactive Power Charge</t>
  </si>
  <si>
    <t>Revenue Deficiency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</si>
</sst>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_(&quot;$&quot;* #,##0_);_(&quot;$&quot;* \(#,##0\);_(&quot;$&quot;* &quot;-&quot;??_);_(@_)"/>
    <numFmt numFmtId="167" formatCode="_(* #,##0_);_(* \(#,##0\);_(* &quot;-&quot;??_);_(@_)"/>
    <numFmt numFmtId="168" formatCode="_(* #,##0.000000_);_(* \(#,##0.000000\);_(* &quot;-&quot;??_);_(@_)"/>
    <numFmt numFmtId="169" formatCode="0.0%"/>
    <numFmt numFmtId="170" formatCode="#,##0.0"/>
    <numFmt numFmtId="171" formatCode="#,##0.0000_);[Red]\(#,##0.0000\)"/>
    <numFmt numFmtId="172" formatCode="#,##0.0000"/>
    <numFmt numFmtId="173" formatCode="0.00000"/>
    <numFmt numFmtId="174" formatCode="[$-409]mmm\-yy;@"/>
    <numFmt numFmtId="175" formatCode="_(&quot;$&quot;* #,##0.000000_);_(&quot;$&quot;* \(#,##0.000000\);_(&quot;$&quot;* &quot;-&quot;??_);_(@_)"/>
    <numFmt numFmtId="176" formatCode="_(&quot;$&quot;* #,##0.000_);_(&quot;$&quot;* \(#,##0.000\);_(&quot;$&quot;* &quot;-&quot;??_);_(@_)"/>
    <numFmt numFmtId="177" formatCode="_(&quot;$&quot;* #,##0.00000_);_(&quot;$&quot;* \(#,##0.000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Helv"/>
    </font>
    <font>
      <sz val="10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21" fillId="0" borderId="0"/>
    <xf numFmtId="4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414">
    <xf numFmtId="0" fontId="0" fillId="0" borderId="0" xfId="0"/>
    <xf numFmtId="0" fontId="2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/>
    <xf numFmtId="165" fontId="2" fillId="0" borderId="0" xfId="0" applyNumberFormat="1" applyFont="1" applyFill="1" applyAlignment="1"/>
    <xf numFmtId="164" fontId="2" fillId="0" borderId="2" xfId="0" applyNumberFormat="1" applyFont="1" applyFill="1" applyBorder="1" applyAlignment="1"/>
    <xf numFmtId="164" fontId="2" fillId="0" borderId="0" xfId="0" applyNumberFormat="1" applyFont="1" applyFill="1" applyBorder="1" applyAlignment="1"/>
    <xf numFmtId="9" fontId="2" fillId="0" borderId="0" xfId="0" applyNumberFormat="1" applyFont="1" applyFill="1" applyAlignme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4" fillId="0" borderId="0" xfId="0" applyFont="1"/>
    <xf numFmtId="16" fontId="0" fillId="0" borderId="0" xfId="0" quotePrefix="1" applyNumberFormat="1" applyAlignment="1">
      <alignment horizontal="center"/>
    </xf>
    <xf numFmtId="167" fontId="5" fillId="0" borderId="8" xfId="0" applyNumberFormat="1" applyFont="1" applyFill="1" applyBorder="1" applyAlignment="1">
      <alignment horizontal="left"/>
    </xf>
    <xf numFmtId="10" fontId="5" fillId="0" borderId="8" xfId="0" applyNumberFormat="1" applyFont="1" applyFill="1" applyBorder="1" applyAlignment="1">
      <alignment horizontal="right"/>
    </xf>
    <xf numFmtId="0" fontId="5" fillId="0" borderId="32" xfId="0" quotePrefix="1" applyFont="1" applyFill="1" applyBorder="1" applyAlignment="1">
      <alignment horizontal="center" wrapText="1"/>
    </xf>
    <xf numFmtId="0" fontId="5" fillId="0" borderId="31" xfId="0" applyFont="1" applyFill="1" applyBorder="1" applyAlignment="1">
      <alignment horizontal="center" wrapText="1"/>
    </xf>
    <xf numFmtId="0" fontId="5" fillId="0" borderId="33" xfId="0" quotePrefix="1" applyFont="1" applyFill="1" applyBorder="1" applyAlignment="1">
      <alignment horizontal="center" wrapText="1"/>
    </xf>
    <xf numFmtId="167" fontId="5" fillId="0" borderId="0" xfId="0" applyNumberFormat="1" applyFont="1" applyFill="1" applyBorder="1"/>
    <xf numFmtId="167" fontId="5" fillId="0" borderId="38" xfId="0" applyNumberFormat="1" applyFont="1" applyFill="1" applyBorder="1"/>
    <xf numFmtId="167" fontId="5" fillId="0" borderId="37" xfId="0" applyNumberFormat="1" applyFont="1" applyFill="1" applyBorder="1"/>
    <xf numFmtId="0" fontId="5" fillId="0" borderId="39" xfId="0" applyFont="1" applyFill="1" applyBorder="1"/>
    <xf numFmtId="0" fontId="5" fillId="0" borderId="13" xfId="0" applyFont="1" applyFill="1" applyBorder="1"/>
    <xf numFmtId="0" fontId="5" fillId="0" borderId="4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 applyAlignment="1">
      <alignment horizontal="centerContinuous"/>
    </xf>
    <xf numFmtId="0" fontId="12" fillId="0" borderId="2" xfId="0" applyFont="1" applyFill="1" applyBorder="1" applyAlignment="1">
      <alignment horizontal="center" wrapText="1"/>
    </xf>
    <xf numFmtId="0" fontId="12" fillId="0" borderId="2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quotePrefix="1" applyFont="1" applyFill="1" applyAlignment="1">
      <alignment horizontal="center" vertical="top" wrapText="1"/>
    </xf>
    <xf numFmtId="0" fontId="12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/>
    </xf>
    <xf numFmtId="167" fontId="12" fillId="0" borderId="24" xfId="0" applyNumberFormat="1" applyFont="1" applyFill="1" applyBorder="1"/>
    <xf numFmtId="0" fontId="12" fillId="0" borderId="0" xfId="0" applyFont="1" applyFill="1"/>
    <xf numFmtId="9" fontId="12" fillId="0" borderId="0" xfId="0" applyNumberFormat="1" applyFont="1" applyFill="1"/>
    <xf numFmtId="166" fontId="12" fillId="0" borderId="24" xfId="0" applyNumberFormat="1" applyFont="1" applyFill="1" applyBorder="1"/>
    <xf numFmtId="167" fontId="12" fillId="0" borderId="0" xfId="0" applyNumberFormat="1" applyFont="1" applyFill="1" applyBorder="1"/>
    <xf numFmtId="166" fontId="12" fillId="0" borderId="0" xfId="0" applyNumberFormat="1" applyFont="1" applyFill="1" applyBorder="1"/>
    <xf numFmtId="0" fontId="12" fillId="0" borderId="0" xfId="0" quotePrefix="1" applyFont="1" applyFill="1" applyAlignment="1">
      <alignment horizontal="left" indent="1"/>
    </xf>
    <xf numFmtId="0" fontId="12" fillId="0" borderId="0" xfId="0" quotePrefix="1" applyFont="1" applyFill="1" applyAlignment="1">
      <alignment horizontal="left"/>
    </xf>
    <xf numFmtId="3" fontId="12" fillId="0" borderId="0" xfId="0" applyNumberFormat="1" applyFont="1" applyFill="1" applyBorder="1"/>
    <xf numFmtId="0" fontId="12" fillId="0" borderId="0" xfId="0" applyFont="1" applyFill="1" applyAlignment="1">
      <alignment horizontal="left" indent="1"/>
    </xf>
    <xf numFmtId="10" fontId="12" fillId="0" borderId="0" xfId="0" applyNumberFormat="1" applyFont="1" applyFill="1"/>
    <xf numFmtId="3" fontId="12" fillId="0" borderId="24" xfId="0" applyNumberFormat="1" applyFont="1" applyFill="1" applyBorder="1"/>
    <xf numFmtId="0" fontId="12" fillId="0" borderId="0" xfId="0" applyFont="1" applyFill="1" applyBorder="1"/>
    <xf numFmtId="167" fontId="12" fillId="0" borderId="4" xfId="0" applyNumberFormat="1" applyFont="1" applyFill="1" applyBorder="1"/>
    <xf numFmtId="166" fontId="12" fillId="0" borderId="4" xfId="0" applyNumberFormat="1" applyFont="1" applyFill="1" applyBorder="1"/>
    <xf numFmtId="10" fontId="12" fillId="0" borderId="4" xfId="0" applyNumberFormat="1" applyFont="1" applyFill="1" applyBorder="1"/>
    <xf numFmtId="10" fontId="12" fillId="0" borderId="0" xfId="0" applyNumberFormat="1" applyFont="1" applyFill="1" applyBorder="1"/>
    <xf numFmtId="166" fontId="12" fillId="0" borderId="0" xfId="0" applyNumberFormat="1" applyFont="1" applyFill="1"/>
    <xf numFmtId="9" fontId="13" fillId="0" borderId="35" xfId="0" applyNumberFormat="1" applyFont="1" applyFill="1" applyBorder="1"/>
    <xf numFmtId="10" fontId="12" fillId="0" borderId="36" xfId="0" applyNumberFormat="1" applyFont="1" applyFill="1" applyBorder="1"/>
    <xf numFmtId="10" fontId="12" fillId="0" borderId="38" xfId="0" applyNumberFormat="1" applyFont="1" applyFill="1" applyBorder="1"/>
    <xf numFmtId="10" fontId="13" fillId="0" borderId="40" xfId="0" applyNumberFormat="1" applyFont="1" applyFill="1" applyBorder="1"/>
    <xf numFmtId="0" fontId="3" fillId="0" borderId="0" xfId="0" applyNumberFormat="1" applyFont="1" applyFill="1" applyAlignment="1">
      <alignment horizontal="center"/>
    </xf>
    <xf numFmtId="164" fontId="3" fillId="0" borderId="4" xfId="0" applyNumberFormat="1" applyFont="1" applyFill="1" applyBorder="1" applyAlignment="1" applyProtection="1">
      <protection locked="0"/>
    </xf>
    <xf numFmtId="0" fontId="5" fillId="0" borderId="0" xfId="4" applyFont="1" applyFill="1" applyAlignment="1">
      <alignment horizontal="center"/>
    </xf>
    <xf numFmtId="0" fontId="5" fillId="0" borderId="36" xfId="4" quotePrefix="1" applyFont="1" applyFill="1" applyBorder="1" applyAlignment="1">
      <alignment horizontal="center"/>
    </xf>
    <xf numFmtId="0" fontId="7" fillId="0" borderId="38" xfId="4" applyFont="1" applyFill="1" applyBorder="1" applyAlignment="1">
      <alignment horizontal="center"/>
    </xf>
    <xf numFmtId="0" fontId="8" fillId="0" borderId="38" xfId="4" quotePrefix="1" applyFont="1" applyFill="1" applyBorder="1" applyAlignment="1">
      <alignment horizontal="center"/>
    </xf>
    <xf numFmtId="0" fontId="11" fillId="0" borderId="38" xfId="4" quotePrefix="1" applyFont="1" applyFill="1" applyBorder="1" applyAlignment="1">
      <alignment horizontal="right"/>
    </xf>
    <xf numFmtId="41" fontId="8" fillId="0" borderId="24" xfId="4" applyNumberFormat="1" applyFont="1" applyFill="1" applyBorder="1" applyAlignment="1">
      <alignment horizontal="right"/>
    </xf>
    <xf numFmtId="37" fontId="8" fillId="0" borderId="43" xfId="4" applyNumberFormat="1" applyFont="1" applyFill="1" applyBorder="1" applyAlignment="1">
      <alignment horizontal="right"/>
    </xf>
    <xf numFmtId="0" fontId="11" fillId="0" borderId="0" xfId="4" quotePrefix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3" fontId="8" fillId="0" borderId="38" xfId="4" applyNumberFormat="1" applyFont="1" applyFill="1" applyBorder="1" applyAlignment="1">
      <alignment horizontal="right"/>
    </xf>
    <xf numFmtId="0" fontId="8" fillId="0" borderId="13" xfId="4" applyFont="1" applyFill="1" applyBorder="1" applyAlignment="1">
      <alignment horizontal="center"/>
    </xf>
    <xf numFmtId="0" fontId="8" fillId="0" borderId="40" xfId="4" applyFont="1" applyFill="1" applyBorder="1" applyAlignment="1">
      <alignment horizontal="center"/>
    </xf>
    <xf numFmtId="41" fontId="8" fillId="0" borderId="45" xfId="4" applyNumberFormat="1" applyFont="1" applyFill="1" applyBorder="1" applyAlignment="1">
      <alignment horizontal="right"/>
    </xf>
    <xf numFmtId="37" fontId="8" fillId="0" borderId="46" xfId="4" applyNumberFormat="1" applyFont="1" applyFill="1" applyBorder="1" applyAlignment="1">
      <alignment horizontal="right"/>
    </xf>
    <xf numFmtId="41" fontId="8" fillId="0" borderId="0" xfId="4" applyNumberFormat="1" applyFont="1" applyFill="1" applyBorder="1" applyAlignment="1">
      <alignment horizontal="right"/>
    </xf>
    <xf numFmtId="37" fontId="8" fillId="0" borderId="38" xfId="4" applyNumberFormat="1" applyFont="1" applyFill="1" applyBorder="1" applyAlignment="1">
      <alignment horizontal="right"/>
    </xf>
    <xf numFmtId="3" fontId="8" fillId="0" borderId="40" xfId="4" applyNumberFormat="1" applyFont="1" applyFill="1" applyBorder="1" applyAlignment="1">
      <alignment horizontal="right"/>
    </xf>
    <xf numFmtId="0" fontId="5" fillId="0" borderId="0" xfId="4" applyFont="1" applyFill="1" applyAlignment="1">
      <alignment horizontal="center" wrapText="1"/>
    </xf>
    <xf numFmtId="3" fontId="8" fillId="0" borderId="24" xfId="4" applyNumberFormat="1" applyFont="1" applyFill="1" applyBorder="1" applyAlignment="1">
      <alignment horizontal="right"/>
    </xf>
    <xf numFmtId="0" fontId="8" fillId="0" borderId="0" xfId="4" applyFont="1" applyFill="1" applyBorder="1" applyAlignment="1">
      <alignment horizontal="center"/>
    </xf>
    <xf numFmtId="3" fontId="8" fillId="0" borderId="45" xfId="4" applyNumberFormat="1" applyFont="1" applyFill="1" applyBorder="1" applyAlignment="1">
      <alignment horizontal="right"/>
    </xf>
    <xf numFmtId="173" fontId="8" fillId="0" borderId="45" xfId="4" applyNumberFormat="1" applyFont="1" applyFill="1" applyBorder="1" applyAlignment="1">
      <alignment horizontal="right"/>
    </xf>
    <xf numFmtId="173" fontId="8" fillId="0" borderId="24" xfId="4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wrapText="1"/>
    </xf>
    <xf numFmtId="0" fontId="5" fillId="0" borderId="2" xfId="0" quotePrefix="1" applyFont="1" applyFill="1" applyBorder="1" applyAlignment="1">
      <alignment horizontal="center" wrapText="1"/>
    </xf>
    <xf numFmtId="0" fontId="5" fillId="0" borderId="0" xfId="0" quotePrefix="1" applyFont="1" applyFill="1" applyAlignment="1">
      <alignment horizontal="center"/>
    </xf>
    <xf numFmtId="0" fontId="5" fillId="0" borderId="0" xfId="0" quotePrefix="1" applyFont="1" applyFill="1" applyAlignment="1">
      <alignment horizontal="left"/>
    </xf>
    <xf numFmtId="0" fontId="6" fillId="0" borderId="0" xfId="5" quotePrefix="1" applyAlignment="1">
      <alignment horizontal="left"/>
    </xf>
    <xf numFmtId="0" fontId="12" fillId="0" borderId="35" xfId="0" applyFont="1" applyFill="1" applyBorder="1"/>
    <xf numFmtId="0" fontId="12" fillId="0" borderId="38" xfId="0" applyFont="1" applyFill="1" applyBorder="1"/>
    <xf numFmtId="0" fontId="12" fillId="0" borderId="13" xfId="0" applyFont="1" applyFill="1" applyBorder="1"/>
    <xf numFmtId="0" fontId="12" fillId="0" borderId="0" xfId="0" quotePrefix="1" applyFont="1" applyFill="1" applyBorder="1" applyAlignment="1">
      <alignment horizontal="fill" vertical="top" wrapText="1"/>
    </xf>
    <xf numFmtId="0" fontId="19" fillId="0" borderId="0" xfId="0" quotePrefix="1" applyFont="1" applyFill="1" applyAlignment="1" applyProtection="1">
      <alignment horizontal="centerContinuous"/>
    </xf>
    <xf numFmtId="0" fontId="18" fillId="0" borderId="0" xfId="0" applyFont="1" applyFill="1" applyAlignment="1" applyProtection="1">
      <alignment horizontal="centerContinuous"/>
    </xf>
    <xf numFmtId="37" fontId="18" fillId="0" borderId="0" xfId="0" applyNumberFormat="1" applyFont="1" applyFill="1" applyAlignment="1" applyProtection="1">
      <alignment horizontal="centerContinuous"/>
    </xf>
    <xf numFmtId="0" fontId="18" fillId="0" borderId="0" xfId="0" applyFont="1" applyFill="1" applyProtection="1"/>
    <xf numFmtId="37" fontId="19" fillId="0" borderId="0" xfId="0" applyNumberFormat="1" applyFont="1" applyFill="1" applyAlignment="1" applyProtection="1">
      <alignment horizontal="center"/>
    </xf>
    <xf numFmtId="0" fontId="19" fillId="0" borderId="0" xfId="0" applyFont="1" applyFill="1" applyProtection="1"/>
    <xf numFmtId="0" fontId="19" fillId="0" borderId="0" xfId="0" applyFont="1" applyFill="1" applyAlignment="1" applyProtection="1">
      <alignment horizontal="center"/>
    </xf>
    <xf numFmtId="37" fontId="19" fillId="0" borderId="51" xfId="0" applyNumberFormat="1" applyFont="1" applyFill="1" applyBorder="1" applyAlignment="1" applyProtection="1">
      <alignment horizontal="center"/>
    </xf>
    <xf numFmtId="0" fontId="19" fillId="0" borderId="5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167" fontId="20" fillId="0" borderId="0" xfId="0" applyNumberFormat="1" applyFont="1" applyFill="1" applyBorder="1" applyProtection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6" fontId="23" fillId="0" borderId="0" xfId="8" applyNumberFormat="1" applyFont="1" applyFill="1" applyAlignment="1">
      <alignment horizontal="right" indent="1"/>
    </xf>
    <xf numFmtId="10" fontId="23" fillId="0" borderId="0" xfId="6" applyNumberFormat="1" applyFont="1" applyFill="1" applyAlignment="1">
      <alignment horizontal="right" indent="1"/>
    </xf>
    <xf numFmtId="8" fontId="23" fillId="0" borderId="0" xfId="8" applyFont="1" applyFill="1" applyAlignment="1">
      <alignment horizontal="right" indent="1"/>
    </xf>
    <xf numFmtId="38" fontId="23" fillId="0" borderId="0" xfId="8" applyNumberFormat="1" applyFont="1" applyFill="1" applyAlignment="1">
      <alignment horizontal="right" indent="1"/>
    </xf>
    <xf numFmtId="9" fontId="23" fillId="0" borderId="0" xfId="6" applyNumberFormat="1" applyFont="1" applyFill="1" applyAlignment="1">
      <alignment horizontal="right" indent="1"/>
    </xf>
    <xf numFmtId="169" fontId="23" fillId="0" borderId="0" xfId="6" applyNumberFormat="1" applyFont="1" applyFill="1" applyAlignment="1">
      <alignment horizontal="right" indent="1"/>
    </xf>
    <xf numFmtId="0" fontId="23" fillId="0" borderId="0" xfId="6" applyFont="1" applyFill="1" applyAlignment="1">
      <alignment horizontal="right"/>
    </xf>
    <xf numFmtId="0" fontId="23" fillId="0" borderId="0" xfId="6" applyFont="1" applyFill="1" applyBorder="1"/>
    <xf numFmtId="170" fontId="23" fillId="0" borderId="0" xfId="7" applyNumberFormat="1" applyFont="1" applyFill="1" applyBorder="1" applyAlignment="1">
      <alignment horizontal="center"/>
    </xf>
    <xf numFmtId="171" fontId="23" fillId="0" borderId="0" xfId="8" applyNumberFormat="1" applyFont="1" applyFill="1" applyAlignment="1">
      <alignment horizontal="right" indent="1"/>
    </xf>
    <xf numFmtId="0" fontId="22" fillId="0" borderId="0" xfId="6" applyFont="1" applyFill="1"/>
    <xf numFmtId="0" fontId="25" fillId="0" borderId="0" xfId="6" applyFont="1" applyFill="1" applyBorder="1" applyAlignment="1">
      <alignment horizontal="center"/>
    </xf>
    <xf numFmtId="0" fontId="23" fillId="0" borderId="0" xfId="6" applyFont="1" applyFill="1" applyAlignment="1">
      <alignment horizontal="left"/>
    </xf>
    <xf numFmtId="0" fontId="23" fillId="0" borderId="0" xfId="6" quotePrefix="1" applyFont="1" applyFill="1" applyAlignment="1">
      <alignment horizontal="left"/>
    </xf>
    <xf numFmtId="10" fontId="23" fillId="0" borderId="0" xfId="6" applyNumberFormat="1" applyFont="1" applyFill="1" applyAlignment="1">
      <alignment horizontal="center"/>
    </xf>
    <xf numFmtId="10" fontId="23" fillId="0" borderId="2" xfId="6" applyNumberFormat="1" applyFont="1" applyFill="1" applyBorder="1" applyAlignment="1">
      <alignment horizontal="center"/>
    </xf>
    <xf numFmtId="10" fontId="23" fillId="0" borderId="0" xfId="6" applyNumberFormat="1" applyFont="1" applyFill="1" applyBorder="1" applyAlignment="1">
      <alignment horizontal="center"/>
    </xf>
    <xf numFmtId="0" fontId="22" fillId="0" borderId="0" xfId="6" applyFont="1" applyFill="1" applyBorder="1" applyAlignment="1">
      <alignment horizontal="center"/>
    </xf>
    <xf numFmtId="0" fontId="25" fillId="0" borderId="2" xfId="6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right" wrapText="1"/>
    </xf>
    <xf numFmtId="0" fontId="7" fillId="0" borderId="0" xfId="0" applyNumberFormat="1" applyFont="1" applyFill="1" applyAlignment="1">
      <alignment horizontal="right"/>
    </xf>
    <xf numFmtId="0" fontId="7" fillId="0" borderId="0" xfId="0" quotePrefix="1" applyFont="1" applyFill="1" applyAlignment="1">
      <alignment horizontal="right" wrapText="1"/>
    </xf>
    <xf numFmtId="0" fontId="7" fillId="0" borderId="0" xfId="4" applyFont="1" applyFill="1" applyAlignment="1">
      <alignment horizontal="center"/>
    </xf>
    <xf numFmtId="0" fontId="10" fillId="0" borderId="0" xfId="4" applyFont="1" applyFill="1" applyAlignment="1">
      <alignment horizontal="centerContinuous"/>
    </xf>
    <xf numFmtId="0" fontId="10" fillId="0" borderId="0" xfId="4" applyFont="1" applyFill="1" applyAlignment="1"/>
    <xf numFmtId="0" fontId="5" fillId="0" borderId="34" xfId="4" applyFont="1" applyFill="1" applyBorder="1" applyAlignment="1"/>
    <xf numFmtId="3" fontId="5" fillId="0" borderId="36" xfId="4" applyNumberFormat="1" applyFont="1" applyFill="1" applyBorder="1" applyAlignment="1"/>
    <xf numFmtId="0" fontId="5" fillId="0" borderId="34" xfId="4" applyFont="1" applyFill="1" applyBorder="1" applyAlignment="1">
      <alignment horizontal="left"/>
    </xf>
    <xf numFmtId="0" fontId="10" fillId="0" borderId="35" xfId="4" applyFont="1" applyFill="1" applyBorder="1" applyAlignment="1">
      <alignment horizontal="center"/>
    </xf>
    <xf numFmtId="3" fontId="5" fillId="0" borderId="36" xfId="4" applyNumberFormat="1" applyFont="1" applyFill="1" applyBorder="1" applyAlignment="1">
      <alignment horizontal="right"/>
    </xf>
    <xf numFmtId="0" fontId="5" fillId="0" borderId="37" xfId="4" applyFont="1" applyFill="1" applyBorder="1" applyAlignment="1"/>
    <xf numFmtId="3" fontId="5" fillId="0" borderId="41" xfId="4" applyNumberFormat="1" applyFont="1" applyFill="1" applyBorder="1" applyAlignment="1"/>
    <xf numFmtId="0" fontId="5" fillId="0" borderId="37" xfId="4" applyFont="1" applyFill="1" applyBorder="1" applyAlignment="1">
      <alignment horizontal="left"/>
    </xf>
    <xf numFmtId="0" fontId="10" fillId="0" borderId="0" xfId="4" applyFont="1" applyFill="1" applyBorder="1" applyAlignment="1">
      <alignment horizontal="center"/>
    </xf>
    <xf numFmtId="3" fontId="5" fillId="0" borderId="38" xfId="4" applyNumberFormat="1" applyFont="1" applyFill="1" applyBorder="1" applyAlignment="1">
      <alignment horizontal="right"/>
    </xf>
    <xf numFmtId="0" fontId="5" fillId="0" borderId="39" xfId="4" applyFont="1" applyFill="1" applyBorder="1" applyAlignment="1"/>
    <xf numFmtId="3" fontId="5" fillId="0" borderId="40" xfId="4" applyNumberFormat="1" applyFont="1" applyFill="1" applyBorder="1" applyAlignment="1"/>
    <xf numFmtId="0" fontId="5" fillId="0" borderId="39" xfId="4" applyFont="1" applyFill="1" applyBorder="1" applyAlignment="1">
      <alignment horizontal="left"/>
    </xf>
    <xf numFmtId="0" fontId="10" fillId="0" borderId="13" xfId="4" applyFont="1" applyFill="1" applyBorder="1" applyAlignment="1">
      <alignment horizontal="center"/>
    </xf>
    <xf numFmtId="3" fontId="5" fillId="0" borderId="40" xfId="4" applyNumberFormat="1" applyFont="1" applyFill="1" applyBorder="1" applyAlignment="1">
      <alignment horizontal="right"/>
    </xf>
    <xf numFmtId="0" fontId="5" fillId="0" borderId="0" xfId="4" applyFont="1" applyFill="1"/>
    <xf numFmtId="0" fontId="5" fillId="0" borderId="34" xfId="4" quotePrefix="1" applyFont="1" applyFill="1" applyBorder="1" applyAlignment="1">
      <alignment horizontal="center"/>
    </xf>
    <xf numFmtId="0" fontId="5" fillId="0" borderId="35" xfId="4" quotePrefix="1" applyFont="1" applyFill="1" applyBorder="1" applyAlignment="1">
      <alignment horizontal="center"/>
    </xf>
    <xf numFmtId="0" fontId="7" fillId="0" borderId="37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5" fillId="0" borderId="37" xfId="4" applyFont="1" applyFill="1" applyBorder="1"/>
    <xf numFmtId="0" fontId="5" fillId="0" borderId="0" xfId="4" applyFont="1" applyFill="1" applyBorder="1"/>
    <xf numFmtId="0" fontId="5" fillId="0" borderId="0" xfId="4" applyFont="1" applyFill="1" applyBorder="1" applyAlignment="1">
      <alignment horizontal="center"/>
    </xf>
    <xf numFmtId="0" fontId="8" fillId="0" borderId="37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 wrapText="1"/>
    </xf>
    <xf numFmtId="0" fontId="8" fillId="0" borderId="0" xfId="4" quotePrefix="1" applyFont="1" applyFill="1" applyBorder="1" applyAlignment="1">
      <alignment horizontal="center"/>
    </xf>
    <xf numFmtId="0" fontId="11" fillId="0" borderId="37" xfId="4" quotePrefix="1" applyFont="1" applyFill="1" applyBorder="1" applyAlignment="1">
      <alignment horizontal="center"/>
    </xf>
    <xf numFmtId="0" fontId="8" fillId="0" borderId="42" xfId="4" quotePrefix="1" applyFont="1" applyFill="1" applyBorder="1" applyAlignment="1">
      <alignment horizontal="center"/>
    </xf>
    <xf numFmtId="10" fontId="8" fillId="0" borderId="24" xfId="4" applyNumberFormat="1" applyFont="1" applyFill="1" applyBorder="1" applyAlignment="1">
      <alignment horizontal="right"/>
    </xf>
    <xf numFmtId="37" fontId="8" fillId="0" borderId="24" xfId="4" applyNumberFormat="1" applyFont="1" applyFill="1" applyBorder="1" applyAlignment="1">
      <alignment horizontal="right"/>
    </xf>
    <xf numFmtId="0" fontId="8" fillId="0" borderId="42" xfId="4" applyFont="1" applyFill="1" applyBorder="1" applyAlignment="1">
      <alignment horizontal="center"/>
    </xf>
    <xf numFmtId="3" fontId="8" fillId="0" borderId="0" xfId="4" quotePrefix="1" applyNumberFormat="1" applyFont="1" applyFill="1" applyBorder="1" applyAlignment="1">
      <alignment horizontal="right"/>
    </xf>
    <xf numFmtId="0" fontId="8" fillId="0" borderId="39" xfId="4" applyFont="1" applyFill="1" applyBorder="1" applyAlignment="1">
      <alignment horizontal="center"/>
    </xf>
    <xf numFmtId="3" fontId="8" fillId="0" borderId="13" xfId="4" applyNumberFormat="1" applyFont="1" applyFill="1" applyBorder="1" applyAlignment="1">
      <alignment horizontal="center"/>
    </xf>
    <xf numFmtId="0" fontId="7" fillId="0" borderId="0" xfId="4" applyFont="1" applyFill="1" applyAlignment="1">
      <alignment horizontal="left"/>
    </xf>
    <xf numFmtId="0" fontId="8" fillId="0" borderId="44" xfId="4" applyFont="1" applyFill="1" applyBorder="1" applyAlignment="1">
      <alignment horizontal="center"/>
    </xf>
    <xf numFmtId="10" fontId="8" fillId="0" borderId="45" xfId="4" applyNumberFormat="1" applyFont="1" applyFill="1" applyBorder="1" applyAlignment="1">
      <alignment horizontal="right"/>
    </xf>
    <xf numFmtId="37" fontId="8" fillId="0" borderId="45" xfId="4" applyNumberFormat="1" applyFont="1" applyFill="1" applyBorder="1" applyAlignment="1">
      <alignment horizontal="right"/>
    </xf>
    <xf numFmtId="37" fontId="8" fillId="0" borderId="2" xfId="4" applyNumberFormat="1" applyFont="1" applyFill="1" applyBorder="1" applyAlignment="1">
      <alignment horizontal="right"/>
    </xf>
    <xf numFmtId="10" fontId="8" fillId="0" borderId="0" xfId="4" applyNumberFormat="1" applyFont="1" applyFill="1" applyBorder="1" applyAlignment="1">
      <alignment horizontal="right"/>
    </xf>
    <xf numFmtId="0" fontId="8" fillId="0" borderId="37" xfId="4" quotePrefix="1" applyFont="1" applyFill="1" applyBorder="1" applyAlignment="1">
      <alignment horizontal="center"/>
    </xf>
    <xf numFmtId="37" fontId="8" fillId="0" borderId="0" xfId="4" applyNumberFormat="1" applyFont="1" applyFill="1" applyBorder="1" applyAlignment="1">
      <alignment horizontal="right"/>
    </xf>
    <xf numFmtId="37" fontId="8" fillId="0" borderId="0" xfId="4" quotePrefix="1" applyNumberFormat="1" applyFont="1" applyFill="1" applyBorder="1" applyAlignment="1">
      <alignment horizontal="right"/>
    </xf>
    <xf numFmtId="3" fontId="8" fillId="0" borderId="13" xfId="4" applyNumberFormat="1" applyFont="1" applyFill="1" applyBorder="1" applyAlignment="1">
      <alignment horizontal="right"/>
    </xf>
    <xf numFmtId="3" fontId="8" fillId="0" borderId="13" xfId="4" quotePrefix="1" applyNumberFormat="1" applyFont="1" applyFill="1" applyBorder="1" applyAlignment="1">
      <alignment horizontal="right"/>
    </xf>
    <xf numFmtId="0" fontId="5" fillId="0" borderId="0" xfId="4" applyFont="1" applyFill="1" applyAlignment="1">
      <alignment horizontal="centerContinuous"/>
    </xf>
    <xf numFmtId="0" fontId="5" fillId="0" borderId="0" xfId="4" applyFont="1" applyFill="1" applyAlignment="1">
      <alignment horizontal="left"/>
    </xf>
    <xf numFmtId="0" fontId="5" fillId="0" borderId="0" xfId="4" applyFont="1" applyFill="1" applyAlignment="1"/>
    <xf numFmtId="0" fontId="7" fillId="0" borderId="34" xfId="4" applyFont="1" applyFill="1" applyBorder="1" applyAlignment="1">
      <alignment horizontal="centerContinuous"/>
    </xf>
    <xf numFmtId="0" fontId="7" fillId="0" borderId="35" xfId="4" applyFont="1" applyFill="1" applyBorder="1" applyAlignment="1">
      <alignment horizontal="centerContinuous"/>
    </xf>
    <xf numFmtId="0" fontId="7" fillId="0" borderId="35" xfId="4" applyFont="1" applyFill="1" applyBorder="1" applyAlignment="1">
      <alignment horizontal="center"/>
    </xf>
    <xf numFmtId="0" fontId="7" fillId="0" borderId="36" xfId="4" applyFont="1" applyFill="1" applyBorder="1" applyAlignment="1">
      <alignment horizontal="center"/>
    </xf>
    <xf numFmtId="3" fontId="5" fillId="0" borderId="36" xfId="4" applyNumberFormat="1" applyFont="1" applyFill="1" applyBorder="1"/>
    <xf numFmtId="3" fontId="5" fillId="0" borderId="0" xfId="4" applyNumberFormat="1" applyFont="1" applyFill="1" applyAlignment="1"/>
    <xf numFmtId="0" fontId="7" fillId="0" borderId="37" xfId="4" applyFont="1" applyFill="1" applyBorder="1" applyAlignment="1">
      <alignment horizontal="centerContinuous"/>
    </xf>
    <xf numFmtId="0" fontId="7" fillId="0" borderId="0" xfId="4" applyFont="1" applyFill="1" applyBorder="1" applyAlignment="1">
      <alignment horizontal="centerContinuous"/>
    </xf>
    <xf numFmtId="3" fontId="5" fillId="0" borderId="38" xfId="4" applyNumberFormat="1" applyFont="1" applyFill="1" applyBorder="1" applyAlignment="1"/>
    <xf numFmtId="0" fontId="5" fillId="0" borderId="0" xfId="4" applyFont="1" applyFill="1" applyBorder="1" applyAlignment="1"/>
    <xf numFmtId="10" fontId="5" fillId="0" borderId="0" xfId="4" applyNumberFormat="1" applyFont="1" applyFill="1" applyBorder="1" applyAlignment="1"/>
    <xf numFmtId="10" fontId="5" fillId="0" borderId="38" xfId="4" applyNumberFormat="1" applyFont="1" applyFill="1" applyBorder="1" applyAlignment="1"/>
    <xf numFmtId="37" fontId="5" fillId="0" borderId="41" xfId="4" applyNumberFormat="1" applyFont="1" applyFill="1" applyBorder="1" applyAlignment="1"/>
    <xf numFmtId="0" fontId="5" fillId="0" borderId="47" xfId="4" applyFont="1" applyFill="1" applyBorder="1" applyAlignment="1"/>
    <xf numFmtId="3" fontId="5" fillId="0" borderId="48" xfId="4" applyNumberFormat="1" applyFont="1" applyFill="1" applyBorder="1" applyAlignment="1"/>
    <xf numFmtId="172" fontId="5" fillId="0" borderId="0" xfId="4" applyNumberFormat="1" applyFont="1" applyFill="1" applyAlignment="1"/>
    <xf numFmtId="0" fontId="5" fillId="0" borderId="49" xfId="4" applyFont="1" applyFill="1" applyBorder="1" applyAlignment="1"/>
    <xf numFmtId="0" fontId="5" fillId="0" borderId="2" xfId="4" applyFont="1" applyFill="1" applyBorder="1" applyAlignment="1"/>
    <xf numFmtId="10" fontId="5" fillId="0" borderId="2" xfId="4" applyNumberFormat="1" applyFont="1" applyFill="1" applyBorder="1" applyAlignment="1"/>
    <xf numFmtId="10" fontId="5" fillId="0" borderId="41" xfId="4" applyNumberFormat="1" applyFont="1" applyFill="1" applyBorder="1" applyAlignment="1"/>
    <xf numFmtId="0" fontId="5" fillId="0" borderId="13" xfId="4" applyFont="1" applyFill="1" applyBorder="1" applyAlignment="1">
      <alignment horizontal="centerContinuous"/>
    </xf>
    <xf numFmtId="10" fontId="5" fillId="0" borderId="13" xfId="4" applyNumberFormat="1" applyFont="1" applyFill="1" applyBorder="1" applyAlignment="1"/>
    <xf numFmtId="10" fontId="5" fillId="0" borderId="40" xfId="4" applyNumberFormat="1" applyFont="1" applyFill="1" applyBorder="1" applyAlignment="1">
      <alignment horizontal="right"/>
    </xf>
    <xf numFmtId="0" fontId="8" fillId="0" borderId="34" xfId="4" quotePrefix="1" applyFont="1" applyFill="1" applyBorder="1" applyAlignment="1">
      <alignment horizontal="center"/>
    </xf>
    <xf numFmtId="0" fontId="8" fillId="0" borderId="35" xfId="4" quotePrefix="1" applyFont="1" applyFill="1" applyBorder="1" applyAlignment="1">
      <alignment horizontal="center"/>
    </xf>
    <xf numFmtId="0" fontId="8" fillId="0" borderId="36" xfId="4" quotePrefix="1" applyFont="1" applyFill="1" applyBorder="1" applyAlignment="1">
      <alignment horizontal="center"/>
    </xf>
    <xf numFmtId="0" fontId="11" fillId="0" borderId="37" xfId="4" applyFont="1" applyFill="1" applyBorder="1" applyAlignment="1">
      <alignment horizontal="center"/>
    </xf>
    <xf numFmtId="0" fontId="11" fillId="0" borderId="0" xfId="4" applyFont="1" applyFill="1" applyBorder="1" applyAlignment="1">
      <alignment horizontal="center"/>
    </xf>
    <xf numFmtId="0" fontId="11" fillId="0" borderId="38" xfId="4" applyFont="1" applyFill="1" applyBorder="1" applyAlignment="1">
      <alignment horizontal="center"/>
    </xf>
    <xf numFmtId="0" fontId="5" fillId="0" borderId="38" xfId="4" applyFont="1" applyFill="1" applyBorder="1" applyAlignment="1">
      <alignment horizontal="center"/>
    </xf>
    <xf numFmtId="10" fontId="8" fillId="0" borderId="43" xfId="4" applyNumberFormat="1" applyFont="1" applyFill="1" applyBorder="1" applyAlignment="1">
      <alignment horizontal="right"/>
    </xf>
    <xf numFmtId="173" fontId="8" fillId="0" borderId="0" xfId="4" applyNumberFormat="1" applyFont="1" applyFill="1" applyBorder="1" applyAlignment="1">
      <alignment horizontal="right"/>
    </xf>
    <xf numFmtId="10" fontId="8" fillId="0" borderId="38" xfId="4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center"/>
    </xf>
    <xf numFmtId="0" fontId="11" fillId="0" borderId="37" xfId="4" applyFont="1" applyFill="1" applyBorder="1" applyAlignment="1">
      <alignment horizontal="left"/>
    </xf>
    <xf numFmtId="10" fontId="8" fillId="0" borderId="46" xfId="4" applyNumberFormat="1" applyFont="1" applyFill="1" applyBorder="1" applyAlignment="1">
      <alignment horizontal="right"/>
    </xf>
    <xf numFmtId="0" fontId="8" fillId="0" borderId="0" xfId="4" quotePrefix="1" applyFont="1" applyFill="1" applyBorder="1" applyAlignment="1">
      <alignment horizontal="right"/>
    </xf>
    <xf numFmtId="0" fontId="8" fillId="0" borderId="38" xfId="4" quotePrefix="1" applyFont="1" applyFill="1" applyBorder="1" applyAlignment="1">
      <alignment horizontal="right"/>
    </xf>
    <xf numFmtId="0" fontId="16" fillId="0" borderId="0" xfId="4" applyFont="1" applyFill="1" applyBorder="1" applyAlignment="1">
      <alignment horizontal="left"/>
    </xf>
    <xf numFmtId="0" fontId="16" fillId="0" borderId="0" xfId="4" applyFont="1" applyFill="1" applyAlignment="1">
      <alignment horizontal="left"/>
    </xf>
    <xf numFmtId="0" fontId="5" fillId="0" borderId="34" xfId="0" applyFont="1" applyFill="1" applyBorder="1" applyAlignment="1">
      <alignment horizontal="center"/>
    </xf>
    <xf numFmtId="0" fontId="5" fillId="0" borderId="35" xfId="0" quotePrefix="1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35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quotePrefix="1" applyFont="1" applyFill="1" applyBorder="1" applyAlignment="1">
      <alignment horizontal="right"/>
    </xf>
    <xf numFmtId="0" fontId="5" fillId="0" borderId="0" xfId="0" applyFont="1" applyFill="1" applyBorder="1"/>
    <xf numFmtId="0" fontId="22" fillId="0" borderId="0" xfId="6" applyFont="1" applyFill="1" applyAlignment="1">
      <alignment horizontal="center"/>
    </xf>
    <xf numFmtId="0" fontId="23" fillId="0" borderId="0" xfId="6" applyFont="1" applyFill="1"/>
    <xf numFmtId="0" fontId="24" fillId="0" borderId="9" xfId="6" applyFont="1" applyFill="1" applyBorder="1"/>
    <xf numFmtId="0" fontId="24" fillId="0" borderId="10" xfId="6" applyFont="1" applyFill="1" applyBorder="1"/>
    <xf numFmtId="0" fontId="24" fillId="0" borderId="10" xfId="6" applyFont="1" applyFill="1" applyBorder="1" applyAlignment="1">
      <alignment horizontal="center"/>
    </xf>
    <xf numFmtId="0" fontId="24" fillId="0" borderId="11" xfId="6" applyFont="1" applyFill="1" applyBorder="1" applyAlignment="1">
      <alignment horizontal="center"/>
    </xf>
    <xf numFmtId="0" fontId="24" fillId="0" borderId="12" xfId="6" applyFont="1" applyFill="1" applyBorder="1"/>
    <xf numFmtId="0" fontId="24" fillId="0" borderId="13" xfId="6" applyFont="1" applyFill="1" applyBorder="1"/>
    <xf numFmtId="0" fontId="24" fillId="0" borderId="13" xfId="6" applyFont="1" applyFill="1" applyBorder="1" applyAlignment="1">
      <alignment horizontal="center"/>
    </xf>
    <xf numFmtId="0" fontId="24" fillId="0" borderId="14" xfId="6" applyFont="1" applyFill="1" applyBorder="1" applyAlignment="1">
      <alignment horizontal="center"/>
    </xf>
    <xf numFmtId="0" fontId="23" fillId="0" borderId="15" xfId="6" applyFont="1" applyFill="1" applyBorder="1"/>
    <xf numFmtId="3" fontId="23" fillId="0" borderId="0" xfId="7" applyNumberFormat="1" applyFont="1" applyFill="1" applyBorder="1" applyAlignment="1">
      <alignment horizontal="center"/>
    </xf>
    <xf numFmtId="0" fontId="23" fillId="0" borderId="16" xfId="6" applyFont="1" applyFill="1" applyBorder="1"/>
    <xf numFmtId="0" fontId="23" fillId="0" borderId="17" xfId="6" applyFont="1" applyFill="1" applyBorder="1"/>
    <xf numFmtId="0" fontId="23" fillId="0" borderId="18" xfId="6" applyFont="1" applyFill="1" applyBorder="1"/>
    <xf numFmtId="3" fontId="23" fillId="0" borderId="18" xfId="7" applyNumberFormat="1" applyFont="1" applyFill="1" applyBorder="1" applyAlignment="1">
      <alignment horizontal="center"/>
    </xf>
    <xf numFmtId="9" fontId="24" fillId="0" borderId="19" xfId="6" applyNumberFormat="1" applyFont="1" applyFill="1" applyBorder="1" applyAlignment="1">
      <alignment horizontal="center"/>
    </xf>
    <xf numFmtId="0" fontId="23" fillId="0" borderId="13" xfId="6" applyFont="1" applyFill="1" applyBorder="1"/>
    <xf numFmtId="0" fontId="24" fillId="0" borderId="0" xfId="6" applyFont="1" applyFill="1" applyBorder="1"/>
    <xf numFmtId="0" fontId="24" fillId="0" borderId="2" xfId="6" applyFont="1" applyFill="1" applyBorder="1" applyAlignment="1">
      <alignment horizontal="center"/>
    </xf>
    <xf numFmtId="10" fontId="26" fillId="0" borderId="0" xfId="9" applyNumberFormat="1" applyFont="1" applyFill="1"/>
    <xf numFmtId="0" fontId="22" fillId="0" borderId="13" xfId="6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5" fillId="0" borderId="20" xfId="0" applyFont="1" applyFill="1" applyBorder="1"/>
    <xf numFmtId="0" fontId="27" fillId="0" borderId="0" xfId="0" applyNumberFormat="1" applyFont="1" applyFill="1" applyAlignment="1"/>
    <xf numFmtId="0" fontId="27" fillId="0" borderId="0" xfId="0" applyFont="1" applyFill="1"/>
    <xf numFmtId="0" fontId="9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wrapText="1"/>
    </xf>
    <xf numFmtId="167" fontId="27" fillId="0" borderId="0" xfId="0" applyNumberFormat="1" applyFont="1" applyFill="1" applyAlignment="1">
      <alignment horizontal="right"/>
    </xf>
    <xf numFmtId="167" fontId="5" fillId="0" borderId="7" xfId="0" quotePrefix="1" applyNumberFormat="1" applyFont="1" applyFill="1" applyBorder="1" applyAlignment="1">
      <alignment horizontal="left"/>
    </xf>
    <xf numFmtId="167" fontId="5" fillId="0" borderId="7" xfId="0" applyNumberFormat="1" applyFont="1" applyFill="1" applyBorder="1" applyAlignment="1">
      <alignment horizontal="left"/>
    </xf>
    <xf numFmtId="10" fontId="5" fillId="0" borderId="7" xfId="0" applyNumberFormat="1" applyFont="1" applyFill="1" applyBorder="1" applyAlignment="1">
      <alignment horizontal="right"/>
    </xf>
    <xf numFmtId="9" fontId="27" fillId="0" borderId="0" xfId="0" applyNumberFormat="1" applyFont="1" applyFill="1"/>
    <xf numFmtId="0" fontId="27" fillId="0" borderId="0" xfId="0" applyFont="1" applyFill="1" applyBorder="1" applyAlignment="1">
      <alignment horizontal="left" wrapText="1"/>
    </xf>
    <xf numFmtId="168" fontId="5" fillId="0" borderId="8" xfId="0" applyNumberFormat="1" applyFont="1" applyFill="1" applyBorder="1" applyAlignment="1">
      <alignment horizontal="left"/>
    </xf>
    <xf numFmtId="0" fontId="27" fillId="0" borderId="0" xfId="0" quotePrefix="1" applyNumberFormat="1" applyFont="1" applyFill="1" applyAlignment="1">
      <alignment horizontal="left"/>
    </xf>
    <xf numFmtId="0" fontId="9" fillId="0" borderId="0" xfId="0" quotePrefix="1" applyFont="1" applyFill="1" applyAlignment="1">
      <alignment horizontal="left"/>
    </xf>
    <xf numFmtId="0" fontId="27" fillId="0" borderId="0" xfId="0" applyNumberFormat="1" applyFont="1" applyFill="1" applyBorder="1" applyAlignment="1"/>
    <xf numFmtId="167" fontId="27" fillId="0" borderId="0" xfId="0" applyNumberFormat="1" applyFont="1" applyFill="1"/>
    <xf numFmtId="167" fontId="27" fillId="0" borderId="24" xfId="0" applyNumberFormat="1" applyFont="1" applyFill="1" applyBorder="1"/>
    <xf numFmtId="167" fontId="27" fillId="0" borderId="4" xfId="0" applyNumberFormat="1" applyFont="1" applyFill="1" applyBorder="1"/>
    <xf numFmtId="0" fontId="7" fillId="0" borderId="0" xfId="4" applyFont="1" applyFill="1" applyBorder="1" applyAlignment="1">
      <alignment horizontal="left"/>
    </xf>
    <xf numFmtId="167" fontId="8" fillId="0" borderId="0" xfId="3" applyNumberFormat="1" applyFont="1" applyFill="1" applyBorder="1" applyAlignment="1">
      <alignment horizontal="right"/>
    </xf>
    <xf numFmtId="0" fontId="5" fillId="0" borderId="2" xfId="4" applyFont="1" applyFill="1" applyBorder="1" applyAlignment="1">
      <alignment horizontal="center"/>
    </xf>
    <xf numFmtId="167" fontId="8" fillId="0" borderId="2" xfId="3" applyNumberFormat="1" applyFont="1" applyFill="1" applyBorder="1" applyAlignment="1">
      <alignment horizontal="right"/>
    </xf>
    <xf numFmtId="10" fontId="8" fillId="0" borderId="2" xfId="4" applyNumberFormat="1" applyFont="1" applyFill="1" applyBorder="1" applyAlignment="1">
      <alignment horizontal="right"/>
    </xf>
    <xf numFmtId="174" fontId="27" fillId="0" borderId="0" xfId="0" applyNumberFormat="1" applyFont="1" applyFill="1"/>
    <xf numFmtId="14" fontId="27" fillId="0" borderId="0" xfId="0" applyNumberFormat="1" applyFont="1" applyFill="1"/>
    <xf numFmtId="167" fontId="27" fillId="0" borderId="0" xfId="3" applyNumberFormat="1" applyFont="1" applyFill="1"/>
    <xf numFmtId="0" fontId="28" fillId="0" borderId="0" xfId="0" quotePrefix="1" applyFont="1" applyFill="1" applyAlignment="1">
      <alignment horizontal="center" wrapText="1"/>
    </xf>
    <xf numFmtId="41" fontId="27" fillId="0" borderId="0" xfId="0" applyNumberFormat="1" applyFont="1" applyFill="1"/>
    <xf numFmtId="42" fontId="27" fillId="0" borderId="0" xfId="0" applyNumberFormat="1" applyFont="1" applyFill="1"/>
    <xf numFmtId="166" fontId="27" fillId="0" borderId="0" xfId="1" applyNumberFormat="1" applyFont="1" applyFill="1"/>
    <xf numFmtId="43" fontId="27" fillId="0" borderId="0" xfId="0" applyNumberFormat="1" applyFont="1" applyFill="1"/>
    <xf numFmtId="0" fontId="27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29" fillId="0" borderId="6" xfId="0" applyFont="1" applyFill="1" applyBorder="1" applyAlignment="1">
      <alignment horizontal="left"/>
    </xf>
    <xf numFmtId="41" fontId="29" fillId="0" borderId="6" xfId="0" applyNumberFormat="1" applyFont="1" applyFill="1" applyBorder="1"/>
    <xf numFmtId="0" fontId="27" fillId="0" borderId="0" xfId="0" applyFont="1" applyFill="1" applyAlignment="1">
      <alignment wrapText="1"/>
    </xf>
    <xf numFmtId="0" fontId="27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left" wrapText="1"/>
    </xf>
    <xf numFmtId="43" fontId="27" fillId="0" borderId="50" xfId="0" applyNumberFormat="1" applyFont="1" applyFill="1" applyBorder="1"/>
    <xf numFmtId="43" fontId="27" fillId="0" borderId="0" xfId="3" applyFont="1" applyFill="1"/>
    <xf numFmtId="166" fontId="27" fillId="0" borderId="0" xfId="0" applyNumberFormat="1" applyFont="1" applyFill="1"/>
    <xf numFmtId="0" fontId="27" fillId="0" borderId="0" xfId="0" applyFont="1" applyFill="1" applyAlignment="1">
      <alignment horizontal="center" wrapText="1"/>
    </xf>
    <xf numFmtId="0" fontId="27" fillId="0" borderId="0" xfId="0" quotePrefix="1" applyFont="1" applyFill="1" applyAlignment="1">
      <alignment horizontal="center" wrapText="1"/>
    </xf>
    <xf numFmtId="0" fontId="27" fillId="0" borderId="0" xfId="0" applyFont="1" applyFill="1" applyAlignment="1">
      <alignment horizontal="right"/>
    </xf>
    <xf numFmtId="0" fontId="27" fillId="0" borderId="0" xfId="0" quotePrefix="1" applyFont="1" applyFill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29" fillId="0" borderId="5" xfId="0" applyFont="1" applyFill="1" applyBorder="1" applyAlignment="1">
      <alignment wrapText="1"/>
    </xf>
    <xf numFmtId="0" fontId="29" fillId="0" borderId="5" xfId="0" quotePrefix="1" applyFont="1" applyFill="1" applyBorder="1" applyAlignment="1">
      <alignment horizontal="center" wrapText="1"/>
    </xf>
    <xf numFmtId="42" fontId="29" fillId="0" borderId="6" xfId="0" applyNumberFormat="1" applyFont="1" applyFill="1" applyBorder="1"/>
    <xf numFmtId="0" fontId="27" fillId="0" borderId="26" xfId="0" applyFont="1" applyFill="1" applyBorder="1" applyAlignment="1">
      <alignment horizontal="center" wrapText="1"/>
    </xf>
    <xf numFmtId="0" fontId="27" fillId="0" borderId="23" xfId="0" applyFont="1" applyFill="1" applyBorder="1" applyAlignment="1">
      <alignment horizontal="center" wrapText="1"/>
    </xf>
    <xf numFmtId="0" fontId="27" fillId="0" borderId="24" xfId="0" applyFont="1" applyFill="1" applyBorder="1" applyAlignment="1">
      <alignment horizontal="center" wrapText="1"/>
    </xf>
    <xf numFmtId="0" fontId="27" fillId="0" borderId="25" xfId="0" applyFont="1" applyFill="1" applyBorder="1" applyAlignment="1">
      <alignment horizontal="center" wrapText="1"/>
    </xf>
    <xf numFmtId="0" fontId="27" fillId="0" borderId="23" xfId="0" quotePrefix="1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wrapText="1"/>
    </xf>
    <xf numFmtId="0" fontId="27" fillId="0" borderId="2" xfId="0" quotePrefix="1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167" fontId="27" fillId="0" borderId="20" xfId="3" applyNumberFormat="1" applyFont="1" applyFill="1" applyBorder="1"/>
    <xf numFmtId="0" fontId="27" fillId="0" borderId="0" xfId="0" applyFont="1" applyFill="1" applyBorder="1"/>
    <xf numFmtId="42" fontId="27" fillId="0" borderId="27" xfId="0" applyNumberFormat="1" applyFont="1" applyFill="1" applyBorder="1"/>
    <xf numFmtId="166" fontId="27" fillId="0" borderId="0" xfId="1" applyNumberFormat="1" applyFont="1" applyFill="1" applyBorder="1"/>
    <xf numFmtId="166" fontId="27" fillId="0" borderId="27" xfId="1" applyNumberFormat="1" applyFont="1" applyFill="1" applyBorder="1"/>
    <xf numFmtId="166" fontId="27" fillId="0" borderId="28" xfId="1" applyNumberFormat="1" applyFont="1" applyFill="1" applyBorder="1"/>
    <xf numFmtId="10" fontId="27" fillId="0" borderId="0" xfId="2" applyNumberFormat="1" applyFont="1" applyFill="1"/>
    <xf numFmtId="0" fontId="27" fillId="0" borderId="0" xfId="0" quotePrefix="1" applyFont="1" applyFill="1" applyAlignment="1">
      <alignment horizontal="center"/>
    </xf>
    <xf numFmtId="0" fontId="27" fillId="0" borderId="27" xfId="0" applyFont="1" applyFill="1" applyBorder="1"/>
    <xf numFmtId="0" fontId="27" fillId="0" borderId="28" xfId="0" applyFont="1" applyFill="1" applyBorder="1"/>
    <xf numFmtId="42" fontId="27" fillId="0" borderId="0" xfId="0" applyNumberFormat="1" applyFont="1" applyFill="1" applyBorder="1"/>
    <xf numFmtId="166" fontId="27" fillId="0" borderId="27" xfId="0" applyNumberFormat="1" applyFont="1" applyFill="1" applyBorder="1"/>
    <xf numFmtId="0" fontId="27" fillId="0" borderId="29" xfId="0" applyFont="1" applyFill="1" applyBorder="1"/>
    <xf numFmtId="0" fontId="27" fillId="0" borderId="2" xfId="0" applyFont="1" applyFill="1" applyBorder="1"/>
    <xf numFmtId="0" fontId="27" fillId="0" borderId="26" xfId="0" applyFont="1" applyFill="1" applyBorder="1"/>
    <xf numFmtId="0" fontId="27" fillId="0" borderId="30" xfId="0" applyFont="1" applyFill="1" applyBorder="1"/>
    <xf numFmtId="0" fontId="29" fillId="0" borderId="5" xfId="0" applyFont="1" applyFill="1" applyBorder="1"/>
    <xf numFmtId="0" fontId="27" fillId="0" borderId="0" xfId="0" applyFont="1" applyFill="1" applyBorder="1" applyAlignment="1">
      <alignment horizontal="center" wrapText="1"/>
    </xf>
    <xf numFmtId="0" fontId="27" fillId="0" borderId="0" xfId="0" quotePrefix="1" applyFont="1" applyFill="1" applyBorder="1" applyAlignment="1">
      <alignment horizontal="center" wrapText="1"/>
    </xf>
    <xf numFmtId="16" fontId="27" fillId="0" borderId="0" xfId="0" quotePrefix="1" applyNumberFormat="1" applyFont="1" applyFill="1" applyAlignment="1">
      <alignment horizontal="center"/>
    </xf>
    <xf numFmtId="0" fontId="27" fillId="0" borderId="0" xfId="0" quotePrefix="1" applyFont="1" applyFill="1" applyAlignment="1">
      <alignment horizontal="left" indent="1"/>
    </xf>
    <xf numFmtId="9" fontId="27" fillId="0" borderId="0" xfId="2" applyFont="1" applyFill="1"/>
    <xf numFmtId="44" fontId="27" fillId="0" borderId="0" xfId="0" applyNumberFormat="1" applyFont="1" applyFill="1"/>
    <xf numFmtId="0" fontId="29" fillId="0" borderId="5" xfId="0" applyFont="1" applyFill="1" applyBorder="1" applyAlignment="1">
      <alignment horizontal="center" wrapText="1"/>
    </xf>
    <xf numFmtId="41" fontId="27" fillId="0" borderId="0" xfId="0" applyNumberFormat="1" applyFont="1" applyFill="1" applyAlignment="1">
      <alignment wrapText="1"/>
    </xf>
    <xf numFmtId="37" fontId="27" fillId="0" borderId="0" xfId="0" applyNumberFormat="1" applyFont="1" applyFill="1" applyProtection="1"/>
    <xf numFmtId="0" fontId="27" fillId="0" borderId="0" xfId="0" applyFont="1" applyFill="1" applyProtection="1"/>
    <xf numFmtId="5" fontId="27" fillId="0" borderId="0" xfId="0" applyNumberFormat="1" applyFont="1" applyFill="1" applyProtection="1"/>
    <xf numFmtId="0" fontId="20" fillId="0" borderId="0" xfId="0" applyFont="1" applyFill="1" applyProtection="1"/>
    <xf numFmtId="5" fontId="20" fillId="0" borderId="0" xfId="0" applyNumberFormat="1" applyFont="1" applyFill="1" applyProtection="1"/>
    <xf numFmtId="0" fontId="20" fillId="0" borderId="0" xfId="0" quotePrefix="1" applyFont="1" applyFill="1" applyAlignment="1" applyProtection="1">
      <alignment horizontal="left"/>
    </xf>
    <xf numFmtId="44" fontId="20" fillId="0" borderId="0" xfId="0" applyNumberFormat="1" applyFont="1" applyFill="1" applyProtection="1">
      <protection locked="0"/>
    </xf>
    <xf numFmtId="175" fontId="20" fillId="0" borderId="0" xfId="0" applyNumberFormat="1" applyFont="1" applyFill="1" applyProtection="1">
      <protection locked="0"/>
    </xf>
    <xf numFmtId="0" fontId="20" fillId="0" borderId="0" xfId="0" quotePrefix="1" applyFont="1" applyFill="1" applyAlignment="1" applyProtection="1">
      <alignment horizontal="left" indent="1"/>
    </xf>
    <xf numFmtId="37" fontId="27" fillId="0" borderId="0" xfId="0" applyNumberFormat="1" applyFont="1" applyFill="1"/>
    <xf numFmtId="0" fontId="20" fillId="0" borderId="0" xfId="0" applyFont="1" applyFill="1" applyAlignment="1" applyProtection="1">
      <alignment horizontal="left" indent="1"/>
    </xf>
    <xf numFmtId="166" fontId="20" fillId="0" borderId="0" xfId="0" applyNumberFormat="1" applyFont="1" applyFill="1" applyProtection="1"/>
    <xf numFmtId="37" fontId="27" fillId="0" borderId="2" xfId="0" applyNumberFormat="1" applyFont="1" applyFill="1" applyBorder="1" applyProtection="1"/>
    <xf numFmtId="5" fontId="20" fillId="0" borderId="2" xfId="0" applyNumberFormat="1" applyFont="1" applyFill="1" applyBorder="1" applyProtection="1"/>
    <xf numFmtId="0" fontId="20" fillId="0" borderId="0" xfId="0" applyFont="1" applyFill="1" applyAlignment="1" applyProtection="1">
      <alignment horizontal="left" indent="2"/>
    </xf>
    <xf numFmtId="37" fontId="27" fillId="0" borderId="0" xfId="0" applyNumberFormat="1" applyFont="1" applyFill="1" applyBorder="1" applyProtection="1"/>
    <xf numFmtId="167" fontId="27" fillId="0" borderId="0" xfId="0" applyNumberFormat="1" applyFont="1" applyFill="1" applyBorder="1" applyProtection="1"/>
    <xf numFmtId="0" fontId="20" fillId="0" borderId="0" xfId="0" applyFont="1" applyFill="1" applyBorder="1" applyProtection="1"/>
    <xf numFmtId="5" fontId="27" fillId="0" borderId="0" xfId="0" applyNumberFormat="1" applyFont="1" applyFill="1" applyBorder="1" applyProtection="1"/>
    <xf numFmtId="176" fontId="20" fillId="0" borderId="0" xfId="0" applyNumberFormat="1" applyFont="1" applyFill="1" applyProtection="1">
      <protection locked="0"/>
    </xf>
    <xf numFmtId="5" fontId="20" fillId="0" borderId="4" xfId="0" applyNumberFormat="1" applyFont="1" applyFill="1" applyBorder="1" applyProtection="1"/>
    <xf numFmtId="5" fontId="27" fillId="0" borderId="0" xfId="0" applyNumberFormat="1" applyFont="1" applyFill="1"/>
    <xf numFmtId="7" fontId="20" fillId="0" borderId="0" xfId="0" applyNumberFormat="1" applyFont="1" applyFill="1" applyProtection="1">
      <protection locked="0"/>
    </xf>
    <xf numFmtId="177" fontId="20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10" fontId="2" fillId="0" borderId="0" xfId="0" applyNumberFormat="1" applyFont="1" applyFill="1"/>
    <xf numFmtId="9" fontId="2" fillId="0" borderId="3" xfId="0" applyNumberFormat="1" applyFont="1" applyFill="1" applyBorder="1"/>
    <xf numFmtId="0" fontId="2" fillId="0" borderId="3" xfId="0" applyFont="1" applyFill="1" applyBorder="1"/>
    <xf numFmtId="10" fontId="2" fillId="0" borderId="3" xfId="0" applyNumberFormat="1" applyFont="1" applyFill="1" applyBorder="1"/>
    <xf numFmtId="41" fontId="27" fillId="0" borderId="0" xfId="0" applyNumberFormat="1" applyFont="1" applyFill="1" applyAlignment="1">
      <alignment horizontal="left" wrapText="1"/>
    </xf>
    <xf numFmtId="41" fontId="27" fillId="0" borderId="0" xfId="0" applyNumberFormat="1" applyFont="1" applyFill="1" applyBorder="1" applyAlignment="1"/>
    <xf numFmtId="167" fontId="5" fillId="0" borderId="8" xfId="0" quotePrefix="1" applyNumberFormat="1" applyFont="1" applyFill="1" applyBorder="1" applyAlignment="1">
      <alignment horizontal="left"/>
    </xf>
    <xf numFmtId="9" fontId="5" fillId="0" borderId="8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9" fillId="0" borderId="0" xfId="0" applyFont="1" applyFill="1" applyAlignment="1">
      <alignment horizontal="center" wrapText="1"/>
    </xf>
    <xf numFmtId="0" fontId="22" fillId="0" borderId="0" xfId="6" quotePrefix="1" applyFont="1" applyFill="1" applyAlignment="1">
      <alignment horizontal="center"/>
    </xf>
    <xf numFmtId="0" fontId="22" fillId="0" borderId="0" xfId="6" applyFont="1" applyFill="1" applyAlignment="1">
      <alignment horizontal="center"/>
    </xf>
    <xf numFmtId="0" fontId="24" fillId="0" borderId="2" xfId="6" applyFont="1" applyFill="1" applyBorder="1" applyAlignment="1">
      <alignment horizontal="center"/>
    </xf>
    <xf numFmtId="0" fontId="25" fillId="0" borderId="2" xfId="6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3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39" xfId="0" quotePrefix="1" applyFont="1" applyFill="1" applyBorder="1" applyAlignment="1">
      <alignment horizontal="left"/>
    </xf>
    <xf numFmtId="0" fontId="12" fillId="0" borderId="13" xfId="0" quotePrefix="1" applyFont="1" applyFill="1" applyBorder="1" applyAlignment="1">
      <alignment horizontal="left"/>
    </xf>
    <xf numFmtId="0" fontId="12" fillId="0" borderId="34" xfId="0" quotePrefix="1" applyFont="1" applyFill="1" applyBorder="1" applyAlignment="1">
      <alignment horizontal="left"/>
    </xf>
    <xf numFmtId="0" fontId="12" fillId="0" borderId="35" xfId="0" quotePrefix="1" applyFont="1" applyFill="1" applyBorder="1" applyAlignment="1">
      <alignment horizontal="left"/>
    </xf>
    <xf numFmtId="0" fontId="12" fillId="0" borderId="37" xfId="0" quotePrefix="1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17" fillId="0" borderId="0" xfId="0" applyFont="1" applyFill="1" applyAlignment="1">
      <alignment horizontal="center"/>
    </xf>
    <xf numFmtId="0" fontId="18" fillId="0" borderId="0" xfId="0" quotePrefix="1" applyNumberFormat="1" applyFont="1" applyFill="1" applyAlignment="1">
      <alignment horizontal="center"/>
    </xf>
    <xf numFmtId="0" fontId="19" fillId="0" borderId="0" xfId="0" quotePrefix="1" applyFont="1" applyFill="1" applyAlignment="1" applyProtection="1">
      <alignment horizontal="center"/>
    </xf>
    <xf numFmtId="0" fontId="19" fillId="0" borderId="23" xfId="0" applyFont="1" applyFill="1" applyBorder="1" applyAlignment="1" applyProtection="1">
      <alignment horizontal="center"/>
    </xf>
    <xf numFmtId="0" fontId="19" fillId="0" borderId="24" xfId="0" applyFont="1" applyFill="1" applyBorder="1" applyAlignment="1" applyProtection="1">
      <alignment horizontal="center"/>
    </xf>
    <xf numFmtId="0" fontId="19" fillId="0" borderId="25" xfId="0" applyFont="1" applyFill="1" applyBorder="1" applyAlignment="1" applyProtection="1">
      <alignment horizontal="center"/>
    </xf>
    <xf numFmtId="0" fontId="19" fillId="0" borderId="23" xfId="0" quotePrefix="1" applyFont="1" applyFill="1" applyBorder="1" applyAlignment="1" applyProtection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center"/>
    </xf>
    <xf numFmtId="0" fontId="28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left" indent="1"/>
    </xf>
    <xf numFmtId="0" fontId="27" fillId="0" borderId="2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23" xfId="0" quotePrefix="1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0" xfId="4" applyFont="1" applyFill="1" applyAlignment="1">
      <alignment horizontal="left" wrapText="1"/>
    </xf>
  </cellXfs>
  <cellStyles count="10">
    <cellStyle name="Comma" xfId="3" builtinId="3"/>
    <cellStyle name="Comma 2 2" xfId="7"/>
    <cellStyle name="Currency" xfId="1" builtinId="4"/>
    <cellStyle name="Currency 2 2" xfId="8"/>
    <cellStyle name="Hyperlink" xfId="5" builtinId="8"/>
    <cellStyle name="Normal" xfId="0" builtinId="0"/>
    <cellStyle name="Normal 2 2" xfId="6"/>
    <cellStyle name="Normal_Energy and Demand Allocations_TYE 09-30-2003_WEATHER ADJUSTEDV5" xfId="4"/>
    <cellStyle name="Percent" xfId="2" builtinId="5"/>
    <cellStyle name="Percent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30</xdr:row>
      <xdr:rowOff>144780</xdr:rowOff>
    </xdr:from>
    <xdr:to>
      <xdr:col>16</xdr:col>
      <xdr:colOff>84435</xdr:colOff>
      <xdr:row>61</xdr:row>
      <xdr:rowOff>46203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8140" y="5996940"/>
          <a:ext cx="7094835" cy="5570703"/>
        </a:xfrm>
        <a:prstGeom prst="rect">
          <a:avLst/>
        </a:prstGeom>
      </xdr:spPr>
    </xdr:pic>
    <xdr:clientData/>
  </xdr:twoCellAnchor>
  <xdr:twoCellAnchor editAs="oneCell">
    <xdr:from>
      <xdr:col>4</xdr:col>
      <xdr:colOff>350520</xdr:colOff>
      <xdr:row>55</xdr:row>
      <xdr:rowOff>160020</xdr:rowOff>
    </xdr:from>
    <xdr:to>
      <xdr:col>15</xdr:col>
      <xdr:colOff>579721</xdr:colOff>
      <xdr:row>85</xdr:row>
      <xdr:rowOff>130013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3860" y="10584180"/>
          <a:ext cx="6934801" cy="5456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449580</xdr:colOff>
      <xdr:row>29</xdr:row>
      <xdr:rowOff>137160</xdr:rowOff>
    </xdr:from>
    <xdr:to>
      <xdr:col>15</xdr:col>
      <xdr:colOff>366387</xdr:colOff>
      <xdr:row>61</xdr:row>
      <xdr:rowOff>30976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8540" y="5631180"/>
          <a:ext cx="7232007" cy="5723116"/>
        </a:xfrm>
        <a:prstGeom prst="rect">
          <a:avLst/>
        </a:prstGeom>
      </xdr:spPr>
    </xdr:pic>
    <xdr:clientData/>
  </xdr:twoCellAnchor>
  <xdr:twoCellAnchor editAs="oneCell">
    <xdr:from>
      <xdr:col>3</xdr:col>
      <xdr:colOff>327660</xdr:colOff>
      <xdr:row>51</xdr:row>
      <xdr:rowOff>60960</xdr:rowOff>
    </xdr:from>
    <xdr:to>
      <xdr:col>15</xdr:col>
      <xdr:colOff>191123</xdr:colOff>
      <xdr:row>84</xdr:row>
      <xdr:rowOff>8139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36620" y="9555480"/>
          <a:ext cx="7178663" cy="5982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5"/>
  <sheetViews>
    <sheetView zoomScaleNormal="100" workbookViewId="0">
      <selection sqref="A1:B1"/>
    </sheetView>
  </sheetViews>
  <sheetFormatPr defaultRowHeight="15" x14ac:dyDescent="0.25"/>
  <cols>
    <col min="2" max="2" width="41.42578125" bestFit="1" customWidth="1"/>
    <col min="4" max="4" width="10.28515625" bestFit="1" customWidth="1"/>
    <col min="5" max="7" width="10.140625" bestFit="1" customWidth="1"/>
  </cols>
  <sheetData>
    <row r="1" spans="1:2" x14ac:dyDescent="0.25">
      <c r="A1" s="372" t="s">
        <v>33</v>
      </c>
      <c r="B1" s="372"/>
    </row>
    <row r="2" spans="1:2" x14ac:dyDescent="0.25">
      <c r="A2" s="373" t="s">
        <v>549</v>
      </c>
      <c r="B2" s="372"/>
    </row>
    <row r="3" spans="1:2" x14ac:dyDescent="0.25">
      <c r="A3" s="373" t="s">
        <v>370</v>
      </c>
      <c r="B3" s="372"/>
    </row>
    <row r="4" spans="1:2" x14ac:dyDescent="0.25">
      <c r="A4" s="373" t="s">
        <v>320</v>
      </c>
      <c r="B4" s="372"/>
    </row>
    <row r="5" spans="1:2" x14ac:dyDescent="0.25">
      <c r="A5" s="373" t="s">
        <v>371</v>
      </c>
      <c r="B5" s="372"/>
    </row>
    <row r="8" spans="1:2" x14ac:dyDescent="0.25">
      <c r="A8" s="12" t="s">
        <v>293</v>
      </c>
      <c r="B8" s="12" t="s">
        <v>34</v>
      </c>
    </row>
    <row r="9" spans="1:2" x14ac:dyDescent="0.25">
      <c r="A9" s="27">
        <v>2</v>
      </c>
      <c r="B9" s="10" t="s">
        <v>378</v>
      </c>
    </row>
    <row r="10" spans="1:2" x14ac:dyDescent="0.25">
      <c r="A10" s="27">
        <v>3</v>
      </c>
      <c r="B10" s="10" t="s">
        <v>379</v>
      </c>
    </row>
    <row r="11" spans="1:2" x14ac:dyDescent="0.25">
      <c r="A11" s="13" t="s">
        <v>546</v>
      </c>
      <c r="B11" s="89" t="s">
        <v>380</v>
      </c>
    </row>
    <row r="12" spans="1:2" x14ac:dyDescent="0.25">
      <c r="A12" s="27">
        <v>7</v>
      </c>
      <c r="B12" s="89" t="s">
        <v>381</v>
      </c>
    </row>
    <row r="13" spans="1:2" x14ac:dyDescent="0.25">
      <c r="A13" s="27">
        <f>+A12+1</f>
        <v>8</v>
      </c>
      <c r="B13" s="10" t="s">
        <v>382</v>
      </c>
    </row>
    <row r="14" spans="1:2" x14ac:dyDescent="0.25">
      <c r="A14" s="105">
        <f t="shared" ref="A14:A33" si="0">+A13+1</f>
        <v>9</v>
      </c>
      <c r="B14" s="10" t="s">
        <v>296</v>
      </c>
    </row>
    <row r="15" spans="1:2" x14ac:dyDescent="0.25">
      <c r="A15" s="105">
        <f t="shared" si="0"/>
        <v>10</v>
      </c>
      <c r="B15" s="89" t="s">
        <v>406</v>
      </c>
    </row>
    <row r="16" spans="1:2" x14ac:dyDescent="0.25">
      <c r="A16" s="105">
        <f t="shared" si="0"/>
        <v>11</v>
      </c>
      <c r="B16" s="10" t="s">
        <v>383</v>
      </c>
    </row>
    <row r="17" spans="1:2" x14ac:dyDescent="0.25">
      <c r="A17" s="105">
        <f t="shared" si="0"/>
        <v>12</v>
      </c>
      <c r="B17" s="11" t="s">
        <v>1</v>
      </c>
    </row>
    <row r="18" spans="1:2" x14ac:dyDescent="0.25">
      <c r="A18" s="105">
        <f t="shared" si="0"/>
        <v>13</v>
      </c>
      <c r="B18" s="11" t="s">
        <v>35</v>
      </c>
    </row>
    <row r="19" spans="1:2" x14ac:dyDescent="0.25">
      <c r="A19" s="105">
        <f t="shared" si="0"/>
        <v>14</v>
      </c>
      <c r="B19" s="11" t="s">
        <v>10</v>
      </c>
    </row>
    <row r="20" spans="1:2" x14ac:dyDescent="0.25">
      <c r="A20" s="105">
        <f t="shared" si="0"/>
        <v>15</v>
      </c>
      <c r="B20" s="10" t="s">
        <v>114</v>
      </c>
    </row>
    <row r="21" spans="1:2" x14ac:dyDescent="0.25">
      <c r="A21" s="105">
        <f t="shared" si="0"/>
        <v>16</v>
      </c>
      <c r="B21" s="10" t="s">
        <v>36</v>
      </c>
    </row>
    <row r="22" spans="1:2" x14ac:dyDescent="0.25">
      <c r="A22" s="105">
        <f t="shared" si="0"/>
        <v>17</v>
      </c>
      <c r="B22" s="10" t="s">
        <v>37</v>
      </c>
    </row>
    <row r="23" spans="1:2" x14ac:dyDescent="0.25">
      <c r="A23" s="105">
        <f t="shared" si="0"/>
        <v>18</v>
      </c>
      <c r="B23" s="10" t="s">
        <v>38</v>
      </c>
    </row>
    <row r="24" spans="1:2" x14ac:dyDescent="0.25">
      <c r="A24" s="105">
        <f t="shared" si="0"/>
        <v>19</v>
      </c>
      <c r="B24" s="89" t="s">
        <v>39</v>
      </c>
    </row>
    <row r="25" spans="1:2" x14ac:dyDescent="0.25">
      <c r="A25" s="105">
        <f t="shared" si="0"/>
        <v>20</v>
      </c>
      <c r="B25" s="10" t="s">
        <v>42</v>
      </c>
    </row>
    <row r="26" spans="1:2" x14ac:dyDescent="0.25">
      <c r="A26" s="105">
        <f t="shared" si="0"/>
        <v>21</v>
      </c>
      <c r="B26" s="10" t="s">
        <v>384</v>
      </c>
    </row>
    <row r="27" spans="1:2" x14ac:dyDescent="0.25">
      <c r="A27" s="105">
        <f t="shared" si="0"/>
        <v>22</v>
      </c>
      <c r="B27" s="10" t="s">
        <v>43</v>
      </c>
    </row>
    <row r="28" spans="1:2" x14ac:dyDescent="0.25">
      <c r="A28" s="105">
        <f t="shared" si="0"/>
        <v>23</v>
      </c>
      <c r="B28" s="10" t="s">
        <v>44</v>
      </c>
    </row>
    <row r="29" spans="1:2" x14ac:dyDescent="0.25">
      <c r="A29" s="105">
        <f t="shared" si="0"/>
        <v>24</v>
      </c>
      <c r="B29" s="10" t="s">
        <v>45</v>
      </c>
    </row>
    <row r="30" spans="1:2" x14ac:dyDescent="0.25">
      <c r="A30" s="105">
        <f t="shared" si="0"/>
        <v>25</v>
      </c>
      <c r="B30" s="10" t="s">
        <v>41</v>
      </c>
    </row>
    <row r="31" spans="1:2" x14ac:dyDescent="0.25">
      <c r="A31" s="105">
        <f t="shared" si="0"/>
        <v>26</v>
      </c>
      <c r="B31" s="10" t="s">
        <v>40</v>
      </c>
    </row>
    <row r="32" spans="1:2" x14ac:dyDescent="0.25">
      <c r="A32" s="105">
        <f t="shared" si="0"/>
        <v>27</v>
      </c>
      <c r="B32" s="10" t="s">
        <v>46</v>
      </c>
    </row>
    <row r="33" spans="1:2" x14ac:dyDescent="0.25">
      <c r="A33" s="105">
        <f t="shared" si="0"/>
        <v>28</v>
      </c>
      <c r="B33" s="10" t="s">
        <v>288</v>
      </c>
    </row>
    <row r="34" spans="1:2" x14ac:dyDescent="0.25">
      <c r="A34" s="106" t="s">
        <v>547</v>
      </c>
      <c r="B34" s="10" t="s">
        <v>47</v>
      </c>
    </row>
    <row r="35" spans="1:2" x14ac:dyDescent="0.25">
      <c r="A35" s="28">
        <v>31</v>
      </c>
      <c r="B35" s="89" t="s">
        <v>289</v>
      </c>
    </row>
  </sheetData>
  <mergeCells count="5">
    <mergeCell ref="A1:B1"/>
    <mergeCell ref="A2:B2"/>
    <mergeCell ref="A3:B3"/>
    <mergeCell ref="A4:B4"/>
    <mergeCell ref="A5:B5"/>
  </mergeCells>
  <hyperlinks>
    <hyperlink ref="B17" location="'Customer Counts'!A1" display="Customer Counts"/>
    <hyperlink ref="B13" location="'Revenue Sensitive Items'!A1" display="Revenue Sensitive Items"/>
    <hyperlink ref="B19" location="'Customer Advances (252)'!A1" display="Customer Advances"/>
    <hyperlink ref="B18" location="'Customer Deposits (235)'!A1" display="Customer Deposits"/>
    <hyperlink ref="B21" location="'Other Op Rev (450-451)'!A1" display="Other Op Rev (450-451)"/>
    <hyperlink ref="B22" location="'Other Op Rev Equip Rental (454)'!A1" display="Other Op Rev (454)"/>
    <hyperlink ref="B23" location="'Records &amp; Collec (903)'!A1" display="Records &amp; Collec (903)"/>
    <hyperlink ref="B31" location="'Meter Costs (370)'!A1" display="Meter Costs (370)"/>
    <hyperlink ref="B30" location="'Distribution Service (369)'!A1" display="Distribution Service (369)"/>
    <hyperlink ref="B25" location="'Dist Plant (360-368)'!A1" display="Dist Plant (360-368)"/>
    <hyperlink ref="B26" location="'Dist Accum Depr (360-368)'!A1" display="Dist Accum Depr (360-368)"/>
    <hyperlink ref="B27" location="'NCP Dist Plant (360-362)'!A1" display="NCP Dist Plant (360-362)"/>
    <hyperlink ref="B28" location="'NCP Dist OH-UG Plant (364-367)'!A1" display="NCP Dist OH-UG Plant (364-367)"/>
    <hyperlink ref="B29" location="'Dist Transformer Plant (368)'!A1" display="Dist Transformer Plant (368)"/>
    <hyperlink ref="B32" location="'Load Research Data - Summary'!A1" display="Load Research Data - Summary"/>
    <hyperlink ref="B33" location="'Load Research Data - Dem 4CP'!A1" display="Load Research Data - Demand 4CP"/>
    <hyperlink ref="B34" location="'Load Research Data -Energy'!A1" display="Load Research Data -Energy"/>
    <hyperlink ref="B20" location="'Proforma Revenue'!A1" display="Proforma Revenue"/>
    <hyperlink ref="B9" location="'ECOS - INPUTS'!A1" display="2017 ECOS - Inputs"/>
    <hyperlink ref="B10" location="'ECOS - CLASSIFIERS'!A1" display="2017 ECOS - Classifiers"/>
    <hyperlink ref="B12" location="ROR!A1" display="2019 GRC ROR"/>
    <hyperlink ref="B11" location="'ECOS - EXTERNAL (2019 GRC)'!A1" display="2019 GRC ECOS - External Allocation Factors"/>
    <hyperlink ref="B16" location="'Peak Credit'!A1" display="Peak Credit"/>
    <hyperlink ref="B35" location="'BPA Delivered MWh'!A1" display="BPA Res Exchange kWh"/>
    <hyperlink ref="B14" location="'Proposed Rev'!A1" display="Proposed Revenue"/>
    <hyperlink ref="B24" location="'Uncollectibles (904)'!A1" display="Uncollectibles (904)"/>
    <hyperlink ref="B15" location="'Prop RW &amp; Spec Cont Rev'!A1" display="Proposed Revenue - Spec Cont &amp; Retail Wheeling"/>
  </hyperlinks>
  <printOptions horizontalCentered="1"/>
  <pageMargins left="0.25" right="0.25" top="0.75" bottom="0.75" header="0.3" footer="0.3"/>
  <pageSetup scale="96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zoomScaleNormal="10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2.7109375" style="256" bestFit="1" customWidth="1"/>
    <col min="2" max="13" width="10.5703125" style="256" bestFit="1" customWidth="1"/>
    <col min="14" max="14" width="2.42578125" style="256" customWidth="1"/>
    <col min="15" max="15" width="10.5703125" style="256" bestFit="1" customWidth="1"/>
    <col min="16" max="16" width="10.7109375" style="256" bestFit="1" customWidth="1"/>
    <col min="17" max="17" width="10.5703125" style="256" bestFit="1" customWidth="1"/>
    <col min="18" max="16384" width="9.140625" style="256"/>
  </cols>
  <sheetData>
    <row r="1" spans="1:17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</row>
    <row r="2" spans="1:17" x14ac:dyDescent="0.25">
      <c r="A2" s="397" t="s">
        <v>548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</row>
    <row r="3" spans="1:17" x14ac:dyDescent="0.25">
      <c r="A3" s="397" t="s">
        <v>304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</row>
    <row r="4" spans="1:17" x14ac:dyDescent="0.25">
      <c r="A4" s="396" t="s">
        <v>1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</row>
    <row r="5" spans="1:17" x14ac:dyDescent="0.25">
      <c r="A5" s="397" t="s">
        <v>305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</row>
    <row r="7" spans="1:17" ht="30" x14ac:dyDescent="0.25">
      <c r="A7" s="334" t="s">
        <v>0</v>
      </c>
      <c r="B7" s="334" t="s">
        <v>1</v>
      </c>
    </row>
    <row r="9" spans="1:17" ht="60" x14ac:dyDescent="0.25">
      <c r="A9" s="334" t="s">
        <v>2</v>
      </c>
      <c r="B9" s="301" t="s">
        <v>313</v>
      </c>
      <c r="C9" s="301" t="s">
        <v>312</v>
      </c>
      <c r="D9" s="301" t="s">
        <v>311</v>
      </c>
      <c r="E9" s="301" t="s">
        <v>306</v>
      </c>
      <c r="F9" s="301" t="s">
        <v>307</v>
      </c>
      <c r="G9" s="301" t="s">
        <v>308</v>
      </c>
      <c r="H9" s="301" t="s">
        <v>309</v>
      </c>
      <c r="I9" s="301" t="s">
        <v>310</v>
      </c>
      <c r="J9" s="301" t="s">
        <v>314</v>
      </c>
      <c r="K9" s="301" t="s">
        <v>315</v>
      </c>
      <c r="L9" s="301" t="s">
        <v>316</v>
      </c>
      <c r="M9" s="301" t="s">
        <v>317</v>
      </c>
      <c r="N9" s="289"/>
      <c r="O9" s="334" t="s">
        <v>3</v>
      </c>
      <c r="P9" s="301" t="s">
        <v>329</v>
      </c>
      <c r="Q9" s="334" t="s">
        <v>4</v>
      </c>
    </row>
    <row r="10" spans="1:17" x14ac:dyDescent="0.25">
      <c r="A10" s="290">
        <v>7</v>
      </c>
      <c r="B10" s="335">
        <v>1005060</v>
      </c>
      <c r="C10" s="335">
        <v>1006215</v>
      </c>
      <c r="D10" s="335">
        <v>1006855</v>
      </c>
      <c r="E10" s="335">
        <v>1007514</v>
      </c>
      <c r="F10" s="335">
        <v>1008561</v>
      </c>
      <c r="G10" s="335">
        <v>1009696</v>
      </c>
      <c r="H10" s="335">
        <v>1010120</v>
      </c>
      <c r="I10" s="335">
        <v>1011178</v>
      </c>
      <c r="J10" s="335">
        <v>1012929</v>
      </c>
      <c r="K10" s="335">
        <v>1014406</v>
      </c>
      <c r="L10" s="335">
        <v>1016565</v>
      </c>
      <c r="M10" s="335">
        <v>1017763</v>
      </c>
      <c r="O10" s="281">
        <f>ROUND(AVERAGE(B10:M10),0)</f>
        <v>1010572</v>
      </c>
      <c r="P10" s="281"/>
      <c r="Q10" s="281">
        <f>+O10+P10</f>
        <v>1010572</v>
      </c>
    </row>
    <row r="11" spans="1:17" x14ac:dyDescent="0.25">
      <c r="A11" s="290">
        <v>24</v>
      </c>
      <c r="B11" s="335">
        <v>120955</v>
      </c>
      <c r="C11" s="335">
        <v>121123</v>
      </c>
      <c r="D11" s="335">
        <v>121264</v>
      </c>
      <c r="E11" s="335">
        <v>121274</v>
      </c>
      <c r="F11" s="335">
        <v>121372</v>
      </c>
      <c r="G11" s="335">
        <v>121592</v>
      </c>
      <c r="H11" s="335">
        <v>121703</v>
      </c>
      <c r="I11" s="335">
        <v>121847</v>
      </c>
      <c r="J11" s="335">
        <v>121977</v>
      </c>
      <c r="K11" s="335">
        <v>122030</v>
      </c>
      <c r="L11" s="335">
        <v>121995</v>
      </c>
      <c r="M11" s="335">
        <v>121946</v>
      </c>
      <c r="O11" s="281">
        <f t="shared" ref="O11:O23" si="0">ROUND(AVERAGE(B11:M11),0)</f>
        <v>121590</v>
      </c>
      <c r="P11" s="281">
        <v>8</v>
      </c>
      <c r="Q11" s="281">
        <f t="shared" ref="Q11:Q23" si="1">+O11+P11</f>
        <v>121598</v>
      </c>
    </row>
    <row r="12" spans="1:17" x14ac:dyDescent="0.25">
      <c r="A12" s="290">
        <v>25</v>
      </c>
      <c r="B12" s="335">
        <v>7284</v>
      </c>
      <c r="C12" s="335">
        <v>7385</v>
      </c>
      <c r="D12" s="335">
        <v>7506</v>
      </c>
      <c r="E12" s="335">
        <v>7622</v>
      </c>
      <c r="F12" s="335">
        <v>7677</v>
      </c>
      <c r="G12" s="335">
        <v>7578</v>
      </c>
      <c r="H12" s="335">
        <v>7548</v>
      </c>
      <c r="I12" s="335">
        <v>7549</v>
      </c>
      <c r="J12" s="335">
        <v>7552</v>
      </c>
      <c r="K12" s="335">
        <v>7593</v>
      </c>
      <c r="L12" s="335">
        <v>7643</v>
      </c>
      <c r="M12" s="335">
        <v>7651</v>
      </c>
      <c r="O12" s="281">
        <f t="shared" si="0"/>
        <v>7549</v>
      </c>
      <c r="P12" s="281">
        <v>12</v>
      </c>
      <c r="Q12" s="281">
        <f t="shared" si="1"/>
        <v>7561</v>
      </c>
    </row>
    <row r="13" spans="1:17" x14ac:dyDescent="0.25">
      <c r="A13" s="290">
        <v>26</v>
      </c>
      <c r="B13" s="335">
        <v>803</v>
      </c>
      <c r="C13" s="335">
        <v>798</v>
      </c>
      <c r="D13" s="335">
        <v>799</v>
      </c>
      <c r="E13" s="335">
        <v>803</v>
      </c>
      <c r="F13" s="335">
        <v>832</v>
      </c>
      <c r="G13" s="335">
        <v>861</v>
      </c>
      <c r="H13" s="335">
        <v>859</v>
      </c>
      <c r="I13" s="335">
        <v>863</v>
      </c>
      <c r="J13" s="335">
        <v>863</v>
      </c>
      <c r="K13" s="335">
        <v>850</v>
      </c>
      <c r="L13" s="335">
        <v>820</v>
      </c>
      <c r="M13" s="335">
        <v>822</v>
      </c>
      <c r="O13" s="281">
        <f t="shared" si="0"/>
        <v>831</v>
      </c>
      <c r="P13" s="281">
        <v>11</v>
      </c>
      <c r="Q13" s="281">
        <f t="shared" si="1"/>
        <v>842</v>
      </c>
    </row>
    <row r="14" spans="1:17" x14ac:dyDescent="0.25">
      <c r="A14" s="290">
        <v>29</v>
      </c>
      <c r="B14" s="335">
        <v>533</v>
      </c>
      <c r="C14" s="335">
        <v>521</v>
      </c>
      <c r="D14" s="335">
        <v>529</v>
      </c>
      <c r="E14" s="335">
        <v>564</v>
      </c>
      <c r="F14" s="335">
        <v>629</v>
      </c>
      <c r="G14" s="335">
        <v>665</v>
      </c>
      <c r="H14" s="335">
        <v>687</v>
      </c>
      <c r="I14" s="335">
        <v>695</v>
      </c>
      <c r="J14" s="335">
        <v>683</v>
      </c>
      <c r="K14" s="335">
        <v>633</v>
      </c>
      <c r="L14" s="335">
        <v>554</v>
      </c>
      <c r="M14" s="335">
        <v>539</v>
      </c>
      <c r="O14" s="281">
        <f t="shared" si="0"/>
        <v>603</v>
      </c>
      <c r="P14" s="281"/>
      <c r="Q14" s="281">
        <f t="shared" si="1"/>
        <v>603</v>
      </c>
    </row>
    <row r="15" spans="1:17" x14ac:dyDescent="0.25">
      <c r="A15" s="290">
        <v>31</v>
      </c>
      <c r="B15" s="335">
        <v>482</v>
      </c>
      <c r="C15" s="335">
        <v>480</v>
      </c>
      <c r="D15" s="335">
        <v>481</v>
      </c>
      <c r="E15" s="335">
        <v>483</v>
      </c>
      <c r="F15" s="335">
        <v>482</v>
      </c>
      <c r="G15" s="335">
        <v>483</v>
      </c>
      <c r="H15" s="335">
        <v>483</v>
      </c>
      <c r="I15" s="335">
        <v>482</v>
      </c>
      <c r="J15" s="335">
        <v>481</v>
      </c>
      <c r="K15" s="335">
        <v>482</v>
      </c>
      <c r="L15" s="335">
        <v>482</v>
      </c>
      <c r="M15" s="335">
        <v>481</v>
      </c>
      <c r="O15" s="281">
        <f t="shared" si="0"/>
        <v>482</v>
      </c>
      <c r="P15" s="281">
        <v>5</v>
      </c>
      <c r="Q15" s="281">
        <f t="shared" si="1"/>
        <v>487</v>
      </c>
    </row>
    <row r="16" spans="1:17" x14ac:dyDescent="0.25">
      <c r="A16" s="290">
        <v>35</v>
      </c>
      <c r="B16" s="335">
        <v>1</v>
      </c>
      <c r="C16" s="335">
        <v>1</v>
      </c>
      <c r="D16" s="335">
        <v>1</v>
      </c>
      <c r="E16" s="335">
        <v>1</v>
      </c>
      <c r="F16" s="335">
        <v>2</v>
      </c>
      <c r="G16" s="335">
        <v>2</v>
      </c>
      <c r="H16" s="335">
        <v>2</v>
      </c>
      <c r="I16" s="335">
        <v>2</v>
      </c>
      <c r="J16" s="335">
        <v>2</v>
      </c>
      <c r="K16" s="335">
        <v>2</v>
      </c>
      <c r="L16" s="335">
        <v>2</v>
      </c>
      <c r="M16" s="335">
        <v>2</v>
      </c>
      <c r="O16" s="281">
        <f t="shared" si="0"/>
        <v>2</v>
      </c>
      <c r="P16" s="281"/>
      <c r="Q16" s="281">
        <f t="shared" si="1"/>
        <v>2</v>
      </c>
    </row>
    <row r="17" spans="1:17" x14ac:dyDescent="0.25">
      <c r="A17" s="290">
        <v>40</v>
      </c>
      <c r="B17" s="335">
        <v>130</v>
      </c>
      <c r="C17" s="335">
        <v>128</v>
      </c>
      <c r="D17" s="335">
        <v>128</v>
      </c>
      <c r="E17" s="335">
        <v>128</v>
      </c>
      <c r="F17" s="335">
        <v>128</v>
      </c>
      <c r="G17" s="335">
        <v>128</v>
      </c>
      <c r="H17" s="335">
        <v>129</v>
      </c>
      <c r="I17" s="335">
        <v>129</v>
      </c>
      <c r="J17" s="335">
        <v>129</v>
      </c>
      <c r="K17" s="335">
        <v>129</v>
      </c>
      <c r="L17" s="335">
        <v>129</v>
      </c>
      <c r="M17" s="335">
        <v>127</v>
      </c>
      <c r="O17" s="281">
        <f t="shared" si="0"/>
        <v>129</v>
      </c>
      <c r="P17" s="281">
        <v>-129</v>
      </c>
      <c r="Q17" s="281">
        <f t="shared" si="1"/>
        <v>0</v>
      </c>
    </row>
    <row r="18" spans="1:17" x14ac:dyDescent="0.25">
      <c r="A18" s="290">
        <v>43</v>
      </c>
      <c r="B18" s="335">
        <v>157</v>
      </c>
      <c r="C18" s="335">
        <v>156</v>
      </c>
      <c r="D18" s="335">
        <v>156</v>
      </c>
      <c r="E18" s="335">
        <v>155</v>
      </c>
      <c r="F18" s="335">
        <v>155</v>
      </c>
      <c r="G18" s="335">
        <v>155</v>
      </c>
      <c r="H18" s="335">
        <v>155</v>
      </c>
      <c r="I18" s="335">
        <v>154</v>
      </c>
      <c r="J18" s="335">
        <v>154</v>
      </c>
      <c r="K18" s="335">
        <v>153</v>
      </c>
      <c r="L18" s="335">
        <v>153</v>
      </c>
      <c r="M18" s="335">
        <v>153</v>
      </c>
      <c r="O18" s="281">
        <f t="shared" si="0"/>
        <v>155</v>
      </c>
      <c r="P18" s="281"/>
      <c r="Q18" s="281">
        <f t="shared" si="1"/>
        <v>155</v>
      </c>
    </row>
    <row r="19" spans="1:17" x14ac:dyDescent="0.25">
      <c r="A19" s="290">
        <v>46</v>
      </c>
      <c r="B19" s="335">
        <v>6</v>
      </c>
      <c r="C19" s="335">
        <v>6</v>
      </c>
      <c r="D19" s="335">
        <v>6</v>
      </c>
      <c r="E19" s="335">
        <v>6</v>
      </c>
      <c r="F19" s="335">
        <v>6</v>
      </c>
      <c r="G19" s="335">
        <v>6</v>
      </c>
      <c r="H19" s="335">
        <v>6</v>
      </c>
      <c r="I19" s="335">
        <v>6</v>
      </c>
      <c r="J19" s="335">
        <v>6</v>
      </c>
      <c r="K19" s="335">
        <v>6</v>
      </c>
      <c r="L19" s="335">
        <v>6</v>
      </c>
      <c r="M19" s="335">
        <v>6</v>
      </c>
      <c r="O19" s="281">
        <f t="shared" si="0"/>
        <v>6</v>
      </c>
      <c r="P19" s="281"/>
      <c r="Q19" s="281">
        <f t="shared" si="1"/>
        <v>6</v>
      </c>
    </row>
    <row r="20" spans="1:17" x14ac:dyDescent="0.25">
      <c r="A20" s="290">
        <v>49</v>
      </c>
      <c r="B20" s="335">
        <v>19</v>
      </c>
      <c r="C20" s="335">
        <v>19</v>
      </c>
      <c r="D20" s="335">
        <v>19</v>
      </c>
      <c r="E20" s="335">
        <v>19</v>
      </c>
      <c r="F20" s="335">
        <v>19</v>
      </c>
      <c r="G20" s="335">
        <v>19</v>
      </c>
      <c r="H20" s="335">
        <v>19</v>
      </c>
      <c r="I20" s="335">
        <v>19</v>
      </c>
      <c r="J20" s="335">
        <v>19</v>
      </c>
      <c r="K20" s="335">
        <v>19</v>
      </c>
      <c r="L20" s="335">
        <v>19</v>
      </c>
      <c r="M20" s="335">
        <v>19</v>
      </c>
      <c r="O20" s="281">
        <f t="shared" si="0"/>
        <v>19</v>
      </c>
      <c r="P20" s="281"/>
      <c r="Q20" s="281">
        <f t="shared" si="1"/>
        <v>19</v>
      </c>
    </row>
    <row r="21" spans="1:17" x14ac:dyDescent="0.25">
      <c r="A21" s="290" t="s">
        <v>7</v>
      </c>
      <c r="B21" s="335">
        <v>16</v>
      </c>
      <c r="C21" s="335">
        <v>16</v>
      </c>
      <c r="D21" s="335">
        <v>16</v>
      </c>
      <c r="E21" s="335">
        <v>16</v>
      </c>
      <c r="F21" s="335">
        <v>16</v>
      </c>
      <c r="G21" s="335">
        <v>16</v>
      </c>
      <c r="H21" s="335">
        <v>16</v>
      </c>
      <c r="I21" s="335">
        <v>16</v>
      </c>
      <c r="J21" s="335">
        <v>16</v>
      </c>
      <c r="K21" s="335">
        <v>16</v>
      </c>
      <c r="L21" s="335">
        <v>16</v>
      </c>
      <c r="M21" s="335">
        <v>16</v>
      </c>
      <c r="O21" s="281">
        <f t="shared" si="0"/>
        <v>16</v>
      </c>
      <c r="P21" s="281">
        <v>93</v>
      </c>
      <c r="Q21" s="281">
        <f t="shared" si="1"/>
        <v>109</v>
      </c>
    </row>
    <row r="22" spans="1:17" x14ac:dyDescent="0.25">
      <c r="A22" s="290" t="s">
        <v>5</v>
      </c>
      <c r="B22" s="335">
        <v>7688</v>
      </c>
      <c r="C22" s="335">
        <v>7711</v>
      </c>
      <c r="D22" s="335">
        <v>7732</v>
      </c>
      <c r="E22" s="335">
        <v>7767</v>
      </c>
      <c r="F22" s="335">
        <v>7804</v>
      </c>
      <c r="G22" s="335">
        <v>7850</v>
      </c>
      <c r="H22" s="335">
        <v>7854</v>
      </c>
      <c r="I22" s="335">
        <v>7869</v>
      </c>
      <c r="J22" s="335">
        <v>7883</v>
      </c>
      <c r="K22" s="335">
        <v>7905</v>
      </c>
      <c r="L22" s="335">
        <v>7924</v>
      </c>
      <c r="M22" s="335">
        <v>7963</v>
      </c>
      <c r="O22" s="281">
        <f t="shared" si="0"/>
        <v>7829</v>
      </c>
      <c r="P22" s="281"/>
      <c r="Q22" s="281">
        <f t="shared" si="1"/>
        <v>7829</v>
      </c>
    </row>
    <row r="23" spans="1:17" x14ac:dyDescent="0.25">
      <c r="A23" s="290" t="s">
        <v>6</v>
      </c>
      <c r="B23" s="335">
        <v>8</v>
      </c>
      <c r="C23" s="335">
        <v>8</v>
      </c>
      <c r="D23" s="335">
        <v>8</v>
      </c>
      <c r="E23" s="335">
        <v>8</v>
      </c>
      <c r="F23" s="335">
        <v>8</v>
      </c>
      <c r="G23" s="335">
        <v>8</v>
      </c>
      <c r="H23" s="335">
        <v>8</v>
      </c>
      <c r="I23" s="335">
        <v>8</v>
      </c>
      <c r="J23" s="335">
        <v>8</v>
      </c>
      <c r="K23" s="335">
        <v>8</v>
      </c>
      <c r="L23" s="335">
        <v>8</v>
      </c>
      <c r="M23" s="335">
        <v>8</v>
      </c>
      <c r="O23" s="281">
        <f t="shared" si="0"/>
        <v>8</v>
      </c>
      <c r="P23" s="281"/>
      <c r="Q23" s="281">
        <f t="shared" si="1"/>
        <v>8</v>
      </c>
    </row>
    <row r="24" spans="1:17" x14ac:dyDescent="0.25">
      <c r="A24" s="288" t="s">
        <v>8</v>
      </c>
      <c r="B24" s="288">
        <f>SUM(B10:B23)</f>
        <v>1143142</v>
      </c>
      <c r="C24" s="288">
        <f t="shared" ref="C24:M24" si="2">SUM(C10:C23)</f>
        <v>1144567</v>
      </c>
      <c r="D24" s="288">
        <f t="shared" si="2"/>
        <v>1145500</v>
      </c>
      <c r="E24" s="288">
        <f t="shared" si="2"/>
        <v>1146360</v>
      </c>
      <c r="F24" s="288">
        <f t="shared" si="2"/>
        <v>1147691</v>
      </c>
      <c r="G24" s="288">
        <f t="shared" si="2"/>
        <v>1149059</v>
      </c>
      <c r="H24" s="288">
        <f t="shared" si="2"/>
        <v>1149589</v>
      </c>
      <c r="I24" s="288">
        <f t="shared" si="2"/>
        <v>1150817</v>
      </c>
      <c r="J24" s="288">
        <f t="shared" si="2"/>
        <v>1152702</v>
      </c>
      <c r="K24" s="288">
        <f t="shared" si="2"/>
        <v>1154232</v>
      </c>
      <c r="L24" s="288">
        <f t="shared" si="2"/>
        <v>1156316</v>
      </c>
      <c r="M24" s="288">
        <f t="shared" si="2"/>
        <v>1157496</v>
      </c>
      <c r="O24" s="288">
        <f>SUM(O10:O23)</f>
        <v>1149791</v>
      </c>
      <c r="P24" s="288">
        <f t="shared" ref="P24:Q24" si="3">SUM(P10:P23)</f>
        <v>0</v>
      </c>
      <c r="Q24" s="288">
        <f t="shared" si="3"/>
        <v>1149791</v>
      </c>
    </row>
  </sheetData>
  <mergeCells count="5">
    <mergeCell ref="A1:Q1"/>
    <mergeCell ref="A2:Q2"/>
    <mergeCell ref="A3:Q3"/>
    <mergeCell ref="A4:Q4"/>
    <mergeCell ref="A5:Q5"/>
  </mergeCells>
  <printOptions horizontalCentered="1"/>
  <pageMargins left="0.25" right="0.25" top="0.75" bottom="0.75" header="0.3" footer="0.3"/>
  <pageSetup scale="77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/>
  </sheetViews>
  <sheetFormatPr defaultColWidth="8.85546875" defaultRowHeight="15" x14ac:dyDescent="0.25"/>
  <cols>
    <col min="1" max="1" width="11.5703125" style="256" bestFit="1" customWidth="1"/>
    <col min="2" max="2" width="20" style="256" bestFit="1" customWidth="1"/>
    <col min="3" max="16384" width="8.85546875" style="256"/>
  </cols>
  <sheetData>
    <row r="1" spans="1:2" x14ac:dyDescent="0.25">
      <c r="A1" s="396" t="s">
        <v>33</v>
      </c>
      <c r="B1" s="396"/>
    </row>
    <row r="2" spans="1:2" x14ac:dyDescent="0.25">
      <c r="A2" s="396" t="s">
        <v>35</v>
      </c>
      <c r="B2" s="396"/>
    </row>
    <row r="3" spans="1:2" x14ac:dyDescent="0.25">
      <c r="A3" s="396" t="s">
        <v>331</v>
      </c>
      <c r="B3" s="396"/>
    </row>
    <row r="4" spans="1:2" x14ac:dyDescent="0.25">
      <c r="A4" s="396" t="s">
        <v>332</v>
      </c>
      <c r="B4" s="396"/>
    </row>
    <row r="6" spans="1:2" x14ac:dyDescent="0.25">
      <c r="A6" s="256" t="s">
        <v>333</v>
      </c>
      <c r="B6" s="256" t="s">
        <v>334</v>
      </c>
    </row>
    <row r="7" spans="1:2" x14ac:dyDescent="0.25">
      <c r="A7" s="256" t="s">
        <v>22</v>
      </c>
      <c r="B7" s="256" t="s">
        <v>335</v>
      </c>
    </row>
    <row r="8" spans="1:2" x14ac:dyDescent="0.25">
      <c r="A8" s="256" t="s">
        <v>336</v>
      </c>
      <c r="B8" s="256" t="s">
        <v>337</v>
      </c>
    </row>
    <row r="10" spans="1:2" x14ac:dyDescent="0.25">
      <c r="A10" s="256" t="s">
        <v>2</v>
      </c>
      <c r="B10" s="256" t="s">
        <v>226</v>
      </c>
    </row>
    <row r="11" spans="1:2" x14ac:dyDescent="0.25">
      <c r="A11" s="286">
        <v>7</v>
      </c>
      <c r="B11" s="333">
        <v>-30406297.609999999</v>
      </c>
    </row>
    <row r="12" spans="1:2" x14ac:dyDescent="0.25">
      <c r="A12" s="286">
        <v>24</v>
      </c>
      <c r="B12" s="333">
        <v>-2455237.91</v>
      </c>
    </row>
    <row r="13" spans="1:2" x14ac:dyDescent="0.25">
      <c r="A13" s="286">
        <v>25</v>
      </c>
      <c r="B13" s="333">
        <v>-836749.3899999999</v>
      </c>
    </row>
    <row r="14" spans="1:2" x14ac:dyDescent="0.25">
      <c r="A14" s="286">
        <v>26</v>
      </c>
      <c r="B14" s="333">
        <v>-223191.21</v>
      </c>
    </row>
    <row r="15" spans="1:2" x14ac:dyDescent="0.25">
      <c r="A15" s="286">
        <v>29</v>
      </c>
      <c r="B15" s="333">
        <v>-3539.46</v>
      </c>
    </row>
    <row r="16" spans="1:2" x14ac:dyDescent="0.25">
      <c r="A16" s="286">
        <v>31</v>
      </c>
      <c r="B16" s="333">
        <v>-75815.75</v>
      </c>
    </row>
    <row r="17" spans="1:2" x14ac:dyDescent="0.25">
      <c r="A17" s="286" t="s">
        <v>5</v>
      </c>
      <c r="B17" s="333">
        <v>-14633.660000000002</v>
      </c>
    </row>
    <row r="18" spans="1:2" x14ac:dyDescent="0.25">
      <c r="A18" s="286" t="s">
        <v>8</v>
      </c>
      <c r="B18" s="333">
        <f>SUM(B11:B17)</f>
        <v>-34015464.989999995</v>
      </c>
    </row>
  </sheetData>
  <mergeCells count="4"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/>
  </sheetViews>
  <sheetFormatPr defaultRowHeight="15" x14ac:dyDescent="0.25"/>
  <cols>
    <col min="1" max="1" width="4.7109375" style="256" bestFit="1" customWidth="1"/>
    <col min="2" max="2" width="16" style="256" bestFit="1" customWidth="1"/>
    <col min="3" max="6" width="13.42578125" style="256" bestFit="1" customWidth="1"/>
    <col min="7" max="16384" width="9.140625" style="256"/>
  </cols>
  <sheetData>
    <row r="1" spans="1:6" x14ac:dyDescent="0.25">
      <c r="A1" s="396" t="s">
        <v>10</v>
      </c>
      <c r="B1" s="396"/>
      <c r="C1" s="396"/>
      <c r="D1" s="396"/>
      <c r="E1" s="396"/>
      <c r="F1" s="396"/>
    </row>
    <row r="2" spans="1:6" x14ac:dyDescent="0.25">
      <c r="A2" s="396" t="s">
        <v>11</v>
      </c>
      <c r="B2" s="396"/>
      <c r="C2" s="396"/>
      <c r="D2" s="396"/>
      <c r="E2" s="396"/>
      <c r="F2" s="396"/>
    </row>
    <row r="3" spans="1:6" x14ac:dyDescent="0.25">
      <c r="A3" s="397" t="s">
        <v>318</v>
      </c>
      <c r="B3" s="396"/>
      <c r="C3" s="396"/>
      <c r="D3" s="396"/>
      <c r="E3" s="396"/>
      <c r="F3" s="396"/>
    </row>
    <row r="4" spans="1:6" x14ac:dyDescent="0.25">
      <c r="A4" s="396" t="s">
        <v>12</v>
      </c>
      <c r="B4" s="396"/>
      <c r="C4" s="396"/>
      <c r="D4" s="396"/>
      <c r="E4" s="396"/>
      <c r="F4" s="396"/>
    </row>
    <row r="6" spans="1:6" ht="90" x14ac:dyDescent="0.25">
      <c r="A6" s="308" t="s">
        <v>13</v>
      </c>
      <c r="B6" s="308" t="s">
        <v>14</v>
      </c>
      <c r="C6" s="308"/>
      <c r="D6" s="309" t="s">
        <v>15</v>
      </c>
      <c r="E6" s="309" t="s">
        <v>16</v>
      </c>
      <c r="F6" s="309" t="s">
        <v>17</v>
      </c>
    </row>
    <row r="7" spans="1:6" x14ac:dyDescent="0.25">
      <c r="A7" s="290">
        <v>1</v>
      </c>
      <c r="B7" s="256" t="s">
        <v>4</v>
      </c>
      <c r="C7" s="283">
        <f>SUM(D7:F7)</f>
        <v>-77716905.469999999</v>
      </c>
      <c r="D7" s="283">
        <v>-10960533.919999998</v>
      </c>
      <c r="E7" s="283">
        <v>-22353487.709999997</v>
      </c>
      <c r="F7" s="283">
        <v>-44402883.840000004</v>
      </c>
    </row>
    <row r="8" spans="1:6" x14ac:dyDescent="0.25">
      <c r="A8" s="290">
        <f>+A7+1</f>
        <v>2</v>
      </c>
      <c r="D8" s="283"/>
      <c r="E8" s="283"/>
      <c r="F8" s="283"/>
    </row>
    <row r="9" spans="1:6" x14ac:dyDescent="0.25">
      <c r="A9" s="290">
        <f t="shared" ref="A9:A20" si="0">+A8+1</f>
        <v>3</v>
      </c>
      <c r="B9" s="398" t="s">
        <v>1</v>
      </c>
      <c r="C9" s="398"/>
      <c r="D9" s="398"/>
      <c r="E9" s="398"/>
      <c r="F9" s="398"/>
    </row>
    <row r="10" spans="1:6" x14ac:dyDescent="0.25">
      <c r="A10" s="290">
        <f t="shared" si="0"/>
        <v>4</v>
      </c>
      <c r="B10" s="256" t="s">
        <v>18</v>
      </c>
      <c r="C10" s="281">
        <v>1010572</v>
      </c>
      <c r="D10" s="332">
        <v>1</v>
      </c>
      <c r="E10" s="332">
        <f>+D10</f>
        <v>1</v>
      </c>
      <c r="F10" s="332">
        <v>0</v>
      </c>
    </row>
    <row r="11" spans="1:6" x14ac:dyDescent="0.25">
      <c r="A11" s="290">
        <f t="shared" si="0"/>
        <v>5</v>
      </c>
      <c r="B11" s="285" t="s">
        <v>19</v>
      </c>
      <c r="C11" s="281">
        <v>121598</v>
      </c>
      <c r="D11" s="332"/>
      <c r="E11" s="332"/>
      <c r="F11" s="332">
        <f>C11/SUM($C$11:$C$13)</f>
        <v>0.93104345961838841</v>
      </c>
    </row>
    <row r="12" spans="1:6" x14ac:dyDescent="0.25">
      <c r="A12" s="290">
        <f t="shared" si="0"/>
        <v>6</v>
      </c>
      <c r="B12" s="285" t="s">
        <v>20</v>
      </c>
      <c r="C12" s="281">
        <v>8164</v>
      </c>
      <c r="D12" s="332"/>
      <c r="E12" s="332"/>
      <c r="F12" s="332">
        <f>C12/SUM($C$11:$C$13)</f>
        <v>6.250957091666412E-2</v>
      </c>
    </row>
    <row r="13" spans="1:6" x14ac:dyDescent="0.25">
      <c r="A13" s="290">
        <f t="shared" si="0"/>
        <v>7</v>
      </c>
      <c r="B13" s="285" t="s">
        <v>21</v>
      </c>
      <c r="C13" s="281">
        <v>842</v>
      </c>
      <c r="D13" s="332"/>
      <c r="E13" s="332"/>
      <c r="F13" s="332">
        <f>C13/SUM($C$11:$C$13)</f>
        <v>6.4469694649474749E-3</v>
      </c>
    </row>
    <row r="14" spans="1:6" x14ac:dyDescent="0.25">
      <c r="A14" s="290">
        <f t="shared" si="0"/>
        <v>8</v>
      </c>
      <c r="C14" s="281">
        <f>SUM(C10:C13)</f>
        <v>1141176</v>
      </c>
      <c r="D14" s="332"/>
      <c r="E14" s="332"/>
    </row>
    <row r="15" spans="1:6" x14ac:dyDescent="0.25">
      <c r="A15" s="290">
        <f t="shared" si="0"/>
        <v>9</v>
      </c>
    </row>
    <row r="16" spans="1:6" x14ac:dyDescent="0.25">
      <c r="A16" s="290">
        <f t="shared" si="0"/>
        <v>10</v>
      </c>
      <c r="B16" s="256" t="s">
        <v>18</v>
      </c>
      <c r="C16" s="283">
        <f>SUM(D16:F16)</f>
        <v>-33314021.629999995</v>
      </c>
      <c r="D16" s="283">
        <f>+D7*D10</f>
        <v>-10960533.919999998</v>
      </c>
      <c r="E16" s="283">
        <f t="shared" ref="E16" si="1">+E7*E10</f>
        <v>-22353487.709999997</v>
      </c>
      <c r="F16" s="283">
        <f>+$F$7*F10</f>
        <v>0</v>
      </c>
    </row>
    <row r="17" spans="1:6" x14ac:dyDescent="0.25">
      <c r="A17" s="290">
        <f t="shared" si="0"/>
        <v>11</v>
      </c>
      <c r="B17" s="285" t="s">
        <v>19</v>
      </c>
      <c r="C17" s="283">
        <f>SUM(D17:F17)</f>
        <v>-41341014.587427035</v>
      </c>
      <c r="D17" s="283"/>
      <c r="E17" s="283"/>
      <c r="F17" s="283">
        <f t="shared" ref="F17:F19" si="2">+$F$7*F11</f>
        <v>-41341014.587427035</v>
      </c>
    </row>
    <row r="18" spans="1:6" x14ac:dyDescent="0.25">
      <c r="A18" s="290">
        <f t="shared" si="0"/>
        <v>12</v>
      </c>
      <c r="B18" s="285" t="s">
        <v>20</v>
      </c>
      <c r="C18" s="283">
        <f>SUM(D18:F18)</f>
        <v>-2775605.2163008796</v>
      </c>
      <c r="D18" s="283"/>
      <c r="E18" s="283"/>
      <c r="F18" s="283">
        <f t="shared" si="2"/>
        <v>-2775605.2163008796</v>
      </c>
    </row>
    <row r="19" spans="1:6" x14ac:dyDescent="0.25">
      <c r="A19" s="290">
        <f t="shared" si="0"/>
        <v>13</v>
      </c>
      <c r="B19" s="285" t="s">
        <v>21</v>
      </c>
      <c r="C19" s="283">
        <f>SUM(D19:F19)</f>
        <v>-286264.0362720897</v>
      </c>
      <c r="D19" s="283"/>
      <c r="E19" s="283"/>
      <c r="F19" s="283">
        <f t="shared" si="2"/>
        <v>-286264.0362720897</v>
      </c>
    </row>
    <row r="20" spans="1:6" x14ac:dyDescent="0.25">
      <c r="A20" s="290">
        <f t="shared" si="0"/>
        <v>14</v>
      </c>
      <c r="B20" s="286" t="s">
        <v>4</v>
      </c>
      <c r="C20" s="283">
        <f>SUM(C16:C19)</f>
        <v>-77716905.469999999</v>
      </c>
      <c r="D20" s="283">
        <f t="shared" ref="D20:F20" si="3">SUM(D16:D19)</f>
        <v>-10960533.919999998</v>
      </c>
      <c r="E20" s="283">
        <f t="shared" si="3"/>
        <v>-22353487.709999997</v>
      </c>
      <c r="F20" s="283">
        <f t="shared" si="3"/>
        <v>-44402883.840000004</v>
      </c>
    </row>
  </sheetData>
  <mergeCells count="6">
    <mergeCell ref="A1:F1"/>
    <mergeCell ref="A2:F2"/>
    <mergeCell ref="A3:F3"/>
    <mergeCell ref="A4:F4"/>
    <mergeCell ref="B9:C9"/>
    <mergeCell ref="D9:F9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workbookViewId="0">
      <pane xSplit="3" ySplit="8" topLeftCell="D3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4.140625" style="256" bestFit="1" customWidth="1"/>
    <col min="2" max="2" width="14" style="256" bestFit="1" customWidth="1"/>
    <col min="3" max="3" width="24.7109375" style="256" bestFit="1" customWidth="1"/>
    <col min="4" max="5" width="15.28515625" style="256" bestFit="1" customWidth="1"/>
    <col min="6" max="6" width="12.28515625" style="256" bestFit="1" customWidth="1"/>
    <col min="7" max="7" width="13.42578125" style="256" bestFit="1" customWidth="1"/>
    <col min="8" max="8" width="12.5703125" style="256" bestFit="1" customWidth="1"/>
    <col min="9" max="9" width="1.42578125" style="256" customWidth="1"/>
    <col min="10" max="11" width="15.28515625" style="256" bestFit="1" customWidth="1"/>
    <col min="12" max="12" width="12.28515625" style="256" bestFit="1" customWidth="1"/>
    <col min="13" max="13" width="13.42578125" style="256" bestFit="1" customWidth="1"/>
    <col min="14" max="14" width="12.5703125" style="256" bestFit="1" customWidth="1"/>
    <col min="15" max="16384" width="9.140625" style="256"/>
  </cols>
  <sheetData>
    <row r="1" spans="1:14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x14ac:dyDescent="0.25">
      <c r="A2" s="397" t="s">
        <v>107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1:14" x14ac:dyDescent="0.25">
      <c r="A3" s="397" t="s">
        <v>319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</row>
    <row r="4" spans="1:14" x14ac:dyDescent="0.25">
      <c r="A4" s="397" t="s">
        <v>320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6" spans="1:14" x14ac:dyDescent="0.25">
      <c r="D6" s="400" t="s">
        <v>108</v>
      </c>
      <c r="E6" s="400"/>
      <c r="F6" s="400"/>
      <c r="G6" s="400"/>
      <c r="H6" s="400"/>
      <c r="J6" s="400" t="s">
        <v>109</v>
      </c>
      <c r="K6" s="400"/>
      <c r="L6" s="400"/>
      <c r="M6" s="400"/>
      <c r="N6" s="400"/>
    </row>
    <row r="7" spans="1:14" ht="45" x14ac:dyDescent="0.25">
      <c r="A7" s="308" t="s">
        <v>110</v>
      </c>
      <c r="B7" s="308" t="s">
        <v>604</v>
      </c>
      <c r="C7" s="308" t="s">
        <v>14</v>
      </c>
      <c r="D7" s="309" t="s">
        <v>605</v>
      </c>
      <c r="E7" s="308" t="s">
        <v>606</v>
      </c>
      <c r="F7" s="308" t="s">
        <v>607</v>
      </c>
      <c r="G7" s="308" t="s">
        <v>608</v>
      </c>
      <c r="H7" s="308" t="s">
        <v>609</v>
      </c>
      <c r="I7" s="309"/>
      <c r="J7" s="309" t="s">
        <v>605</v>
      </c>
      <c r="K7" s="309" t="s">
        <v>606</v>
      </c>
      <c r="L7" s="308" t="s">
        <v>607</v>
      </c>
      <c r="M7" s="308" t="s">
        <v>608</v>
      </c>
      <c r="N7" s="308" t="s">
        <v>609</v>
      </c>
    </row>
    <row r="8" spans="1:14" x14ac:dyDescent="0.25">
      <c r="A8" s="328">
        <v>0</v>
      </c>
      <c r="B8" s="328" t="s">
        <v>610</v>
      </c>
      <c r="C8" s="329" t="s">
        <v>611</v>
      </c>
      <c r="D8" s="329" t="s">
        <v>612</v>
      </c>
      <c r="E8" s="329" t="s">
        <v>613</v>
      </c>
      <c r="F8" s="329" t="s">
        <v>614</v>
      </c>
      <c r="G8" s="329" t="s">
        <v>615</v>
      </c>
      <c r="H8" s="329" t="s">
        <v>616</v>
      </c>
      <c r="I8" s="329"/>
      <c r="J8" s="329" t="s">
        <v>617</v>
      </c>
      <c r="K8" s="329" t="s">
        <v>618</v>
      </c>
      <c r="L8" s="329" t="s">
        <v>619</v>
      </c>
      <c r="M8" s="329" t="s">
        <v>620</v>
      </c>
      <c r="N8" s="329" t="s">
        <v>621</v>
      </c>
    </row>
    <row r="9" spans="1:14" x14ac:dyDescent="0.25">
      <c r="A9" s="290">
        <v>1</v>
      </c>
      <c r="B9" s="290">
        <v>7</v>
      </c>
      <c r="C9" s="256" t="s">
        <v>99</v>
      </c>
      <c r="D9" s="269">
        <v>10658082710.53709</v>
      </c>
      <c r="E9" s="269">
        <v>10519663299</v>
      </c>
      <c r="F9" s="269">
        <v>-24716561.447262883</v>
      </c>
      <c r="G9" s="269">
        <v>0</v>
      </c>
      <c r="H9" s="269">
        <v>163135972.98435408</v>
      </c>
      <c r="J9" s="294">
        <v>1109622484.391351</v>
      </c>
      <c r="K9" s="294">
        <v>1094853126.391351</v>
      </c>
      <c r="L9" s="294">
        <v>-2571505</v>
      </c>
      <c r="M9" s="294">
        <v>0</v>
      </c>
      <c r="N9" s="294">
        <v>17340863</v>
      </c>
    </row>
    <row r="10" spans="1:14" x14ac:dyDescent="0.25">
      <c r="A10" s="290">
        <v>2</v>
      </c>
      <c r="B10" s="290" t="s">
        <v>622</v>
      </c>
      <c r="C10" s="285" t="s">
        <v>623</v>
      </c>
      <c r="D10" s="269">
        <v>2442683</v>
      </c>
      <c r="E10" s="269">
        <v>2023177</v>
      </c>
      <c r="F10" s="269">
        <v>419506</v>
      </c>
      <c r="G10" s="269">
        <v>0</v>
      </c>
      <c r="H10" s="269">
        <v>0</v>
      </c>
      <c r="J10" s="294">
        <v>196567</v>
      </c>
      <c r="K10" s="294">
        <v>170578</v>
      </c>
      <c r="L10" s="294">
        <v>25989</v>
      </c>
      <c r="M10" s="294">
        <v>0</v>
      </c>
      <c r="N10" s="294">
        <v>0</v>
      </c>
    </row>
    <row r="11" spans="1:14" x14ac:dyDescent="0.25">
      <c r="A11" s="290">
        <v>3</v>
      </c>
      <c r="B11" s="399" t="s">
        <v>624</v>
      </c>
      <c r="C11" s="399"/>
      <c r="D11" s="269">
        <v>10660525393.53709</v>
      </c>
      <c r="E11" s="269">
        <v>10521686476</v>
      </c>
      <c r="F11" s="269">
        <v>-24297055.447262883</v>
      </c>
      <c r="G11" s="269">
        <v>0</v>
      </c>
      <c r="H11" s="269">
        <v>163135972.98435408</v>
      </c>
      <c r="J11" s="294">
        <v>1109819051.391351</v>
      </c>
      <c r="K11" s="294">
        <v>1095023704.391351</v>
      </c>
      <c r="L11" s="294">
        <v>-2545516</v>
      </c>
      <c r="M11" s="294">
        <v>0</v>
      </c>
      <c r="N11" s="294">
        <v>17340863</v>
      </c>
    </row>
    <row r="12" spans="1:14" x14ac:dyDescent="0.25">
      <c r="A12" s="290">
        <v>4</v>
      </c>
      <c r="D12" s="269"/>
      <c r="E12" s="269"/>
      <c r="F12" s="269"/>
      <c r="G12" s="269"/>
      <c r="H12" s="269"/>
      <c r="J12" s="294"/>
      <c r="K12" s="294"/>
      <c r="L12" s="294"/>
      <c r="M12" s="294"/>
      <c r="N12" s="294"/>
    </row>
    <row r="13" spans="1:14" x14ac:dyDescent="0.25">
      <c r="A13" s="290">
        <v>5</v>
      </c>
      <c r="B13" s="330" t="s">
        <v>625</v>
      </c>
      <c r="C13" s="256" t="s">
        <v>626</v>
      </c>
      <c r="D13" s="269">
        <v>2700716840.8001165</v>
      </c>
      <c r="E13" s="269">
        <v>2698169560</v>
      </c>
      <c r="F13" s="269">
        <v>-8302835.4912163178</v>
      </c>
      <c r="G13" s="269">
        <v>853457</v>
      </c>
      <c r="H13" s="269">
        <v>9996659.2913328111</v>
      </c>
      <c r="J13" s="294">
        <v>263446486</v>
      </c>
      <c r="K13" s="294">
        <v>263190585</v>
      </c>
      <c r="L13" s="294">
        <v>-763116</v>
      </c>
      <c r="M13" s="294">
        <v>77028</v>
      </c>
      <c r="N13" s="294">
        <v>941989</v>
      </c>
    </row>
    <row r="14" spans="1:14" x14ac:dyDescent="0.25">
      <c r="A14" s="290">
        <v>6</v>
      </c>
      <c r="B14" s="318" t="s">
        <v>627</v>
      </c>
      <c r="C14" s="285" t="s">
        <v>628</v>
      </c>
      <c r="D14" s="269">
        <v>2985606873.3074255</v>
      </c>
      <c r="E14" s="269">
        <v>2975372786.5</v>
      </c>
      <c r="F14" s="269">
        <v>4178384.441164609</v>
      </c>
      <c r="G14" s="269">
        <v>6790828</v>
      </c>
      <c r="H14" s="269">
        <v>-735125.63373911753</v>
      </c>
      <c r="J14" s="294">
        <v>269105749</v>
      </c>
      <c r="K14" s="294">
        <v>268163032</v>
      </c>
      <c r="L14" s="294">
        <v>410358</v>
      </c>
      <c r="M14" s="294">
        <v>579458</v>
      </c>
      <c r="N14" s="294">
        <v>-47099</v>
      </c>
    </row>
    <row r="15" spans="1:14" x14ac:dyDescent="0.25">
      <c r="A15" s="290">
        <v>7</v>
      </c>
      <c r="B15" s="318" t="s">
        <v>629</v>
      </c>
      <c r="C15" s="285" t="s">
        <v>630</v>
      </c>
      <c r="D15" s="269">
        <v>1939478529.1896486</v>
      </c>
      <c r="E15" s="269">
        <v>1894753399</v>
      </c>
      <c r="F15" s="269">
        <v>7193011.2870582342</v>
      </c>
      <c r="G15" s="269">
        <v>44074229</v>
      </c>
      <c r="H15" s="269">
        <v>-6542110.0974097066</v>
      </c>
      <c r="J15" s="294">
        <v>159314430</v>
      </c>
      <c r="K15" s="294">
        <v>155848072</v>
      </c>
      <c r="L15" s="294">
        <v>578403</v>
      </c>
      <c r="M15" s="294">
        <v>3262042</v>
      </c>
      <c r="N15" s="294">
        <v>-374087</v>
      </c>
    </row>
    <row r="16" spans="1:14" x14ac:dyDescent="0.25">
      <c r="A16" s="290">
        <v>8</v>
      </c>
      <c r="B16" s="318" t="s">
        <v>631</v>
      </c>
      <c r="C16" s="285" t="s">
        <v>632</v>
      </c>
      <c r="D16" s="269">
        <v>26744</v>
      </c>
      <c r="E16" s="269">
        <v>26744</v>
      </c>
      <c r="F16" s="269">
        <v>0</v>
      </c>
      <c r="G16" s="269">
        <v>0</v>
      </c>
      <c r="H16" s="269">
        <v>0</v>
      </c>
      <c r="J16" s="294">
        <v>863705</v>
      </c>
      <c r="K16" s="294">
        <v>863705</v>
      </c>
      <c r="L16" s="294">
        <v>0</v>
      </c>
      <c r="M16" s="294">
        <v>0</v>
      </c>
      <c r="N16" s="294">
        <v>0</v>
      </c>
    </row>
    <row r="17" spans="1:14" x14ac:dyDescent="0.25">
      <c r="A17" s="290">
        <v>9</v>
      </c>
      <c r="B17" s="290">
        <v>29</v>
      </c>
      <c r="C17" s="256" t="s">
        <v>633</v>
      </c>
      <c r="D17" s="269">
        <v>16475530.158172358</v>
      </c>
      <c r="E17" s="269">
        <v>16726140</v>
      </c>
      <c r="F17" s="269">
        <v>-250609.84182764241</v>
      </c>
      <c r="G17" s="269">
        <v>0</v>
      </c>
      <c r="H17" s="269">
        <v>0</v>
      </c>
      <c r="J17" s="294">
        <v>1290544</v>
      </c>
      <c r="K17" s="294">
        <v>1283795</v>
      </c>
      <c r="L17" s="294">
        <v>6749</v>
      </c>
      <c r="M17" s="294">
        <v>0</v>
      </c>
      <c r="N17" s="294">
        <v>0</v>
      </c>
    </row>
    <row r="18" spans="1:14" x14ac:dyDescent="0.25">
      <c r="A18" s="290">
        <v>10</v>
      </c>
      <c r="B18" s="399" t="s">
        <v>111</v>
      </c>
      <c r="C18" s="399"/>
      <c r="D18" s="269">
        <v>7642304517.4553633</v>
      </c>
      <c r="E18" s="269">
        <v>7585048629.5</v>
      </c>
      <c r="F18" s="269">
        <v>2817950.3951788833</v>
      </c>
      <c r="G18" s="269">
        <v>51718514</v>
      </c>
      <c r="H18" s="269">
        <v>2719423.560183987</v>
      </c>
      <c r="J18" s="294">
        <v>694020914</v>
      </c>
      <c r="K18" s="294">
        <v>689349189</v>
      </c>
      <c r="L18" s="294">
        <v>232394</v>
      </c>
      <c r="M18" s="294">
        <v>3918528</v>
      </c>
      <c r="N18" s="294">
        <v>520803</v>
      </c>
    </row>
    <row r="19" spans="1:14" x14ac:dyDescent="0.25">
      <c r="A19" s="290">
        <v>11</v>
      </c>
      <c r="D19" s="269"/>
      <c r="E19" s="269"/>
      <c r="F19" s="269"/>
      <c r="G19" s="269"/>
      <c r="H19" s="269"/>
      <c r="J19" s="294"/>
      <c r="K19" s="294"/>
      <c r="L19" s="294"/>
      <c r="M19" s="294"/>
      <c r="N19" s="294"/>
    </row>
    <row r="20" spans="1:14" x14ac:dyDescent="0.25">
      <c r="A20" s="290">
        <v>12</v>
      </c>
      <c r="B20" s="330" t="s">
        <v>634</v>
      </c>
      <c r="C20" s="256" t="s">
        <v>635</v>
      </c>
      <c r="D20" s="269">
        <v>1407595348.170306</v>
      </c>
      <c r="E20" s="269">
        <v>1297857967</v>
      </c>
      <c r="F20" s="269">
        <v>-273450.99646974355</v>
      </c>
      <c r="G20" s="269">
        <v>110745603</v>
      </c>
      <c r="H20" s="269">
        <v>-734770.83322440018</v>
      </c>
      <c r="J20" s="294">
        <v>113234148</v>
      </c>
      <c r="K20" s="294">
        <v>105065774</v>
      </c>
      <c r="L20" s="294">
        <v>-160</v>
      </c>
      <c r="M20" s="294">
        <v>8208956</v>
      </c>
      <c r="N20" s="294">
        <v>-40422</v>
      </c>
    </row>
    <row r="21" spans="1:14" x14ac:dyDescent="0.25">
      <c r="A21" s="290">
        <v>13</v>
      </c>
      <c r="B21" s="290">
        <v>35</v>
      </c>
      <c r="C21" s="256" t="s">
        <v>633</v>
      </c>
      <c r="D21" s="269">
        <v>4443660</v>
      </c>
      <c r="E21" s="269">
        <v>4447380</v>
      </c>
      <c r="F21" s="269">
        <v>-3720</v>
      </c>
      <c r="G21" s="269">
        <v>0</v>
      </c>
      <c r="H21" s="269">
        <v>0</v>
      </c>
      <c r="J21" s="294">
        <v>268014</v>
      </c>
      <c r="K21" s="294">
        <v>268415</v>
      </c>
      <c r="L21" s="294">
        <v>-401</v>
      </c>
      <c r="M21" s="294">
        <v>0</v>
      </c>
      <c r="N21" s="294">
        <v>0</v>
      </c>
    </row>
    <row r="22" spans="1:14" x14ac:dyDescent="0.25">
      <c r="A22" s="290">
        <v>14</v>
      </c>
      <c r="B22" s="290">
        <v>43</v>
      </c>
      <c r="C22" s="256" t="s">
        <v>636</v>
      </c>
      <c r="D22" s="269">
        <v>123102088.01083639</v>
      </c>
      <c r="E22" s="269">
        <v>120139341</v>
      </c>
      <c r="F22" s="269">
        <v>-441932.86571428552</v>
      </c>
      <c r="G22" s="269">
        <v>0</v>
      </c>
      <c r="H22" s="269">
        <v>3404679.8765506782</v>
      </c>
      <c r="J22" s="294">
        <v>10721508</v>
      </c>
      <c r="K22" s="294">
        <v>10553677</v>
      </c>
      <c r="L22" s="294">
        <v>-26700</v>
      </c>
      <c r="M22" s="294">
        <v>0</v>
      </c>
      <c r="N22" s="294">
        <v>194531</v>
      </c>
    </row>
    <row r="23" spans="1:14" x14ac:dyDescent="0.25">
      <c r="A23" s="290">
        <v>15</v>
      </c>
      <c r="B23" s="399" t="s">
        <v>112</v>
      </c>
      <c r="C23" s="399"/>
      <c r="D23" s="269">
        <v>1535141096.1811423</v>
      </c>
      <c r="E23" s="269">
        <v>1422444688</v>
      </c>
      <c r="F23" s="269">
        <v>-719103.86218402907</v>
      </c>
      <c r="G23" s="269">
        <v>110745603</v>
      </c>
      <c r="H23" s="269">
        <v>2669909.0433262782</v>
      </c>
      <c r="J23" s="294">
        <v>124223670</v>
      </c>
      <c r="K23" s="294">
        <v>115887866</v>
      </c>
      <c r="L23" s="294">
        <v>-27261</v>
      </c>
      <c r="M23" s="294">
        <v>8208956</v>
      </c>
      <c r="N23" s="294">
        <v>154109</v>
      </c>
    </row>
    <row r="24" spans="1:14" x14ac:dyDescent="0.25">
      <c r="A24" s="290">
        <v>16</v>
      </c>
      <c r="D24" s="269"/>
      <c r="E24" s="269"/>
      <c r="F24" s="269"/>
      <c r="G24" s="269"/>
      <c r="H24" s="269"/>
      <c r="J24" s="294"/>
      <c r="K24" s="294"/>
      <c r="L24" s="294"/>
      <c r="M24" s="294"/>
      <c r="N24" s="294"/>
    </row>
    <row r="25" spans="1:14" x14ac:dyDescent="0.25">
      <c r="A25" s="290">
        <v>17</v>
      </c>
      <c r="B25" s="290">
        <v>40</v>
      </c>
      <c r="C25" s="256" t="s">
        <v>637</v>
      </c>
      <c r="D25" s="269">
        <v>1.9999999818392098</v>
      </c>
      <c r="E25" s="269">
        <v>518545449</v>
      </c>
      <c r="F25" s="269">
        <v>-18911070.058978755</v>
      </c>
      <c r="G25" s="269">
        <v>-498451881.07952744</v>
      </c>
      <c r="H25" s="269">
        <v>-1182495.8614938441</v>
      </c>
      <c r="J25" s="294">
        <v>0</v>
      </c>
      <c r="K25" s="294">
        <v>38010023.07</v>
      </c>
      <c r="L25" s="294">
        <v>-1360265</v>
      </c>
      <c r="M25" s="294">
        <v>-36587504.07</v>
      </c>
      <c r="N25" s="294">
        <v>-62254</v>
      </c>
    </row>
    <row r="26" spans="1:14" x14ac:dyDescent="0.25">
      <c r="A26" s="290">
        <v>18</v>
      </c>
      <c r="D26" s="269"/>
      <c r="E26" s="269"/>
      <c r="F26" s="269"/>
      <c r="G26" s="269"/>
      <c r="H26" s="269"/>
      <c r="J26" s="294"/>
      <c r="K26" s="294"/>
      <c r="L26" s="294"/>
      <c r="M26" s="294"/>
      <c r="N26" s="294"/>
    </row>
    <row r="27" spans="1:14" x14ac:dyDescent="0.25">
      <c r="A27" s="290">
        <v>19</v>
      </c>
      <c r="B27" s="290">
        <v>46</v>
      </c>
      <c r="C27" s="285" t="s">
        <v>638</v>
      </c>
      <c r="D27" s="269">
        <v>78351492</v>
      </c>
      <c r="E27" s="269">
        <v>77875892</v>
      </c>
      <c r="F27" s="269">
        <v>475600</v>
      </c>
      <c r="G27" s="269">
        <v>0</v>
      </c>
      <c r="H27" s="269">
        <v>0</v>
      </c>
      <c r="J27" s="294">
        <v>5190433</v>
      </c>
      <c r="K27" s="294">
        <v>5123861</v>
      </c>
      <c r="L27" s="294">
        <v>66572</v>
      </c>
      <c r="M27" s="294">
        <v>0</v>
      </c>
      <c r="N27" s="294">
        <v>0</v>
      </c>
    </row>
    <row r="28" spans="1:14" x14ac:dyDescent="0.25">
      <c r="A28" s="290">
        <v>20</v>
      </c>
      <c r="B28" s="290">
        <v>49</v>
      </c>
      <c r="C28" s="256" t="s">
        <v>635</v>
      </c>
      <c r="D28" s="269">
        <v>542259321.40199995</v>
      </c>
      <c r="E28" s="269">
        <v>539795730</v>
      </c>
      <c r="F28" s="269">
        <v>2463591.4019999988</v>
      </c>
      <c r="G28" s="269">
        <v>0</v>
      </c>
      <c r="H28" s="269">
        <v>0</v>
      </c>
      <c r="J28" s="294">
        <v>34937811</v>
      </c>
      <c r="K28" s="294">
        <v>34754549</v>
      </c>
      <c r="L28" s="294">
        <v>183262</v>
      </c>
      <c r="M28" s="294">
        <v>0</v>
      </c>
      <c r="N28" s="294">
        <v>0</v>
      </c>
    </row>
    <row r="29" spans="1:14" x14ac:dyDescent="0.25">
      <c r="A29" s="290">
        <v>21</v>
      </c>
      <c r="B29" s="399" t="s">
        <v>639</v>
      </c>
      <c r="C29" s="399"/>
      <c r="D29" s="269">
        <v>620610813.40199995</v>
      </c>
      <c r="E29" s="269">
        <v>617671622</v>
      </c>
      <c r="F29" s="269">
        <v>2939191.4019999988</v>
      </c>
      <c r="G29" s="269">
        <v>0</v>
      </c>
      <c r="H29" s="269">
        <v>0</v>
      </c>
      <c r="J29" s="294">
        <v>40128244</v>
      </c>
      <c r="K29" s="294">
        <v>39878410</v>
      </c>
      <c r="L29" s="294">
        <v>249834</v>
      </c>
      <c r="M29" s="294">
        <v>0</v>
      </c>
      <c r="N29" s="294">
        <v>0</v>
      </c>
    </row>
    <row r="30" spans="1:14" x14ac:dyDescent="0.25">
      <c r="A30" s="290">
        <v>22</v>
      </c>
      <c r="D30" s="269"/>
      <c r="E30" s="269"/>
      <c r="F30" s="269"/>
      <c r="G30" s="269"/>
      <c r="H30" s="269"/>
      <c r="J30" s="294"/>
      <c r="K30" s="294"/>
      <c r="L30" s="294"/>
      <c r="M30" s="294"/>
      <c r="N30" s="294"/>
    </row>
    <row r="31" spans="1:14" x14ac:dyDescent="0.25">
      <c r="A31" s="290">
        <v>23</v>
      </c>
      <c r="B31" s="290" t="s">
        <v>113</v>
      </c>
      <c r="C31" s="256" t="s">
        <v>87</v>
      </c>
      <c r="D31" s="269">
        <v>69969105.295999989</v>
      </c>
      <c r="E31" s="269">
        <v>70204592.217999995</v>
      </c>
      <c r="F31" s="269">
        <v>-235486.92200000011</v>
      </c>
      <c r="G31" s="269">
        <v>0</v>
      </c>
      <c r="H31" s="269">
        <v>0</v>
      </c>
      <c r="J31" s="294">
        <v>16457494</v>
      </c>
      <c r="K31" s="294">
        <v>16512883</v>
      </c>
      <c r="L31" s="294">
        <v>-55389</v>
      </c>
      <c r="M31" s="294">
        <v>0</v>
      </c>
      <c r="N31" s="294">
        <v>0</v>
      </c>
    </row>
    <row r="32" spans="1:14" x14ac:dyDescent="0.25">
      <c r="A32" s="290">
        <v>24</v>
      </c>
      <c r="D32" s="269"/>
      <c r="E32" s="269"/>
      <c r="F32" s="269"/>
      <c r="G32" s="269"/>
      <c r="H32" s="269"/>
      <c r="J32" s="294"/>
      <c r="K32" s="294"/>
      <c r="L32" s="294"/>
      <c r="M32" s="294"/>
      <c r="N32" s="294"/>
    </row>
    <row r="33" spans="1:14" x14ac:dyDescent="0.25">
      <c r="A33" s="290">
        <v>25</v>
      </c>
      <c r="B33" s="331" t="s">
        <v>640</v>
      </c>
      <c r="C33" s="256" t="s">
        <v>641</v>
      </c>
      <c r="D33" s="269">
        <v>2364714770.1700001</v>
      </c>
      <c r="E33" s="269">
        <v>2027109354</v>
      </c>
      <c r="F33" s="269">
        <v>1617652.1700000241</v>
      </c>
      <c r="G33" s="269">
        <v>335987764</v>
      </c>
      <c r="H33" s="269">
        <v>0</v>
      </c>
      <c r="J33" s="294">
        <v>15607906</v>
      </c>
      <c r="K33" s="294">
        <v>10086305</v>
      </c>
      <c r="L33" s="294">
        <v>28051</v>
      </c>
      <c r="M33" s="294">
        <v>5493550</v>
      </c>
      <c r="N33" s="294">
        <v>0</v>
      </c>
    </row>
    <row r="34" spans="1:14" x14ac:dyDescent="0.25">
      <c r="A34" s="290">
        <v>26</v>
      </c>
      <c r="D34" s="269"/>
      <c r="E34" s="269"/>
      <c r="F34" s="269"/>
      <c r="G34" s="269"/>
      <c r="H34" s="269"/>
      <c r="J34" s="294"/>
      <c r="K34" s="294"/>
      <c r="L34" s="294"/>
      <c r="M34" s="294"/>
      <c r="N34" s="294"/>
    </row>
    <row r="35" spans="1:14" x14ac:dyDescent="0.25">
      <c r="A35" s="290">
        <v>27</v>
      </c>
      <c r="B35" s="399" t="s">
        <v>642</v>
      </c>
      <c r="C35" s="399"/>
      <c r="D35" s="269">
        <v>22893265698.041595</v>
      </c>
      <c r="E35" s="269">
        <v>22762710810.718002</v>
      </c>
      <c r="F35" s="269">
        <v>-36787922.323246762</v>
      </c>
      <c r="G35" s="269">
        <v>-7.9527437686920166E-2</v>
      </c>
      <c r="H35" s="269">
        <v>167342809.72637051</v>
      </c>
      <c r="J35" s="294">
        <v>2000257279.391351</v>
      </c>
      <c r="K35" s="294">
        <v>2004748380.4613509</v>
      </c>
      <c r="L35" s="294">
        <v>-3478152</v>
      </c>
      <c r="M35" s="294">
        <v>-18966470.07</v>
      </c>
      <c r="N35" s="294">
        <v>17953521</v>
      </c>
    </row>
    <row r="36" spans="1:14" x14ac:dyDescent="0.25">
      <c r="A36" s="290">
        <v>28</v>
      </c>
      <c r="D36" s="269"/>
      <c r="E36" s="269"/>
      <c r="F36" s="269"/>
      <c r="G36" s="269"/>
      <c r="H36" s="269"/>
      <c r="J36" s="294"/>
      <c r="K36" s="294"/>
      <c r="L36" s="294"/>
      <c r="M36" s="294"/>
      <c r="N36" s="294"/>
    </row>
    <row r="37" spans="1:14" x14ac:dyDescent="0.25">
      <c r="A37" s="290">
        <v>29</v>
      </c>
      <c r="B37" s="318" t="s">
        <v>643</v>
      </c>
      <c r="C37" s="256" t="s">
        <v>6</v>
      </c>
      <c r="D37" s="269">
        <v>7197575.484338278</v>
      </c>
      <c r="E37" s="269">
        <v>7130880</v>
      </c>
      <c r="F37" s="269">
        <v>-46730</v>
      </c>
      <c r="G37" s="269">
        <v>0</v>
      </c>
      <c r="H37" s="269">
        <v>113425.48433827792</v>
      </c>
      <c r="J37" s="294">
        <v>328327</v>
      </c>
      <c r="K37" s="294">
        <v>325876</v>
      </c>
      <c r="L37" s="294">
        <v>-1535</v>
      </c>
      <c r="M37" s="294">
        <v>0</v>
      </c>
      <c r="N37" s="294">
        <v>3986</v>
      </c>
    </row>
    <row r="38" spans="1:14" x14ac:dyDescent="0.25">
      <c r="A38" s="290">
        <v>30</v>
      </c>
      <c r="D38" s="269"/>
      <c r="E38" s="269"/>
      <c r="F38" s="269"/>
      <c r="G38" s="269"/>
      <c r="H38" s="269"/>
      <c r="J38" s="294"/>
      <c r="K38" s="294"/>
      <c r="L38" s="294"/>
      <c r="M38" s="294"/>
      <c r="N38" s="294"/>
    </row>
    <row r="39" spans="1:14" x14ac:dyDescent="0.25">
      <c r="A39" s="290">
        <v>31</v>
      </c>
      <c r="B39" s="399" t="s">
        <v>644</v>
      </c>
      <c r="C39" s="399"/>
      <c r="D39" s="269">
        <v>22900463273.525932</v>
      </c>
      <c r="E39" s="269">
        <v>22769841690.718002</v>
      </c>
      <c r="F39" s="269">
        <v>-36834652.323246762</v>
      </c>
      <c r="G39" s="269">
        <v>-7.9527437686920166E-2</v>
      </c>
      <c r="H39" s="269">
        <v>167456235.2107088</v>
      </c>
      <c r="J39" s="294">
        <v>2000585606.391351</v>
      </c>
      <c r="K39" s="294">
        <v>2005074256.4613509</v>
      </c>
      <c r="L39" s="294">
        <v>-3479687</v>
      </c>
      <c r="M39" s="294">
        <v>-18966470.07</v>
      </c>
      <c r="N39" s="294">
        <v>17957507</v>
      </c>
    </row>
    <row r="40" spans="1:14" x14ac:dyDescent="0.25">
      <c r="A40" s="290">
        <v>32</v>
      </c>
    </row>
    <row r="43" spans="1:14" x14ac:dyDescent="0.25">
      <c r="J43" s="294"/>
    </row>
    <row r="44" spans="1:14" x14ac:dyDescent="0.25">
      <c r="J44" s="294"/>
    </row>
    <row r="45" spans="1:14" x14ac:dyDescent="0.25">
      <c r="J45" s="294"/>
    </row>
  </sheetData>
  <mergeCells count="12">
    <mergeCell ref="B39:C39"/>
    <mergeCell ref="A1:N1"/>
    <mergeCell ref="A2:N2"/>
    <mergeCell ref="A3:N3"/>
    <mergeCell ref="A4:N4"/>
    <mergeCell ref="D6:H6"/>
    <mergeCell ref="J6:N6"/>
    <mergeCell ref="B11:C11"/>
    <mergeCell ref="B18:C18"/>
    <mergeCell ref="B23:C23"/>
    <mergeCell ref="B29:C29"/>
    <mergeCell ref="B35:C35"/>
  </mergeCells>
  <printOptions horizontalCentered="1"/>
  <pageMargins left="0.25" right="0.25" top="0.75" bottom="0.75" header="0.3" footer="0.3"/>
  <pageSetup scale="77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workbookViewId="0"/>
  </sheetViews>
  <sheetFormatPr defaultColWidth="8.85546875" defaultRowHeight="15" x14ac:dyDescent="0.25"/>
  <cols>
    <col min="1" max="1" width="8.42578125" style="256" bestFit="1" customWidth="1"/>
    <col min="2" max="2" width="29.28515625" style="256" bestFit="1" customWidth="1"/>
    <col min="3" max="3" width="11.5703125" style="256" bestFit="1" customWidth="1"/>
    <col min="4" max="4" width="10" style="256" bestFit="1" customWidth="1"/>
    <col min="5" max="6" width="9" style="256" bestFit="1" customWidth="1"/>
    <col min="7" max="7" width="8" style="256" bestFit="1" customWidth="1"/>
    <col min="8" max="8" width="9" style="256" bestFit="1" customWidth="1"/>
    <col min="9" max="9" width="6.42578125" style="256" bestFit="1" customWidth="1"/>
    <col min="10" max="12" width="8" style="256" bestFit="1" customWidth="1"/>
    <col min="13" max="13" width="9" style="256" bestFit="1" customWidth="1"/>
    <col min="14" max="14" width="11.28515625" style="256" bestFit="1" customWidth="1"/>
    <col min="15" max="15" width="11.5703125" style="256" bestFit="1" customWidth="1"/>
    <col min="16" max="16384" width="8.85546875" style="256"/>
  </cols>
  <sheetData>
    <row r="1" spans="1:15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5" x14ac:dyDescent="0.25">
      <c r="A2" s="397" t="s">
        <v>339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1:15" x14ac:dyDescent="0.25">
      <c r="A3" s="397" t="s">
        <v>318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</row>
    <row r="4" spans="1:15" x14ac:dyDescent="0.25">
      <c r="A4" s="396" t="s">
        <v>12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6" spans="1:15" x14ac:dyDescent="0.25">
      <c r="A6" s="256" t="s">
        <v>228</v>
      </c>
      <c r="C6" s="327">
        <v>7</v>
      </c>
      <c r="D6" s="327">
        <v>24</v>
      </c>
      <c r="E6" s="327">
        <v>25</v>
      </c>
      <c r="F6" s="327">
        <v>26</v>
      </c>
      <c r="G6" s="327">
        <v>29</v>
      </c>
      <c r="H6" s="327">
        <v>31</v>
      </c>
      <c r="I6" s="327">
        <v>43</v>
      </c>
      <c r="J6" s="327">
        <v>46</v>
      </c>
      <c r="K6" s="327">
        <v>49</v>
      </c>
      <c r="L6" s="327">
        <v>449</v>
      </c>
      <c r="M6" s="327" t="s">
        <v>5</v>
      </c>
      <c r="N6" s="327" t="s">
        <v>6</v>
      </c>
      <c r="O6" s="327" t="s">
        <v>8</v>
      </c>
    </row>
    <row r="7" spans="1:15" x14ac:dyDescent="0.25">
      <c r="A7" s="256" t="s">
        <v>236</v>
      </c>
      <c r="B7" s="256" t="s">
        <v>237</v>
      </c>
      <c r="C7" s="282">
        <v>1863702.2299999993</v>
      </c>
      <c r="D7" s="282">
        <v>273430.22000000003</v>
      </c>
      <c r="E7" s="282">
        <v>96525.129999999961</v>
      </c>
      <c r="F7" s="282">
        <v>26571.79</v>
      </c>
      <c r="G7" s="282">
        <v>4281.8899999999994</v>
      </c>
      <c r="H7" s="282">
        <v>22333.49</v>
      </c>
      <c r="I7" s="282">
        <v>158.59</v>
      </c>
      <c r="J7" s="282">
        <v>1970.77</v>
      </c>
      <c r="K7" s="282">
        <v>1097.42</v>
      </c>
      <c r="L7" s="282">
        <v>2207.6999999999998</v>
      </c>
      <c r="M7" s="282">
        <v>91350.16</v>
      </c>
      <c r="N7" s="282">
        <v>39.28</v>
      </c>
      <c r="O7" s="282">
        <f>SUM(C7:N7)</f>
        <v>2383668.6699999995</v>
      </c>
    </row>
    <row r="8" spans="1:15" x14ac:dyDescent="0.25">
      <c r="A8" s="285" t="s">
        <v>233</v>
      </c>
      <c r="B8" s="256" t="s">
        <v>234</v>
      </c>
      <c r="C8" s="282">
        <v>296927.81000000006</v>
      </c>
      <c r="D8" s="282">
        <v>18396.830000000005</v>
      </c>
      <c r="E8" s="282">
        <v>394.94</v>
      </c>
      <c r="F8" s="282">
        <v>26.86</v>
      </c>
      <c r="G8" s="282">
        <v>0</v>
      </c>
      <c r="H8" s="282">
        <v>0</v>
      </c>
      <c r="I8" s="282">
        <v>0</v>
      </c>
      <c r="J8" s="282">
        <v>0</v>
      </c>
      <c r="K8" s="282">
        <v>0</v>
      </c>
      <c r="L8" s="282">
        <v>0</v>
      </c>
      <c r="M8" s="282">
        <v>95.14</v>
      </c>
      <c r="N8" s="282">
        <v>0</v>
      </c>
      <c r="O8" s="282">
        <f t="shared" ref="O8:O11" si="0">SUM(C8:N8)</f>
        <v>315841.58000000007</v>
      </c>
    </row>
    <row r="9" spans="1:15" x14ac:dyDescent="0.25">
      <c r="A9" s="285" t="s">
        <v>231</v>
      </c>
      <c r="B9" s="285" t="s">
        <v>232</v>
      </c>
      <c r="C9" s="282">
        <v>1514580.4800000002</v>
      </c>
      <c r="D9" s="282">
        <v>35233.449999999997</v>
      </c>
      <c r="E9" s="282">
        <v>50.92</v>
      </c>
      <c r="F9" s="282">
        <v>0</v>
      </c>
      <c r="G9" s="282">
        <v>706</v>
      </c>
      <c r="H9" s="282">
        <v>0</v>
      </c>
      <c r="I9" s="282">
        <v>0</v>
      </c>
      <c r="J9" s="282">
        <v>0</v>
      </c>
      <c r="K9" s="282">
        <v>0</v>
      </c>
      <c r="L9" s="282">
        <v>0</v>
      </c>
      <c r="M9" s="282">
        <v>0</v>
      </c>
      <c r="N9" s="282">
        <v>0</v>
      </c>
      <c r="O9" s="282">
        <f t="shared" si="0"/>
        <v>1550570.85</v>
      </c>
    </row>
    <row r="10" spans="1:15" x14ac:dyDescent="0.25">
      <c r="A10" s="285" t="s">
        <v>229</v>
      </c>
      <c r="B10" s="256" t="s">
        <v>230</v>
      </c>
      <c r="C10" s="282">
        <v>1391359.2799999998</v>
      </c>
      <c r="D10" s="282">
        <v>124826.99999999997</v>
      </c>
      <c r="E10" s="282">
        <v>3413.81</v>
      </c>
      <c r="F10" s="282">
        <v>273.05999999999995</v>
      </c>
      <c r="G10" s="282">
        <v>360.30999999999995</v>
      </c>
      <c r="H10" s="282">
        <v>126.83999999999999</v>
      </c>
      <c r="I10" s="282">
        <v>0</v>
      </c>
      <c r="J10" s="282">
        <v>0</v>
      </c>
      <c r="K10" s="282">
        <v>1.53</v>
      </c>
      <c r="L10" s="282">
        <v>0</v>
      </c>
      <c r="M10" s="282">
        <v>0</v>
      </c>
      <c r="N10" s="282">
        <v>0</v>
      </c>
      <c r="O10" s="282">
        <f t="shared" si="0"/>
        <v>1520361.83</v>
      </c>
    </row>
    <row r="11" spans="1:15" x14ac:dyDescent="0.25">
      <c r="A11" s="285" t="s">
        <v>235</v>
      </c>
      <c r="B11" s="256" t="s">
        <v>238</v>
      </c>
      <c r="C11" s="282">
        <v>19433.579999999998</v>
      </c>
      <c r="D11" s="282">
        <v>7376.1599999999989</v>
      </c>
      <c r="E11" s="282">
        <v>2736.4500000000003</v>
      </c>
      <c r="F11" s="282">
        <v>0</v>
      </c>
      <c r="G11" s="282">
        <v>0</v>
      </c>
      <c r="H11" s="282">
        <v>0</v>
      </c>
      <c r="I11" s="282">
        <v>0</v>
      </c>
      <c r="J11" s="282">
        <v>0</v>
      </c>
      <c r="K11" s="282">
        <v>0</v>
      </c>
      <c r="L11" s="282">
        <v>0</v>
      </c>
      <c r="M11" s="282">
        <v>71.33</v>
      </c>
      <c r="N11" s="282">
        <v>0</v>
      </c>
      <c r="O11" s="282">
        <f t="shared" si="0"/>
        <v>29617.52</v>
      </c>
    </row>
    <row r="12" spans="1:15" x14ac:dyDescent="0.25"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</row>
  </sheetData>
  <mergeCells count="4">
    <mergeCell ref="A1:N1"/>
    <mergeCell ref="A2:N2"/>
    <mergeCell ref="A3:N3"/>
    <mergeCell ref="A4:N4"/>
  </mergeCells>
  <printOptions horizontalCentered="1"/>
  <pageMargins left="0.25" right="0.25" top="0.75" bottom="0.75" header="0.3" footer="0.3"/>
  <pageSetup scale="85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4"/>
  <sheetViews>
    <sheetView workbookViewId="0"/>
  </sheetViews>
  <sheetFormatPr defaultRowHeight="15" x14ac:dyDescent="0.25"/>
  <cols>
    <col min="1" max="1" width="15.28515625" style="256" bestFit="1" customWidth="1"/>
    <col min="2" max="2" width="22" style="256" bestFit="1" customWidth="1"/>
    <col min="3" max="16384" width="9.140625" style="256"/>
  </cols>
  <sheetData>
    <row r="1" spans="1:2" x14ac:dyDescent="0.25">
      <c r="A1" s="397" t="s">
        <v>33</v>
      </c>
      <c r="B1" s="396"/>
    </row>
    <row r="2" spans="1:2" x14ac:dyDescent="0.25">
      <c r="A2" s="397" t="s">
        <v>304</v>
      </c>
      <c r="B2" s="396"/>
    </row>
    <row r="3" spans="1:2" x14ac:dyDescent="0.25">
      <c r="A3" s="397" t="s">
        <v>23</v>
      </c>
      <c r="B3" s="396"/>
    </row>
    <row r="4" spans="1:2" x14ac:dyDescent="0.25">
      <c r="A4" s="396" t="s">
        <v>24</v>
      </c>
      <c r="B4" s="396"/>
    </row>
    <row r="7" spans="1:2" x14ac:dyDescent="0.25">
      <c r="A7" s="256" t="s">
        <v>2</v>
      </c>
      <c r="B7" s="285" t="s">
        <v>321</v>
      </c>
    </row>
    <row r="8" spans="1:2" x14ac:dyDescent="0.25">
      <c r="A8" s="286">
        <v>31</v>
      </c>
      <c r="B8" s="294">
        <v>449278.71999999997</v>
      </c>
    </row>
    <row r="9" spans="1:2" x14ac:dyDescent="0.25">
      <c r="A9" s="286">
        <v>43</v>
      </c>
      <c r="B9" s="294">
        <v>12396.600000000002</v>
      </c>
    </row>
    <row r="10" spans="1:2" x14ac:dyDescent="0.25">
      <c r="A10" s="256" t="s">
        <v>330</v>
      </c>
      <c r="B10" s="294">
        <v>77907.570000000007</v>
      </c>
    </row>
    <row r="11" spans="1:2" x14ac:dyDescent="0.25">
      <c r="A11" s="286" t="s">
        <v>248</v>
      </c>
      <c r="B11" s="294">
        <v>2871711.62</v>
      </c>
    </row>
    <row r="12" spans="1:2" x14ac:dyDescent="0.25">
      <c r="A12" s="286" t="s">
        <v>249</v>
      </c>
      <c r="B12" s="294">
        <v>1014163.3200000001</v>
      </c>
    </row>
    <row r="13" spans="1:2" x14ac:dyDescent="0.25">
      <c r="A13" s="286" t="s">
        <v>6</v>
      </c>
      <c r="B13" s="294">
        <v>3423.0000000000005</v>
      </c>
    </row>
    <row r="14" spans="1:2" x14ac:dyDescent="0.25">
      <c r="A14" s="286" t="s">
        <v>8</v>
      </c>
      <c r="B14" s="294">
        <f>SUM(B8:B13)</f>
        <v>4428880.83</v>
      </c>
    </row>
  </sheetData>
  <mergeCells count="4">
    <mergeCell ref="A4:B4"/>
    <mergeCell ref="A1:B1"/>
    <mergeCell ref="A3:B3"/>
    <mergeCell ref="A2:B2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/>
  </sheetViews>
  <sheetFormatPr defaultColWidth="8.85546875" defaultRowHeight="15" x14ac:dyDescent="0.25"/>
  <cols>
    <col min="1" max="1" width="23.140625" style="256" bestFit="1" customWidth="1"/>
    <col min="2" max="2" width="10.5703125" style="256" bestFit="1" customWidth="1"/>
    <col min="3" max="4" width="11.5703125" style="256" bestFit="1" customWidth="1"/>
    <col min="5" max="5" width="8.85546875" style="256"/>
    <col min="6" max="6" width="10.5703125" style="256" bestFit="1" customWidth="1"/>
    <col min="7" max="8" width="12.5703125" style="256" bestFit="1" customWidth="1"/>
    <col min="9" max="9" width="11.5703125" style="256" bestFit="1" customWidth="1"/>
    <col min="10" max="10" width="12.5703125" style="256" bestFit="1" customWidth="1"/>
    <col min="11" max="11" width="8.85546875" style="256"/>
    <col min="12" max="12" width="12.5703125" style="256" bestFit="1" customWidth="1"/>
    <col min="13" max="16384" width="8.85546875" style="256"/>
  </cols>
  <sheetData>
    <row r="1" spans="1:14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4" x14ac:dyDescent="0.25">
      <c r="A2" s="397" t="s">
        <v>407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14" x14ac:dyDescent="0.25">
      <c r="A3" s="396" t="s">
        <v>239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</row>
    <row r="4" spans="1:14" x14ac:dyDescent="0.25">
      <c r="A4" s="397" t="s">
        <v>320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4" x14ac:dyDescent="0.25">
      <c r="A5" s="396"/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</row>
    <row r="6" spans="1:14" ht="15.75" thickBot="1" x14ac:dyDescent="0.3">
      <c r="B6" s="401" t="s">
        <v>240</v>
      </c>
      <c r="C6" s="402"/>
      <c r="D6" s="403"/>
      <c r="F6" s="404" t="s">
        <v>241</v>
      </c>
      <c r="G6" s="405"/>
      <c r="H6" s="405"/>
      <c r="I6" s="405"/>
      <c r="J6" s="406"/>
    </row>
    <row r="7" spans="1:14" ht="90.75" thickBot="1" x14ac:dyDescent="0.3">
      <c r="A7" s="303" t="s">
        <v>227</v>
      </c>
      <c r="B7" s="304" t="s">
        <v>242</v>
      </c>
      <c r="C7" s="305" t="s">
        <v>243</v>
      </c>
      <c r="D7" s="306" t="s">
        <v>244</v>
      </c>
      <c r="E7" s="295"/>
      <c r="F7" s="307" t="s">
        <v>245</v>
      </c>
      <c r="G7" s="308" t="s">
        <v>243</v>
      </c>
      <c r="H7" s="308" t="s">
        <v>244</v>
      </c>
      <c r="I7" s="309" t="s">
        <v>246</v>
      </c>
      <c r="J7" s="303" t="s">
        <v>4</v>
      </c>
      <c r="K7" s="295"/>
      <c r="L7" s="310" t="s">
        <v>247</v>
      </c>
    </row>
    <row r="8" spans="1:14" x14ac:dyDescent="0.25">
      <c r="A8" s="290">
        <v>7</v>
      </c>
      <c r="B8" s="311">
        <v>1030857</v>
      </c>
      <c r="C8" s="312"/>
      <c r="D8" s="313">
        <v>2536398.4600170702</v>
      </c>
      <c r="F8" s="311">
        <v>1010571.8333333334</v>
      </c>
      <c r="G8" s="312"/>
      <c r="H8" s="314">
        <v>12826298.293025397</v>
      </c>
      <c r="I8" s="314">
        <v>4330638.8687287299</v>
      </c>
      <c r="J8" s="315">
        <v>17156937.161754128</v>
      </c>
      <c r="L8" s="316">
        <v>19693335.621771198</v>
      </c>
      <c r="N8" s="317"/>
    </row>
    <row r="9" spans="1:14" x14ac:dyDescent="0.25">
      <c r="A9" s="290">
        <v>24</v>
      </c>
      <c r="B9" s="311">
        <v>131231</v>
      </c>
      <c r="C9" s="312"/>
      <c r="D9" s="313">
        <v>322890.66893516766</v>
      </c>
      <c r="F9" s="311">
        <v>121597.83333333333</v>
      </c>
      <c r="G9" s="312"/>
      <c r="H9" s="314">
        <v>1543334.2100724028</v>
      </c>
      <c r="I9" s="314">
        <v>457633.60069115122</v>
      </c>
      <c r="J9" s="315">
        <v>2000967.8107635542</v>
      </c>
      <c r="L9" s="316">
        <v>2323858.4796987218</v>
      </c>
      <c r="N9" s="317"/>
    </row>
    <row r="10" spans="1:14" x14ac:dyDescent="0.25">
      <c r="A10" s="290" t="s">
        <v>433</v>
      </c>
      <c r="B10" s="311">
        <v>8737</v>
      </c>
      <c r="C10" s="312"/>
      <c r="D10" s="313">
        <v>21497.175015709396</v>
      </c>
      <c r="F10" s="311">
        <v>8163.666666666667</v>
      </c>
      <c r="G10" s="312"/>
      <c r="H10" s="314">
        <v>103614.23144568973</v>
      </c>
      <c r="I10" s="314">
        <v>86592.547681274518</v>
      </c>
      <c r="J10" s="315">
        <v>190206.77912696425</v>
      </c>
      <c r="L10" s="316">
        <v>211703.95414267364</v>
      </c>
      <c r="N10" s="317"/>
    </row>
    <row r="11" spans="1:14" x14ac:dyDescent="0.25">
      <c r="A11" s="290">
        <v>26</v>
      </c>
      <c r="B11" s="311">
        <v>883</v>
      </c>
      <c r="C11" s="312"/>
      <c r="D11" s="313">
        <v>2172.5999243300216</v>
      </c>
      <c r="F11" s="311">
        <v>842.08333333333337</v>
      </c>
      <c r="G11" s="312"/>
      <c r="H11" s="314">
        <v>10687.822146489474</v>
      </c>
      <c r="I11" s="314">
        <v>205915.76164887776</v>
      </c>
      <c r="J11" s="315">
        <v>216603.58379536722</v>
      </c>
      <c r="L11" s="316">
        <v>218776.18371969723</v>
      </c>
      <c r="N11" s="317"/>
    </row>
    <row r="12" spans="1:14" x14ac:dyDescent="0.25">
      <c r="A12" s="290">
        <v>31</v>
      </c>
      <c r="B12" s="311">
        <v>530</v>
      </c>
      <c r="C12" s="312"/>
      <c r="D12" s="313">
        <v>1304.0520497111115</v>
      </c>
      <c r="F12" s="311">
        <v>486.83333333333331</v>
      </c>
      <c r="G12" s="312"/>
      <c r="H12" s="314">
        <v>6178.9467570303314</v>
      </c>
      <c r="I12" s="314">
        <v>156333.09804012644</v>
      </c>
      <c r="J12" s="315">
        <v>162512.04479715676</v>
      </c>
      <c r="L12" s="316">
        <v>163816.09684686788</v>
      </c>
      <c r="N12" s="317"/>
    </row>
    <row r="13" spans="1:14" x14ac:dyDescent="0.25">
      <c r="A13" s="290">
        <v>35</v>
      </c>
      <c r="B13" s="311">
        <v>2</v>
      </c>
      <c r="C13" s="312"/>
      <c r="D13" s="313">
        <v>4.9209511309853262</v>
      </c>
      <c r="F13" s="311">
        <v>1.6666666666666667</v>
      </c>
      <c r="G13" s="312"/>
      <c r="H13" s="314">
        <v>21.153532204828249</v>
      </c>
      <c r="I13" s="314">
        <v>0</v>
      </c>
      <c r="J13" s="315">
        <v>21.153532204828249</v>
      </c>
      <c r="L13" s="316">
        <v>26.074483335813575</v>
      </c>
      <c r="N13" s="317"/>
    </row>
    <row r="14" spans="1:14" x14ac:dyDescent="0.25">
      <c r="A14" s="290">
        <v>43</v>
      </c>
      <c r="B14" s="311">
        <v>159</v>
      </c>
      <c r="C14" s="312"/>
      <c r="D14" s="313">
        <v>391.21561491333341</v>
      </c>
      <c r="F14" s="311">
        <v>154.66666666666666</v>
      </c>
      <c r="G14" s="312"/>
      <c r="H14" s="314">
        <v>1963.0477886080616</v>
      </c>
      <c r="I14" s="314">
        <v>11061.961462878649</v>
      </c>
      <c r="J14" s="315">
        <v>13025.00925148671</v>
      </c>
      <c r="L14" s="316">
        <v>13416.224866400044</v>
      </c>
      <c r="N14" s="317"/>
    </row>
    <row r="15" spans="1:14" x14ac:dyDescent="0.25">
      <c r="A15" s="318" t="s">
        <v>434</v>
      </c>
      <c r="B15" s="311">
        <v>0</v>
      </c>
      <c r="C15" s="312"/>
      <c r="D15" s="313">
        <v>0</v>
      </c>
      <c r="F15" s="311">
        <v>0</v>
      </c>
      <c r="G15" s="312"/>
      <c r="H15" s="314">
        <v>0</v>
      </c>
      <c r="I15" s="314">
        <v>0</v>
      </c>
      <c r="J15" s="315">
        <v>0</v>
      </c>
      <c r="L15" s="316">
        <v>0</v>
      </c>
      <c r="N15" s="317"/>
    </row>
    <row r="16" spans="1:14" x14ac:dyDescent="0.25">
      <c r="A16" s="290" t="s">
        <v>248</v>
      </c>
      <c r="B16" s="311">
        <v>36</v>
      </c>
      <c r="C16" s="312"/>
      <c r="D16" s="313">
        <v>88.577120357735879</v>
      </c>
      <c r="F16" s="311">
        <v>0</v>
      </c>
      <c r="G16" s="312"/>
      <c r="H16" s="314">
        <v>0</v>
      </c>
      <c r="I16" s="314">
        <v>96146.289988663921</v>
      </c>
      <c r="J16" s="315">
        <v>96146.289988663921</v>
      </c>
      <c r="L16" s="316">
        <v>96234.867109021652</v>
      </c>
      <c r="N16" s="317"/>
    </row>
    <row r="17" spans="1:14" x14ac:dyDescent="0.25">
      <c r="A17" s="318" t="s">
        <v>435</v>
      </c>
      <c r="B17" s="311">
        <v>55</v>
      </c>
      <c r="C17" s="312"/>
      <c r="D17" s="313">
        <v>243.58708098377363</v>
      </c>
      <c r="F17" s="311">
        <v>0</v>
      </c>
      <c r="G17" s="312"/>
      <c r="H17" s="314">
        <v>0</v>
      </c>
      <c r="I17" s="314">
        <v>171677.36124825178</v>
      </c>
      <c r="J17" s="315">
        <v>171677.36124825178</v>
      </c>
      <c r="L17" s="316">
        <v>171920.94832923554</v>
      </c>
      <c r="N17" s="317"/>
    </row>
    <row r="18" spans="1:14" x14ac:dyDescent="0.25">
      <c r="A18" s="290" t="s">
        <v>330</v>
      </c>
      <c r="B18" s="311">
        <v>99</v>
      </c>
      <c r="C18" s="312"/>
      <c r="D18" s="313">
        <v>135.32615610209646</v>
      </c>
      <c r="F18" s="311">
        <v>0</v>
      </c>
      <c r="G18" s="312"/>
      <c r="H18" s="314">
        <v>0</v>
      </c>
      <c r="I18" s="314">
        <v>59472.063982534892</v>
      </c>
      <c r="J18" s="315">
        <v>59472.063982534892</v>
      </c>
      <c r="L18" s="316">
        <v>59607.390138636991</v>
      </c>
      <c r="N18" s="317"/>
    </row>
    <row r="19" spans="1:14" x14ac:dyDescent="0.25">
      <c r="A19" s="290" t="s">
        <v>436</v>
      </c>
      <c r="B19" s="311">
        <v>0</v>
      </c>
      <c r="C19" s="312"/>
      <c r="D19" s="313">
        <v>0</v>
      </c>
      <c r="F19" s="311">
        <v>7829.166666666667</v>
      </c>
      <c r="G19" s="312"/>
      <c r="H19" s="314">
        <v>99368.717532180715</v>
      </c>
      <c r="I19" s="314">
        <v>3768.436682509604</v>
      </c>
      <c r="J19" s="315">
        <v>103137.15421469032</v>
      </c>
      <c r="L19" s="316">
        <v>103137.15421469032</v>
      </c>
      <c r="N19" s="317"/>
    </row>
    <row r="20" spans="1:14" x14ac:dyDescent="0.25">
      <c r="A20" s="290" t="s">
        <v>437</v>
      </c>
      <c r="B20" s="311">
        <v>8</v>
      </c>
      <c r="C20" s="312"/>
      <c r="D20" s="313">
        <v>19.683804523941305</v>
      </c>
      <c r="F20" s="311">
        <v>0</v>
      </c>
      <c r="G20" s="312"/>
      <c r="H20" s="314">
        <v>0</v>
      </c>
      <c r="I20" s="314">
        <v>0</v>
      </c>
      <c r="J20" s="315">
        <v>0</v>
      </c>
      <c r="L20" s="316">
        <v>19.683804523941305</v>
      </c>
      <c r="N20" s="317"/>
    </row>
    <row r="21" spans="1:14" x14ac:dyDescent="0.25">
      <c r="A21" s="285"/>
      <c r="B21" s="311"/>
      <c r="C21" s="312"/>
      <c r="D21" s="313"/>
      <c r="F21" s="311"/>
      <c r="G21" s="312"/>
      <c r="H21" s="314"/>
      <c r="I21" s="314"/>
      <c r="J21" s="319"/>
      <c r="L21" s="320"/>
    </row>
    <row r="22" spans="1:14" x14ac:dyDescent="0.25">
      <c r="B22" s="311">
        <v>1172597</v>
      </c>
      <c r="C22" s="321">
        <v>2885146.2666700003</v>
      </c>
      <c r="D22" s="313">
        <v>2885146.2666700003</v>
      </c>
      <c r="F22" s="311">
        <v>1149647.7500000002</v>
      </c>
      <c r="G22" s="321">
        <v>14591466.422300005</v>
      </c>
      <c r="H22" s="314">
        <v>14591466.422300003</v>
      </c>
      <c r="I22" s="314">
        <v>5579239.9901549984</v>
      </c>
      <c r="J22" s="322">
        <v>20170706.412455</v>
      </c>
      <c r="L22" s="316">
        <v>23055852.679125007</v>
      </c>
    </row>
    <row r="23" spans="1:14" ht="15.75" thickBot="1" x14ac:dyDescent="0.3">
      <c r="B23" s="323"/>
      <c r="C23" s="324"/>
      <c r="D23" s="325"/>
      <c r="F23" s="323"/>
      <c r="G23" s="324"/>
      <c r="H23" s="324"/>
      <c r="I23" s="324"/>
      <c r="J23" s="325"/>
      <c r="L23" s="326"/>
    </row>
  </sheetData>
  <mergeCells count="7">
    <mergeCell ref="B6:D6"/>
    <mergeCell ref="F6:J6"/>
    <mergeCell ref="A1:L1"/>
    <mergeCell ref="A2:L2"/>
    <mergeCell ref="A3:L3"/>
    <mergeCell ref="A4:L4"/>
    <mergeCell ref="A5:L5"/>
  </mergeCells>
  <printOptions horizontalCentered="1"/>
  <pageMargins left="0.25" right="0.25" top="0.75" bottom="0.75" header="0.3" footer="0.3"/>
  <pageSetup scale="95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90" zoomScaleNormal="90" workbookViewId="0"/>
  </sheetViews>
  <sheetFormatPr defaultColWidth="8.85546875" defaultRowHeight="15" x14ac:dyDescent="0.25"/>
  <cols>
    <col min="1" max="1" width="11.28515625" style="256" bestFit="1" customWidth="1"/>
    <col min="2" max="2" width="20.28515625" style="256" bestFit="1" customWidth="1"/>
    <col min="3" max="11" width="12.140625" style="256" bestFit="1" customWidth="1"/>
    <col min="12" max="12" width="10.5703125" style="256" bestFit="1" customWidth="1"/>
    <col min="13" max="14" width="12.140625" style="256" bestFit="1" customWidth="1"/>
    <col min="15" max="16384" width="8.85546875" style="256"/>
  </cols>
  <sheetData>
    <row r="1" spans="1:14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x14ac:dyDescent="0.25">
      <c r="A2" s="396" t="s">
        <v>291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</row>
    <row r="3" spans="1:14" x14ac:dyDescent="0.25">
      <c r="A3" s="396" t="s">
        <v>292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</row>
    <row r="4" spans="1:14" x14ac:dyDescent="0.25">
      <c r="A4" s="397" t="s">
        <v>320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5" spans="1:14" x14ac:dyDescent="0.25">
      <c r="A5" s="397" t="s">
        <v>341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</row>
    <row r="8" spans="1:14" ht="30" x14ac:dyDescent="0.25">
      <c r="A8" s="300" t="s">
        <v>2</v>
      </c>
      <c r="B8" s="300" t="s">
        <v>9</v>
      </c>
      <c r="C8" s="301" t="s">
        <v>313</v>
      </c>
      <c r="D8" s="301" t="s">
        <v>312</v>
      </c>
      <c r="E8" s="301" t="s">
        <v>311</v>
      </c>
      <c r="F8" s="301" t="s">
        <v>306</v>
      </c>
      <c r="G8" s="301" t="s">
        <v>307</v>
      </c>
      <c r="H8" s="301" t="s">
        <v>308</v>
      </c>
      <c r="I8" s="301" t="s">
        <v>309</v>
      </c>
      <c r="J8" s="301" t="s">
        <v>310</v>
      </c>
      <c r="K8" s="301" t="s">
        <v>314</v>
      </c>
      <c r="L8" s="301" t="s">
        <v>315</v>
      </c>
      <c r="M8" s="301" t="s">
        <v>316</v>
      </c>
      <c r="N8" s="301" t="s">
        <v>317</v>
      </c>
    </row>
    <row r="9" spans="1:14" x14ac:dyDescent="0.25">
      <c r="A9" s="286">
        <v>7</v>
      </c>
      <c r="B9" s="282">
        <f>SUM(C9:N9)</f>
        <v>17224681.399999999</v>
      </c>
      <c r="C9" s="282">
        <v>1136808.8999999999</v>
      </c>
      <c r="D9" s="282">
        <v>1142188.82</v>
      </c>
      <c r="E9" s="282">
        <v>1071499.1599999999</v>
      </c>
      <c r="F9" s="282">
        <v>895721.74</v>
      </c>
      <c r="G9" s="282">
        <v>1247042.5900000001</v>
      </c>
      <c r="H9" s="282">
        <v>1564437.8</v>
      </c>
      <c r="I9" s="282">
        <v>1816382.83</v>
      </c>
      <c r="J9" s="282">
        <v>1822855.3</v>
      </c>
      <c r="K9" s="282">
        <v>3497980.01</v>
      </c>
      <c r="L9" s="282">
        <v>697978.71</v>
      </c>
      <c r="M9" s="282">
        <v>1273167.8600000001</v>
      </c>
      <c r="N9" s="282">
        <v>1058617.68</v>
      </c>
    </row>
    <row r="10" spans="1:14" x14ac:dyDescent="0.25">
      <c r="A10" s="286">
        <v>24</v>
      </c>
      <c r="B10" s="282">
        <f t="shared" ref="B10:B15" si="0">SUM(C10:N10)</f>
        <v>1239004.6299999999</v>
      </c>
      <c r="C10" s="282">
        <v>80490.610000000015</v>
      </c>
      <c r="D10" s="282">
        <v>71927.58</v>
      </c>
      <c r="E10" s="282">
        <v>99828.260000000009</v>
      </c>
      <c r="F10" s="282">
        <v>79793.069999999992</v>
      </c>
      <c r="G10" s="282">
        <v>87504.959999999992</v>
      </c>
      <c r="H10" s="282">
        <v>114132.45</v>
      </c>
      <c r="I10" s="282">
        <v>98413.760000000009</v>
      </c>
      <c r="J10" s="282">
        <v>108356.97</v>
      </c>
      <c r="K10" s="282">
        <v>261831.86000000002</v>
      </c>
      <c r="L10" s="282">
        <v>31577.32</v>
      </c>
      <c r="M10" s="282">
        <v>91674.61</v>
      </c>
      <c r="N10" s="282">
        <v>113473.18000000001</v>
      </c>
    </row>
    <row r="11" spans="1:14" x14ac:dyDescent="0.25">
      <c r="A11" s="286">
        <v>25</v>
      </c>
      <c r="B11" s="282">
        <f t="shared" si="0"/>
        <v>194711.71</v>
      </c>
      <c r="C11" s="282">
        <v>22639.96</v>
      </c>
      <c r="D11" s="282">
        <v>8582.66</v>
      </c>
      <c r="E11" s="282">
        <v>28570.59</v>
      </c>
      <c r="F11" s="282">
        <v>19113.18</v>
      </c>
      <c r="G11" s="282">
        <v>2378.91</v>
      </c>
      <c r="H11" s="282">
        <v>15649.42</v>
      </c>
      <c r="I11" s="282">
        <v>4642.97</v>
      </c>
      <c r="J11" s="282">
        <v>8643.2900000000009</v>
      </c>
      <c r="K11" s="282">
        <v>25144.14</v>
      </c>
      <c r="L11" s="282">
        <v>5776.01</v>
      </c>
      <c r="M11" s="282">
        <v>18062.919999999998</v>
      </c>
      <c r="N11" s="282">
        <v>35507.659999999996</v>
      </c>
    </row>
    <row r="12" spans="1:14" x14ac:dyDescent="0.25">
      <c r="A12" s="286">
        <v>26</v>
      </c>
      <c r="B12" s="282">
        <f t="shared" si="0"/>
        <v>312764.41000000003</v>
      </c>
      <c r="C12" s="282">
        <v>114676.81</v>
      </c>
      <c r="D12" s="282"/>
      <c r="E12" s="282">
        <v>77829.070000000007</v>
      </c>
      <c r="F12" s="282">
        <v>20592.89</v>
      </c>
      <c r="G12" s="282">
        <v>31119.18</v>
      </c>
      <c r="H12" s="282">
        <v>38831.22</v>
      </c>
      <c r="I12" s="282"/>
      <c r="J12" s="282"/>
      <c r="K12" s="282">
        <v>12009.14</v>
      </c>
      <c r="L12" s="282">
        <v>3811.3</v>
      </c>
      <c r="M12" s="282">
        <v>1323.82</v>
      </c>
      <c r="N12" s="282">
        <v>12570.98</v>
      </c>
    </row>
    <row r="13" spans="1:14" x14ac:dyDescent="0.25">
      <c r="A13" s="286">
        <v>29</v>
      </c>
      <c r="B13" s="282">
        <f t="shared" si="0"/>
        <v>5615.4999999999991</v>
      </c>
      <c r="C13" s="282"/>
      <c r="D13" s="282"/>
      <c r="E13" s="282">
        <v>-42.6</v>
      </c>
      <c r="F13" s="282"/>
      <c r="G13" s="282"/>
      <c r="H13" s="282">
        <v>6105.44</v>
      </c>
      <c r="I13" s="282">
        <v>655.97</v>
      </c>
      <c r="J13" s="282">
        <v>-880.29</v>
      </c>
      <c r="K13" s="282">
        <v>-223.02</v>
      </c>
      <c r="L13" s="282"/>
      <c r="M13" s="282"/>
      <c r="N13" s="282"/>
    </row>
    <row r="14" spans="1:14" x14ac:dyDescent="0.25">
      <c r="A14" s="286">
        <v>31</v>
      </c>
      <c r="B14" s="282">
        <f t="shared" si="0"/>
        <v>428165.6</v>
      </c>
      <c r="C14" s="282">
        <v>1462.79</v>
      </c>
      <c r="D14" s="282">
        <v>-1462.79</v>
      </c>
      <c r="E14" s="282"/>
      <c r="F14" s="282">
        <v>34337.46</v>
      </c>
      <c r="G14" s="282">
        <v>16979.45</v>
      </c>
      <c r="H14" s="282"/>
      <c r="I14" s="282"/>
      <c r="J14" s="282"/>
      <c r="K14" s="282"/>
      <c r="L14" s="282"/>
      <c r="M14" s="282"/>
      <c r="N14" s="282">
        <v>376848.69</v>
      </c>
    </row>
    <row r="15" spans="1:14" x14ac:dyDescent="0.25">
      <c r="A15" s="286" t="s">
        <v>340</v>
      </c>
      <c r="B15" s="282">
        <f t="shared" si="0"/>
        <v>49564.93</v>
      </c>
      <c r="C15" s="282">
        <v>8914.08</v>
      </c>
      <c r="D15" s="282">
        <v>19.54</v>
      </c>
      <c r="E15" s="282">
        <v>756.76</v>
      </c>
      <c r="F15" s="282">
        <v>119.53999999999999</v>
      </c>
      <c r="G15" s="282">
        <v>3438.98</v>
      </c>
      <c r="H15" s="282">
        <v>6597.8</v>
      </c>
      <c r="I15" s="282">
        <v>9542.67</v>
      </c>
      <c r="J15" s="282">
        <v>7036.67</v>
      </c>
      <c r="K15" s="282">
        <v>3443.1100000000006</v>
      </c>
      <c r="L15" s="282">
        <v>3376.6600000000003</v>
      </c>
      <c r="M15" s="282">
        <v>5979.7699999999995</v>
      </c>
      <c r="N15" s="282">
        <v>339.34999999999997</v>
      </c>
    </row>
    <row r="16" spans="1:14" x14ac:dyDescent="0.25">
      <c r="A16" s="287" t="s">
        <v>8</v>
      </c>
      <c r="B16" s="302">
        <f>SUM(B9:B15)</f>
        <v>19454508.18</v>
      </c>
      <c r="C16" s="302">
        <f t="shared" ref="C16:N16" si="1">SUM(C9:C15)</f>
        <v>1364993.1500000001</v>
      </c>
      <c r="D16" s="302">
        <f t="shared" si="1"/>
        <v>1221255.81</v>
      </c>
      <c r="E16" s="302">
        <f t="shared" si="1"/>
        <v>1278441.24</v>
      </c>
      <c r="F16" s="302">
        <f t="shared" si="1"/>
        <v>1049677.8800000001</v>
      </c>
      <c r="G16" s="302">
        <f t="shared" si="1"/>
        <v>1388464.0699999998</v>
      </c>
      <c r="H16" s="302">
        <f t="shared" si="1"/>
        <v>1745754.13</v>
      </c>
      <c r="I16" s="302">
        <f t="shared" si="1"/>
        <v>1929638.2</v>
      </c>
      <c r="J16" s="302">
        <f t="shared" si="1"/>
        <v>1946011.94</v>
      </c>
      <c r="K16" s="302">
        <f t="shared" si="1"/>
        <v>3800185.2399999998</v>
      </c>
      <c r="L16" s="302">
        <f t="shared" si="1"/>
        <v>742520</v>
      </c>
      <c r="M16" s="302">
        <f t="shared" si="1"/>
        <v>1390208.9800000002</v>
      </c>
      <c r="N16" s="302">
        <f t="shared" si="1"/>
        <v>1597357.5399999998</v>
      </c>
    </row>
  </sheetData>
  <mergeCells count="5">
    <mergeCell ref="A1:N1"/>
    <mergeCell ref="A2:N2"/>
    <mergeCell ref="A3:N3"/>
    <mergeCell ref="A4:N4"/>
    <mergeCell ref="A5:N5"/>
  </mergeCells>
  <printOptions horizontalCentered="1"/>
  <pageMargins left="0.25" right="0.25" top="0.75" bottom="0.75" header="0.3" footer="0.3"/>
  <pageSetup scale="70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zoomScaleNormal="100" workbookViewId="0">
      <pane ySplit="6" topLeftCell="A7" activePane="bottomLeft" state="frozen"/>
      <selection pane="bottomLeft"/>
    </sheetView>
  </sheetViews>
  <sheetFormatPr defaultColWidth="8.85546875" defaultRowHeight="15" x14ac:dyDescent="0.25"/>
  <cols>
    <col min="1" max="1" width="3.5703125" style="256" bestFit="1" customWidth="1"/>
    <col min="2" max="2" width="7.7109375" style="256" bestFit="1" customWidth="1"/>
    <col min="3" max="3" width="12.5703125" style="256" bestFit="1" customWidth="1"/>
    <col min="4" max="4" width="11.5703125" style="256" bestFit="1" customWidth="1"/>
    <col min="5" max="6" width="9" style="256" bestFit="1" customWidth="1"/>
    <col min="7" max="8" width="12.5703125" style="256" bestFit="1" customWidth="1"/>
    <col min="9" max="9" width="11.5703125" style="256" bestFit="1" customWidth="1"/>
    <col min="10" max="16384" width="8.85546875" style="256"/>
  </cols>
  <sheetData>
    <row r="1" spans="1:9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</row>
    <row r="2" spans="1:9" x14ac:dyDescent="0.25">
      <c r="A2" s="397" t="s">
        <v>343</v>
      </c>
      <c r="B2" s="396"/>
      <c r="C2" s="396"/>
      <c r="D2" s="396"/>
      <c r="E2" s="396"/>
      <c r="F2" s="396"/>
      <c r="G2" s="396"/>
      <c r="H2" s="396"/>
      <c r="I2" s="396"/>
    </row>
    <row r="3" spans="1:9" x14ac:dyDescent="0.25">
      <c r="A3" s="397" t="s">
        <v>323</v>
      </c>
      <c r="B3" s="396"/>
      <c r="C3" s="396"/>
      <c r="D3" s="396"/>
      <c r="E3" s="396"/>
      <c r="F3" s="396"/>
      <c r="G3" s="396"/>
      <c r="H3" s="396"/>
      <c r="I3" s="396"/>
    </row>
    <row r="6" spans="1:9" ht="45" x14ac:dyDescent="0.25">
      <c r="A6" s="295" t="s">
        <v>250</v>
      </c>
      <c r="B6" s="295" t="s">
        <v>251</v>
      </c>
      <c r="C6" s="295" t="s">
        <v>4</v>
      </c>
      <c r="D6" s="296" t="s">
        <v>252</v>
      </c>
      <c r="E6" s="296" t="s">
        <v>260</v>
      </c>
      <c r="F6" s="296" t="s">
        <v>6</v>
      </c>
      <c r="G6" s="295" t="s">
        <v>330</v>
      </c>
      <c r="H6" s="295" t="s">
        <v>253</v>
      </c>
      <c r="I6" s="296" t="s">
        <v>362</v>
      </c>
    </row>
    <row r="7" spans="1:9" x14ac:dyDescent="0.25">
      <c r="A7" s="407" t="s">
        <v>254</v>
      </c>
      <c r="B7" s="405"/>
      <c r="C7" s="405"/>
      <c r="D7" s="405"/>
      <c r="E7" s="405"/>
      <c r="F7" s="405"/>
      <c r="G7" s="405"/>
      <c r="H7" s="405"/>
      <c r="I7" s="405"/>
    </row>
    <row r="8" spans="1:9" x14ac:dyDescent="0.25">
      <c r="A8" s="299"/>
      <c r="B8" s="299"/>
      <c r="C8" s="299"/>
      <c r="D8" s="299"/>
      <c r="E8" s="299"/>
      <c r="F8" s="299"/>
      <c r="G8" s="299"/>
      <c r="H8" s="299"/>
      <c r="I8" s="299"/>
    </row>
    <row r="9" spans="1:9" x14ac:dyDescent="0.25">
      <c r="A9" s="256">
        <v>10</v>
      </c>
      <c r="B9" s="297">
        <v>360</v>
      </c>
      <c r="C9" s="294">
        <v>3584294.5099956198</v>
      </c>
      <c r="D9" s="294">
        <v>0</v>
      </c>
      <c r="E9" s="294">
        <v>0</v>
      </c>
      <c r="F9" s="294">
        <v>0</v>
      </c>
      <c r="G9" s="294">
        <v>3561622.1547956197</v>
      </c>
      <c r="H9" s="294">
        <v>22672.355200000002</v>
      </c>
      <c r="I9" s="294">
        <v>0</v>
      </c>
    </row>
    <row r="10" spans="1:9" x14ac:dyDescent="0.25">
      <c r="A10" s="256">
        <v>11</v>
      </c>
      <c r="B10" s="297">
        <v>361</v>
      </c>
      <c r="C10" s="294">
        <v>598299.79449141794</v>
      </c>
      <c r="D10" s="294">
        <v>0</v>
      </c>
      <c r="E10" s="294">
        <v>0</v>
      </c>
      <c r="F10" s="294">
        <v>0</v>
      </c>
      <c r="G10" s="294">
        <v>242390.36241461791</v>
      </c>
      <c r="H10" s="294">
        <v>162866.1520768</v>
      </c>
      <c r="I10" s="294">
        <v>193043.28</v>
      </c>
    </row>
    <row r="11" spans="1:9" x14ac:dyDescent="0.25">
      <c r="A11" s="256">
        <v>12</v>
      </c>
      <c r="B11" s="297">
        <v>362</v>
      </c>
      <c r="C11" s="294">
        <v>31963716.521255195</v>
      </c>
      <c r="D11" s="294">
        <v>775891.62600000005</v>
      </c>
      <c r="E11" s="294">
        <v>0</v>
      </c>
      <c r="F11" s="294">
        <v>0</v>
      </c>
      <c r="G11" s="294">
        <v>10309974.6572004</v>
      </c>
      <c r="H11" s="294">
        <v>14591388.153054798</v>
      </c>
      <c r="I11" s="294">
        <v>6286462.084999999</v>
      </c>
    </row>
    <row r="12" spans="1:9" x14ac:dyDescent="0.25">
      <c r="A12" s="256">
        <v>13</v>
      </c>
      <c r="B12" s="297" t="s">
        <v>255</v>
      </c>
      <c r="C12" s="294">
        <v>67009.356344389787</v>
      </c>
      <c r="D12" s="294">
        <v>0</v>
      </c>
      <c r="E12" s="294">
        <v>0</v>
      </c>
      <c r="F12" s="294">
        <v>0</v>
      </c>
      <c r="G12" s="294">
        <v>67009.356344389787</v>
      </c>
      <c r="H12" s="294">
        <v>0</v>
      </c>
      <c r="I12" s="294">
        <v>0</v>
      </c>
    </row>
    <row r="13" spans="1:9" x14ac:dyDescent="0.25">
      <c r="A13" s="256">
        <v>14</v>
      </c>
      <c r="B13" s="297" t="s">
        <v>256</v>
      </c>
      <c r="C13" s="294">
        <v>27766610.698247954</v>
      </c>
      <c r="D13" s="294">
        <v>0</v>
      </c>
      <c r="E13" s="294">
        <v>0</v>
      </c>
      <c r="F13" s="294">
        <v>0</v>
      </c>
      <c r="G13" s="294">
        <v>21070405.608247954</v>
      </c>
      <c r="H13" s="294">
        <v>6656205.0899999999</v>
      </c>
      <c r="I13" s="294">
        <v>40000</v>
      </c>
    </row>
    <row r="14" spans="1:9" x14ac:dyDescent="0.25">
      <c r="A14" s="256">
        <v>15</v>
      </c>
      <c r="B14" s="297" t="s">
        <v>257</v>
      </c>
      <c r="C14" s="294">
        <v>102372.76999999999</v>
      </c>
      <c r="D14" s="294">
        <v>97133.84</v>
      </c>
      <c r="E14" s="294">
        <v>5238.93</v>
      </c>
      <c r="F14" s="294">
        <v>0</v>
      </c>
      <c r="G14" s="294">
        <v>0</v>
      </c>
      <c r="H14" s="294">
        <v>0</v>
      </c>
      <c r="I14" s="294">
        <v>0</v>
      </c>
    </row>
    <row r="15" spans="1:9" x14ac:dyDescent="0.25">
      <c r="A15" s="256">
        <v>16</v>
      </c>
      <c r="B15" s="298" t="s">
        <v>258</v>
      </c>
      <c r="C15" s="294">
        <v>2193563.2490000972</v>
      </c>
      <c r="D15" s="294">
        <v>727301.99999999988</v>
      </c>
      <c r="E15" s="294">
        <v>42010.700000000004</v>
      </c>
      <c r="F15" s="294">
        <v>19397.189999999999</v>
      </c>
      <c r="G15" s="294">
        <v>1404853.3590000975</v>
      </c>
      <c r="H15" s="294">
        <v>0</v>
      </c>
      <c r="I15" s="294">
        <v>0</v>
      </c>
    </row>
    <row r="16" spans="1:9" x14ac:dyDescent="0.25">
      <c r="A16" s="256">
        <v>17</v>
      </c>
      <c r="B16" s="298"/>
      <c r="C16" s="294"/>
      <c r="D16" s="294"/>
      <c r="E16" s="294"/>
      <c r="F16" s="294"/>
      <c r="G16" s="294"/>
      <c r="H16" s="294"/>
      <c r="I16" s="294"/>
    </row>
    <row r="17" spans="1:9" x14ac:dyDescent="0.25">
      <c r="A17" s="256">
        <v>18</v>
      </c>
      <c r="B17" s="298" t="s">
        <v>4</v>
      </c>
      <c r="C17" s="294">
        <v>66275866.899334669</v>
      </c>
      <c r="D17" s="294">
        <v>1600327.466</v>
      </c>
      <c r="E17" s="294">
        <v>47249.630000000005</v>
      </c>
      <c r="F17" s="294">
        <v>19397.189999999999</v>
      </c>
      <c r="G17" s="294">
        <v>36656255.498003073</v>
      </c>
      <c r="H17" s="294">
        <v>21433131.750331596</v>
      </c>
      <c r="I17" s="294">
        <v>6519505.3649999993</v>
      </c>
    </row>
    <row r="18" spans="1:9" x14ac:dyDescent="0.25">
      <c r="A18" s="256">
        <v>19</v>
      </c>
    </row>
  </sheetData>
  <mergeCells count="4">
    <mergeCell ref="A1:I1"/>
    <mergeCell ref="A2:I2"/>
    <mergeCell ref="A3:I3"/>
    <mergeCell ref="A7:I7"/>
  </mergeCells>
  <printOptions horizontalCentered="1"/>
  <pageMargins left="0.25" right="0.25" top="0.75" bottom="0.75" header="0.3" footer="0.3"/>
  <pageSetup scale="86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5546875" defaultRowHeight="15" x14ac:dyDescent="0.25"/>
  <cols>
    <col min="1" max="1" width="3.5703125" style="256" bestFit="1" customWidth="1"/>
    <col min="2" max="2" width="7.7109375" style="256" bestFit="1" customWidth="1"/>
    <col min="3" max="3" width="13.42578125" style="256" bestFit="1" customWidth="1"/>
    <col min="4" max="4" width="12.28515625" style="256" bestFit="1" customWidth="1"/>
    <col min="5" max="5" width="9.7109375" style="256" bestFit="1" customWidth="1"/>
    <col min="6" max="6" width="8.7109375" style="256" bestFit="1" customWidth="1"/>
    <col min="7" max="7" width="13.42578125" style="256" bestFit="1" customWidth="1"/>
    <col min="8" max="9" width="12.28515625" style="256" bestFit="1" customWidth="1"/>
    <col min="10" max="16384" width="8.85546875" style="256"/>
  </cols>
  <sheetData>
    <row r="1" spans="1:9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</row>
    <row r="2" spans="1:9" x14ac:dyDescent="0.25">
      <c r="A2" s="397" t="s">
        <v>342</v>
      </c>
      <c r="B2" s="396"/>
      <c r="C2" s="396"/>
      <c r="D2" s="396"/>
      <c r="E2" s="396"/>
      <c r="F2" s="396"/>
      <c r="G2" s="396"/>
      <c r="H2" s="396"/>
      <c r="I2" s="396"/>
    </row>
    <row r="3" spans="1:9" x14ac:dyDescent="0.25">
      <c r="A3" s="397" t="s">
        <v>323</v>
      </c>
      <c r="B3" s="396"/>
      <c r="C3" s="396"/>
      <c r="D3" s="396"/>
      <c r="E3" s="396"/>
      <c r="F3" s="396"/>
      <c r="G3" s="396"/>
      <c r="H3" s="396"/>
      <c r="I3" s="396"/>
    </row>
    <row r="6" spans="1:9" ht="45" x14ac:dyDescent="0.25">
      <c r="A6" s="295" t="s">
        <v>250</v>
      </c>
      <c r="B6" s="295" t="s">
        <v>251</v>
      </c>
      <c r="C6" s="296" t="s">
        <v>259</v>
      </c>
      <c r="D6" s="296" t="s">
        <v>252</v>
      </c>
      <c r="E6" s="296" t="s">
        <v>260</v>
      </c>
      <c r="F6" s="296" t="s">
        <v>6</v>
      </c>
      <c r="G6" s="295" t="s">
        <v>330</v>
      </c>
      <c r="H6" s="295" t="s">
        <v>253</v>
      </c>
      <c r="I6" s="296" t="s">
        <v>362</v>
      </c>
    </row>
    <row r="7" spans="1:9" x14ac:dyDescent="0.25">
      <c r="A7" s="407" t="s">
        <v>254</v>
      </c>
      <c r="B7" s="405"/>
      <c r="C7" s="405"/>
      <c r="D7" s="405"/>
      <c r="E7" s="405"/>
      <c r="F7" s="405"/>
      <c r="G7" s="405"/>
      <c r="H7" s="405"/>
      <c r="I7" s="405"/>
    </row>
    <row r="8" spans="1:9" x14ac:dyDescent="0.25">
      <c r="A8" s="256">
        <v>9</v>
      </c>
      <c r="B8" s="297">
        <v>360</v>
      </c>
      <c r="C8" s="294">
        <v>-12148.752</v>
      </c>
      <c r="D8" s="294">
        <v>0</v>
      </c>
      <c r="E8" s="294">
        <v>0</v>
      </c>
      <c r="F8" s="294">
        <v>0</v>
      </c>
      <c r="G8" s="294">
        <v>0</v>
      </c>
      <c r="H8" s="294">
        <v>-12148.752</v>
      </c>
      <c r="I8" s="294">
        <v>0</v>
      </c>
    </row>
    <row r="9" spans="1:9" x14ac:dyDescent="0.25">
      <c r="A9" s="256">
        <v>10</v>
      </c>
      <c r="B9" s="297">
        <v>361</v>
      </c>
      <c r="C9" s="294">
        <v>-224950.76187036239</v>
      </c>
      <c r="D9" s="294">
        <v>-10967.308000000001</v>
      </c>
      <c r="E9" s="294">
        <v>0</v>
      </c>
      <c r="F9" s="294">
        <v>0</v>
      </c>
      <c r="G9" s="294">
        <v>-55355.910287562372</v>
      </c>
      <c r="H9" s="294">
        <v>-57917.228582800002</v>
      </c>
      <c r="I9" s="294">
        <v>-100710.315</v>
      </c>
    </row>
    <row r="10" spans="1:9" x14ac:dyDescent="0.25">
      <c r="A10" s="256">
        <v>11</v>
      </c>
      <c r="B10" s="297">
        <v>362</v>
      </c>
      <c r="C10" s="294">
        <v>-11302572.919115141</v>
      </c>
      <c r="D10" s="294">
        <v>-698898.21200000006</v>
      </c>
      <c r="E10" s="294">
        <v>0</v>
      </c>
      <c r="F10" s="294">
        <v>0</v>
      </c>
      <c r="G10" s="294">
        <v>-2831561.1025523427</v>
      </c>
      <c r="H10" s="294">
        <v>-4407970.1745627997</v>
      </c>
      <c r="I10" s="294">
        <v>-3364143.4299999997</v>
      </c>
    </row>
    <row r="11" spans="1:9" x14ac:dyDescent="0.25">
      <c r="A11" s="256">
        <v>12</v>
      </c>
      <c r="B11" s="297" t="s">
        <v>255</v>
      </c>
      <c r="C11" s="294">
        <v>-52160.692154439777</v>
      </c>
      <c r="D11" s="294">
        <v>0</v>
      </c>
      <c r="E11" s="294">
        <v>0</v>
      </c>
      <c r="F11" s="294">
        <v>0</v>
      </c>
      <c r="G11" s="294">
        <v>-52160.692154439777</v>
      </c>
      <c r="H11" s="294">
        <v>0</v>
      </c>
      <c r="I11" s="294">
        <v>0</v>
      </c>
    </row>
    <row r="12" spans="1:9" x14ac:dyDescent="0.25">
      <c r="A12" s="256">
        <v>13</v>
      </c>
      <c r="B12" s="297" t="s">
        <v>256</v>
      </c>
      <c r="C12" s="294">
        <v>-15897826.552200768</v>
      </c>
      <c r="D12" s="294">
        <v>0</v>
      </c>
      <c r="E12" s="294">
        <v>0</v>
      </c>
      <c r="F12" s="294">
        <v>0</v>
      </c>
      <c r="G12" s="294">
        <v>-13917717.100486483</v>
      </c>
      <c r="H12" s="294">
        <v>-1954966.5945714284</v>
      </c>
      <c r="I12" s="294">
        <v>-25142.857142857145</v>
      </c>
    </row>
    <row r="13" spans="1:9" x14ac:dyDescent="0.25">
      <c r="A13" s="256">
        <v>14</v>
      </c>
      <c r="B13" s="297" t="s">
        <v>257</v>
      </c>
      <c r="C13" s="294">
        <v>-51186</v>
      </c>
      <c r="D13" s="294">
        <v>-48567</v>
      </c>
      <c r="E13" s="294">
        <v>-2619</v>
      </c>
      <c r="F13" s="294">
        <v>0</v>
      </c>
      <c r="G13" s="294">
        <v>0</v>
      </c>
      <c r="H13" s="294">
        <v>0</v>
      </c>
      <c r="I13" s="294">
        <v>0</v>
      </c>
    </row>
    <row r="14" spans="1:9" x14ac:dyDescent="0.25">
      <c r="A14" s="256">
        <v>15</v>
      </c>
      <c r="B14" s="298" t="s">
        <v>258</v>
      </c>
      <c r="C14" s="294">
        <v>-1194485.6795000487</v>
      </c>
      <c r="D14" s="294">
        <v>-363651</v>
      </c>
      <c r="E14" s="294">
        <v>-21005</v>
      </c>
      <c r="F14" s="294">
        <v>-9699</v>
      </c>
      <c r="G14" s="294">
        <v>-800130.67950004875</v>
      </c>
      <c r="H14" s="294">
        <v>0</v>
      </c>
      <c r="I14" s="294">
        <v>0</v>
      </c>
    </row>
    <row r="15" spans="1:9" x14ac:dyDescent="0.25">
      <c r="A15" s="256">
        <v>16</v>
      </c>
      <c r="B15" s="297"/>
      <c r="C15" s="294">
        <v>0</v>
      </c>
      <c r="D15" s="294">
        <v>0</v>
      </c>
      <c r="E15" s="294">
        <v>0</v>
      </c>
      <c r="F15" s="294">
        <v>0</v>
      </c>
      <c r="G15" s="294">
        <v>0</v>
      </c>
      <c r="H15" s="294">
        <v>0</v>
      </c>
      <c r="I15" s="294">
        <v>0</v>
      </c>
    </row>
    <row r="16" spans="1:9" x14ac:dyDescent="0.25">
      <c r="A16" s="256">
        <v>17</v>
      </c>
      <c r="B16" s="297" t="s">
        <v>4</v>
      </c>
      <c r="C16" s="294">
        <v>-28735331.356840756</v>
      </c>
      <c r="D16" s="294">
        <v>-1122083.52</v>
      </c>
      <c r="E16" s="294">
        <v>-23624</v>
      </c>
      <c r="F16" s="294">
        <v>-9699</v>
      </c>
      <c r="G16" s="294">
        <v>-17656925.484980874</v>
      </c>
      <c r="H16" s="294">
        <v>-6433002.7497170279</v>
      </c>
      <c r="I16" s="294">
        <v>-3489996.6021428569</v>
      </c>
    </row>
    <row r="17" spans="1:1" x14ac:dyDescent="0.25">
      <c r="A17" s="256">
        <v>18</v>
      </c>
    </row>
  </sheetData>
  <mergeCells count="4">
    <mergeCell ref="A1:I1"/>
    <mergeCell ref="A2:I2"/>
    <mergeCell ref="A3:I3"/>
    <mergeCell ref="A7:I7"/>
  </mergeCells>
  <printOptions horizontalCentered="1"/>
  <pageMargins left="0.25" right="0.25" top="0.75" bottom="0.75" header="0.3" footer="0.3"/>
  <pageSetup scale="88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G74"/>
  <sheetViews>
    <sheetView workbookViewId="0"/>
  </sheetViews>
  <sheetFormatPr defaultRowHeight="15" x14ac:dyDescent="0.25"/>
  <cols>
    <col min="1" max="1" width="15.85546875" style="256" bestFit="1" customWidth="1"/>
    <col min="2" max="2" width="77.140625" style="256" bestFit="1" customWidth="1"/>
    <col min="3" max="3" width="42.42578125" style="256" bestFit="1" customWidth="1"/>
    <col min="4" max="4" width="16.85546875" style="256" bestFit="1" customWidth="1"/>
    <col min="5" max="5" width="33.85546875" style="256" bestFit="1" customWidth="1"/>
    <col min="6" max="6" width="13.28515625" style="256" bestFit="1" customWidth="1"/>
    <col min="7" max="7" width="9.7109375" style="256" bestFit="1" customWidth="1"/>
    <col min="8" max="16384" width="9.140625" style="256"/>
  </cols>
  <sheetData>
    <row r="1" spans="1:6" ht="15.75" x14ac:dyDescent="0.25">
      <c r="A1" s="253" t="s">
        <v>48</v>
      </c>
      <c r="B1" s="255"/>
      <c r="C1" s="255"/>
      <c r="D1" s="255"/>
      <c r="E1" s="255"/>
      <c r="F1" s="255"/>
    </row>
    <row r="2" spans="1:6" x14ac:dyDescent="0.25">
      <c r="A2" s="255"/>
      <c r="B2" s="255"/>
      <c r="C2" s="255"/>
      <c r="D2" s="255"/>
      <c r="E2" s="255"/>
      <c r="F2" s="255"/>
    </row>
    <row r="3" spans="1:6" ht="15.75" x14ac:dyDescent="0.25">
      <c r="A3" s="255"/>
      <c r="B3" s="257" t="s">
        <v>49</v>
      </c>
      <c r="C3" s="257"/>
      <c r="D3" s="255"/>
      <c r="E3" s="257" t="s">
        <v>50</v>
      </c>
      <c r="F3" s="255"/>
    </row>
    <row r="4" spans="1:6" ht="15.75" x14ac:dyDescent="0.25">
      <c r="A4" s="255"/>
      <c r="B4" s="257"/>
      <c r="C4" s="257"/>
      <c r="D4" s="255"/>
      <c r="E4" s="258"/>
      <c r="F4" s="255"/>
    </row>
    <row r="5" spans="1:6" x14ac:dyDescent="0.25">
      <c r="A5" s="259">
        <v>1</v>
      </c>
      <c r="B5" s="260" t="s">
        <v>298</v>
      </c>
      <c r="C5" s="261"/>
      <c r="D5" s="255"/>
      <c r="E5" s="258"/>
      <c r="F5" s="255"/>
    </row>
    <row r="6" spans="1:6" x14ac:dyDescent="0.25">
      <c r="A6" s="259">
        <v>2</v>
      </c>
      <c r="B6" s="260" t="s">
        <v>299</v>
      </c>
      <c r="C6" s="261"/>
      <c r="D6" s="255"/>
      <c r="E6" s="258"/>
      <c r="F6" s="255"/>
    </row>
    <row r="7" spans="1:6" x14ac:dyDescent="0.25">
      <c r="A7" s="259">
        <v>3</v>
      </c>
      <c r="B7" s="260" t="s">
        <v>300</v>
      </c>
      <c r="C7" s="261"/>
      <c r="D7" s="255"/>
      <c r="E7" s="258"/>
      <c r="F7" s="255"/>
    </row>
    <row r="8" spans="1:6" x14ac:dyDescent="0.25">
      <c r="A8" s="259">
        <v>4</v>
      </c>
      <c r="B8" s="261" t="s">
        <v>51</v>
      </c>
      <c r="C8" s="261"/>
      <c r="D8" s="255"/>
      <c r="E8" s="258"/>
      <c r="F8" s="255"/>
    </row>
    <row r="9" spans="1:6" x14ac:dyDescent="0.25">
      <c r="A9" s="259">
        <v>5</v>
      </c>
      <c r="B9" s="261" t="s">
        <v>52</v>
      </c>
      <c r="C9" s="261"/>
      <c r="D9" s="255"/>
      <c r="E9" s="255"/>
      <c r="F9" s="255"/>
    </row>
    <row r="10" spans="1:6" x14ac:dyDescent="0.25">
      <c r="A10" s="259"/>
      <c r="B10" s="255"/>
      <c r="C10" s="255"/>
      <c r="D10" s="255"/>
      <c r="E10" s="128" t="s">
        <v>53</v>
      </c>
      <c r="F10" s="128" t="s">
        <v>14</v>
      </c>
    </row>
    <row r="11" spans="1:6" x14ac:dyDescent="0.25">
      <c r="A11" s="259"/>
      <c r="B11" s="128" t="s">
        <v>49</v>
      </c>
      <c r="C11" s="261">
        <v>2</v>
      </c>
      <c r="D11" s="255"/>
      <c r="E11" s="261" t="s">
        <v>54</v>
      </c>
      <c r="F11" s="261" t="s">
        <v>55</v>
      </c>
    </row>
    <row r="12" spans="1:6" x14ac:dyDescent="0.25">
      <c r="A12" s="259"/>
      <c r="B12" s="255"/>
      <c r="C12" s="255"/>
      <c r="D12" s="255"/>
      <c r="E12" s="261" t="s">
        <v>56</v>
      </c>
      <c r="F12" s="261" t="s">
        <v>57</v>
      </c>
    </row>
    <row r="13" spans="1:6" x14ac:dyDescent="0.25">
      <c r="A13" s="259"/>
      <c r="B13" s="255"/>
      <c r="C13" s="255"/>
      <c r="D13" s="255"/>
      <c r="E13" s="261" t="s">
        <v>58</v>
      </c>
      <c r="F13" s="261" t="s">
        <v>59</v>
      </c>
    </row>
    <row r="14" spans="1:6" x14ac:dyDescent="0.25">
      <c r="A14" s="259"/>
      <c r="B14" s="255"/>
      <c r="C14" s="255"/>
      <c r="D14" s="255"/>
      <c r="E14" s="261" t="s">
        <v>60</v>
      </c>
      <c r="F14" s="261" t="s">
        <v>60</v>
      </c>
    </row>
    <row r="15" spans="1:6" ht="15.75" x14ac:dyDescent="0.25">
      <c r="A15" s="259"/>
      <c r="B15" s="257" t="s">
        <v>61</v>
      </c>
      <c r="C15" s="255"/>
      <c r="D15" s="255"/>
      <c r="E15" s="261" t="s">
        <v>60</v>
      </c>
      <c r="F15" s="261" t="s">
        <v>60</v>
      </c>
    </row>
    <row r="16" spans="1:6" x14ac:dyDescent="0.25">
      <c r="A16" s="259"/>
      <c r="B16" s="255"/>
      <c r="C16" s="255"/>
      <c r="D16" s="255"/>
      <c r="E16" s="261" t="s">
        <v>60</v>
      </c>
      <c r="F16" s="261" t="s">
        <v>60</v>
      </c>
    </row>
    <row r="17" spans="1:6" x14ac:dyDescent="0.25">
      <c r="A17" s="259"/>
      <c r="B17" s="128" t="s">
        <v>62</v>
      </c>
      <c r="C17" s="128" t="s">
        <v>14</v>
      </c>
      <c r="D17" s="255"/>
      <c r="E17" s="261" t="s">
        <v>60</v>
      </c>
      <c r="F17" s="261" t="s">
        <v>60</v>
      </c>
    </row>
    <row r="18" spans="1:6" x14ac:dyDescent="0.25">
      <c r="A18" s="259">
        <v>1</v>
      </c>
      <c r="B18" s="261" t="s">
        <v>63</v>
      </c>
      <c r="C18" s="261" t="s">
        <v>64</v>
      </c>
      <c r="D18" s="255"/>
      <c r="E18" s="261" t="s">
        <v>60</v>
      </c>
      <c r="F18" s="261" t="s">
        <v>60</v>
      </c>
    </row>
    <row r="19" spans="1:6" x14ac:dyDescent="0.25">
      <c r="A19" s="259">
        <v>2</v>
      </c>
      <c r="B19" s="261" t="s">
        <v>65</v>
      </c>
      <c r="C19" s="261" t="s">
        <v>66</v>
      </c>
      <c r="D19" s="255"/>
      <c r="E19" s="261" t="s">
        <v>60</v>
      </c>
      <c r="F19" s="261" t="s">
        <v>60</v>
      </c>
    </row>
    <row r="20" spans="1:6" x14ac:dyDescent="0.25">
      <c r="A20" s="259">
        <v>3</v>
      </c>
      <c r="B20" s="261" t="s">
        <v>67</v>
      </c>
      <c r="C20" s="261" t="s">
        <v>68</v>
      </c>
      <c r="D20" s="255"/>
      <c r="E20" s="261" t="s">
        <v>60</v>
      </c>
      <c r="F20" s="261" t="s">
        <v>60</v>
      </c>
    </row>
    <row r="21" spans="1:6" x14ac:dyDescent="0.25">
      <c r="A21" s="259">
        <v>4</v>
      </c>
      <c r="B21" s="261" t="s">
        <v>69</v>
      </c>
      <c r="C21" s="261" t="s">
        <v>70</v>
      </c>
      <c r="D21" s="255"/>
      <c r="E21" s="255"/>
      <c r="F21" s="255"/>
    </row>
    <row r="22" spans="1:6" ht="15.75" x14ac:dyDescent="0.25">
      <c r="A22" s="259">
        <v>5</v>
      </c>
      <c r="B22" s="261" t="s">
        <v>71</v>
      </c>
      <c r="C22" s="261" t="s">
        <v>72</v>
      </c>
      <c r="D22" s="255"/>
      <c r="E22" s="257"/>
      <c r="F22" s="128" t="s">
        <v>73</v>
      </c>
    </row>
    <row r="23" spans="1:6" x14ac:dyDescent="0.25">
      <c r="A23" s="259">
        <v>6</v>
      </c>
      <c r="B23" s="261" t="s">
        <v>74</v>
      </c>
      <c r="C23" s="261" t="s">
        <v>75</v>
      </c>
      <c r="D23" s="255"/>
      <c r="E23" s="261" t="s">
        <v>76</v>
      </c>
      <c r="F23" s="261" t="s">
        <v>77</v>
      </c>
    </row>
    <row r="24" spans="1:6" x14ac:dyDescent="0.25">
      <c r="A24" s="259">
        <v>7</v>
      </c>
      <c r="B24" s="261" t="s">
        <v>78</v>
      </c>
      <c r="C24" s="261" t="s">
        <v>79</v>
      </c>
      <c r="D24" s="255"/>
      <c r="E24" s="261"/>
      <c r="F24" s="261" t="s">
        <v>80</v>
      </c>
    </row>
    <row r="25" spans="1:6" x14ac:dyDescent="0.25">
      <c r="A25" s="259">
        <v>8</v>
      </c>
      <c r="B25" s="261" t="s">
        <v>302</v>
      </c>
      <c r="C25" s="261" t="s">
        <v>301</v>
      </c>
      <c r="D25" s="255"/>
      <c r="E25" s="261"/>
      <c r="F25" s="14" t="s">
        <v>81</v>
      </c>
    </row>
    <row r="26" spans="1:6" x14ac:dyDescent="0.25">
      <c r="A26" s="259">
        <v>9</v>
      </c>
      <c r="B26" s="261" t="s">
        <v>82</v>
      </c>
      <c r="C26" s="260" t="s">
        <v>326</v>
      </c>
      <c r="D26" s="255"/>
      <c r="E26" s="261"/>
      <c r="F26" s="260" t="s">
        <v>83</v>
      </c>
    </row>
    <row r="27" spans="1:6" x14ac:dyDescent="0.25">
      <c r="A27" s="259">
        <v>10</v>
      </c>
      <c r="B27" s="260" t="s">
        <v>327</v>
      </c>
      <c r="C27" s="260" t="s">
        <v>328</v>
      </c>
      <c r="D27" s="255"/>
      <c r="E27" s="255" t="s">
        <v>84</v>
      </c>
      <c r="F27" s="255"/>
    </row>
    <row r="28" spans="1:6" ht="15.75" x14ac:dyDescent="0.25">
      <c r="A28" s="259">
        <v>11</v>
      </c>
      <c r="B28" s="261" t="s">
        <v>86</v>
      </c>
      <c r="C28" s="261" t="s">
        <v>87</v>
      </c>
      <c r="D28" s="255"/>
      <c r="E28" s="257"/>
      <c r="F28" s="129" t="s">
        <v>85</v>
      </c>
    </row>
    <row r="29" spans="1:6" x14ac:dyDescent="0.25">
      <c r="A29" s="259">
        <v>12</v>
      </c>
      <c r="B29" s="261" t="s">
        <v>89</v>
      </c>
      <c r="C29" s="261" t="s">
        <v>90</v>
      </c>
      <c r="D29" s="255"/>
      <c r="E29" s="261" t="s">
        <v>88</v>
      </c>
      <c r="F29" s="262">
        <f ca="1">+ROR!E13</f>
        <v>7.4399999999999994E-2</v>
      </c>
    </row>
    <row r="30" spans="1:6" x14ac:dyDescent="0.25">
      <c r="A30" s="259">
        <v>13</v>
      </c>
      <c r="B30" s="261" t="s">
        <v>60</v>
      </c>
      <c r="C30" s="261" t="s">
        <v>60</v>
      </c>
      <c r="D30" s="255"/>
      <c r="E30" s="261" t="s">
        <v>91</v>
      </c>
      <c r="F30" s="262">
        <f ca="1">+ROR!E11</f>
        <v>2.8299999999999999E-2</v>
      </c>
    </row>
    <row r="31" spans="1:6" x14ac:dyDescent="0.25">
      <c r="A31" s="259">
        <v>14</v>
      </c>
      <c r="B31" s="261" t="s">
        <v>60</v>
      </c>
      <c r="C31" s="261" t="s">
        <v>60</v>
      </c>
      <c r="D31" s="255"/>
      <c r="E31" s="261" t="s">
        <v>92</v>
      </c>
      <c r="F31" s="262">
        <f ca="1">+ROR!E12</f>
        <v>4.6100000000000002E-2</v>
      </c>
    </row>
    <row r="32" spans="1:6" x14ac:dyDescent="0.25">
      <c r="A32" s="259">
        <v>15</v>
      </c>
      <c r="B32" s="261" t="s">
        <v>60</v>
      </c>
      <c r="C32" s="261" t="s">
        <v>60</v>
      </c>
      <c r="D32" s="255"/>
      <c r="E32" s="255"/>
      <c r="F32" s="255"/>
    </row>
    <row r="33" spans="1:7" ht="15.75" x14ac:dyDescent="0.25">
      <c r="A33" s="259">
        <v>16</v>
      </c>
      <c r="B33" s="261" t="s">
        <v>60</v>
      </c>
      <c r="C33" s="261" t="s">
        <v>60</v>
      </c>
      <c r="D33" s="255"/>
      <c r="E33" s="257" t="s">
        <v>93</v>
      </c>
      <c r="F33" s="255"/>
    </row>
    <row r="34" spans="1:7" x14ac:dyDescent="0.25">
      <c r="A34" s="259">
        <v>17</v>
      </c>
      <c r="B34" s="261" t="s">
        <v>60</v>
      </c>
      <c r="C34" s="261" t="s">
        <v>60</v>
      </c>
      <c r="D34" s="255"/>
      <c r="E34" s="261" t="s">
        <v>94</v>
      </c>
      <c r="F34" s="262">
        <v>0</v>
      </c>
    </row>
    <row r="35" spans="1:7" x14ac:dyDescent="0.25">
      <c r="A35" s="259">
        <v>18</v>
      </c>
      <c r="B35" s="261" t="s">
        <v>60</v>
      </c>
      <c r="C35" s="261" t="s">
        <v>60</v>
      </c>
      <c r="D35" s="255"/>
      <c r="E35" s="261" t="s">
        <v>95</v>
      </c>
      <c r="F35" s="262">
        <v>0</v>
      </c>
      <c r="G35" s="263">
        <f ca="1">+'Revenue Sensitive Items'!D18</f>
        <v>0.21</v>
      </c>
    </row>
    <row r="36" spans="1:7" x14ac:dyDescent="0.25">
      <c r="A36" s="259">
        <v>19</v>
      </c>
      <c r="B36" s="261" t="s">
        <v>60</v>
      </c>
      <c r="C36" s="261" t="s">
        <v>60</v>
      </c>
      <c r="D36" s="255"/>
      <c r="E36" s="261" t="s">
        <v>96</v>
      </c>
      <c r="F36" s="262">
        <v>0</v>
      </c>
    </row>
    <row r="37" spans="1:7" x14ac:dyDescent="0.25">
      <c r="A37" s="259">
        <v>20</v>
      </c>
      <c r="B37" s="261" t="s">
        <v>60</v>
      </c>
      <c r="C37" s="261" t="s">
        <v>60</v>
      </c>
      <c r="D37" s="255"/>
      <c r="E37" s="255"/>
      <c r="F37" s="255"/>
    </row>
    <row r="38" spans="1:7" ht="15.75" x14ac:dyDescent="0.25">
      <c r="A38" s="259"/>
      <c r="B38" s="264"/>
      <c r="C38" s="264"/>
      <c r="D38" s="255"/>
      <c r="E38" s="257" t="s">
        <v>97</v>
      </c>
      <c r="F38" s="255"/>
    </row>
    <row r="39" spans="1:7" ht="15.75" x14ac:dyDescent="0.25">
      <c r="A39" s="259"/>
      <c r="B39" s="257" t="s">
        <v>98</v>
      </c>
      <c r="C39" s="255"/>
      <c r="D39" s="255"/>
      <c r="E39" s="261" t="s">
        <v>99</v>
      </c>
      <c r="F39" s="262">
        <v>0</v>
      </c>
    </row>
    <row r="40" spans="1:7" x14ac:dyDescent="0.25">
      <c r="A40" s="259"/>
      <c r="B40" s="255"/>
      <c r="C40" s="255"/>
      <c r="D40" s="255"/>
      <c r="E40" s="261" t="s">
        <v>32</v>
      </c>
      <c r="F40" s="262">
        <v>0</v>
      </c>
    </row>
    <row r="41" spans="1:7" x14ac:dyDescent="0.25">
      <c r="A41" s="259"/>
      <c r="B41" s="128" t="s">
        <v>53</v>
      </c>
      <c r="C41" s="128" t="s">
        <v>14</v>
      </c>
      <c r="D41" s="255"/>
      <c r="E41" s="261" t="s">
        <v>32</v>
      </c>
      <c r="F41" s="262">
        <v>0</v>
      </c>
    </row>
    <row r="42" spans="1:7" x14ac:dyDescent="0.25">
      <c r="A42" s="259"/>
      <c r="B42" s="261" t="s">
        <v>100</v>
      </c>
      <c r="C42" s="261" t="s">
        <v>101</v>
      </c>
      <c r="D42" s="255"/>
      <c r="E42" s="255"/>
      <c r="F42" s="255"/>
    </row>
    <row r="43" spans="1:7" ht="15.75" x14ac:dyDescent="0.25">
      <c r="A43" s="259"/>
      <c r="B43" s="261" t="s">
        <v>102</v>
      </c>
      <c r="C43" s="261" t="s">
        <v>103</v>
      </c>
      <c r="D43" s="255"/>
      <c r="E43" s="253" t="s">
        <v>104</v>
      </c>
      <c r="F43" s="255"/>
    </row>
    <row r="44" spans="1:7" x14ac:dyDescent="0.25">
      <c r="A44" s="259"/>
      <c r="B44" s="261" t="s">
        <v>105</v>
      </c>
      <c r="C44" s="261" t="s">
        <v>106</v>
      </c>
      <c r="D44" s="255"/>
      <c r="E44" s="261" t="s">
        <v>99</v>
      </c>
      <c r="F44" s="265">
        <f ca="1">+G44</f>
        <v>0.75138099999999997</v>
      </c>
      <c r="G44" s="265">
        <f ca="1">ROUND('Revenue Sensitive Items'!E19,6)</f>
        <v>0.75138099999999997</v>
      </c>
    </row>
    <row r="45" spans="1:7" x14ac:dyDescent="0.25">
      <c r="A45" s="259"/>
      <c r="B45" s="261" t="s">
        <v>60</v>
      </c>
      <c r="C45" s="261" t="s">
        <v>60</v>
      </c>
      <c r="D45" s="255"/>
      <c r="E45" s="261" t="s">
        <v>32</v>
      </c>
      <c r="F45" s="265">
        <v>0</v>
      </c>
    </row>
    <row r="46" spans="1:7" x14ac:dyDescent="0.25">
      <c r="A46" s="259"/>
      <c r="B46" s="261" t="s">
        <v>60</v>
      </c>
      <c r="C46" s="261" t="s">
        <v>60</v>
      </c>
      <c r="D46" s="255"/>
      <c r="E46" s="261" t="s">
        <v>32</v>
      </c>
      <c r="F46" s="265">
        <v>0</v>
      </c>
    </row>
    <row r="47" spans="1:7" x14ac:dyDescent="0.25">
      <c r="A47" s="259"/>
      <c r="B47" s="261" t="s">
        <v>60</v>
      </c>
      <c r="C47" s="261" t="s">
        <v>60</v>
      </c>
      <c r="D47" s="255"/>
      <c r="E47" s="255"/>
      <c r="F47" s="255"/>
    </row>
    <row r="48" spans="1:7" x14ac:dyDescent="0.25">
      <c r="A48" s="259"/>
      <c r="B48" s="255"/>
      <c r="C48" s="255"/>
      <c r="D48" s="255"/>
      <c r="E48" s="255"/>
      <c r="F48" s="255"/>
    </row>
    <row r="49" spans="1:6" x14ac:dyDescent="0.25">
      <c r="A49" s="259"/>
      <c r="B49" s="266" t="s">
        <v>303</v>
      </c>
      <c r="C49" s="255"/>
      <c r="D49" s="255"/>
      <c r="E49" s="255"/>
      <c r="F49" s="255"/>
    </row>
    <row r="50" spans="1:6" x14ac:dyDescent="0.25">
      <c r="A50" s="259"/>
      <c r="B50" s="255"/>
      <c r="C50" s="255"/>
      <c r="D50" s="255"/>
      <c r="E50" s="255"/>
      <c r="F50" s="255"/>
    </row>
    <row r="51" spans="1:6" ht="15.75" x14ac:dyDescent="0.25">
      <c r="A51" s="259"/>
      <c r="B51" s="267"/>
      <c r="C51" s="268"/>
      <c r="D51" s="130">
        <v>1</v>
      </c>
      <c r="E51" s="130">
        <v>2</v>
      </c>
      <c r="F51" s="130">
        <v>3</v>
      </c>
    </row>
    <row r="52" spans="1:6" ht="115.5" x14ac:dyDescent="0.25">
      <c r="A52" s="259"/>
      <c r="B52" s="255"/>
      <c r="C52" s="268"/>
      <c r="D52" s="131" t="s">
        <v>298</v>
      </c>
      <c r="E52" s="131" t="s">
        <v>299</v>
      </c>
      <c r="F52" s="131" t="s">
        <v>300</v>
      </c>
    </row>
    <row r="53" spans="1:6" x14ac:dyDescent="0.25">
      <c r="A53" s="259"/>
      <c r="B53" s="128" t="s">
        <v>62</v>
      </c>
      <c r="C53" s="268"/>
      <c r="D53" s="268"/>
      <c r="E53" s="268"/>
      <c r="F53" s="268"/>
    </row>
    <row r="54" spans="1:6" x14ac:dyDescent="0.25">
      <c r="A54" s="259">
        <v>1</v>
      </c>
      <c r="B54" s="261" t="s">
        <v>63</v>
      </c>
      <c r="C54" s="14"/>
      <c r="D54" s="14"/>
      <c r="E54" s="14">
        <f>+'Proforma Revenue'!J9</f>
        <v>1109622484.391351</v>
      </c>
      <c r="F54" s="14">
        <f>+'Proposed Rev'!M8</f>
        <v>85078403.258800507</v>
      </c>
    </row>
    <row r="55" spans="1:6" x14ac:dyDescent="0.25">
      <c r="A55" s="259">
        <v>2</v>
      </c>
      <c r="B55" s="261" t="s">
        <v>65</v>
      </c>
      <c r="C55" s="14"/>
      <c r="D55" s="14"/>
      <c r="E55" s="14">
        <f>+'Proforma Revenue'!J13</f>
        <v>263446486</v>
      </c>
      <c r="F55" s="14">
        <f>+'Proposed Rev'!M11</f>
        <v>20199308.531650882</v>
      </c>
    </row>
    <row r="56" spans="1:6" x14ac:dyDescent="0.25">
      <c r="A56" s="259">
        <v>3</v>
      </c>
      <c r="B56" s="261" t="s">
        <v>67</v>
      </c>
      <c r="C56" s="14"/>
      <c r="D56" s="14"/>
      <c r="E56" s="14">
        <f>SUM('Proforma Revenue'!J10,'Proforma Revenue'!J14,'Proforma Revenue'!J17)</f>
        <v>270592860</v>
      </c>
      <c r="F56" s="14">
        <f>+'Proposed Rev'!M12</f>
        <v>15560431.948929736</v>
      </c>
    </row>
    <row r="57" spans="1:6" x14ac:dyDescent="0.25">
      <c r="A57" s="259">
        <v>4</v>
      </c>
      <c r="B57" s="261" t="s">
        <v>69</v>
      </c>
      <c r="C57" s="14"/>
      <c r="D57" s="14"/>
      <c r="E57" s="14">
        <f>SUM('Proforma Revenue'!J15:J16)</f>
        <v>160178135</v>
      </c>
      <c r="F57" s="14">
        <f>+'Proposed Rev'!M13</f>
        <v>9211038.2434110213</v>
      </c>
    </row>
    <row r="58" spans="1:6" x14ac:dyDescent="0.25">
      <c r="A58" s="259">
        <v>5</v>
      </c>
      <c r="B58" s="261" t="s">
        <v>71</v>
      </c>
      <c r="C58" s="14"/>
      <c r="D58" s="14"/>
      <c r="E58" s="14">
        <f>+'Proforma Revenue'!J20</f>
        <v>113234148</v>
      </c>
      <c r="F58" s="14">
        <f>+'Proposed Rev'!M17</f>
        <v>8682034.1592932157</v>
      </c>
    </row>
    <row r="59" spans="1:6" x14ac:dyDescent="0.25">
      <c r="A59" s="259">
        <v>6</v>
      </c>
      <c r="B59" s="261" t="s">
        <v>74</v>
      </c>
      <c r="C59" s="14"/>
      <c r="D59" s="14"/>
      <c r="E59" s="14">
        <f>+'Proforma Revenue'!J21</f>
        <v>268014</v>
      </c>
      <c r="F59" s="14">
        <f>+'Proposed Rev'!M18</f>
        <v>30824.386469117337</v>
      </c>
    </row>
    <row r="60" spans="1:6" x14ac:dyDescent="0.25">
      <c r="A60" s="259">
        <v>7</v>
      </c>
      <c r="B60" s="261" t="s">
        <v>78</v>
      </c>
      <c r="C60" s="14"/>
      <c r="D60" s="14"/>
      <c r="E60" s="14">
        <f>+'Proforma Revenue'!J22</f>
        <v>10721508</v>
      </c>
      <c r="F60" s="14">
        <f>+'Proposed Rev'!M19</f>
        <v>1027566.6689927796</v>
      </c>
    </row>
    <row r="61" spans="1:6" x14ac:dyDescent="0.25">
      <c r="A61" s="259">
        <v>8</v>
      </c>
      <c r="B61" s="261" t="s">
        <v>302</v>
      </c>
      <c r="C61" s="14"/>
      <c r="D61" s="14"/>
      <c r="E61" s="14">
        <f>+'Proforma Revenue'!M33</f>
        <v>5493550</v>
      </c>
      <c r="F61" s="14">
        <f>+'Prop RW &amp; Spec Cont Rev'!J41</f>
        <v>-1113097.2400000002</v>
      </c>
    </row>
    <row r="62" spans="1:6" x14ac:dyDescent="0.25">
      <c r="A62" s="259">
        <v>9</v>
      </c>
      <c r="B62" s="261" t="s">
        <v>82</v>
      </c>
      <c r="C62" s="14"/>
      <c r="D62" s="14"/>
      <c r="E62" s="14">
        <f>SUM('Proforma Revenue'!J27:J28)</f>
        <v>40128244</v>
      </c>
      <c r="F62" s="14">
        <f>+'Proposed Rev'!M22</f>
        <v>2307573.5027528028</v>
      </c>
    </row>
    <row r="63" spans="1:6" x14ac:dyDescent="0.25">
      <c r="A63" s="259">
        <v>10</v>
      </c>
      <c r="B63" s="260" t="s">
        <v>327</v>
      </c>
      <c r="C63" s="14"/>
      <c r="D63" s="14"/>
      <c r="E63" s="14">
        <f>SUM('Proforma Revenue'!J33-'ECOS - INPUTS'!E61)</f>
        <v>10114356</v>
      </c>
      <c r="F63" s="14">
        <f>+'Prop RW &amp; Spec Cont Rev'!J25</f>
        <v>76801</v>
      </c>
    </row>
    <row r="64" spans="1:6" x14ac:dyDescent="0.25">
      <c r="A64" s="259">
        <v>11</v>
      </c>
      <c r="B64" s="261" t="s">
        <v>86</v>
      </c>
      <c r="C64" s="14"/>
      <c r="D64" s="14"/>
      <c r="E64" s="14">
        <f>+'Proforma Revenue'!J31</f>
        <v>16457494</v>
      </c>
      <c r="F64" s="14">
        <f>+'Proposed Rev'!M26</f>
        <v>1577313.6566145069</v>
      </c>
    </row>
    <row r="65" spans="1:6" x14ac:dyDescent="0.25">
      <c r="A65" s="259">
        <v>12</v>
      </c>
      <c r="B65" s="261" t="s">
        <v>89</v>
      </c>
      <c r="C65" s="14"/>
      <c r="D65" s="14"/>
      <c r="E65" s="14">
        <f>+'Proforma Revenue'!J37</f>
        <v>328327</v>
      </c>
      <c r="F65" s="14">
        <f>+'Proposed Rev'!M30</f>
        <v>361801.88308538916</v>
      </c>
    </row>
    <row r="66" spans="1:6" x14ac:dyDescent="0.25">
      <c r="A66" s="259">
        <v>13</v>
      </c>
      <c r="B66" s="261" t="s">
        <v>60</v>
      </c>
      <c r="C66" s="14"/>
      <c r="D66" s="14"/>
      <c r="E66" s="14"/>
      <c r="F66" s="14"/>
    </row>
    <row r="67" spans="1:6" x14ac:dyDescent="0.25">
      <c r="A67" s="259">
        <v>14</v>
      </c>
      <c r="B67" s="261" t="s">
        <v>60</v>
      </c>
      <c r="C67" s="14"/>
      <c r="D67" s="14"/>
      <c r="E67" s="14"/>
      <c r="F67" s="14"/>
    </row>
    <row r="68" spans="1:6" x14ac:dyDescent="0.25">
      <c r="A68" s="259">
        <v>15</v>
      </c>
      <c r="B68" s="261" t="s">
        <v>60</v>
      </c>
      <c r="C68" s="14"/>
      <c r="D68" s="14"/>
      <c r="E68" s="14"/>
      <c r="F68" s="14"/>
    </row>
    <row r="69" spans="1:6" x14ac:dyDescent="0.25">
      <c r="A69" s="259">
        <v>16</v>
      </c>
      <c r="B69" s="261" t="s">
        <v>60</v>
      </c>
      <c r="C69" s="14"/>
      <c r="D69" s="14"/>
      <c r="E69" s="14"/>
      <c r="F69" s="14"/>
    </row>
    <row r="70" spans="1:6" x14ac:dyDescent="0.25">
      <c r="A70" s="259">
        <v>17</v>
      </c>
      <c r="B70" s="261" t="s">
        <v>60</v>
      </c>
      <c r="C70" s="14"/>
      <c r="D70" s="14"/>
      <c r="E70" s="14"/>
      <c r="F70" s="14"/>
    </row>
    <row r="71" spans="1:6" x14ac:dyDescent="0.25">
      <c r="A71" s="259">
        <v>18</v>
      </c>
      <c r="B71" s="261" t="s">
        <v>60</v>
      </c>
      <c r="C71" s="14"/>
      <c r="D71" s="14"/>
      <c r="E71" s="14"/>
      <c r="F71" s="14"/>
    </row>
    <row r="72" spans="1:6" x14ac:dyDescent="0.25">
      <c r="A72" s="259">
        <v>19</v>
      </c>
      <c r="B72" s="261" t="s">
        <v>60</v>
      </c>
      <c r="C72" s="14"/>
      <c r="D72" s="14"/>
      <c r="E72" s="14"/>
      <c r="F72" s="14"/>
    </row>
    <row r="73" spans="1:6" x14ac:dyDescent="0.25">
      <c r="A73" s="259">
        <v>20</v>
      </c>
      <c r="B73" s="261" t="s">
        <v>60</v>
      </c>
      <c r="C73" s="14"/>
      <c r="D73" s="14"/>
      <c r="E73" s="14"/>
      <c r="F73" s="14"/>
    </row>
    <row r="74" spans="1:6" x14ac:dyDescent="0.25">
      <c r="A74" s="259"/>
      <c r="B74" s="261"/>
      <c r="C74" s="14"/>
      <c r="D74" s="14"/>
      <c r="E74" s="14">
        <f>SUM(E54:E66)</f>
        <v>2000585606.391351</v>
      </c>
      <c r="F74" s="14">
        <f>SUM(F54:F66)</f>
        <v>143000000</v>
      </c>
    </row>
  </sheetData>
  <printOptions horizontalCentered="1"/>
  <pageMargins left="0.25" right="0.25" top="0.75" bottom="0.75" header="0.3" footer="0.3"/>
  <pageSetup scale="42" orientation="landscape" r:id="rId1"/>
  <headerFooter>
    <oddHeader xml:space="preserve">&amp;CPuget Sound Energy
</oddHead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workbookViewId="0"/>
  </sheetViews>
  <sheetFormatPr defaultColWidth="8.85546875" defaultRowHeight="15" x14ac:dyDescent="0.25"/>
  <cols>
    <col min="1" max="1" width="16.5703125" style="256" bestFit="1" customWidth="1"/>
    <col min="2" max="3" width="12.5703125" style="256" bestFit="1" customWidth="1"/>
    <col min="4" max="4" width="13.7109375" style="256" bestFit="1" customWidth="1"/>
    <col min="5" max="16384" width="8.85546875" style="256"/>
  </cols>
  <sheetData>
    <row r="1" spans="1:4" x14ac:dyDescent="0.25">
      <c r="A1" s="396" t="s">
        <v>33</v>
      </c>
      <c r="B1" s="396"/>
      <c r="C1" s="396"/>
      <c r="D1" s="396"/>
    </row>
    <row r="2" spans="1:4" x14ac:dyDescent="0.25">
      <c r="A2" s="397" t="s">
        <v>297</v>
      </c>
      <c r="B2" s="396"/>
      <c r="C2" s="396"/>
      <c r="D2" s="396"/>
    </row>
    <row r="3" spans="1:4" x14ac:dyDescent="0.25">
      <c r="A3" s="396" t="s">
        <v>285</v>
      </c>
      <c r="B3" s="396"/>
      <c r="C3" s="396"/>
      <c r="D3" s="396"/>
    </row>
    <row r="4" spans="1:4" x14ac:dyDescent="0.25">
      <c r="A4" s="396" t="s">
        <v>286</v>
      </c>
      <c r="B4" s="396"/>
      <c r="C4" s="396"/>
      <c r="D4" s="396"/>
    </row>
    <row r="5" spans="1:4" x14ac:dyDescent="0.25">
      <c r="A5" s="397" t="s">
        <v>320</v>
      </c>
      <c r="B5" s="396"/>
      <c r="C5" s="396"/>
      <c r="D5" s="396"/>
    </row>
    <row r="8" spans="1:4" x14ac:dyDescent="0.25">
      <c r="B8" s="397" t="s">
        <v>324</v>
      </c>
      <c r="C8" s="396"/>
      <c r="D8" s="396"/>
    </row>
    <row r="9" spans="1:4" x14ac:dyDescent="0.25">
      <c r="B9" s="256">
        <v>360</v>
      </c>
      <c r="C9" s="256">
        <v>361</v>
      </c>
      <c r="D9" s="256">
        <v>362</v>
      </c>
    </row>
    <row r="10" spans="1:4" x14ac:dyDescent="0.25">
      <c r="A10" s="290">
        <v>7</v>
      </c>
      <c r="B10" s="294">
        <f>+B55</f>
        <v>13365460</v>
      </c>
      <c r="C10" s="294">
        <f t="shared" ref="C10:D10" si="0">+C55</f>
        <v>7045092</v>
      </c>
      <c r="D10" s="294">
        <f t="shared" si="0"/>
        <v>446989450</v>
      </c>
    </row>
    <row r="11" spans="1:4" x14ac:dyDescent="0.25">
      <c r="A11" s="290">
        <v>24</v>
      </c>
      <c r="B11" s="294">
        <f>SUM(B28)</f>
        <v>4308704</v>
      </c>
      <c r="C11" s="294">
        <f t="shared" ref="C11:D11" si="1">SUM(C28)</f>
        <v>1939403</v>
      </c>
      <c r="D11" s="294">
        <f t="shared" si="1"/>
        <v>108070405</v>
      </c>
    </row>
    <row r="12" spans="1:4" x14ac:dyDescent="0.25">
      <c r="A12" s="290">
        <v>25</v>
      </c>
      <c r="B12" s="294">
        <f>SUM(B29,B36,B38,B40,B46,B48,B51)</f>
        <v>5604472</v>
      </c>
      <c r="C12" s="294">
        <f t="shared" ref="C12:D12" si="2">SUM(C29,C36,C38,C40,C46,C48,C51)</f>
        <v>2405118</v>
      </c>
      <c r="D12" s="294">
        <f t="shared" si="2"/>
        <v>118572036</v>
      </c>
    </row>
    <row r="13" spans="1:4" x14ac:dyDescent="0.25">
      <c r="A13" s="290">
        <v>26</v>
      </c>
      <c r="B13" s="294">
        <f>SUM(B30,B37,B41,B47)</f>
        <v>3294555</v>
      </c>
      <c r="C13" s="294">
        <f t="shared" ref="C13:D13" si="3">SUM(C30,C37,C41,C47)</f>
        <v>1400862</v>
      </c>
      <c r="D13" s="294">
        <f t="shared" si="3"/>
        <v>63184099</v>
      </c>
    </row>
    <row r="14" spans="1:4" x14ac:dyDescent="0.25">
      <c r="A14" s="290">
        <v>29</v>
      </c>
      <c r="B14" s="294">
        <f>+B31</f>
        <v>1294</v>
      </c>
      <c r="C14" s="294">
        <f t="shared" ref="C14:D14" si="4">+C31</f>
        <v>3580</v>
      </c>
      <c r="D14" s="294">
        <f t="shared" si="4"/>
        <v>174605</v>
      </c>
    </row>
    <row r="15" spans="1:4" x14ac:dyDescent="0.25">
      <c r="A15" s="290">
        <v>31</v>
      </c>
      <c r="B15" s="294">
        <f>SUM(B32,B35,B39,B42,B43,B44,B49,B52)</f>
        <v>2713615</v>
      </c>
      <c r="C15" s="294">
        <f t="shared" ref="C15:D15" si="5">SUM(C32,C35,C39,C42,C43,C44,C49,C52)</f>
        <v>919666</v>
      </c>
      <c r="D15" s="294">
        <f t="shared" si="5"/>
        <v>56251894</v>
      </c>
    </row>
    <row r="16" spans="1:4" x14ac:dyDescent="0.25">
      <c r="A16" s="290">
        <v>35</v>
      </c>
      <c r="B16" s="294">
        <f>+B33</f>
        <v>594</v>
      </c>
      <c r="C16" s="294">
        <f t="shared" ref="C16:D16" si="6">+C33</f>
        <v>2</v>
      </c>
      <c r="D16" s="294">
        <f t="shared" si="6"/>
        <v>206838</v>
      </c>
    </row>
    <row r="17" spans="1:4" x14ac:dyDescent="0.25">
      <c r="A17" s="290" t="s">
        <v>330</v>
      </c>
      <c r="B17" s="294">
        <f>+B45</f>
        <v>3624040</v>
      </c>
      <c r="C17" s="294">
        <f t="shared" ref="C17:D17" si="7">+C45</f>
        <v>369503</v>
      </c>
      <c r="D17" s="294">
        <f t="shared" si="7"/>
        <v>15999043</v>
      </c>
    </row>
    <row r="18" spans="1:4" x14ac:dyDescent="0.25">
      <c r="A18" s="290">
        <v>43</v>
      </c>
      <c r="B18" s="294">
        <f>+B53</f>
        <v>138726</v>
      </c>
      <c r="C18" s="294">
        <f t="shared" ref="C18:D18" si="8">+C53</f>
        <v>113067</v>
      </c>
      <c r="D18" s="294">
        <f t="shared" si="8"/>
        <v>6459907</v>
      </c>
    </row>
    <row r="19" spans="1:4" x14ac:dyDescent="0.25">
      <c r="A19" s="290" t="s">
        <v>5</v>
      </c>
      <c r="B19" s="294">
        <f>+B54</f>
        <v>18970</v>
      </c>
      <c r="C19" s="294">
        <f t="shared" ref="C19:D19" si="9">+C54</f>
        <v>10705</v>
      </c>
      <c r="D19" s="294">
        <f t="shared" si="9"/>
        <v>646004</v>
      </c>
    </row>
    <row r="20" spans="1:4" x14ac:dyDescent="0.25">
      <c r="A20" s="290">
        <v>5</v>
      </c>
      <c r="B20" s="294">
        <f>+B27</f>
        <v>1803</v>
      </c>
      <c r="C20" s="294">
        <f t="shared" ref="C20:D20" si="10">+C27</f>
        <v>1575</v>
      </c>
      <c r="D20" s="294">
        <f t="shared" si="10"/>
        <v>220205</v>
      </c>
    </row>
    <row r="21" spans="1:4" x14ac:dyDescent="0.25">
      <c r="B21" s="294">
        <f>SUM(B10:B20)</f>
        <v>33072233</v>
      </c>
      <c r="C21" s="294">
        <f t="shared" ref="C21:D21" si="11">SUM(C10:C20)</f>
        <v>14208573</v>
      </c>
      <c r="D21" s="294">
        <f t="shared" si="11"/>
        <v>816774486</v>
      </c>
    </row>
    <row r="23" spans="1:4" ht="45" x14ac:dyDescent="0.25">
      <c r="A23" s="291" t="s">
        <v>403</v>
      </c>
      <c r="B23" s="294">
        <f>+B21-B17</f>
        <v>29448193</v>
      </c>
      <c r="C23" s="294">
        <f t="shared" ref="C23:D23" si="12">+C21-C17</f>
        <v>13839070</v>
      </c>
      <c r="D23" s="294">
        <f t="shared" si="12"/>
        <v>800775443</v>
      </c>
    </row>
    <row r="27" spans="1:4" x14ac:dyDescent="0.25">
      <c r="A27" s="256">
        <v>5</v>
      </c>
      <c r="B27" s="283">
        <v>1803</v>
      </c>
      <c r="C27" s="283">
        <v>1575</v>
      </c>
      <c r="D27" s="283">
        <v>220205</v>
      </c>
    </row>
    <row r="28" spans="1:4" x14ac:dyDescent="0.25">
      <c r="A28" s="256">
        <v>24</v>
      </c>
      <c r="B28" s="283">
        <v>4308704</v>
      </c>
      <c r="C28" s="283">
        <v>1939403</v>
      </c>
      <c r="D28" s="283">
        <v>108070405</v>
      </c>
    </row>
    <row r="29" spans="1:4" x14ac:dyDescent="0.25">
      <c r="A29" s="256">
        <v>25</v>
      </c>
      <c r="B29" s="283">
        <v>5594266</v>
      </c>
      <c r="C29" s="283">
        <v>2398068</v>
      </c>
      <c r="D29" s="283">
        <v>118286967</v>
      </c>
    </row>
    <row r="30" spans="1:4" x14ac:dyDescent="0.25">
      <c r="A30" s="256">
        <v>26</v>
      </c>
      <c r="B30" s="283">
        <v>3227438</v>
      </c>
      <c r="C30" s="283">
        <v>1387716</v>
      </c>
      <c r="D30" s="283">
        <v>62213309</v>
      </c>
    </row>
    <row r="31" spans="1:4" x14ac:dyDescent="0.25">
      <c r="A31" s="256">
        <v>29</v>
      </c>
      <c r="B31" s="283">
        <v>1294</v>
      </c>
      <c r="C31" s="283">
        <v>3580</v>
      </c>
      <c r="D31" s="283">
        <v>174605</v>
      </c>
    </row>
    <row r="32" spans="1:4" x14ac:dyDescent="0.25">
      <c r="A32" s="256">
        <v>31</v>
      </c>
      <c r="B32" s="283">
        <v>2656972</v>
      </c>
      <c r="C32" s="283">
        <v>831624</v>
      </c>
      <c r="D32" s="283">
        <v>52302211</v>
      </c>
    </row>
    <row r="33" spans="1:4" x14ac:dyDescent="0.25">
      <c r="A33" s="256">
        <v>35</v>
      </c>
      <c r="B33" s="283">
        <v>594</v>
      </c>
      <c r="C33" s="283">
        <v>2</v>
      </c>
      <c r="D33" s="283">
        <v>206838</v>
      </c>
    </row>
    <row r="34" spans="1:4" x14ac:dyDescent="0.25">
      <c r="A34" s="256">
        <v>40</v>
      </c>
      <c r="B34" s="283">
        <f>SUM(B35:B52)</f>
        <v>3758006</v>
      </c>
      <c r="C34" s="283">
        <f t="shared" ref="C34:D34" si="13">SUM(C35:C52)</f>
        <v>477741</v>
      </c>
      <c r="D34" s="283">
        <f t="shared" si="13"/>
        <v>21204585</v>
      </c>
    </row>
    <row r="35" spans="1:4" x14ac:dyDescent="0.25">
      <c r="A35" s="285" t="s">
        <v>386</v>
      </c>
      <c r="B35" s="283">
        <v>3486</v>
      </c>
      <c r="C35" s="283">
        <v>9654</v>
      </c>
      <c r="D35" s="283">
        <v>796798</v>
      </c>
    </row>
    <row r="36" spans="1:4" x14ac:dyDescent="0.25">
      <c r="A36" s="285" t="s">
        <v>387</v>
      </c>
      <c r="B36" s="283">
        <v>7962</v>
      </c>
      <c r="C36" s="283">
        <v>1130</v>
      </c>
      <c r="D36" s="283">
        <v>62823</v>
      </c>
    </row>
    <row r="37" spans="1:4" x14ac:dyDescent="0.25">
      <c r="A37" s="285" t="s">
        <v>388</v>
      </c>
      <c r="B37" s="283">
        <v>65735</v>
      </c>
      <c r="C37" s="283">
        <v>9332</v>
      </c>
      <c r="D37" s="283">
        <v>518668</v>
      </c>
    </row>
    <row r="38" spans="1:4" x14ac:dyDescent="0.25">
      <c r="A38" s="285" t="s">
        <v>389</v>
      </c>
      <c r="B38" s="283">
        <v>87</v>
      </c>
      <c r="C38" s="283">
        <v>3681</v>
      </c>
      <c r="D38" s="283">
        <v>135348</v>
      </c>
    </row>
    <row r="39" spans="1:4" x14ac:dyDescent="0.25">
      <c r="A39" s="285" t="s">
        <v>390</v>
      </c>
      <c r="B39" s="283">
        <v>583</v>
      </c>
      <c r="C39" s="283">
        <v>24720</v>
      </c>
      <c r="D39" s="283">
        <v>908827</v>
      </c>
    </row>
    <row r="40" spans="1:4" x14ac:dyDescent="0.25">
      <c r="A40" s="285" t="s">
        <v>391</v>
      </c>
      <c r="B40" s="283">
        <v>6</v>
      </c>
      <c r="C40" s="283">
        <v>0</v>
      </c>
      <c r="D40" s="283">
        <v>1636</v>
      </c>
    </row>
    <row r="41" spans="1:4" x14ac:dyDescent="0.25">
      <c r="A41" s="285" t="s">
        <v>392</v>
      </c>
      <c r="B41" s="283">
        <v>200</v>
      </c>
      <c r="C41" s="283">
        <v>0</v>
      </c>
      <c r="D41" s="283">
        <v>58954</v>
      </c>
    </row>
    <row r="42" spans="1:4" x14ac:dyDescent="0.25">
      <c r="A42" s="285" t="s">
        <v>393</v>
      </c>
      <c r="B42" s="283">
        <v>498</v>
      </c>
      <c r="C42" s="283">
        <v>0</v>
      </c>
      <c r="D42" s="283">
        <v>147233</v>
      </c>
    </row>
    <row r="43" spans="1:4" x14ac:dyDescent="0.25">
      <c r="A43" s="285" t="s">
        <v>394</v>
      </c>
      <c r="B43" s="283">
        <v>0</v>
      </c>
      <c r="C43" s="283">
        <v>0</v>
      </c>
      <c r="D43" s="283">
        <v>0</v>
      </c>
    </row>
    <row r="44" spans="1:4" x14ac:dyDescent="0.25">
      <c r="A44" s="285" t="s">
        <v>395</v>
      </c>
      <c r="B44" s="283">
        <v>50</v>
      </c>
      <c r="C44" s="283">
        <v>0</v>
      </c>
      <c r="D44" s="283">
        <v>454343</v>
      </c>
    </row>
    <row r="45" spans="1:4" x14ac:dyDescent="0.25">
      <c r="A45" s="285" t="s">
        <v>396</v>
      </c>
      <c r="B45" s="283">
        <f>10894+114690+6371+132467+396892+1010508+7332+81496+426643+1436747</f>
        <v>3624040</v>
      </c>
      <c r="C45" s="283">
        <f>2585+27214+8523+16790+98893+92076+17592+5542+15532+84756</f>
        <v>369503</v>
      </c>
      <c r="D45" s="283">
        <f>109210+1149734+306953+449437+2674312+3295696+790785+1125775+2828911+3268230</f>
        <v>15999043</v>
      </c>
    </row>
    <row r="46" spans="1:4" x14ac:dyDescent="0.25">
      <c r="A46" s="285" t="s">
        <v>397</v>
      </c>
      <c r="B46" s="283">
        <v>89</v>
      </c>
      <c r="C46" s="283">
        <v>288</v>
      </c>
      <c r="D46" s="283">
        <v>29684</v>
      </c>
    </row>
    <row r="47" spans="1:4" x14ac:dyDescent="0.25">
      <c r="A47" s="285" t="s">
        <v>398</v>
      </c>
      <c r="B47" s="283">
        <v>1182</v>
      </c>
      <c r="C47" s="283">
        <v>3814</v>
      </c>
      <c r="D47" s="283">
        <v>393168</v>
      </c>
    </row>
    <row r="48" spans="1:4" x14ac:dyDescent="0.25">
      <c r="A48" s="285" t="s">
        <v>400</v>
      </c>
      <c r="B48" s="283">
        <v>449</v>
      </c>
      <c r="C48" s="283">
        <v>600</v>
      </c>
      <c r="D48" s="283">
        <v>21613</v>
      </c>
    </row>
    <row r="49" spans="1:4" x14ac:dyDescent="0.25">
      <c r="A49" s="285" t="s">
        <v>399</v>
      </c>
      <c r="B49" s="283">
        <v>20167</v>
      </c>
      <c r="C49" s="283">
        <v>26980</v>
      </c>
      <c r="D49" s="283">
        <v>971657</v>
      </c>
    </row>
    <row r="50" spans="1:4" x14ac:dyDescent="0.25">
      <c r="A50" s="285" t="s">
        <v>385</v>
      </c>
      <c r="B50" s="283">
        <v>0</v>
      </c>
      <c r="C50" s="283">
        <v>0</v>
      </c>
      <c r="D50" s="283">
        <v>0</v>
      </c>
    </row>
    <row r="51" spans="1:4" x14ac:dyDescent="0.25">
      <c r="A51" s="285" t="s">
        <v>401</v>
      </c>
      <c r="B51" s="283">
        <v>1613</v>
      </c>
      <c r="C51" s="283">
        <v>1351</v>
      </c>
      <c r="D51" s="283">
        <v>33965</v>
      </c>
    </row>
    <row r="52" spans="1:4" x14ac:dyDescent="0.25">
      <c r="A52" s="285" t="s">
        <v>402</v>
      </c>
      <c r="B52" s="283">
        <v>31859</v>
      </c>
      <c r="C52" s="283">
        <v>26688</v>
      </c>
      <c r="D52" s="283">
        <v>670825</v>
      </c>
    </row>
    <row r="53" spans="1:4" x14ac:dyDescent="0.25">
      <c r="A53" s="256">
        <v>43</v>
      </c>
      <c r="B53" s="283">
        <v>138726</v>
      </c>
      <c r="C53" s="283">
        <v>113067</v>
      </c>
      <c r="D53" s="283">
        <v>6459907</v>
      </c>
    </row>
    <row r="54" spans="1:4" x14ac:dyDescent="0.25">
      <c r="A54" s="256" t="s">
        <v>283</v>
      </c>
      <c r="B54" s="283">
        <v>18970</v>
      </c>
      <c r="C54" s="283">
        <v>10705</v>
      </c>
      <c r="D54" s="283">
        <v>646004</v>
      </c>
    </row>
    <row r="55" spans="1:4" x14ac:dyDescent="0.25">
      <c r="A55" s="256">
        <v>7</v>
      </c>
      <c r="B55" s="283">
        <v>13365460</v>
      </c>
      <c r="C55" s="283">
        <v>7045092</v>
      </c>
      <c r="D55" s="283">
        <v>446989450</v>
      </c>
    </row>
    <row r="56" spans="1:4" x14ac:dyDescent="0.25">
      <c r="B56" s="283">
        <f>SUM(B53:B55,B27:B34)</f>
        <v>33072233</v>
      </c>
      <c r="C56" s="283">
        <f>SUM(C53:C55,C27:C34)</f>
        <v>14208573</v>
      </c>
      <c r="D56" s="283">
        <f>SUM(D53:D55,D27:D34)</f>
        <v>816774486</v>
      </c>
    </row>
    <row r="57" spans="1:4" x14ac:dyDescent="0.25">
      <c r="B57" s="283">
        <v>33072232</v>
      </c>
      <c r="C57" s="283">
        <v>14208575</v>
      </c>
      <c r="D57" s="283">
        <v>816774484</v>
      </c>
    </row>
    <row r="58" spans="1:4" x14ac:dyDescent="0.25">
      <c r="B58" s="294">
        <f>+B56-B57</f>
        <v>1</v>
      </c>
      <c r="C58" s="294">
        <f t="shared" ref="C58:D58" si="14">+C56-C57</f>
        <v>-2</v>
      </c>
      <c r="D58" s="294">
        <f t="shared" si="14"/>
        <v>2</v>
      </c>
    </row>
  </sheetData>
  <mergeCells count="6">
    <mergeCell ref="A5:D5"/>
    <mergeCell ref="B8:D8"/>
    <mergeCell ref="A1:D1"/>
    <mergeCell ref="A2:D2"/>
    <mergeCell ref="A3:D3"/>
    <mergeCell ref="A4:D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workbookViewId="0"/>
  </sheetViews>
  <sheetFormatPr defaultColWidth="8.85546875" defaultRowHeight="15" x14ac:dyDescent="0.25"/>
  <cols>
    <col min="1" max="1" width="16.5703125" style="256" bestFit="1" customWidth="1"/>
    <col min="2" max="2" width="9.5703125" style="256" bestFit="1" customWidth="1"/>
    <col min="3" max="3" width="10.5703125" style="256" bestFit="1" customWidth="1"/>
    <col min="4" max="16384" width="8.85546875" style="256"/>
  </cols>
  <sheetData>
    <row r="1" spans="1:3" x14ac:dyDescent="0.25">
      <c r="A1" s="396" t="s">
        <v>33</v>
      </c>
      <c r="B1" s="396"/>
      <c r="C1" s="396"/>
    </row>
    <row r="2" spans="1:3" x14ac:dyDescent="0.25">
      <c r="A2" s="397" t="s">
        <v>297</v>
      </c>
      <c r="B2" s="396"/>
      <c r="C2" s="396"/>
    </row>
    <row r="3" spans="1:3" x14ac:dyDescent="0.25">
      <c r="A3" s="396" t="s">
        <v>284</v>
      </c>
      <c r="B3" s="396"/>
      <c r="C3" s="396"/>
    </row>
    <row r="4" spans="1:3" x14ac:dyDescent="0.25">
      <c r="A4" s="397" t="s">
        <v>287</v>
      </c>
      <c r="B4" s="396"/>
      <c r="C4" s="396"/>
    </row>
    <row r="5" spans="1:3" x14ac:dyDescent="0.25">
      <c r="A5" s="397" t="s">
        <v>320</v>
      </c>
      <c r="B5" s="396"/>
      <c r="C5" s="396"/>
    </row>
    <row r="7" spans="1:3" x14ac:dyDescent="0.25">
      <c r="B7" s="397" t="s">
        <v>324</v>
      </c>
      <c r="C7" s="396"/>
    </row>
    <row r="8" spans="1:3" x14ac:dyDescent="0.25">
      <c r="B8" s="290" t="s">
        <v>30</v>
      </c>
      <c r="C8" s="290" t="s">
        <v>31</v>
      </c>
    </row>
    <row r="9" spans="1:3" x14ac:dyDescent="0.25">
      <c r="A9" s="256">
        <v>7</v>
      </c>
      <c r="B9" s="284">
        <f>+B55</f>
        <v>6861.75</v>
      </c>
      <c r="C9" s="284">
        <f>+C55</f>
        <v>6786.1</v>
      </c>
    </row>
    <row r="10" spans="1:3" x14ac:dyDescent="0.25">
      <c r="A10" s="256">
        <v>24</v>
      </c>
      <c r="B10" s="284">
        <f>+B28</f>
        <v>1253.76</v>
      </c>
      <c r="C10" s="284">
        <f>+C28</f>
        <v>1209.2</v>
      </c>
    </row>
    <row r="11" spans="1:3" x14ac:dyDescent="0.25">
      <c r="A11" s="256">
        <v>25</v>
      </c>
      <c r="B11" s="284">
        <f>SUM(B29,B36,B38,B40,B46,B48,B51)</f>
        <v>966.15</v>
      </c>
      <c r="C11" s="284">
        <f>SUM(C29,C36,C38,C40,C46,C48,C51)</f>
        <v>1125.3700000000001</v>
      </c>
    </row>
    <row r="12" spans="1:3" x14ac:dyDescent="0.25">
      <c r="A12" s="256">
        <v>26</v>
      </c>
      <c r="B12" s="284">
        <f>SUM(B30,B37,B41,B47)</f>
        <v>385.58</v>
      </c>
      <c r="C12" s="284">
        <f>SUM(C30,C37,C41,C47)</f>
        <v>489.92</v>
      </c>
    </row>
    <row r="13" spans="1:3" x14ac:dyDescent="0.25">
      <c r="A13" s="256">
        <v>29</v>
      </c>
      <c r="B13" s="284">
        <f>+B31</f>
        <v>8.56</v>
      </c>
      <c r="C13" s="284">
        <f>+C31</f>
        <v>3.03</v>
      </c>
    </row>
    <row r="14" spans="1:3" x14ac:dyDescent="0.25">
      <c r="A14" s="256">
        <v>31</v>
      </c>
      <c r="B14" s="284">
        <f>SUM(B32,B35,B39,B42:B43,B44,B49,B52)</f>
        <v>360.91999999999996</v>
      </c>
      <c r="C14" s="284">
        <f>SUM(C32,C35,C39,C42:C43,C44,C49,C52)</f>
        <v>349.45000000000005</v>
      </c>
    </row>
    <row r="15" spans="1:3" x14ac:dyDescent="0.25">
      <c r="A15" s="256">
        <v>35</v>
      </c>
      <c r="B15" s="284">
        <f>+B33</f>
        <v>9.0399999999999991</v>
      </c>
      <c r="C15" s="284">
        <f>+C33</f>
        <v>4.1500000000000004</v>
      </c>
    </row>
    <row r="16" spans="1:3" x14ac:dyDescent="0.25">
      <c r="A16" s="256">
        <v>43</v>
      </c>
      <c r="B16" s="284">
        <f>+B53</f>
        <v>97.26</v>
      </c>
      <c r="C16" s="284">
        <f>+C53</f>
        <v>108.81</v>
      </c>
    </row>
    <row r="17" spans="1:3" x14ac:dyDescent="0.25">
      <c r="A17" s="256" t="s">
        <v>330</v>
      </c>
      <c r="B17" s="284">
        <f>+B45</f>
        <v>11.83</v>
      </c>
      <c r="C17" s="284">
        <f>+C45</f>
        <v>103.67</v>
      </c>
    </row>
    <row r="18" spans="1:3" x14ac:dyDescent="0.25">
      <c r="A18" s="256" t="s">
        <v>5</v>
      </c>
      <c r="B18" s="284">
        <f>+'NCP Dist OH-UG Plant (364-367)'!B54</f>
        <v>6.03</v>
      </c>
      <c r="C18" s="284">
        <f>+'NCP Dist OH-UG Plant (364-367)'!C54</f>
        <v>4.6500000000000004</v>
      </c>
    </row>
    <row r="19" spans="1:3" x14ac:dyDescent="0.25">
      <c r="A19" s="256">
        <v>5</v>
      </c>
      <c r="B19" s="284">
        <f>+B27</f>
        <v>6.87</v>
      </c>
      <c r="C19" s="284">
        <f>+C27</f>
        <v>2.76</v>
      </c>
    </row>
    <row r="20" spans="1:3" x14ac:dyDescent="0.25">
      <c r="B20" s="284">
        <f>SUM(B9:B19)</f>
        <v>9967.7500000000018</v>
      </c>
      <c r="C20" s="284">
        <f>SUM(C9:C19)</f>
        <v>10187.11</v>
      </c>
    </row>
    <row r="21" spans="1:3" x14ac:dyDescent="0.25">
      <c r="B21" s="284"/>
      <c r="C21" s="284"/>
    </row>
    <row r="22" spans="1:3" ht="45.75" thickBot="1" x14ac:dyDescent="0.3">
      <c r="A22" s="291" t="s">
        <v>403</v>
      </c>
      <c r="B22" s="292">
        <f>+B20-B17</f>
        <v>9955.9200000000019</v>
      </c>
      <c r="C22" s="292">
        <f>+C20-C17</f>
        <v>10083.44</v>
      </c>
    </row>
    <row r="23" spans="1:3" x14ac:dyDescent="0.25">
      <c r="B23" s="284">
        <f>+'ECOS - EXTERNAL (2019 GRC)'!D142-'NCP Dist OH-UG Plant (364-367)'!B22</f>
        <v>0</v>
      </c>
    </row>
    <row r="25" spans="1:3" x14ac:dyDescent="0.25">
      <c r="B25" s="396" t="s">
        <v>324</v>
      </c>
      <c r="C25" s="396"/>
    </row>
    <row r="26" spans="1:3" x14ac:dyDescent="0.25">
      <c r="B26" s="256" t="s">
        <v>30</v>
      </c>
      <c r="C26" s="256" t="s">
        <v>31</v>
      </c>
    </row>
    <row r="27" spans="1:3" x14ac:dyDescent="0.25">
      <c r="A27" s="256">
        <v>5</v>
      </c>
      <c r="B27" s="293">
        <v>6.87</v>
      </c>
      <c r="C27" s="293">
        <v>2.76</v>
      </c>
    </row>
    <row r="28" spans="1:3" x14ac:dyDescent="0.25">
      <c r="A28" s="256">
        <v>24</v>
      </c>
      <c r="B28" s="293">
        <v>1253.76</v>
      </c>
      <c r="C28" s="293">
        <v>1209.2</v>
      </c>
    </row>
    <row r="29" spans="1:3" x14ac:dyDescent="0.25">
      <c r="A29" s="256">
        <v>25</v>
      </c>
      <c r="B29" s="293">
        <v>964.34</v>
      </c>
      <c r="C29" s="293">
        <v>1123.27</v>
      </c>
    </row>
    <row r="30" spans="1:3" x14ac:dyDescent="0.25">
      <c r="A30" s="256">
        <v>26</v>
      </c>
      <c r="B30" s="293">
        <v>372.16</v>
      </c>
      <c r="C30" s="293">
        <v>474.03</v>
      </c>
    </row>
    <row r="31" spans="1:3" x14ac:dyDescent="0.25">
      <c r="A31" s="256">
        <v>29</v>
      </c>
      <c r="B31" s="293">
        <v>8.56</v>
      </c>
      <c r="C31" s="293">
        <v>3.03</v>
      </c>
    </row>
    <row r="32" spans="1:3" x14ac:dyDescent="0.25">
      <c r="A32" s="256">
        <v>31</v>
      </c>
      <c r="B32" s="293">
        <v>350.82</v>
      </c>
      <c r="C32" s="293">
        <v>328.74</v>
      </c>
    </row>
    <row r="33" spans="1:3" x14ac:dyDescent="0.25">
      <c r="A33" s="256">
        <v>35</v>
      </c>
      <c r="B33" s="293">
        <v>9.0399999999999991</v>
      </c>
      <c r="C33" s="293">
        <v>4.1500000000000004</v>
      </c>
    </row>
    <row r="34" spans="1:3" x14ac:dyDescent="0.25">
      <c r="A34" s="256">
        <v>40</v>
      </c>
      <c r="B34" s="293">
        <f>SUM(B35:B52)</f>
        <v>37.159999999999997</v>
      </c>
      <c r="C34" s="293">
        <f>SUM(C35:C52)</f>
        <v>142.37000000000003</v>
      </c>
    </row>
    <row r="35" spans="1:3" x14ac:dyDescent="0.25">
      <c r="A35" s="285" t="s">
        <v>386</v>
      </c>
      <c r="B35" s="293">
        <v>2.13</v>
      </c>
      <c r="C35" s="293">
        <v>9.68</v>
      </c>
    </row>
    <row r="36" spans="1:3" x14ac:dyDescent="0.25">
      <c r="A36" s="285" t="s">
        <v>387</v>
      </c>
      <c r="B36" s="293">
        <v>1.39</v>
      </c>
      <c r="C36" s="293">
        <v>1.28</v>
      </c>
    </row>
    <row r="37" spans="1:3" x14ac:dyDescent="0.25">
      <c r="A37" s="285" t="s">
        <v>388</v>
      </c>
      <c r="B37" s="293">
        <v>9.4</v>
      </c>
      <c r="C37" s="293">
        <v>10.37</v>
      </c>
    </row>
    <row r="38" spans="1:3" x14ac:dyDescent="0.25">
      <c r="A38" s="285" t="s">
        <v>389</v>
      </c>
      <c r="B38" s="293">
        <v>0.05</v>
      </c>
      <c r="C38" s="293">
        <v>0.38</v>
      </c>
    </row>
    <row r="39" spans="1:3" x14ac:dyDescent="0.25">
      <c r="A39" s="285" t="s">
        <v>390</v>
      </c>
      <c r="B39" s="293">
        <v>0.57999999999999996</v>
      </c>
      <c r="C39" s="293">
        <v>4.01</v>
      </c>
    </row>
    <row r="40" spans="1:3" ht="13.9" customHeight="1" x14ac:dyDescent="0.25">
      <c r="A40" s="285" t="s">
        <v>391</v>
      </c>
      <c r="B40" s="293">
        <v>0</v>
      </c>
      <c r="C40" s="293">
        <v>0.02</v>
      </c>
    </row>
    <row r="41" spans="1:3" ht="13.9" customHeight="1" x14ac:dyDescent="0.25">
      <c r="A41" s="285" t="s">
        <v>392</v>
      </c>
      <c r="B41" s="293">
        <v>0.13</v>
      </c>
      <c r="C41" s="293">
        <v>0.55000000000000004</v>
      </c>
    </row>
    <row r="42" spans="1:3" ht="13.9" customHeight="1" x14ac:dyDescent="0.25">
      <c r="A42" s="285" t="s">
        <v>393</v>
      </c>
      <c r="B42" s="293">
        <v>3.33</v>
      </c>
      <c r="C42" s="293">
        <v>2.8</v>
      </c>
    </row>
    <row r="43" spans="1:3" x14ac:dyDescent="0.25">
      <c r="A43" s="285" t="s">
        <v>394</v>
      </c>
      <c r="B43" s="293">
        <v>0</v>
      </c>
      <c r="C43" s="293">
        <v>0</v>
      </c>
    </row>
    <row r="44" spans="1:3" x14ac:dyDescent="0.25">
      <c r="A44" s="285" t="s">
        <v>395</v>
      </c>
      <c r="B44" s="293">
        <v>1.1299999999999999</v>
      </c>
      <c r="C44" s="293">
        <v>4.22</v>
      </c>
    </row>
    <row r="45" spans="1:3" x14ac:dyDescent="0.25">
      <c r="A45" s="256" t="s">
        <v>404</v>
      </c>
      <c r="B45" s="293">
        <f>-0.18+0.29+1.78+9.53+0.28+0.05+0.03+0.05</f>
        <v>11.83</v>
      </c>
      <c r="C45" s="293">
        <f>0.02+0.62+0.55+4.14+21.06+37.48+10.72+4.28+6.78+18.02</f>
        <v>103.67</v>
      </c>
    </row>
    <row r="46" spans="1:3" x14ac:dyDescent="0.25">
      <c r="A46" s="285" t="s">
        <v>397</v>
      </c>
      <c r="B46" s="293">
        <v>0.3</v>
      </c>
      <c r="C46" s="293">
        <v>0.38</v>
      </c>
    </row>
    <row r="47" spans="1:3" x14ac:dyDescent="0.25">
      <c r="A47" s="285" t="s">
        <v>398</v>
      </c>
      <c r="B47" s="293">
        <v>3.89</v>
      </c>
      <c r="C47" s="293">
        <v>4.97</v>
      </c>
    </row>
    <row r="48" spans="1:3" x14ac:dyDescent="0.25">
      <c r="A48" s="285" t="s">
        <v>400</v>
      </c>
      <c r="B48" s="293">
        <v>7.0000000000000007E-2</v>
      </c>
      <c r="C48" s="293">
        <v>-0.01</v>
      </c>
    </row>
    <row r="49" spans="1:3" x14ac:dyDescent="0.25">
      <c r="A49" s="285" t="s">
        <v>399</v>
      </c>
      <c r="B49" s="293">
        <v>2.93</v>
      </c>
      <c r="C49" s="293">
        <v>-0.57999999999999996</v>
      </c>
    </row>
    <row r="50" spans="1:3" x14ac:dyDescent="0.25">
      <c r="A50" s="285" t="s">
        <v>385</v>
      </c>
      <c r="B50" s="293">
        <v>0</v>
      </c>
      <c r="C50" s="293">
        <v>0</v>
      </c>
    </row>
    <row r="51" spans="1:3" x14ac:dyDescent="0.25">
      <c r="A51" s="285" t="s">
        <v>401</v>
      </c>
      <c r="B51" s="293">
        <v>0</v>
      </c>
      <c r="C51" s="293">
        <v>0.05</v>
      </c>
    </row>
    <row r="52" spans="1:3" x14ac:dyDescent="0.25">
      <c r="A52" s="285" t="s">
        <v>402</v>
      </c>
      <c r="B52" s="293">
        <v>0</v>
      </c>
      <c r="C52" s="293">
        <v>0.57999999999999996</v>
      </c>
    </row>
    <row r="53" spans="1:3" x14ac:dyDescent="0.25">
      <c r="A53" s="256">
        <v>43</v>
      </c>
      <c r="B53" s="293">
        <v>97.26</v>
      </c>
      <c r="C53" s="293">
        <v>108.81</v>
      </c>
    </row>
    <row r="54" spans="1:3" x14ac:dyDescent="0.25">
      <c r="A54" s="256" t="s">
        <v>283</v>
      </c>
      <c r="B54" s="293">
        <v>6.03</v>
      </c>
      <c r="C54" s="293">
        <v>4.6500000000000004</v>
      </c>
    </row>
    <row r="55" spans="1:3" x14ac:dyDescent="0.25">
      <c r="A55" s="256">
        <v>7</v>
      </c>
      <c r="B55" s="293">
        <v>6861.75</v>
      </c>
      <c r="C55" s="293">
        <v>6786.1</v>
      </c>
    </row>
    <row r="56" spans="1:3" x14ac:dyDescent="0.25">
      <c r="B56" s="293">
        <f>SUM(B27:B34,B53:B55)</f>
        <v>9967.75</v>
      </c>
      <c r="C56" s="293">
        <f>SUM(C27:C34,C53:C55)</f>
        <v>10187.11</v>
      </c>
    </row>
    <row r="57" spans="1:3" x14ac:dyDescent="0.25">
      <c r="B57" s="293">
        <v>9967.75</v>
      </c>
      <c r="C57" s="293">
        <v>10187.14</v>
      </c>
    </row>
    <row r="58" spans="1:3" x14ac:dyDescent="0.25">
      <c r="B58" s="284">
        <f>+B56-B57</f>
        <v>0</v>
      </c>
      <c r="C58" s="284">
        <f>+C56-C57</f>
        <v>-2.9999999998835847E-2</v>
      </c>
    </row>
    <row r="60" spans="1:3" x14ac:dyDescent="0.25">
      <c r="B60" s="284"/>
      <c r="C60" s="284">
        <f>+C56-C20</f>
        <v>0</v>
      </c>
    </row>
  </sheetData>
  <mergeCells count="7">
    <mergeCell ref="B25:C25"/>
    <mergeCell ref="B7:C7"/>
    <mergeCell ref="A2:C2"/>
    <mergeCell ref="A1:C1"/>
    <mergeCell ref="A3:C3"/>
    <mergeCell ref="A4:C4"/>
    <mergeCell ref="A5:C5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zoomScale="90" zoomScaleNormal="90" workbookViewId="0"/>
  </sheetViews>
  <sheetFormatPr defaultColWidth="8.85546875" defaultRowHeight="15" x14ac:dyDescent="0.25"/>
  <cols>
    <col min="1" max="1" width="22.28515625" style="256" bestFit="1" customWidth="1"/>
    <col min="2" max="2" width="14.5703125" style="256" bestFit="1" customWidth="1"/>
    <col min="3" max="3" width="8.85546875" style="256"/>
    <col min="4" max="4" width="22.28515625" style="256" bestFit="1" customWidth="1"/>
    <col min="5" max="5" width="14.5703125" style="256" bestFit="1" customWidth="1"/>
    <col min="6" max="16384" width="8.85546875" style="256"/>
  </cols>
  <sheetData>
    <row r="1" spans="1:5" x14ac:dyDescent="0.25">
      <c r="A1" s="396" t="s">
        <v>33</v>
      </c>
      <c r="B1" s="396"/>
      <c r="C1" s="396"/>
      <c r="D1" s="396"/>
      <c r="E1" s="396"/>
    </row>
    <row r="2" spans="1:5" x14ac:dyDescent="0.25">
      <c r="A2" s="396" t="s">
        <v>270</v>
      </c>
      <c r="B2" s="396"/>
      <c r="C2" s="396"/>
      <c r="D2" s="396"/>
      <c r="E2" s="396"/>
    </row>
    <row r="3" spans="1:5" x14ac:dyDescent="0.25">
      <c r="A3" s="397" t="s">
        <v>325</v>
      </c>
      <c r="B3" s="396"/>
      <c r="C3" s="396"/>
      <c r="D3" s="396"/>
      <c r="E3" s="396"/>
    </row>
    <row r="4" spans="1:5" x14ac:dyDescent="0.25">
      <c r="A4" s="396" t="s">
        <v>271</v>
      </c>
      <c r="B4" s="396"/>
      <c r="C4" s="396"/>
      <c r="D4" s="396"/>
      <c r="E4" s="396"/>
    </row>
    <row r="6" spans="1:5" x14ac:dyDescent="0.25">
      <c r="A6" s="289" t="s">
        <v>272</v>
      </c>
      <c r="B6" s="256" t="s">
        <v>30</v>
      </c>
      <c r="D6" s="289" t="s">
        <v>272</v>
      </c>
      <c r="E6" s="256" t="s">
        <v>31</v>
      </c>
    </row>
    <row r="8" spans="1:5" x14ac:dyDescent="0.25">
      <c r="A8" s="256" t="s">
        <v>273</v>
      </c>
      <c r="D8" s="256" t="s">
        <v>273</v>
      </c>
    </row>
    <row r="9" spans="1:5" x14ac:dyDescent="0.25">
      <c r="A9" s="289" t="s">
        <v>227</v>
      </c>
      <c r="B9" s="256" t="s">
        <v>4</v>
      </c>
      <c r="C9" s="289"/>
      <c r="D9" s="289" t="s">
        <v>227</v>
      </c>
      <c r="E9" s="256" t="s">
        <v>4</v>
      </c>
    </row>
    <row r="10" spans="1:5" x14ac:dyDescent="0.25">
      <c r="A10" s="256">
        <v>7</v>
      </c>
      <c r="B10" s="282">
        <v>335230378.93095666</v>
      </c>
      <c r="D10" s="256">
        <v>7</v>
      </c>
      <c r="E10" s="282">
        <v>626558865.95306206</v>
      </c>
    </row>
    <row r="11" spans="1:5" x14ac:dyDescent="0.25">
      <c r="A11" s="256">
        <v>24</v>
      </c>
      <c r="B11" s="282">
        <v>54903889.644672841</v>
      </c>
      <c r="D11" s="256">
        <v>24</v>
      </c>
      <c r="E11" s="282">
        <v>96862722.538200423</v>
      </c>
    </row>
    <row r="12" spans="1:5" x14ac:dyDescent="0.25">
      <c r="A12" s="256">
        <v>25</v>
      </c>
      <c r="B12" s="282">
        <v>6447392.8689756328</v>
      </c>
      <c r="D12" s="256">
        <v>25</v>
      </c>
      <c r="E12" s="282">
        <v>45950781.642707422</v>
      </c>
    </row>
    <row r="13" spans="1:5" x14ac:dyDescent="0.25">
      <c r="A13" s="256">
        <v>26</v>
      </c>
      <c r="B13" s="282">
        <v>90511.45794799368</v>
      </c>
      <c r="D13" s="256">
        <v>26</v>
      </c>
      <c r="E13" s="282">
        <v>12756837.249422293</v>
      </c>
    </row>
    <row r="14" spans="1:5" x14ac:dyDescent="0.25">
      <c r="A14" s="256">
        <v>29</v>
      </c>
      <c r="B14" s="282">
        <v>1579244.7812049421</v>
      </c>
      <c r="D14" s="256">
        <v>29</v>
      </c>
      <c r="E14" s="282">
        <v>215837.03444965626</v>
      </c>
    </row>
    <row r="15" spans="1:5" x14ac:dyDescent="0.25">
      <c r="A15" s="256" t="s">
        <v>363</v>
      </c>
      <c r="B15" s="282">
        <f>SUM(B10:B14)</f>
        <v>398251417.68375802</v>
      </c>
      <c r="E15" s="282">
        <f>SUM(E10:E14)</f>
        <v>782345044.41784191</v>
      </c>
    </row>
    <row r="16" spans="1:5" x14ac:dyDescent="0.25">
      <c r="E16" s="282"/>
    </row>
    <row r="18" spans="1:5" x14ac:dyDescent="0.25">
      <c r="A18" s="256" t="s">
        <v>5</v>
      </c>
      <c r="B18" s="282">
        <f>+B33</f>
        <v>50725910.403383665</v>
      </c>
      <c r="E18" s="282">
        <f>+E33</f>
        <v>1953961.7399999977</v>
      </c>
    </row>
    <row r="19" spans="1:5" x14ac:dyDescent="0.25">
      <c r="A19" s="256" t="s">
        <v>4</v>
      </c>
      <c r="B19" s="282">
        <f>+B15+B18</f>
        <v>448977328.08714169</v>
      </c>
      <c r="E19" s="282">
        <f>+E15+E18</f>
        <v>784299006.15784192</v>
      </c>
    </row>
    <row r="20" spans="1:5" x14ac:dyDescent="0.25">
      <c r="E20" s="282"/>
    </row>
    <row r="23" spans="1:5" x14ac:dyDescent="0.25">
      <c r="A23" s="256" t="s">
        <v>274</v>
      </c>
      <c r="B23" s="256" t="s">
        <v>28</v>
      </c>
      <c r="D23" s="256" t="s">
        <v>274</v>
      </c>
      <c r="E23" s="256" t="s">
        <v>28</v>
      </c>
    </row>
    <row r="24" spans="1:5" x14ac:dyDescent="0.25">
      <c r="A24" s="256" t="s">
        <v>2</v>
      </c>
      <c r="B24" s="256" t="s">
        <v>30</v>
      </c>
      <c r="D24" s="256" t="s">
        <v>2</v>
      </c>
      <c r="E24" s="256" t="s">
        <v>31</v>
      </c>
    </row>
    <row r="25" spans="1:5" x14ac:dyDescent="0.25">
      <c r="A25" s="286" t="s">
        <v>275</v>
      </c>
      <c r="B25" s="282">
        <v>30932.520000000004</v>
      </c>
      <c r="D25" s="286" t="s">
        <v>275</v>
      </c>
      <c r="E25" s="282">
        <v>3153.14</v>
      </c>
    </row>
    <row r="26" spans="1:5" x14ac:dyDescent="0.25">
      <c r="A26" s="286" t="s">
        <v>276</v>
      </c>
      <c r="B26" s="282">
        <v>29407.288280000001</v>
      </c>
      <c r="D26" s="286" t="s">
        <v>276</v>
      </c>
      <c r="E26" s="282">
        <v>71760.19</v>
      </c>
    </row>
    <row r="27" spans="1:5" x14ac:dyDescent="0.25">
      <c r="A27" s="286" t="s">
        <v>277</v>
      </c>
      <c r="B27" s="282">
        <v>43538683.168243654</v>
      </c>
      <c r="D27" s="286" t="s">
        <v>277</v>
      </c>
      <c r="E27" s="282">
        <v>1436964.569999998</v>
      </c>
    </row>
    <row r="28" spans="1:5" x14ac:dyDescent="0.25">
      <c r="A28" s="286" t="s">
        <v>278</v>
      </c>
      <c r="B28" s="282">
        <v>50298.520000000004</v>
      </c>
      <c r="D28" s="286" t="s">
        <v>278</v>
      </c>
      <c r="E28" s="282">
        <v>3699.38</v>
      </c>
    </row>
    <row r="29" spans="1:5" x14ac:dyDescent="0.25">
      <c r="A29" s="286" t="s">
        <v>279</v>
      </c>
      <c r="B29" s="282">
        <v>2184493.4917300092</v>
      </c>
      <c r="D29" s="286" t="s">
        <v>279</v>
      </c>
      <c r="E29" s="282">
        <v>164662.59999999995</v>
      </c>
    </row>
    <row r="30" spans="1:5" x14ac:dyDescent="0.25">
      <c r="A30" s="286" t="s">
        <v>280</v>
      </c>
      <c r="B30" s="282">
        <v>4186060.9903599937</v>
      </c>
      <c r="D30" s="286" t="s">
        <v>280</v>
      </c>
      <c r="E30" s="282">
        <v>153320.13999999993</v>
      </c>
    </row>
    <row r="31" spans="1:5" x14ac:dyDescent="0.25">
      <c r="A31" s="286" t="s">
        <v>281</v>
      </c>
      <c r="B31" s="282">
        <v>617300.02712000033</v>
      </c>
      <c r="D31" s="286" t="s">
        <v>281</v>
      </c>
      <c r="E31" s="282">
        <v>117979.81999999999</v>
      </c>
    </row>
    <row r="32" spans="1:5" x14ac:dyDescent="0.25">
      <c r="A32" s="286" t="s">
        <v>282</v>
      </c>
      <c r="B32" s="282">
        <v>88734.397650000028</v>
      </c>
      <c r="D32" s="286" t="s">
        <v>282</v>
      </c>
      <c r="E32" s="282">
        <v>2421.9</v>
      </c>
    </row>
    <row r="33" spans="1:5" x14ac:dyDescent="0.25">
      <c r="A33" s="286" t="s">
        <v>8</v>
      </c>
      <c r="B33" s="282">
        <f>SUM(B25:B32)</f>
        <v>50725910.403383665</v>
      </c>
      <c r="D33" s="286" t="s">
        <v>8</v>
      </c>
      <c r="E33" s="282">
        <f>SUM(E25:E32)</f>
        <v>1953961.7399999977</v>
      </c>
    </row>
  </sheetData>
  <mergeCells count="4">
    <mergeCell ref="A1:E1"/>
    <mergeCell ref="A2:E2"/>
    <mergeCell ref="A3:E3"/>
    <mergeCell ref="A4:E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zoomScaleNormal="100" workbookViewId="0"/>
  </sheetViews>
  <sheetFormatPr defaultRowHeight="15" x14ac:dyDescent="0.25"/>
  <cols>
    <col min="1" max="1" width="26.5703125" style="256" bestFit="1" customWidth="1"/>
    <col min="2" max="2" width="14" style="256" bestFit="1" customWidth="1"/>
    <col min="3" max="3" width="10" style="256" bestFit="1" customWidth="1"/>
    <col min="4" max="16384" width="9.140625" style="256"/>
  </cols>
  <sheetData>
    <row r="1" spans="1:3" x14ac:dyDescent="0.25">
      <c r="A1" s="397" t="s">
        <v>25</v>
      </c>
      <c r="B1" s="397"/>
      <c r="C1" s="397"/>
    </row>
    <row r="2" spans="1:3" x14ac:dyDescent="0.25">
      <c r="A2" s="397" t="s">
        <v>26</v>
      </c>
      <c r="B2" s="397"/>
      <c r="C2" s="397"/>
    </row>
    <row r="3" spans="1:3" x14ac:dyDescent="0.25">
      <c r="A3" s="397" t="s">
        <v>304</v>
      </c>
      <c r="B3" s="397"/>
      <c r="C3" s="397"/>
    </row>
    <row r="9" spans="1:3" x14ac:dyDescent="0.25">
      <c r="A9" s="256" t="s">
        <v>27</v>
      </c>
      <c r="B9" s="256" t="s">
        <v>28</v>
      </c>
    </row>
    <row r="10" spans="1:3" x14ac:dyDescent="0.25">
      <c r="A10" s="256" t="s">
        <v>2</v>
      </c>
      <c r="B10" s="256" t="s">
        <v>29</v>
      </c>
    </row>
    <row r="11" spans="1:3" x14ac:dyDescent="0.25">
      <c r="A11" s="286">
        <v>7</v>
      </c>
      <c r="B11" s="281">
        <v>354802</v>
      </c>
    </row>
    <row r="12" spans="1:3" x14ac:dyDescent="0.25">
      <c r="A12" s="286">
        <v>24</v>
      </c>
      <c r="B12" s="281">
        <v>54210</v>
      </c>
    </row>
    <row r="13" spans="1:3" x14ac:dyDescent="0.25">
      <c r="A13" s="286">
        <v>25</v>
      </c>
      <c r="B13" s="281">
        <v>1420</v>
      </c>
    </row>
    <row r="14" spans="1:3" x14ac:dyDescent="0.25">
      <c r="A14" s="286">
        <v>26</v>
      </c>
      <c r="B14" s="281">
        <v>45</v>
      </c>
    </row>
    <row r="15" spans="1:3" x14ac:dyDescent="0.25">
      <c r="A15" s="286">
        <v>29</v>
      </c>
      <c r="B15" s="281">
        <v>657</v>
      </c>
    </row>
    <row r="16" spans="1:3" x14ac:dyDescent="0.25">
      <c r="A16" s="286">
        <v>31</v>
      </c>
      <c r="B16" s="281">
        <v>146</v>
      </c>
    </row>
    <row r="17" spans="1:2" x14ac:dyDescent="0.25">
      <c r="A17" s="286">
        <v>35</v>
      </c>
      <c r="B17" s="281">
        <v>1</v>
      </c>
    </row>
    <row r="18" spans="1:2" x14ac:dyDescent="0.25">
      <c r="A18" s="286">
        <v>40</v>
      </c>
      <c r="B18" s="281">
        <v>9</v>
      </c>
    </row>
    <row r="19" spans="1:2" x14ac:dyDescent="0.25">
      <c r="A19" s="286">
        <v>43</v>
      </c>
      <c r="B19" s="281">
        <v>26</v>
      </c>
    </row>
    <row r="20" spans="1:2" x14ac:dyDescent="0.25">
      <c r="A20" s="286">
        <v>46</v>
      </c>
      <c r="B20" s="281">
        <v>4</v>
      </c>
    </row>
    <row r="21" spans="1:2" x14ac:dyDescent="0.25">
      <c r="A21" s="286">
        <v>49</v>
      </c>
      <c r="B21" s="281">
        <v>10</v>
      </c>
    </row>
    <row r="22" spans="1:2" x14ac:dyDescent="0.25">
      <c r="A22" s="286" t="s">
        <v>6</v>
      </c>
      <c r="B22" s="281">
        <v>9</v>
      </c>
    </row>
    <row r="23" spans="1:2" x14ac:dyDescent="0.25">
      <c r="A23" s="286" t="s">
        <v>32</v>
      </c>
      <c r="B23" s="281">
        <v>157</v>
      </c>
    </row>
    <row r="24" spans="1:2" x14ac:dyDescent="0.25">
      <c r="A24" s="287" t="s">
        <v>8</v>
      </c>
      <c r="B24" s="288">
        <v>411496</v>
      </c>
    </row>
    <row r="26" spans="1:2" x14ac:dyDescent="0.25">
      <c r="A26" s="256" t="s">
        <v>220</v>
      </c>
      <c r="B26" s="281">
        <f>SUM(B11:B15)</f>
        <v>411134</v>
      </c>
    </row>
  </sheetData>
  <mergeCells count="3">
    <mergeCell ref="A1:C1"/>
    <mergeCell ref="A2:C2"/>
    <mergeCell ref="A3:C3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zoomScaleNormal="100" workbookViewId="0">
      <pane xSplit="2" ySplit="6" topLeftCell="C1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7.28515625" style="256" bestFit="1" customWidth="1"/>
    <col min="2" max="2" width="10.5703125" style="256" bestFit="1" customWidth="1"/>
    <col min="3" max="3" width="13.7109375" style="256" bestFit="1" customWidth="1"/>
    <col min="4" max="4" width="9.5703125" style="256" bestFit="1" customWidth="1"/>
    <col min="5" max="7" width="9.7109375" style="256" bestFit="1" customWidth="1"/>
    <col min="8" max="8" width="5.28515625" style="256" customWidth="1"/>
    <col min="9" max="9" width="13.7109375" style="256" bestFit="1" customWidth="1"/>
    <col min="10" max="10" width="10.85546875" style="256" bestFit="1" customWidth="1"/>
    <col min="11" max="11" width="13.7109375" style="256" bestFit="1" customWidth="1"/>
    <col min="12" max="16384" width="9.140625" style="256"/>
  </cols>
  <sheetData>
    <row r="1" spans="1:11" x14ac:dyDescent="0.25">
      <c r="A1" s="396" t="s">
        <v>33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</row>
    <row r="2" spans="1:11" x14ac:dyDescent="0.25">
      <c r="A2" s="397" t="s">
        <v>352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</row>
    <row r="3" spans="1:11" x14ac:dyDescent="0.25">
      <c r="A3" s="397" t="s">
        <v>322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</row>
    <row r="4" spans="1:11" x14ac:dyDescent="0.25">
      <c r="A4" s="397" t="s">
        <v>324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</row>
    <row r="6" spans="1:11" ht="105" x14ac:dyDescent="0.25">
      <c r="A6" s="280" t="s">
        <v>344</v>
      </c>
      <c r="B6" s="280" t="s">
        <v>221</v>
      </c>
      <c r="C6" s="280" t="s">
        <v>222</v>
      </c>
      <c r="D6" s="280" t="s">
        <v>345</v>
      </c>
      <c r="E6" s="280" t="s">
        <v>346</v>
      </c>
      <c r="F6" s="280" t="s">
        <v>347</v>
      </c>
      <c r="G6" s="280" t="s">
        <v>348</v>
      </c>
      <c r="H6" s="280"/>
      <c r="I6" s="280" t="s">
        <v>349</v>
      </c>
      <c r="J6" s="280" t="s">
        <v>350</v>
      </c>
      <c r="K6" s="280" t="s">
        <v>351</v>
      </c>
    </row>
    <row r="7" spans="1:11" x14ac:dyDescent="0.25">
      <c r="A7" s="256">
        <v>7</v>
      </c>
      <c r="B7" s="281">
        <v>1030857</v>
      </c>
      <c r="C7" s="282">
        <v>114667546</v>
      </c>
      <c r="I7" s="282">
        <f t="shared" ref="I7:I16" si="0">+C7</f>
        <v>114667546</v>
      </c>
      <c r="J7" s="282"/>
      <c r="K7" s="282">
        <f t="shared" ref="K7:K16" si="1">+I7+J7</f>
        <v>114667546</v>
      </c>
    </row>
    <row r="8" spans="1:11" x14ac:dyDescent="0.25">
      <c r="A8" s="256">
        <v>24</v>
      </c>
      <c r="B8" s="281">
        <v>131231</v>
      </c>
      <c r="C8" s="282">
        <v>32185511</v>
      </c>
      <c r="I8" s="282">
        <f t="shared" si="0"/>
        <v>32185511</v>
      </c>
      <c r="J8" s="282"/>
      <c r="K8" s="282">
        <f t="shared" si="1"/>
        <v>32185511</v>
      </c>
    </row>
    <row r="9" spans="1:11" x14ac:dyDescent="0.25">
      <c r="A9" s="256">
        <v>25</v>
      </c>
      <c r="B9" s="281">
        <v>7965</v>
      </c>
      <c r="C9" s="282">
        <v>9289646</v>
      </c>
      <c r="I9" s="282">
        <f t="shared" si="0"/>
        <v>9289646</v>
      </c>
      <c r="J9" s="282">
        <f>+E17*D17</f>
        <v>20553.333333333336</v>
      </c>
      <c r="K9" s="282">
        <f t="shared" si="1"/>
        <v>9310199.333333334</v>
      </c>
    </row>
    <row r="10" spans="1:11" x14ac:dyDescent="0.25">
      <c r="A10" s="256">
        <v>26</v>
      </c>
      <c r="B10" s="281">
        <v>872</v>
      </c>
      <c r="C10" s="282">
        <v>1055656</v>
      </c>
      <c r="I10" s="282">
        <f t="shared" si="0"/>
        <v>1055656</v>
      </c>
      <c r="J10" s="282">
        <f>+E18*D18</f>
        <v>13409</v>
      </c>
      <c r="K10" s="282">
        <f t="shared" si="1"/>
        <v>1069065</v>
      </c>
    </row>
    <row r="11" spans="1:11" x14ac:dyDescent="0.25">
      <c r="A11" s="256">
        <v>29</v>
      </c>
      <c r="B11" s="281">
        <v>752</v>
      </c>
      <c r="C11" s="282">
        <v>201781</v>
      </c>
      <c r="I11" s="282">
        <f t="shared" si="0"/>
        <v>201781</v>
      </c>
      <c r="K11" s="282">
        <f t="shared" si="1"/>
        <v>201781</v>
      </c>
    </row>
    <row r="12" spans="1:11" x14ac:dyDescent="0.25">
      <c r="A12" s="256">
        <v>31</v>
      </c>
      <c r="B12" s="281">
        <v>525</v>
      </c>
      <c r="C12" s="282">
        <v>12665701</v>
      </c>
      <c r="I12" s="282">
        <f t="shared" si="0"/>
        <v>12665701</v>
      </c>
      <c r="J12" s="282">
        <f>+E19*D19</f>
        <v>139346.92307692309</v>
      </c>
      <c r="K12" s="282">
        <f t="shared" si="1"/>
        <v>12805047.923076924</v>
      </c>
    </row>
    <row r="13" spans="1:11" x14ac:dyDescent="0.25">
      <c r="A13" s="256">
        <v>35</v>
      </c>
      <c r="B13" s="281">
        <v>2</v>
      </c>
      <c r="C13" s="282">
        <v>41518</v>
      </c>
      <c r="I13" s="282">
        <f t="shared" si="0"/>
        <v>41518</v>
      </c>
      <c r="J13" s="282"/>
      <c r="K13" s="282">
        <f t="shared" si="1"/>
        <v>41518</v>
      </c>
    </row>
    <row r="14" spans="1:11" x14ac:dyDescent="0.25">
      <c r="A14" s="256">
        <v>43</v>
      </c>
      <c r="B14" s="281">
        <v>159</v>
      </c>
      <c r="C14" s="282">
        <v>4138357</v>
      </c>
      <c r="I14" s="282">
        <f t="shared" si="0"/>
        <v>4138357</v>
      </c>
      <c r="J14" s="282"/>
      <c r="K14" s="282">
        <f t="shared" si="1"/>
        <v>4138357</v>
      </c>
    </row>
    <row r="15" spans="1:11" x14ac:dyDescent="0.25">
      <c r="A15" s="256">
        <v>46</v>
      </c>
      <c r="B15" s="281">
        <v>8</v>
      </c>
      <c r="C15" s="282">
        <v>115504</v>
      </c>
      <c r="I15" s="282">
        <f t="shared" si="0"/>
        <v>115504</v>
      </c>
      <c r="J15" s="282"/>
      <c r="K15" s="282">
        <f t="shared" si="1"/>
        <v>115504</v>
      </c>
    </row>
    <row r="16" spans="1:11" x14ac:dyDescent="0.25">
      <c r="A16" s="256">
        <v>49</v>
      </c>
      <c r="B16" s="281">
        <v>28</v>
      </c>
      <c r="C16" s="282">
        <v>404264</v>
      </c>
      <c r="I16" s="282">
        <f t="shared" si="0"/>
        <v>404264</v>
      </c>
      <c r="J16" s="282"/>
      <c r="K16" s="282">
        <f t="shared" si="1"/>
        <v>404264</v>
      </c>
    </row>
    <row r="17" spans="1:11" x14ac:dyDescent="0.25">
      <c r="A17" s="256">
        <v>4025</v>
      </c>
      <c r="B17" s="281">
        <v>69</v>
      </c>
      <c r="C17" s="282">
        <v>70909</v>
      </c>
      <c r="D17" s="283">
        <f>+C17/B17</f>
        <v>1027.6666666666667</v>
      </c>
      <c r="E17" s="279">
        <v>20</v>
      </c>
      <c r="F17" s="279">
        <v>17</v>
      </c>
      <c r="G17" s="269">
        <f>SUM(E17:F17)</f>
        <v>37</v>
      </c>
      <c r="H17" s="269"/>
      <c r="I17" s="282"/>
      <c r="K17" s="282"/>
    </row>
    <row r="18" spans="1:11" x14ac:dyDescent="0.25">
      <c r="A18" s="256">
        <v>4026</v>
      </c>
      <c r="B18" s="281">
        <v>92</v>
      </c>
      <c r="C18" s="282">
        <v>112148</v>
      </c>
      <c r="D18" s="283">
        <f>+C18/B18</f>
        <v>1219</v>
      </c>
      <c r="E18" s="279">
        <v>11</v>
      </c>
      <c r="F18" s="279">
        <v>55</v>
      </c>
      <c r="G18" s="269">
        <f t="shared" ref="G18:G19" si="2">SUM(E18:F18)</f>
        <v>66</v>
      </c>
      <c r="H18" s="269"/>
      <c r="I18" s="282"/>
      <c r="J18" s="282"/>
      <c r="K18" s="282"/>
    </row>
    <row r="19" spans="1:11" x14ac:dyDescent="0.25">
      <c r="A19" s="256">
        <v>4031</v>
      </c>
      <c r="B19" s="281">
        <v>39</v>
      </c>
      <c r="C19" s="282">
        <v>1086906</v>
      </c>
      <c r="D19" s="283">
        <f>+C19/B19</f>
        <v>27869.384615384617</v>
      </c>
      <c r="E19" s="279">
        <v>5</v>
      </c>
      <c r="F19" s="279">
        <v>27</v>
      </c>
      <c r="G19" s="269">
        <f t="shared" si="2"/>
        <v>32</v>
      </c>
      <c r="H19" s="269"/>
      <c r="I19" s="282"/>
      <c r="J19" s="282"/>
      <c r="K19" s="282"/>
    </row>
    <row r="20" spans="1:11" x14ac:dyDescent="0.25">
      <c r="A20" s="256" t="s">
        <v>223</v>
      </c>
      <c r="B20" s="281">
        <v>7</v>
      </c>
      <c r="C20" s="282">
        <v>101066</v>
      </c>
      <c r="D20" s="283"/>
      <c r="E20" s="279"/>
      <c r="F20" s="279"/>
      <c r="I20" s="282">
        <f>+C20</f>
        <v>101066</v>
      </c>
      <c r="J20" s="282"/>
      <c r="K20" s="282">
        <f>+I20+J20</f>
        <v>101066</v>
      </c>
    </row>
    <row r="21" spans="1:11" x14ac:dyDescent="0.25">
      <c r="A21" s="256" t="s">
        <v>224</v>
      </c>
      <c r="B21" s="281">
        <v>3</v>
      </c>
      <c r="C21" s="282">
        <v>86046</v>
      </c>
      <c r="D21" s="283"/>
      <c r="E21" s="279"/>
      <c r="F21" s="279"/>
      <c r="I21" s="282">
        <f>+C21</f>
        <v>86046</v>
      </c>
      <c r="J21" s="282"/>
      <c r="K21" s="282">
        <f>+I21+J21</f>
        <v>86046</v>
      </c>
    </row>
    <row r="22" spans="1:11" x14ac:dyDescent="0.25">
      <c r="A22" s="256" t="s">
        <v>225</v>
      </c>
      <c r="B22" s="281">
        <v>45</v>
      </c>
      <c r="C22" s="282">
        <v>649710</v>
      </c>
      <c r="D22" s="283"/>
      <c r="E22" s="279"/>
      <c r="F22" s="279"/>
      <c r="I22" s="282">
        <f>+C22</f>
        <v>649710</v>
      </c>
      <c r="J22" s="282"/>
      <c r="K22" s="282">
        <f>+I22+J22</f>
        <v>649710</v>
      </c>
    </row>
    <row r="23" spans="1:11" x14ac:dyDescent="0.25">
      <c r="A23" s="256" t="s">
        <v>8</v>
      </c>
      <c r="B23" s="281">
        <v>1172654</v>
      </c>
      <c r="C23" s="282">
        <v>176872269</v>
      </c>
      <c r="E23" s="279">
        <f>SUM(E17:E19)</f>
        <v>36</v>
      </c>
      <c r="F23" s="279">
        <f>SUM(F17:F19)</f>
        <v>99</v>
      </c>
      <c r="G23" s="279">
        <f>SUM(G17:G19)</f>
        <v>135</v>
      </c>
      <c r="H23" s="279"/>
    </row>
    <row r="25" spans="1:11" x14ac:dyDescent="0.25">
      <c r="A25" s="256" t="s">
        <v>330</v>
      </c>
      <c r="J25" s="282">
        <f>SUMPRODUCT(F17:F19,D17:D19)</f>
        <v>836988.717948718</v>
      </c>
      <c r="K25" s="282">
        <f>+I25+J25</f>
        <v>836988.717948718</v>
      </c>
    </row>
    <row r="26" spans="1:11" x14ac:dyDescent="0.25">
      <c r="A26" s="256" t="s">
        <v>6</v>
      </c>
      <c r="B26" s="281">
        <v>8</v>
      </c>
      <c r="D26" s="284">
        <f>+C9/B9</f>
        <v>1166.308349026993</v>
      </c>
      <c r="K26" s="282">
        <f>+B26*D26</f>
        <v>9330.4667922159442</v>
      </c>
    </row>
    <row r="27" spans="1:11" x14ac:dyDescent="0.25">
      <c r="I27" s="282">
        <f>SUM(I7:I25)</f>
        <v>175602306</v>
      </c>
      <c r="J27" s="282"/>
      <c r="K27" s="282">
        <f>SUM(K7:K26)</f>
        <v>176621934.4411512</v>
      </c>
    </row>
    <row r="28" spans="1:11" x14ac:dyDescent="0.25">
      <c r="A28" s="256" t="s">
        <v>363</v>
      </c>
      <c r="B28" s="281">
        <f>+B26+B23</f>
        <v>1172662</v>
      </c>
    </row>
    <row r="29" spans="1:11" x14ac:dyDescent="0.25">
      <c r="A29" s="256" t="s">
        <v>373</v>
      </c>
      <c r="B29" s="281">
        <f>-SUM(B17:B19)</f>
        <v>-200</v>
      </c>
    </row>
    <row r="30" spans="1:11" x14ac:dyDescent="0.25">
      <c r="A30" s="256" t="s">
        <v>374</v>
      </c>
      <c r="B30" s="269">
        <f>+G23</f>
        <v>135</v>
      </c>
    </row>
    <row r="31" spans="1:11" x14ac:dyDescent="0.25">
      <c r="A31" s="256" t="s">
        <v>372</v>
      </c>
      <c r="B31" s="281">
        <f>SUM(B28:B30)</f>
        <v>1172597</v>
      </c>
    </row>
    <row r="33" spans="1:2" x14ac:dyDescent="0.25">
      <c r="A33" s="256" t="s">
        <v>375</v>
      </c>
      <c r="B33" s="281">
        <f>+E17+B9+B11</f>
        <v>8737</v>
      </c>
    </row>
    <row r="34" spans="1:2" x14ac:dyDescent="0.25">
      <c r="A34" s="285" t="s">
        <v>377</v>
      </c>
      <c r="B34" s="281">
        <f>+E18+B10</f>
        <v>883</v>
      </c>
    </row>
    <row r="35" spans="1:2" x14ac:dyDescent="0.25">
      <c r="A35" s="285" t="s">
        <v>376</v>
      </c>
      <c r="B35" s="269">
        <f>+B12+E19</f>
        <v>530</v>
      </c>
    </row>
  </sheetData>
  <mergeCells count="4">
    <mergeCell ref="A1:K1"/>
    <mergeCell ref="A2:K2"/>
    <mergeCell ref="A3:K3"/>
    <mergeCell ref="A4:K4"/>
  </mergeCells>
  <printOptions horizontalCentered="1"/>
  <pageMargins left="0.25" right="0.25" top="0.75" bottom="0.75" header="0.3" footer="0.3"/>
  <pageSetup scale="84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selection activeCell="G9" sqref="G9"/>
    </sheetView>
  </sheetViews>
  <sheetFormatPr defaultColWidth="8.85546875" defaultRowHeight="15" x14ac:dyDescent="0.25"/>
  <cols>
    <col min="1" max="1" width="4.42578125" style="256" bestFit="1" customWidth="1"/>
    <col min="2" max="2" width="22.7109375" style="256" bestFit="1" customWidth="1"/>
    <col min="3" max="4" width="15" style="256" bestFit="1" customWidth="1"/>
    <col min="5" max="5" width="10.28515625" style="256" bestFit="1" customWidth="1"/>
    <col min="6" max="6" width="13.85546875" style="256" bestFit="1" customWidth="1"/>
    <col min="7" max="7" width="15" style="256" bestFit="1" customWidth="1"/>
    <col min="8" max="8" width="10.28515625" style="256" bestFit="1" customWidth="1"/>
    <col min="9" max="16384" width="8.85546875" style="256"/>
  </cols>
  <sheetData>
    <row r="1" spans="1:8" x14ac:dyDescent="0.25">
      <c r="A1" s="410" t="s">
        <v>33</v>
      </c>
      <c r="B1" s="410"/>
      <c r="C1" s="410"/>
      <c r="D1" s="410"/>
      <c r="E1" s="410"/>
      <c r="F1" s="410"/>
      <c r="G1" s="410"/>
      <c r="H1" s="410"/>
    </row>
    <row r="2" spans="1:8" x14ac:dyDescent="0.25">
      <c r="A2" s="410" t="s">
        <v>261</v>
      </c>
      <c r="B2" s="410"/>
      <c r="C2" s="410"/>
      <c r="D2" s="410"/>
      <c r="E2" s="410"/>
      <c r="F2" s="410"/>
      <c r="G2" s="410"/>
      <c r="H2" s="410"/>
    </row>
    <row r="3" spans="1:8" x14ac:dyDescent="0.25">
      <c r="A3" s="411" t="s">
        <v>353</v>
      </c>
      <c r="B3" s="410"/>
      <c r="C3" s="410"/>
      <c r="D3" s="410"/>
      <c r="E3" s="410"/>
      <c r="F3" s="410"/>
      <c r="G3" s="410"/>
      <c r="H3" s="410"/>
    </row>
    <row r="4" spans="1:8" x14ac:dyDescent="0.25">
      <c r="A4" s="411" t="s">
        <v>324</v>
      </c>
      <c r="B4" s="410"/>
      <c r="C4" s="410"/>
      <c r="D4" s="410"/>
      <c r="E4" s="410"/>
      <c r="F4" s="410"/>
      <c r="G4" s="410"/>
      <c r="H4" s="410"/>
    </row>
    <row r="5" spans="1:8" ht="15.75" thickBot="1" x14ac:dyDescent="0.3">
      <c r="A5" s="25"/>
      <c r="B5" s="25"/>
      <c r="C5" s="25"/>
      <c r="D5" s="25"/>
      <c r="E5" s="25"/>
      <c r="F5" s="25"/>
      <c r="G5" s="25"/>
      <c r="H5" s="25"/>
    </row>
    <row r="6" spans="1:8" ht="15.75" thickBot="1" x14ac:dyDescent="0.3">
      <c r="A6" s="25"/>
      <c r="B6" s="25"/>
      <c r="C6" s="408" t="s">
        <v>262</v>
      </c>
      <c r="D6" s="412"/>
      <c r="E6" s="412"/>
      <c r="F6" s="412"/>
      <c r="G6" s="408" t="s">
        <v>263</v>
      </c>
      <c r="H6" s="409"/>
    </row>
    <row r="7" spans="1:8" ht="15.75" thickBot="1" x14ac:dyDescent="0.3">
      <c r="A7" s="25"/>
      <c r="B7" s="25"/>
      <c r="C7" s="223" t="s">
        <v>77</v>
      </c>
      <c r="D7" s="224" t="s">
        <v>83</v>
      </c>
      <c r="E7" s="224" t="s">
        <v>178</v>
      </c>
      <c r="F7" s="224" t="s">
        <v>81</v>
      </c>
      <c r="G7" s="408"/>
      <c r="H7" s="409"/>
    </row>
    <row r="8" spans="1:8" ht="65.25" thickBot="1" x14ac:dyDescent="0.3">
      <c r="A8" s="225" t="s">
        <v>110</v>
      </c>
      <c r="B8" s="225" t="s">
        <v>227</v>
      </c>
      <c r="C8" s="17" t="s">
        <v>264</v>
      </c>
      <c r="D8" s="16" t="s">
        <v>265</v>
      </c>
      <c r="E8" s="16" t="s">
        <v>266</v>
      </c>
      <c r="F8" s="16" t="s">
        <v>267</v>
      </c>
      <c r="G8" s="17" t="s">
        <v>103</v>
      </c>
      <c r="H8" s="18" t="s">
        <v>268</v>
      </c>
    </row>
    <row r="9" spans="1:8" x14ac:dyDescent="0.25">
      <c r="A9" s="223">
        <v>1</v>
      </c>
      <c r="B9" s="226">
        <v>7</v>
      </c>
      <c r="C9" s="21">
        <f>+G9</f>
        <v>11476152247.161776</v>
      </c>
      <c r="D9" s="19">
        <f>+C9</f>
        <v>11476152247.161776</v>
      </c>
      <c r="E9" s="19">
        <f>+H9</f>
        <v>2236474.2253660602</v>
      </c>
      <c r="F9" s="19">
        <f>+E9</f>
        <v>2236474.2253660602</v>
      </c>
      <c r="G9" s="21">
        <f>+'Load Research Data -Energy'!J22</f>
        <v>11476152247.161776</v>
      </c>
      <c r="H9" s="20">
        <f>+'Load Research Data - Dem 4CP'!D18</f>
        <v>2236474.2253660602</v>
      </c>
    </row>
    <row r="10" spans="1:8" x14ac:dyDescent="0.25">
      <c r="A10" s="227">
        <v>2</v>
      </c>
      <c r="B10" s="228" t="s">
        <v>356</v>
      </c>
      <c r="C10" s="21">
        <f t="shared" ref="C10:C20" si="0">+G10</f>
        <v>2915955626.4103169</v>
      </c>
      <c r="D10" s="19">
        <f t="shared" ref="D10:D18" si="1">+C10</f>
        <v>2915955626.4103169</v>
      </c>
      <c r="E10" s="19">
        <f t="shared" ref="E10:E20" si="2">+H10</f>
        <v>515625.82524854271</v>
      </c>
      <c r="F10" s="19">
        <f t="shared" ref="F10:F20" si="3">+E10</f>
        <v>515625.82524854271</v>
      </c>
      <c r="G10" s="21">
        <f>+'Load Research Data -Energy'!J23</f>
        <v>2915955626.4103169</v>
      </c>
      <c r="H10" s="20">
        <f>+'Load Research Data - Dem 4CP'!E18</f>
        <v>515625.82524854271</v>
      </c>
    </row>
    <row r="11" spans="1:8" x14ac:dyDescent="0.25">
      <c r="A11" s="227">
        <v>3</v>
      </c>
      <c r="B11" s="228" t="s">
        <v>357</v>
      </c>
      <c r="C11" s="21">
        <f t="shared" si="0"/>
        <v>3242765959.9604325</v>
      </c>
      <c r="D11" s="19">
        <f t="shared" si="1"/>
        <v>3242765959.9604325</v>
      </c>
      <c r="E11" s="19">
        <f t="shared" si="2"/>
        <v>551893.91878041346</v>
      </c>
      <c r="F11" s="19">
        <f t="shared" si="3"/>
        <v>551893.91878041346</v>
      </c>
      <c r="G11" s="21">
        <f>+'Load Research Data -Energy'!J24+'Load Research Data -Energy'!J26</f>
        <v>3242765959.9604325</v>
      </c>
      <c r="H11" s="20">
        <f>+'Load Research Data - Dem 4CP'!F18+'Load Research Data - Dem 4CP'!H18</f>
        <v>551893.91878041346</v>
      </c>
    </row>
    <row r="12" spans="1:8" x14ac:dyDescent="0.25">
      <c r="A12" s="227">
        <v>4</v>
      </c>
      <c r="B12" s="228" t="s">
        <v>358</v>
      </c>
      <c r="C12" s="21">
        <f t="shared" si="0"/>
        <v>2092770306.5275679</v>
      </c>
      <c r="D12" s="19">
        <f t="shared" si="1"/>
        <v>2092770306.5275679</v>
      </c>
      <c r="E12" s="19">
        <f t="shared" si="2"/>
        <v>289974.91765494185</v>
      </c>
      <c r="F12" s="19">
        <f t="shared" si="3"/>
        <v>289974.91765494185</v>
      </c>
      <c r="G12" s="21">
        <f>+'Load Research Data -Energy'!J25</f>
        <v>2092770306.5275679</v>
      </c>
      <c r="H12" s="20">
        <f>+'Load Research Data - Dem 4CP'!G18</f>
        <v>289974.91765494185</v>
      </c>
    </row>
    <row r="13" spans="1:8" x14ac:dyDescent="0.25">
      <c r="A13" s="227">
        <v>5</v>
      </c>
      <c r="B13" s="229" t="s">
        <v>359</v>
      </c>
      <c r="C13" s="21">
        <f t="shared" si="0"/>
        <v>1456029850.0547175</v>
      </c>
      <c r="D13" s="19">
        <f t="shared" si="1"/>
        <v>1456029850.0547175</v>
      </c>
      <c r="E13" s="19">
        <f t="shared" si="2"/>
        <v>204844.84270926949</v>
      </c>
      <c r="F13" s="19">
        <f t="shared" si="3"/>
        <v>204844.84270926949</v>
      </c>
      <c r="G13" s="21">
        <f>+'Load Research Data -Energy'!J27</f>
        <v>1456029850.0547175</v>
      </c>
      <c r="H13" s="20">
        <f>+'Load Research Data - Dem 4CP'!I18</f>
        <v>204844.84270926949</v>
      </c>
    </row>
    <row r="14" spans="1:8" x14ac:dyDescent="0.25">
      <c r="A14" s="227">
        <v>6</v>
      </c>
      <c r="B14" s="228">
        <v>35</v>
      </c>
      <c r="C14" s="21">
        <f t="shared" si="0"/>
        <v>4597572.0317007378</v>
      </c>
      <c r="D14" s="19">
        <f t="shared" si="1"/>
        <v>4597572.0317007378</v>
      </c>
      <c r="E14" s="19">
        <f t="shared" si="2"/>
        <v>7.0004300675974864</v>
      </c>
      <c r="F14" s="19">
        <f t="shared" si="3"/>
        <v>7.0004300675974864</v>
      </c>
      <c r="G14" s="21">
        <f>+'Load Research Data -Energy'!J28</f>
        <v>4597572.0317007378</v>
      </c>
      <c r="H14" s="20">
        <f>+'Load Research Data - Dem 4CP'!J18</f>
        <v>7.0004300675974864</v>
      </c>
    </row>
    <row r="15" spans="1:8" x14ac:dyDescent="0.25">
      <c r="A15" s="227">
        <v>7</v>
      </c>
      <c r="B15" s="228">
        <v>43</v>
      </c>
      <c r="C15" s="21">
        <f t="shared" si="0"/>
        <v>126890757.18193617</v>
      </c>
      <c r="D15" s="19">
        <f t="shared" si="1"/>
        <v>126890757.18193617</v>
      </c>
      <c r="E15" s="19">
        <v>0</v>
      </c>
      <c r="F15" s="19">
        <f t="shared" si="3"/>
        <v>0</v>
      </c>
      <c r="G15" s="21">
        <f>+'Load Research Data -Energy'!J30</f>
        <v>126890757.18193617</v>
      </c>
      <c r="H15" s="20">
        <f>+'Load Research Data - Dem 4CP'!K18</f>
        <v>43420.982870153392</v>
      </c>
    </row>
    <row r="16" spans="1:8" x14ac:dyDescent="0.25">
      <c r="A16" s="227">
        <v>8</v>
      </c>
      <c r="B16" s="228" t="s">
        <v>330</v>
      </c>
      <c r="C16" s="21">
        <f t="shared" si="0"/>
        <v>350081232.79927498</v>
      </c>
      <c r="D16" s="19">
        <v>0</v>
      </c>
      <c r="E16" s="19">
        <f t="shared" si="2"/>
        <v>52796.147183246518</v>
      </c>
      <c r="F16" s="19">
        <v>0</v>
      </c>
      <c r="G16" s="21">
        <f>+'Load Research Data -Energy'!J44</f>
        <v>350081232.79927498</v>
      </c>
      <c r="H16" s="20">
        <f>+'Load Research Data - Dem 4CP'!L18</f>
        <v>52796.147183246518</v>
      </c>
    </row>
    <row r="17" spans="1:8" x14ac:dyDescent="0.25">
      <c r="A17" s="227">
        <v>9</v>
      </c>
      <c r="B17" s="229" t="s">
        <v>360</v>
      </c>
      <c r="C17" s="21">
        <f t="shared" si="0"/>
        <v>630228919.26662493</v>
      </c>
      <c r="D17" s="19">
        <f t="shared" si="1"/>
        <v>630228919.26662493</v>
      </c>
      <c r="E17" s="19">
        <f>+'Load Research Data - Dem 4CP'!N18</f>
        <v>69577.130407689765</v>
      </c>
      <c r="F17" s="19">
        <f t="shared" si="3"/>
        <v>69577.130407689765</v>
      </c>
      <c r="G17" s="21">
        <f>+'Load Research Data -Energy'!J31+'Load Research Data -Energy'!J32</f>
        <v>630228919.26662493</v>
      </c>
      <c r="H17" s="20">
        <f>+'Load Research Data - Dem 4CP'!M18+'Load Research Data - Dem 4CP'!N18</f>
        <v>79474.453702294268</v>
      </c>
    </row>
    <row r="18" spans="1:8" x14ac:dyDescent="0.25">
      <c r="A18" s="227">
        <v>10</v>
      </c>
      <c r="B18" s="229" t="s">
        <v>355</v>
      </c>
      <c r="C18" s="21">
        <f t="shared" si="0"/>
        <v>75887375.026475519</v>
      </c>
      <c r="D18" s="19">
        <f t="shared" si="1"/>
        <v>75887375.026475519</v>
      </c>
      <c r="E18" s="19">
        <f t="shared" si="2"/>
        <v>8059.2720272472116</v>
      </c>
      <c r="F18" s="19">
        <f t="shared" si="3"/>
        <v>8059.2720272472116</v>
      </c>
      <c r="G18" s="21">
        <f>+'Load Research Data -Energy'!J34</f>
        <v>75887375.026475519</v>
      </c>
      <c r="H18" s="20">
        <f>+'Load Research Data - Dem 4CP'!O18</f>
        <v>8059.2720272472116</v>
      </c>
    </row>
    <row r="19" spans="1:8" x14ac:dyDescent="0.25">
      <c r="A19" s="227">
        <v>11</v>
      </c>
      <c r="B19" s="229" t="s">
        <v>354</v>
      </c>
      <c r="C19" s="21">
        <f t="shared" si="0"/>
        <v>2066150549.7926297</v>
      </c>
      <c r="D19" s="19">
        <v>0</v>
      </c>
      <c r="E19" s="19">
        <f t="shared" si="2"/>
        <v>251839.84707747737</v>
      </c>
      <c r="F19" s="19">
        <v>0</v>
      </c>
      <c r="G19" s="21">
        <f>+'Load Research Data -Energy'!J41+'Load Research Data -Energy'!J42+'Load Research Data -Energy'!J43</f>
        <v>2066150549.7926297</v>
      </c>
      <c r="H19" s="20">
        <f>+'Load Research Data - Dem 4CP'!R18</f>
        <v>251839.84707747737</v>
      </c>
    </row>
    <row r="20" spans="1:8" x14ac:dyDescent="0.25">
      <c r="A20" s="227">
        <v>14</v>
      </c>
      <c r="B20" s="228" t="s">
        <v>6</v>
      </c>
      <c r="C20" s="21">
        <f t="shared" si="0"/>
        <v>7427003.1359829875</v>
      </c>
      <c r="D20" s="19">
        <f t="shared" ref="D20" si="4">+C20</f>
        <v>7427003.1359829875</v>
      </c>
      <c r="E20" s="19">
        <f t="shared" si="2"/>
        <v>1428.4140277629981</v>
      </c>
      <c r="F20" s="19">
        <f t="shared" si="3"/>
        <v>1428.4140277629981</v>
      </c>
      <c r="G20" s="21">
        <f>+'Load Research Data -Energy'!J33</f>
        <v>7427003.1359829875</v>
      </c>
      <c r="H20" s="20">
        <f>+'Load Research Data - Dem 4CP'!P18</f>
        <v>1428.4140277629981</v>
      </c>
    </row>
    <row r="21" spans="1:8" x14ac:dyDescent="0.25">
      <c r="A21" s="227">
        <v>15</v>
      </c>
      <c r="B21" s="230"/>
      <c r="C21" s="21"/>
      <c r="D21" s="19"/>
      <c r="E21" s="19"/>
      <c r="F21" s="19"/>
      <c r="G21" s="21"/>
      <c r="H21" s="20"/>
    </row>
    <row r="22" spans="1:8" x14ac:dyDescent="0.25">
      <c r="A22" s="227">
        <v>16</v>
      </c>
      <c r="B22" s="230" t="s">
        <v>4</v>
      </c>
      <c r="C22" s="21">
        <f>SUM(C9:C20)</f>
        <v>24444937399.34943</v>
      </c>
      <c r="D22" s="19">
        <f>SUM(D9:D21)</f>
        <v>22028705616.757526</v>
      </c>
      <c r="E22" s="19">
        <f t="shared" ref="E22:H22" si="5">SUM(E9:E20)</f>
        <v>4182521.5409127185</v>
      </c>
      <c r="F22" s="19">
        <f t="shared" si="5"/>
        <v>3877885.5466519948</v>
      </c>
      <c r="G22" s="21">
        <f t="shared" si="5"/>
        <v>24444937399.34943</v>
      </c>
      <c r="H22" s="20">
        <f t="shared" si="5"/>
        <v>4235839.8470774768</v>
      </c>
    </row>
    <row r="23" spans="1:8" x14ac:dyDescent="0.25">
      <c r="A23" s="227">
        <v>17</v>
      </c>
      <c r="B23" s="230" t="s">
        <v>269</v>
      </c>
      <c r="C23" s="21">
        <f>+'Load Research Data -Energy'!J36+'Load Research Data -Energy'!J46</f>
        <v>24444937399.34943</v>
      </c>
      <c r="D23" s="19">
        <f>+'Load Research Data -Energy'!J36</f>
        <v>22028705616.757526</v>
      </c>
      <c r="E23" s="19">
        <f>+'Load Research Data - Dem 4CP'!Q18+'Load Research Data - Dem 4CP'!R18-'Load Research Data - Dem 4CP'!K18-'Load Research Data - Dem 4CP'!M18</f>
        <v>4182521.5409127185</v>
      </c>
      <c r="F23" s="19">
        <f>+'Load Research Data - Dem 4CP'!Q18-'Load Research Data - Dem 4CP'!K18-'Load Research Data - Dem 4CP'!L18-'Load Research Data - Dem 4CP'!M18</f>
        <v>3877885.5466519948</v>
      </c>
      <c r="G23" s="21">
        <f>+'Load Research Data -Energy'!J36+'Load Research Data -Energy'!J46</f>
        <v>24444937399.34943</v>
      </c>
      <c r="H23" s="20">
        <f>+'Load Research Data - Dem 4CP'!Q18+'Load Research Data - Dem 4CP'!R18</f>
        <v>4235839.8470774768</v>
      </c>
    </row>
    <row r="24" spans="1:8" x14ac:dyDescent="0.25">
      <c r="A24" s="227">
        <v>18</v>
      </c>
      <c r="B24" s="230" t="s">
        <v>269</v>
      </c>
      <c r="C24" s="21">
        <f>+C22-C23</f>
        <v>0</v>
      </c>
      <c r="D24" s="19">
        <f>+D22-D23</f>
        <v>0</v>
      </c>
      <c r="E24" s="19">
        <f t="shared" ref="E24:H24" si="6">+E22-E23</f>
        <v>0</v>
      </c>
      <c r="F24" s="19">
        <f t="shared" si="6"/>
        <v>0</v>
      </c>
      <c r="G24" s="21">
        <f t="shared" si="6"/>
        <v>0</v>
      </c>
      <c r="H24" s="20">
        <f t="shared" si="6"/>
        <v>0</v>
      </c>
    </row>
    <row r="25" spans="1:8" ht="15.75" thickBot="1" x14ac:dyDescent="0.3">
      <c r="A25" s="22"/>
      <c r="B25" s="23"/>
      <c r="C25" s="22"/>
      <c r="D25" s="23"/>
      <c r="E25" s="23"/>
      <c r="F25" s="23"/>
      <c r="G25" s="22"/>
      <c r="H25" s="24"/>
    </row>
    <row r="26" spans="1:8" x14ac:dyDescent="0.25">
      <c r="A26" s="25"/>
      <c r="B26" s="25"/>
      <c r="C26" s="25"/>
      <c r="D26" s="25"/>
      <c r="E26" s="25"/>
      <c r="F26" s="25"/>
      <c r="G26" s="25"/>
      <c r="H26" s="25"/>
    </row>
    <row r="28" spans="1:8" x14ac:dyDescent="0.25">
      <c r="C28" s="269"/>
      <c r="D28" s="269"/>
      <c r="E28" s="269"/>
      <c r="F28" s="269"/>
      <c r="G28" s="269"/>
      <c r="H28" s="269"/>
    </row>
  </sheetData>
  <mergeCells count="7">
    <mergeCell ref="G7:H7"/>
    <mergeCell ref="A1:H1"/>
    <mergeCell ref="A2:H2"/>
    <mergeCell ref="A3:H3"/>
    <mergeCell ref="A4:H4"/>
    <mergeCell ref="C6:F6"/>
    <mergeCell ref="G6:H6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/>
  </sheetViews>
  <sheetFormatPr defaultColWidth="8.85546875" defaultRowHeight="15" x14ac:dyDescent="0.25"/>
  <cols>
    <col min="1" max="1" width="18.85546875" style="256" bestFit="1" customWidth="1"/>
    <col min="2" max="2" width="10.7109375" style="256" bestFit="1" customWidth="1"/>
    <col min="3" max="3" width="5.5703125" style="256" bestFit="1" customWidth="1"/>
    <col min="4" max="4" width="10.5703125" style="256" bestFit="1" customWidth="1"/>
    <col min="5" max="7" width="9" style="256" bestFit="1" customWidth="1"/>
    <col min="8" max="8" width="7" style="256" bestFit="1" customWidth="1"/>
    <col min="9" max="9" width="9" style="256" bestFit="1" customWidth="1"/>
    <col min="10" max="10" width="7" style="256" bestFit="1" customWidth="1"/>
    <col min="11" max="15" width="8" style="256" bestFit="1" customWidth="1"/>
    <col min="16" max="16" width="7" style="256" bestFit="1" customWidth="1"/>
    <col min="17" max="17" width="10.5703125" style="256" bestFit="1" customWidth="1"/>
    <col min="18" max="18" width="9" style="256" bestFit="1" customWidth="1"/>
    <col min="19" max="19" width="10" style="256" bestFit="1" customWidth="1"/>
    <col min="20" max="16384" width="8.85546875" style="256"/>
  </cols>
  <sheetData>
    <row r="1" spans="1:18" x14ac:dyDescent="0.25">
      <c r="A1" s="256" t="s">
        <v>410</v>
      </c>
    </row>
    <row r="2" spans="1:18" x14ac:dyDescent="0.25">
      <c r="A2" s="256" t="s">
        <v>411</v>
      </c>
    </row>
    <row r="4" spans="1:18" x14ac:dyDescent="0.25">
      <c r="A4" s="256" t="s">
        <v>412</v>
      </c>
      <c r="B4" s="256" t="s">
        <v>413</v>
      </c>
      <c r="C4" s="256" t="s">
        <v>414</v>
      </c>
      <c r="D4" s="256" t="s">
        <v>415</v>
      </c>
      <c r="E4" s="256" t="s">
        <v>416</v>
      </c>
      <c r="F4" s="256" t="s">
        <v>417</v>
      </c>
      <c r="G4" s="256" t="s">
        <v>418</v>
      </c>
      <c r="H4" s="256" t="s">
        <v>419</v>
      </c>
      <c r="I4" s="256" t="s">
        <v>420</v>
      </c>
      <c r="J4" s="256" t="s">
        <v>421</v>
      </c>
      <c r="K4" s="256" t="s">
        <v>422</v>
      </c>
      <c r="L4" s="256" t="s">
        <v>423</v>
      </c>
      <c r="M4" s="256" t="s">
        <v>424</v>
      </c>
      <c r="N4" s="256" t="s">
        <v>425</v>
      </c>
      <c r="O4" s="256" t="s">
        <v>5</v>
      </c>
      <c r="P4" s="256" t="s">
        <v>426</v>
      </c>
      <c r="Q4" s="256" t="s">
        <v>427</v>
      </c>
      <c r="R4" s="256" t="s">
        <v>428</v>
      </c>
    </row>
    <row r="5" spans="1:18" x14ac:dyDescent="0.25">
      <c r="A5" s="277">
        <v>43101</v>
      </c>
      <c r="B5" s="278">
        <v>43102</v>
      </c>
      <c r="C5" s="256" t="s">
        <v>429</v>
      </c>
      <c r="D5" s="279">
        <v>2451658.627491157</v>
      </c>
      <c r="E5" s="279">
        <v>471173.08485940099</v>
      </c>
      <c r="F5" s="279">
        <v>438464.57535427733</v>
      </c>
      <c r="G5" s="279">
        <v>238160.17031604124</v>
      </c>
      <c r="H5" s="279">
        <v>456.83185222461861</v>
      </c>
      <c r="I5" s="279">
        <v>193014.15414325823</v>
      </c>
      <c r="J5" s="279">
        <v>8.0893858558904288</v>
      </c>
      <c r="K5" s="279">
        <v>19555.05291473525</v>
      </c>
      <c r="L5" s="279">
        <v>52055.058981791277</v>
      </c>
      <c r="M5" s="279">
        <v>6439.8343590015247</v>
      </c>
      <c r="N5" s="279">
        <v>64000.526689762642</v>
      </c>
      <c r="O5" s="279">
        <v>17544.428690664128</v>
      </c>
      <c r="P5" s="279">
        <v>1469.5649618292723</v>
      </c>
      <c r="Q5" s="279">
        <f>SUM(D5:P5)</f>
        <v>3953999.9999999995</v>
      </c>
      <c r="R5" s="279">
        <v>246981.3839242247</v>
      </c>
    </row>
    <row r="6" spans="1:18" x14ac:dyDescent="0.25">
      <c r="A6" s="277">
        <v>43132</v>
      </c>
      <c r="B6" s="278">
        <v>43154</v>
      </c>
      <c r="C6" s="256" t="s">
        <v>430</v>
      </c>
      <c r="D6" s="279">
        <v>2343427.6222602087</v>
      </c>
      <c r="E6" s="279">
        <v>532239.13259806007</v>
      </c>
      <c r="F6" s="279">
        <v>577208.51150491962</v>
      </c>
      <c r="G6" s="279">
        <v>337597.36057761702</v>
      </c>
      <c r="H6" s="279">
        <v>382.37580548877025</v>
      </c>
      <c r="I6" s="279">
        <v>214695.13704874928</v>
      </c>
      <c r="J6" s="279">
        <v>6.2226045045310983</v>
      </c>
      <c r="K6" s="279">
        <v>52645.553975916373</v>
      </c>
      <c r="L6" s="279">
        <v>61961.575252897703</v>
      </c>
      <c r="M6" s="279">
        <v>14276.874772038684</v>
      </c>
      <c r="N6" s="279">
        <v>69414.016391389465</v>
      </c>
      <c r="O6" s="279">
        <v>556.08839544154216</v>
      </c>
      <c r="P6" s="279">
        <v>1589.5288127673646</v>
      </c>
      <c r="Q6" s="279">
        <f t="shared" ref="Q6:Q16" si="0">SUM(D6:P6)</f>
        <v>4205999.9999999991</v>
      </c>
      <c r="R6" s="279">
        <v>251302.72100123111</v>
      </c>
    </row>
    <row r="7" spans="1:18" x14ac:dyDescent="0.25">
      <c r="A7" s="277">
        <v>43160</v>
      </c>
      <c r="B7" s="278">
        <v>43166</v>
      </c>
      <c r="C7" s="256" t="s">
        <v>430</v>
      </c>
      <c r="D7" s="279">
        <v>2008111.3276105835</v>
      </c>
      <c r="E7" s="279">
        <v>492291.24856311874</v>
      </c>
      <c r="F7" s="279">
        <v>526061.12433508027</v>
      </c>
      <c r="G7" s="279">
        <v>266037.83728892903</v>
      </c>
      <c r="H7" s="279">
        <v>462.95685566451311</v>
      </c>
      <c r="I7" s="279">
        <v>202111.59800062128</v>
      </c>
      <c r="J7" s="279">
        <v>6.8448649549842084</v>
      </c>
      <c r="K7" s="279">
        <v>42139.97802975103</v>
      </c>
      <c r="L7" s="279">
        <v>57604.221243931002</v>
      </c>
      <c r="M7" s="279">
        <v>9619.0970854188818</v>
      </c>
      <c r="N7" s="279">
        <v>68598.047546642905</v>
      </c>
      <c r="O7" s="279">
        <v>556.08839544154216</v>
      </c>
      <c r="P7" s="279">
        <v>1399.6301798619861</v>
      </c>
      <c r="Q7" s="279">
        <f t="shared" si="0"/>
        <v>3675000.0000000005</v>
      </c>
      <c r="R7" s="279">
        <v>246381.07596868131</v>
      </c>
    </row>
    <row r="8" spans="1:18" x14ac:dyDescent="0.25">
      <c r="A8" s="277">
        <v>43191</v>
      </c>
      <c r="B8" s="278">
        <v>43192</v>
      </c>
      <c r="C8" s="256" t="s">
        <v>430</v>
      </c>
      <c r="D8" s="279">
        <v>1752781.0204252896</v>
      </c>
      <c r="E8" s="279">
        <v>465136.24136914639</v>
      </c>
      <c r="F8" s="279">
        <v>528042.23916680645</v>
      </c>
      <c r="G8" s="279">
        <v>280934.64731822733</v>
      </c>
      <c r="H8" s="279">
        <v>464.74255771112968</v>
      </c>
      <c r="I8" s="279">
        <v>207665.99904258319</v>
      </c>
      <c r="J8" s="279">
        <v>7.4671254054373186</v>
      </c>
      <c r="K8" s="279">
        <v>41018.785779592225</v>
      </c>
      <c r="L8" s="279">
        <v>54789.720135451149</v>
      </c>
      <c r="M8" s="279">
        <v>8922.1941444571348</v>
      </c>
      <c r="N8" s="279">
        <v>71484.943808789132</v>
      </c>
      <c r="O8" s="279">
        <v>556.08839544154216</v>
      </c>
      <c r="P8" s="279">
        <v>1195.9107310993754</v>
      </c>
      <c r="Q8" s="279">
        <f t="shared" si="0"/>
        <v>3412999.9999999995</v>
      </c>
      <c r="R8" s="279">
        <v>248363.95589107269</v>
      </c>
    </row>
    <row r="9" spans="1:18" x14ac:dyDescent="0.25">
      <c r="A9" s="277">
        <v>43221</v>
      </c>
      <c r="B9" s="278">
        <v>43234</v>
      </c>
      <c r="C9" s="256" t="s">
        <v>429</v>
      </c>
      <c r="D9" s="279">
        <v>1378717.395216984</v>
      </c>
      <c r="E9" s="279">
        <v>395968.69264537859</v>
      </c>
      <c r="F9" s="279">
        <v>481009.72731474403</v>
      </c>
      <c r="G9" s="279">
        <v>318699.87351684464</v>
      </c>
      <c r="H9" s="279">
        <v>3122.0778422315298</v>
      </c>
      <c r="I9" s="279">
        <v>196914.03478317583</v>
      </c>
      <c r="J9" s="279">
        <v>1006.1951483826786</v>
      </c>
      <c r="K9" s="279">
        <v>11913.885300986569</v>
      </c>
      <c r="L9" s="279">
        <v>52739.806203819906</v>
      </c>
      <c r="M9" s="279">
        <v>5103.8721236086249</v>
      </c>
      <c r="N9" s="279">
        <v>71799.657838975429</v>
      </c>
      <c r="O9" s="279">
        <v>556.08839544154216</v>
      </c>
      <c r="P9" s="279">
        <v>448.69366942663618</v>
      </c>
      <c r="Q9" s="279">
        <f t="shared" si="0"/>
        <v>2918000</v>
      </c>
      <c r="R9" s="279">
        <v>183833.6142165793</v>
      </c>
    </row>
    <row r="10" spans="1:18" x14ac:dyDescent="0.25">
      <c r="A10" s="277">
        <v>43252</v>
      </c>
      <c r="B10" s="278">
        <v>43271</v>
      </c>
      <c r="C10" s="256" t="s">
        <v>429</v>
      </c>
      <c r="D10" s="279">
        <v>1692502.8158108443</v>
      </c>
      <c r="E10" s="279">
        <v>366929.83622786414</v>
      </c>
      <c r="F10" s="279">
        <v>428936.81992204918</v>
      </c>
      <c r="G10" s="279">
        <v>311833.03431395942</v>
      </c>
      <c r="H10" s="279">
        <v>4239.9594160984116</v>
      </c>
      <c r="I10" s="279">
        <v>200794.8737103228</v>
      </c>
      <c r="J10" s="279">
        <v>1001.217064779054</v>
      </c>
      <c r="K10" s="279">
        <v>9340.5828198340023</v>
      </c>
      <c r="L10" s="279">
        <v>55378.810934293055</v>
      </c>
      <c r="M10" s="279">
        <v>15966.281844442419</v>
      </c>
      <c r="N10" s="279">
        <v>73143.018176882964</v>
      </c>
      <c r="O10" s="279">
        <v>556.08839544154216</v>
      </c>
      <c r="P10" s="279">
        <v>376.66136318950726</v>
      </c>
      <c r="Q10" s="279">
        <f t="shared" si="0"/>
        <v>3161000.0000000005</v>
      </c>
      <c r="R10" s="279">
        <v>259632.62403940671</v>
      </c>
    </row>
    <row r="11" spans="1:18" x14ac:dyDescent="0.25">
      <c r="A11" s="277">
        <v>43282</v>
      </c>
      <c r="B11" s="278">
        <v>43311</v>
      </c>
      <c r="C11" s="256" t="s">
        <v>429</v>
      </c>
      <c r="D11" s="279">
        <v>1818838.1549716657</v>
      </c>
      <c r="E11" s="279">
        <v>397272.08625105734</v>
      </c>
      <c r="F11" s="279">
        <v>494405.52119706746</v>
      </c>
      <c r="G11" s="279">
        <v>346920.79413661058</v>
      </c>
      <c r="H11" s="279">
        <v>6257.2842516803221</v>
      </c>
      <c r="I11" s="279">
        <v>195859.14025093245</v>
      </c>
      <c r="J11" s="279">
        <v>1031.0855664008031</v>
      </c>
      <c r="K11" s="279">
        <v>8033.2059016026396</v>
      </c>
      <c r="L11" s="279">
        <v>54611.515031562725</v>
      </c>
      <c r="M11" s="279">
        <v>11043.046409330593</v>
      </c>
      <c r="N11" s="279">
        <v>71784.367927799613</v>
      </c>
      <c r="O11" s="279">
        <v>556.08839544154216</v>
      </c>
      <c r="P11" s="279">
        <v>387.70970884848151</v>
      </c>
      <c r="Q11" s="279">
        <f t="shared" si="0"/>
        <v>3407000</v>
      </c>
      <c r="R11" s="279">
        <v>257680.47075978349</v>
      </c>
    </row>
    <row r="12" spans="1:18" x14ac:dyDescent="0.25">
      <c r="A12" s="277">
        <v>43313</v>
      </c>
      <c r="B12" s="278">
        <v>43320</v>
      </c>
      <c r="C12" s="256" t="s">
        <v>429</v>
      </c>
      <c r="D12" s="279">
        <v>1828728.2047145315</v>
      </c>
      <c r="E12" s="279">
        <v>420739.90609414969</v>
      </c>
      <c r="F12" s="279">
        <v>484734.95603208034</v>
      </c>
      <c r="G12" s="279">
        <v>341196.00308751146</v>
      </c>
      <c r="H12" s="279">
        <v>5821.9154766956208</v>
      </c>
      <c r="I12" s="279">
        <v>195865.66514143188</v>
      </c>
      <c r="J12" s="279">
        <v>993.12767892316333</v>
      </c>
      <c r="K12" s="279">
        <v>8345.6760093930188</v>
      </c>
      <c r="L12" s="279">
        <v>52821.078358531355</v>
      </c>
      <c r="M12" s="279">
        <v>9217.4186691644773</v>
      </c>
      <c r="N12" s="279">
        <v>73606.725627516527</v>
      </c>
      <c r="O12" s="279">
        <v>556.08839544154216</v>
      </c>
      <c r="P12" s="279">
        <v>373.23471462986294</v>
      </c>
      <c r="Q12" s="279">
        <f t="shared" si="0"/>
        <v>3423000.0000000005</v>
      </c>
      <c r="R12" s="279">
        <v>260392.15406710896</v>
      </c>
    </row>
    <row r="13" spans="1:18" x14ac:dyDescent="0.25">
      <c r="A13" s="277">
        <v>43344</v>
      </c>
      <c r="B13" s="278">
        <v>43349</v>
      </c>
      <c r="C13" s="256" t="s">
        <v>429</v>
      </c>
      <c r="D13" s="279">
        <v>1364998.1957095929</v>
      </c>
      <c r="E13" s="279">
        <v>373206.04483403865</v>
      </c>
      <c r="F13" s="279">
        <v>433343.58555821673</v>
      </c>
      <c r="G13" s="279">
        <v>305221.57078587112</v>
      </c>
      <c r="H13" s="279">
        <v>3722.0862203853967</v>
      </c>
      <c r="I13" s="279">
        <v>203805.62614141303</v>
      </c>
      <c r="J13" s="279">
        <v>1279.3674861315938</v>
      </c>
      <c r="K13" s="279">
        <v>9626.8960996480964</v>
      </c>
      <c r="L13" s="279">
        <v>47766.035437212267</v>
      </c>
      <c r="M13" s="279">
        <v>13746.702426444421</v>
      </c>
      <c r="N13" s="279">
        <v>70300.009792391793</v>
      </c>
      <c r="O13" s="279">
        <v>556.08839544154216</v>
      </c>
      <c r="P13" s="279">
        <v>427.7911132128059</v>
      </c>
      <c r="Q13" s="279">
        <f t="shared" si="0"/>
        <v>2828000</v>
      </c>
      <c r="R13" s="279">
        <v>249755.20128844332</v>
      </c>
    </row>
    <row r="14" spans="1:18" x14ac:dyDescent="0.25">
      <c r="A14" s="277">
        <v>43374</v>
      </c>
      <c r="B14" s="278">
        <v>43395</v>
      </c>
      <c r="C14" s="256" t="s">
        <v>430</v>
      </c>
      <c r="D14" s="279">
        <v>1496843.050387464</v>
      </c>
      <c r="E14" s="279">
        <v>433591.00624138175</v>
      </c>
      <c r="F14" s="279">
        <v>475343.30139727745</v>
      </c>
      <c r="G14" s="279">
        <v>275861.27861203719</v>
      </c>
      <c r="H14" s="279">
        <v>256.26275914950008</v>
      </c>
      <c r="I14" s="279">
        <v>193220.86924616757</v>
      </c>
      <c r="J14" s="279">
        <v>3.7335627027186593</v>
      </c>
      <c r="K14" s="279">
        <v>36987.071644323245</v>
      </c>
      <c r="L14" s="279">
        <v>44680.007910175977</v>
      </c>
      <c r="M14" s="279">
        <v>5062.2963664050121</v>
      </c>
      <c r="N14" s="279">
        <v>68232.436363230212</v>
      </c>
      <c r="O14" s="279">
        <v>9050.2585430528325</v>
      </c>
      <c r="P14" s="279">
        <v>868.42696663252082</v>
      </c>
      <c r="Q14" s="279">
        <f t="shared" si="0"/>
        <v>3040000.0000000005</v>
      </c>
      <c r="R14" s="279">
        <v>251758.17259761583</v>
      </c>
    </row>
    <row r="15" spans="1:18" x14ac:dyDescent="0.25">
      <c r="A15" s="277">
        <v>43405</v>
      </c>
      <c r="B15" s="278">
        <v>43423</v>
      </c>
      <c r="C15" s="256" t="s">
        <v>430</v>
      </c>
      <c r="D15" s="279">
        <v>1933373.3384301127</v>
      </c>
      <c r="E15" s="279">
        <v>514088.62283850287</v>
      </c>
      <c r="F15" s="279">
        <v>544794.37035335705</v>
      </c>
      <c r="G15" s="279">
        <v>277229.6342685406</v>
      </c>
      <c r="H15" s="279">
        <v>660.31719537533365</v>
      </c>
      <c r="I15" s="279">
        <v>193183.44278496929</v>
      </c>
      <c r="J15" s="279">
        <v>6.8448649549842084</v>
      </c>
      <c r="K15" s="279">
        <v>48160.552265055245</v>
      </c>
      <c r="L15" s="279">
        <v>47468.220885865114</v>
      </c>
      <c r="M15" s="279">
        <v>7442.1725211630765</v>
      </c>
      <c r="N15" s="279">
        <v>72482.046340634697</v>
      </c>
      <c r="O15" s="279">
        <v>3953.7564544860588</v>
      </c>
      <c r="P15" s="279">
        <v>1156.6807969832053</v>
      </c>
      <c r="Q15" s="279">
        <f t="shared" si="0"/>
        <v>3643999.9999999995</v>
      </c>
      <c r="R15" s="279">
        <v>253325.03854828654</v>
      </c>
    </row>
    <row r="16" spans="1:18" x14ac:dyDescent="0.25">
      <c r="A16" s="277">
        <v>43435</v>
      </c>
      <c r="B16" s="278">
        <v>43440</v>
      </c>
      <c r="C16" s="256" t="s">
        <v>430</v>
      </c>
      <c r="D16" s="279">
        <v>2217437.3132827613</v>
      </c>
      <c r="E16" s="279">
        <v>545002.46069820691</v>
      </c>
      <c r="F16" s="279">
        <v>645263.90588749177</v>
      </c>
      <c r="G16" s="279">
        <v>306912.50545756845</v>
      </c>
      <c r="H16" s="279">
        <v>344.78716851985956</v>
      </c>
      <c r="I16" s="279">
        <v>218486.63686010128</v>
      </c>
      <c r="J16" s="279">
        <v>6.8448649549842084</v>
      </c>
      <c r="K16" s="279">
        <v>53322.772324906691</v>
      </c>
      <c r="L16" s="279">
        <v>49699.733612431985</v>
      </c>
      <c r="M16" s="279">
        <v>11430.411526214701</v>
      </c>
      <c r="N16" s="279">
        <v>72411.932208972255</v>
      </c>
      <c r="O16" s="279">
        <v>10182.81456839712</v>
      </c>
      <c r="P16" s="279">
        <v>1497.8815394721507</v>
      </c>
      <c r="Q16" s="279">
        <f t="shared" si="0"/>
        <v>4132000</v>
      </c>
      <c r="R16" s="279">
        <v>255750.24483616717</v>
      </c>
    </row>
    <row r="18" spans="1:18" x14ac:dyDescent="0.25">
      <c r="A18" s="277" t="s">
        <v>431</v>
      </c>
      <c r="D18" s="269">
        <f>AVERAGE(D5:D6,D15:D16)</f>
        <v>2236474.2253660602</v>
      </c>
      <c r="E18" s="269">
        <f t="shared" ref="E18:R18" si="1">AVERAGE(E5:E6,E15:E16)</f>
        <v>515625.82524854271</v>
      </c>
      <c r="F18" s="269">
        <f t="shared" si="1"/>
        <v>551432.84077501134</v>
      </c>
      <c r="G18" s="269">
        <f t="shared" si="1"/>
        <v>289974.91765494185</v>
      </c>
      <c r="H18" s="269">
        <f t="shared" si="1"/>
        <v>461.07800540214549</v>
      </c>
      <c r="I18" s="269">
        <f t="shared" si="1"/>
        <v>204844.84270926949</v>
      </c>
      <c r="J18" s="269">
        <f t="shared" si="1"/>
        <v>7.0004300675974864</v>
      </c>
      <c r="K18" s="269">
        <f t="shared" si="1"/>
        <v>43420.982870153392</v>
      </c>
      <c r="L18" s="269">
        <f t="shared" si="1"/>
        <v>52796.147183246518</v>
      </c>
      <c r="M18" s="269">
        <f t="shared" si="1"/>
        <v>9897.3232946044973</v>
      </c>
      <c r="N18" s="269">
        <f t="shared" si="1"/>
        <v>69577.130407689765</v>
      </c>
      <c r="O18" s="269">
        <f t="shared" si="1"/>
        <v>8059.2720272472116</v>
      </c>
      <c r="P18" s="269">
        <f t="shared" si="1"/>
        <v>1428.4140277629981</v>
      </c>
      <c r="Q18" s="269">
        <f t="shared" si="1"/>
        <v>3983999.9999999995</v>
      </c>
      <c r="R18" s="269">
        <f t="shared" si="1"/>
        <v>251839.84707747737</v>
      </c>
    </row>
    <row r="20" spans="1:18" x14ac:dyDescent="0.25">
      <c r="A20" s="277" t="s">
        <v>432</v>
      </c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79"/>
      <c r="R20" s="269"/>
    </row>
  </sheetData>
  <printOptions horizontalCentered="1"/>
  <pageMargins left="0.25" right="0.25" top="0.75" bottom="0.75" header="0.3" footer="0.3"/>
  <pageSetup scale="86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zoomScale="80" zoomScaleNormal="80" workbookViewId="0"/>
  </sheetViews>
  <sheetFormatPr defaultColWidth="8.85546875" defaultRowHeight="15" x14ac:dyDescent="0.25"/>
  <cols>
    <col min="1" max="1" width="159.140625" style="256" bestFit="1" customWidth="1"/>
    <col min="2" max="2" width="14.85546875" style="256" bestFit="1" customWidth="1"/>
    <col min="3" max="3" width="14.5703125" style="256" bestFit="1" customWidth="1"/>
    <col min="4" max="4" width="18.7109375" style="256" bestFit="1" customWidth="1"/>
    <col min="5" max="7" width="14.5703125" style="256" bestFit="1" customWidth="1"/>
    <col min="8" max="8" width="32.42578125" style="256" bestFit="1" customWidth="1"/>
    <col min="9" max="9" width="20.140625" style="256" bestFit="1" customWidth="1"/>
    <col min="10" max="10" width="22.28515625" style="256" bestFit="1" customWidth="1"/>
    <col min="11" max="11" width="16.28515625" style="256" bestFit="1" customWidth="1"/>
    <col min="12" max="12" width="22.7109375" style="256" bestFit="1" customWidth="1"/>
    <col min="13" max="13" width="8.85546875" style="256"/>
    <col min="14" max="15" width="11.28515625" style="256" bestFit="1" customWidth="1"/>
    <col min="16" max="16" width="10.28515625" style="256" bestFit="1" customWidth="1"/>
    <col min="17" max="16384" width="8.85546875" style="256"/>
  </cols>
  <sheetData>
    <row r="1" spans="1:10" x14ac:dyDescent="0.25">
      <c r="A1" s="132"/>
      <c r="B1" s="62"/>
      <c r="C1" s="62"/>
      <c r="D1" s="62"/>
      <c r="E1" s="62"/>
      <c r="F1" s="62"/>
      <c r="G1" s="62"/>
      <c r="H1" s="62"/>
      <c r="I1" s="62"/>
      <c r="J1" s="62"/>
    </row>
    <row r="2" spans="1:10" x14ac:dyDescent="0.25">
      <c r="A2" s="132"/>
      <c r="B2" s="62"/>
      <c r="C2" s="62"/>
      <c r="D2" s="62"/>
      <c r="E2" s="62"/>
      <c r="F2" s="62"/>
      <c r="G2" s="62"/>
      <c r="H2" s="62"/>
      <c r="I2" s="62"/>
      <c r="J2" s="62"/>
    </row>
    <row r="3" spans="1:10" ht="15.75" x14ac:dyDescent="0.25">
      <c r="A3" s="133" t="s">
        <v>438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5.75" x14ac:dyDescent="0.25">
      <c r="A4" s="133" t="s">
        <v>439</v>
      </c>
      <c r="B4" s="133"/>
      <c r="C4" s="133"/>
      <c r="D4" s="133"/>
      <c r="E4" s="133"/>
      <c r="F4" s="133"/>
      <c r="G4" s="133"/>
      <c r="H4" s="133"/>
      <c r="I4" s="133"/>
      <c r="J4" s="133"/>
    </row>
    <row r="5" spans="1:10" ht="15.75" x14ac:dyDescent="0.25">
      <c r="A5" s="134"/>
      <c r="B5" s="134"/>
      <c r="C5" s="134"/>
      <c r="D5" s="134"/>
      <c r="E5" s="134"/>
      <c r="F5" s="134"/>
      <c r="G5" s="134"/>
      <c r="H5" s="134"/>
      <c r="I5" s="133"/>
      <c r="J5" s="133"/>
    </row>
    <row r="6" spans="1:10" ht="15.75" x14ac:dyDescent="0.25">
      <c r="A6" s="134"/>
      <c r="B6" s="134"/>
      <c r="C6" s="134"/>
      <c r="D6" s="134"/>
      <c r="E6" s="134"/>
      <c r="F6" s="134"/>
      <c r="G6" s="134"/>
      <c r="H6" s="134"/>
      <c r="I6" s="133"/>
      <c r="J6" s="133"/>
    </row>
    <row r="7" spans="1:10" ht="16.5" thickBot="1" x14ac:dyDescent="0.3">
      <c r="A7" s="134"/>
      <c r="B7" s="134"/>
      <c r="C7" s="134"/>
      <c r="D7" s="134"/>
      <c r="E7" s="134"/>
      <c r="F7" s="134"/>
      <c r="G7" s="134"/>
      <c r="H7" s="134"/>
      <c r="I7" s="133"/>
      <c r="J7" s="133"/>
    </row>
    <row r="8" spans="1:10" ht="15.75" x14ac:dyDescent="0.25">
      <c r="A8" s="135" t="s">
        <v>440</v>
      </c>
      <c r="B8" s="136">
        <v>22233671792</v>
      </c>
      <c r="C8" s="134"/>
      <c r="D8" s="134"/>
      <c r="E8" s="134"/>
      <c r="F8" s="134"/>
      <c r="G8" s="134"/>
      <c r="H8" s="137" t="s">
        <v>443</v>
      </c>
      <c r="I8" s="138"/>
      <c r="J8" s="139">
        <v>20367606876.28373</v>
      </c>
    </row>
    <row r="9" spans="1:10" ht="15.75" x14ac:dyDescent="0.25">
      <c r="A9" s="140" t="s">
        <v>441</v>
      </c>
      <c r="B9" s="141">
        <v>145584174.35660648</v>
      </c>
      <c r="C9" s="134"/>
      <c r="D9" s="134"/>
      <c r="E9" s="134"/>
      <c r="F9" s="134"/>
      <c r="G9" s="134"/>
      <c r="H9" s="142" t="s">
        <v>444</v>
      </c>
      <c r="I9" s="143"/>
      <c r="J9" s="144">
        <v>135700317.96310043</v>
      </c>
    </row>
    <row r="10" spans="1:10" ht="16.5" thickBot="1" x14ac:dyDescent="0.3">
      <c r="A10" s="145" t="s">
        <v>442</v>
      </c>
      <c r="B10" s="146">
        <v>22379255966.356606</v>
      </c>
      <c r="C10" s="134"/>
      <c r="D10" s="134"/>
      <c r="E10" s="134"/>
      <c r="F10" s="134"/>
      <c r="G10" s="134"/>
      <c r="H10" s="147" t="s">
        <v>445</v>
      </c>
      <c r="I10" s="148"/>
      <c r="J10" s="149">
        <v>20503307194.24683</v>
      </c>
    </row>
    <row r="11" spans="1:10" ht="15.75" x14ac:dyDescent="0.25">
      <c r="A11" s="133"/>
      <c r="B11" s="133"/>
      <c r="C11" s="133"/>
      <c r="D11" s="133"/>
      <c r="E11" s="133"/>
      <c r="F11" s="133"/>
      <c r="G11" s="133"/>
      <c r="H11" s="150"/>
      <c r="I11" s="150"/>
      <c r="J11" s="133"/>
    </row>
    <row r="12" spans="1:10" ht="15.75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</row>
    <row r="13" spans="1:10" ht="15.75" thickBot="1" x14ac:dyDescent="0.3">
      <c r="A13" s="62"/>
      <c r="B13" s="79"/>
      <c r="C13" s="62"/>
      <c r="D13" s="79"/>
      <c r="E13" s="62"/>
      <c r="F13" s="62"/>
      <c r="G13" s="62"/>
      <c r="H13" s="62"/>
      <c r="I13" s="62"/>
      <c r="J13" s="62"/>
    </row>
    <row r="14" spans="1:10" x14ac:dyDescent="0.25">
      <c r="A14" s="151" t="s">
        <v>446</v>
      </c>
      <c r="B14" s="152" t="s">
        <v>447</v>
      </c>
      <c r="C14" s="152" t="s">
        <v>448</v>
      </c>
      <c r="D14" s="152" t="s">
        <v>449</v>
      </c>
      <c r="E14" s="152" t="s">
        <v>450</v>
      </c>
      <c r="F14" s="152" t="s">
        <v>451</v>
      </c>
      <c r="G14" s="152" t="s">
        <v>452</v>
      </c>
      <c r="H14" s="152" t="s">
        <v>453</v>
      </c>
      <c r="I14" s="152" t="s">
        <v>454</v>
      </c>
      <c r="J14" s="63" t="s">
        <v>455</v>
      </c>
    </row>
    <row r="15" spans="1:10" x14ac:dyDescent="0.25">
      <c r="A15" s="153"/>
      <c r="B15" s="154"/>
      <c r="C15" s="154"/>
      <c r="D15" s="154"/>
      <c r="E15" s="154"/>
      <c r="F15" s="154" t="s">
        <v>456</v>
      </c>
      <c r="G15" s="154" t="s">
        <v>456</v>
      </c>
      <c r="H15" s="154" t="s">
        <v>456</v>
      </c>
      <c r="I15" s="154" t="s">
        <v>457</v>
      </c>
      <c r="J15" s="64" t="s">
        <v>458</v>
      </c>
    </row>
    <row r="16" spans="1:10" x14ac:dyDescent="0.25">
      <c r="A16" s="153"/>
      <c r="B16" s="154" t="s">
        <v>459</v>
      </c>
      <c r="C16" s="154" t="s">
        <v>460</v>
      </c>
      <c r="D16" s="154" t="s">
        <v>460</v>
      </c>
      <c r="E16" s="154" t="s">
        <v>85</v>
      </c>
      <c r="F16" s="154" t="s">
        <v>457</v>
      </c>
      <c r="G16" s="154" t="s">
        <v>461</v>
      </c>
      <c r="H16" s="154" t="s">
        <v>460</v>
      </c>
      <c r="I16" s="154" t="s">
        <v>462</v>
      </c>
      <c r="J16" s="64" t="s">
        <v>463</v>
      </c>
    </row>
    <row r="17" spans="1:10" x14ac:dyDescent="0.25">
      <c r="A17" s="153" t="s">
        <v>464</v>
      </c>
      <c r="B17" s="154" t="s">
        <v>465</v>
      </c>
      <c r="C17" s="154" t="s">
        <v>459</v>
      </c>
      <c r="D17" s="154" t="s">
        <v>466</v>
      </c>
      <c r="E17" s="154" t="s">
        <v>457</v>
      </c>
      <c r="F17" s="154" t="s">
        <v>467</v>
      </c>
      <c r="G17" s="154" t="s">
        <v>468</v>
      </c>
      <c r="H17" s="154" t="s">
        <v>469</v>
      </c>
      <c r="I17" s="154" t="s">
        <v>470</v>
      </c>
      <c r="J17" s="64" t="s">
        <v>457</v>
      </c>
    </row>
    <row r="18" spans="1:10" x14ac:dyDescent="0.25">
      <c r="A18" s="155"/>
      <c r="B18" s="156"/>
      <c r="C18" s="154" t="s">
        <v>466</v>
      </c>
      <c r="D18" s="154" t="s">
        <v>468</v>
      </c>
      <c r="E18" s="154" t="s">
        <v>467</v>
      </c>
      <c r="F18" s="154" t="s">
        <v>471</v>
      </c>
      <c r="G18" s="154" t="s">
        <v>472</v>
      </c>
      <c r="H18" s="154" t="s">
        <v>468</v>
      </c>
      <c r="I18" s="154" t="s">
        <v>473</v>
      </c>
      <c r="J18" s="64" t="s">
        <v>473</v>
      </c>
    </row>
    <row r="19" spans="1:10" x14ac:dyDescent="0.25">
      <c r="A19" s="155"/>
      <c r="B19" s="156"/>
      <c r="C19" s="157"/>
      <c r="D19" s="154" t="s">
        <v>474</v>
      </c>
      <c r="E19" s="154"/>
      <c r="F19" s="156"/>
      <c r="G19" s="154"/>
      <c r="H19" s="154"/>
      <c r="I19" s="154"/>
      <c r="J19" s="64"/>
    </row>
    <row r="20" spans="1:10" x14ac:dyDescent="0.25">
      <c r="A20" s="158"/>
      <c r="B20" s="159" t="s">
        <v>475</v>
      </c>
      <c r="C20" s="81"/>
      <c r="D20" s="81"/>
      <c r="E20" s="81" t="s">
        <v>476</v>
      </c>
      <c r="F20" s="160" t="s">
        <v>477</v>
      </c>
      <c r="G20" s="160" t="s">
        <v>478</v>
      </c>
      <c r="H20" s="160" t="s">
        <v>479</v>
      </c>
      <c r="I20" s="81" t="s">
        <v>480</v>
      </c>
      <c r="J20" s="65" t="s">
        <v>481</v>
      </c>
    </row>
    <row r="21" spans="1:10" x14ac:dyDescent="0.25">
      <c r="A21" s="161" t="s">
        <v>482</v>
      </c>
      <c r="B21" s="69" t="s">
        <v>482</v>
      </c>
      <c r="C21" s="69" t="s">
        <v>482</v>
      </c>
      <c r="D21" s="69" t="s">
        <v>482</v>
      </c>
      <c r="E21" s="69" t="s">
        <v>482</v>
      </c>
      <c r="F21" s="69" t="s">
        <v>482</v>
      </c>
      <c r="G21" s="69" t="s">
        <v>482</v>
      </c>
      <c r="H21" s="69" t="s">
        <v>482</v>
      </c>
      <c r="I21" s="69" t="s">
        <v>483</v>
      </c>
      <c r="J21" s="66" t="s">
        <v>484</v>
      </c>
    </row>
    <row r="22" spans="1:10" x14ac:dyDescent="0.25">
      <c r="A22" s="162" t="s">
        <v>485</v>
      </c>
      <c r="B22" s="67">
        <v>10497389420.552736</v>
      </c>
      <c r="C22" s="67">
        <v>10625472918.689331</v>
      </c>
      <c r="D22" s="67">
        <v>128083498.13659537</v>
      </c>
      <c r="E22" s="163">
        <v>7.6394329101422034E-2</v>
      </c>
      <c r="F22" s="164">
        <v>10594188.859395742</v>
      </c>
      <c r="G22" s="164">
        <v>138677686.99599111</v>
      </c>
      <c r="H22" s="164">
        <v>137498609.64961803</v>
      </c>
      <c r="I22" s="164">
        <v>11338653637.512157</v>
      </c>
      <c r="J22" s="68">
        <v>11476152247.161776</v>
      </c>
    </row>
    <row r="23" spans="1:10" x14ac:dyDescent="0.25">
      <c r="A23" s="165">
        <v>24</v>
      </c>
      <c r="B23" s="67">
        <v>2690721829.5087838</v>
      </c>
      <c r="C23" s="67">
        <v>2700129196.7702866</v>
      </c>
      <c r="D23" s="67">
        <v>9407367.2615028732</v>
      </c>
      <c r="E23" s="163">
        <v>7.6248550578070895E-2</v>
      </c>
      <c r="F23" s="164">
        <v>776505.54041789658</v>
      </c>
      <c r="G23" s="164">
        <v>10183872.80192077</v>
      </c>
      <c r="H23" s="164">
        <v>10097286.603526527</v>
      </c>
      <c r="I23" s="164">
        <v>2905858339.8067904</v>
      </c>
      <c r="J23" s="68">
        <v>2915955626.4103169</v>
      </c>
    </row>
    <row r="24" spans="1:10" x14ac:dyDescent="0.25">
      <c r="A24" s="165">
        <v>25</v>
      </c>
      <c r="B24" s="67">
        <v>2986356397.9411645</v>
      </c>
      <c r="C24" s="67">
        <v>2987721690.5601029</v>
      </c>
      <c r="D24" s="67">
        <v>1365292.6189382095</v>
      </c>
      <c r="E24" s="163">
        <v>7.6027086368391728E-2</v>
      </c>
      <c r="F24" s="164">
        <v>112340.11119456706</v>
      </c>
      <c r="G24" s="164">
        <v>1477632.7301327765</v>
      </c>
      <c r="H24" s="164">
        <v>1465069.4741678184</v>
      </c>
      <c r="I24" s="164">
        <v>3224057072.0137458</v>
      </c>
      <c r="J24" s="68">
        <v>3225522141.4879136</v>
      </c>
    </row>
    <row r="25" spans="1:10" x14ac:dyDescent="0.25">
      <c r="A25" s="165">
        <v>26</v>
      </c>
      <c r="B25" s="67">
        <v>1946174476.2870584</v>
      </c>
      <c r="C25" s="67">
        <v>1941301363.9308119</v>
      </c>
      <c r="D25" s="67">
        <v>-4873112.3562464509</v>
      </c>
      <c r="E25" s="163">
        <v>7.552808828744316E-2</v>
      </c>
      <c r="F25" s="164">
        <v>-398126.60137547925</v>
      </c>
      <c r="G25" s="164">
        <v>-5271238.9576219302</v>
      </c>
      <c r="H25" s="164">
        <v>-5226421.376820839</v>
      </c>
      <c r="I25" s="164">
        <v>2097996727.9043887</v>
      </c>
      <c r="J25" s="68">
        <v>2092770306.5275679</v>
      </c>
    </row>
    <row r="26" spans="1:10" x14ac:dyDescent="0.25">
      <c r="A26" s="165">
        <v>29</v>
      </c>
      <c r="B26" s="67">
        <v>16475530.158172358</v>
      </c>
      <c r="C26" s="67">
        <v>16009313.796828577</v>
      </c>
      <c r="D26" s="67">
        <v>-466216.36134378111</v>
      </c>
      <c r="E26" s="163">
        <v>7.3631662253881694E-2</v>
      </c>
      <c r="F26" s="164">
        <v>-37056.842572168098</v>
      </c>
      <c r="G26" s="164">
        <v>-503273.20391594921</v>
      </c>
      <c r="H26" s="164">
        <v>-498994.23123744584</v>
      </c>
      <c r="I26" s="164">
        <v>17742812.703756321</v>
      </c>
      <c r="J26" s="68">
        <v>17243818.472518876</v>
      </c>
    </row>
    <row r="27" spans="1:10" x14ac:dyDescent="0.25">
      <c r="A27" s="162">
        <v>31</v>
      </c>
      <c r="B27" s="67">
        <v>1408684085.0035303</v>
      </c>
      <c r="C27" s="67">
        <v>1407978352.242965</v>
      </c>
      <c r="D27" s="67">
        <v>-705732.76056518452</v>
      </c>
      <c r="E27" s="163">
        <v>3.6410112930760248E-2</v>
      </c>
      <c r="F27" s="164">
        <v>-26666.748848173767</v>
      </c>
      <c r="G27" s="164">
        <v>-732399.50941335829</v>
      </c>
      <c r="H27" s="164">
        <v>-726172.4393723862</v>
      </c>
      <c r="I27" s="164">
        <v>1456756022.4940898</v>
      </c>
      <c r="J27" s="68">
        <v>1456029850.0547175</v>
      </c>
    </row>
    <row r="28" spans="1:10" x14ac:dyDescent="0.25">
      <c r="A28" s="162">
        <v>35</v>
      </c>
      <c r="B28" s="67">
        <v>4443660</v>
      </c>
      <c r="C28" s="67">
        <v>4443660</v>
      </c>
      <c r="D28" s="67">
        <v>0</v>
      </c>
      <c r="E28" s="163">
        <v>3.577352608043876E-2</v>
      </c>
      <c r="F28" s="164">
        <v>0</v>
      </c>
      <c r="G28" s="164">
        <v>0</v>
      </c>
      <c r="H28" s="164">
        <v>0</v>
      </c>
      <c r="I28" s="164">
        <v>4597572.0317007378</v>
      </c>
      <c r="J28" s="68">
        <v>4597572.0317007378</v>
      </c>
    </row>
    <row r="29" spans="1:10" x14ac:dyDescent="0.25">
      <c r="A29" s="162">
        <v>40</v>
      </c>
      <c r="B29" s="67">
        <v>0</v>
      </c>
      <c r="C29" s="67">
        <v>0</v>
      </c>
      <c r="D29" s="67">
        <v>0</v>
      </c>
      <c r="E29" s="163">
        <v>3.6447350534266516E-2</v>
      </c>
      <c r="F29" s="164">
        <v>0</v>
      </c>
      <c r="G29" s="164">
        <v>0</v>
      </c>
      <c r="H29" s="164">
        <v>0</v>
      </c>
      <c r="I29" s="164">
        <v>0</v>
      </c>
      <c r="J29" s="68">
        <v>0</v>
      </c>
    </row>
    <row r="30" spans="1:10" x14ac:dyDescent="0.25">
      <c r="A30" s="165">
        <v>43</v>
      </c>
      <c r="B30" s="67">
        <v>119697408.13428572</v>
      </c>
      <c r="C30" s="67">
        <v>122500713.32397975</v>
      </c>
      <c r="D30" s="67">
        <v>2803305.1896940321</v>
      </c>
      <c r="E30" s="163">
        <v>3.7026438277086147E-2</v>
      </c>
      <c r="F30" s="164">
        <v>107787.38971019397</v>
      </c>
      <c r="G30" s="164">
        <v>2911092.579404226</v>
      </c>
      <c r="H30" s="164">
        <v>2886341.6379375607</v>
      </c>
      <c r="I30" s="164">
        <v>124004415.54399861</v>
      </c>
      <c r="J30" s="68">
        <v>126890757.18193617</v>
      </c>
    </row>
    <row r="31" spans="1:10" x14ac:dyDescent="0.25">
      <c r="A31" s="165">
        <v>46</v>
      </c>
      <c r="B31" s="67">
        <v>78351492</v>
      </c>
      <c r="C31" s="67">
        <v>78351492</v>
      </c>
      <c r="D31" s="67">
        <v>0</v>
      </c>
      <c r="E31" s="163">
        <v>1.7696784210330874E-2</v>
      </c>
      <c r="F31" s="164">
        <v>0</v>
      </c>
      <c r="G31" s="164">
        <v>0</v>
      </c>
      <c r="H31" s="164">
        <v>0</v>
      </c>
      <c r="I31" s="164">
        <v>79573505.048999339</v>
      </c>
      <c r="J31" s="68">
        <v>79573505.048999339</v>
      </c>
    </row>
    <row r="32" spans="1:10" x14ac:dyDescent="0.25">
      <c r="A32" s="165">
        <v>49</v>
      </c>
      <c r="B32" s="67">
        <v>542259321.40199995</v>
      </c>
      <c r="C32" s="67">
        <v>542259321.40199995</v>
      </c>
      <c r="D32" s="67">
        <v>0</v>
      </c>
      <c r="E32" s="163">
        <v>1.7587491040799316E-2</v>
      </c>
      <c r="F32" s="164">
        <v>0</v>
      </c>
      <c r="G32" s="164">
        <v>0</v>
      </c>
      <c r="H32" s="164">
        <v>0</v>
      </c>
      <c r="I32" s="164">
        <v>550655414.21762562</v>
      </c>
      <c r="J32" s="68">
        <v>550655414.21762562</v>
      </c>
    </row>
    <row r="33" spans="1:10" x14ac:dyDescent="0.25">
      <c r="A33" s="165" t="s">
        <v>486</v>
      </c>
      <c r="B33" s="67">
        <v>7084150</v>
      </c>
      <c r="C33" s="67">
        <v>7170066.2345252717</v>
      </c>
      <c r="D33" s="67">
        <v>85916.234525271488</v>
      </c>
      <c r="E33" s="163">
        <v>3.6959891695881389E-2</v>
      </c>
      <c r="F33" s="164">
        <v>3297.3234402083763</v>
      </c>
      <c r="G33" s="164">
        <v>89213.557965479864</v>
      </c>
      <c r="H33" s="164">
        <v>88455.038787196492</v>
      </c>
      <c r="I33" s="164">
        <v>7338548.0971957911</v>
      </c>
      <c r="J33" s="68">
        <v>7427003.1359829875</v>
      </c>
    </row>
    <row r="34" spans="1:10" x14ac:dyDescent="0.25">
      <c r="A34" s="162" t="s">
        <v>487</v>
      </c>
      <c r="B34" s="67">
        <v>69969105.295999989</v>
      </c>
      <c r="C34" s="67">
        <v>69969105.295999989</v>
      </c>
      <c r="D34" s="67">
        <v>0</v>
      </c>
      <c r="E34" s="163">
        <v>8.0178490041609624E-2</v>
      </c>
      <c r="F34" s="164">
        <v>0</v>
      </c>
      <c r="G34" s="164">
        <v>0</v>
      </c>
      <c r="H34" s="164">
        <v>0</v>
      </c>
      <c r="I34" s="164">
        <v>75887375.026475519</v>
      </c>
      <c r="J34" s="68">
        <v>75887375.026475519</v>
      </c>
    </row>
    <row r="35" spans="1:10" x14ac:dyDescent="0.25">
      <c r="A35" s="161" t="s">
        <v>482</v>
      </c>
      <c r="B35" s="69" t="s">
        <v>482</v>
      </c>
      <c r="C35" s="69" t="s">
        <v>482</v>
      </c>
      <c r="D35" s="69" t="s">
        <v>482</v>
      </c>
      <c r="E35" s="69" t="s">
        <v>482</v>
      </c>
      <c r="F35" s="69" t="s">
        <v>482</v>
      </c>
      <c r="G35" s="69" t="s">
        <v>482</v>
      </c>
      <c r="H35" s="69" t="s">
        <v>482</v>
      </c>
      <c r="I35" s="69" t="s">
        <v>483</v>
      </c>
      <c r="J35" s="66" t="s">
        <v>484</v>
      </c>
    </row>
    <row r="36" spans="1:10" x14ac:dyDescent="0.25">
      <c r="A36" s="158" t="s">
        <v>4</v>
      </c>
      <c r="B36" s="70">
        <v>20367606876.28373</v>
      </c>
      <c r="C36" s="70">
        <v>20503307194.24683</v>
      </c>
      <c r="D36" s="70">
        <v>135700317.96310043</v>
      </c>
      <c r="E36" s="70">
        <v>0</v>
      </c>
      <c r="F36" s="70">
        <v>11132269.031362789</v>
      </c>
      <c r="G36" s="70">
        <v>146832586.99446315</v>
      </c>
      <c r="H36" s="70">
        <v>145584174.35660648</v>
      </c>
      <c r="I36" s="166">
        <v>21883121442.400917</v>
      </c>
      <c r="J36" s="71">
        <v>22028705616.757526</v>
      </c>
    </row>
    <row r="37" spans="1:10" ht="15.75" thickBot="1" x14ac:dyDescent="0.3">
      <c r="A37" s="167"/>
      <c r="B37" s="72"/>
      <c r="C37" s="72"/>
      <c r="D37" s="168"/>
      <c r="E37" s="72"/>
      <c r="F37" s="72"/>
      <c r="G37" s="72"/>
      <c r="H37" s="168"/>
      <c r="I37" s="72"/>
      <c r="J37" s="73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0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ht="15.75" thickBot="1" x14ac:dyDescent="0.3">
      <c r="A40" s="169" t="s">
        <v>488</v>
      </c>
      <c r="B40" s="62"/>
      <c r="C40" s="62"/>
      <c r="D40" s="62"/>
      <c r="E40" s="62"/>
      <c r="F40" s="62"/>
      <c r="G40" s="62"/>
      <c r="H40" s="62"/>
      <c r="I40" s="62"/>
      <c r="J40" s="62"/>
    </row>
    <row r="41" spans="1:10" x14ac:dyDescent="0.25">
      <c r="A41" s="170">
        <v>459</v>
      </c>
      <c r="B41" s="74">
        <v>293153938.24000144</v>
      </c>
      <c r="C41" s="74">
        <v>293153938.24000144</v>
      </c>
      <c r="D41" s="82">
        <v>0</v>
      </c>
      <c r="E41" s="171">
        <v>1.6945222666027646E-2</v>
      </c>
      <c r="F41" s="172">
        <v>0</v>
      </c>
      <c r="G41" s="172">
        <v>0</v>
      </c>
      <c r="H41" s="172">
        <v>0</v>
      </c>
      <c r="I41" s="172">
        <v>298207124.36292702</v>
      </c>
      <c r="J41" s="75">
        <v>298207124.36292702</v>
      </c>
    </row>
    <row r="42" spans="1:10" x14ac:dyDescent="0.25">
      <c r="A42" s="165" t="s">
        <v>249</v>
      </c>
      <c r="B42" s="67">
        <v>1661664054.6089966</v>
      </c>
      <c r="C42" s="67">
        <v>1661664054.6089966</v>
      </c>
      <c r="D42" s="80">
        <v>0</v>
      </c>
      <c r="E42" s="163">
        <v>1.6911502274592646E-2</v>
      </c>
      <c r="F42" s="164">
        <v>0</v>
      </c>
      <c r="G42" s="164">
        <v>0</v>
      </c>
      <c r="H42" s="173">
        <v>0</v>
      </c>
      <c r="I42" s="164">
        <v>1690248699.3323834</v>
      </c>
      <c r="J42" s="68">
        <v>1690248699.3323834</v>
      </c>
    </row>
    <row r="43" spans="1:10" x14ac:dyDescent="0.25">
      <c r="A43" s="165" t="s">
        <v>489</v>
      </c>
      <c r="B43" s="67">
        <v>74975062.919999987</v>
      </c>
      <c r="C43" s="67">
        <v>74975062.919999987</v>
      </c>
      <c r="D43" s="80">
        <v>0</v>
      </c>
      <c r="E43" s="163">
        <v>3.5004476029850982E-2</v>
      </c>
      <c r="F43" s="164">
        <v>0</v>
      </c>
      <c r="G43" s="164">
        <v>0</v>
      </c>
      <c r="H43" s="173">
        <v>0</v>
      </c>
      <c r="I43" s="164">
        <v>77694726.097319439</v>
      </c>
      <c r="J43" s="68">
        <v>77694726.097319439</v>
      </c>
    </row>
    <row r="44" spans="1:10" x14ac:dyDescent="0.25">
      <c r="A44" s="158" t="s">
        <v>330</v>
      </c>
      <c r="B44" s="76">
        <v>336220536</v>
      </c>
      <c r="C44" s="76">
        <v>335767916</v>
      </c>
      <c r="D44" s="67">
        <v>-452620</v>
      </c>
      <c r="E44" s="174">
        <v>3.6447350534266516E-2</v>
      </c>
      <c r="F44" s="164">
        <v>-16496.799798819709</v>
      </c>
      <c r="G44" s="164">
        <v>-469116.7997988197</v>
      </c>
      <c r="H44" s="173">
        <v>-469116.7997988197</v>
      </c>
      <c r="I44" s="164">
        <v>350550349.59907383</v>
      </c>
      <c r="J44" s="68">
        <v>350081232.79927498</v>
      </c>
    </row>
    <row r="45" spans="1:10" x14ac:dyDescent="0.25">
      <c r="A45" s="175" t="s">
        <v>482</v>
      </c>
      <c r="B45" s="160" t="s">
        <v>482</v>
      </c>
      <c r="C45" s="160" t="s">
        <v>482</v>
      </c>
      <c r="D45" s="160" t="s">
        <v>482</v>
      </c>
      <c r="E45" s="160" t="s">
        <v>482</v>
      </c>
      <c r="F45" s="160" t="s">
        <v>482</v>
      </c>
      <c r="G45" s="160" t="s">
        <v>482</v>
      </c>
      <c r="H45" s="160" t="s">
        <v>482</v>
      </c>
      <c r="I45" s="160" t="s">
        <v>482</v>
      </c>
      <c r="J45" s="65" t="s">
        <v>482</v>
      </c>
    </row>
    <row r="46" spans="1:10" x14ac:dyDescent="0.25">
      <c r="A46" s="158" t="s">
        <v>490</v>
      </c>
      <c r="B46" s="176">
        <v>2366013591.7689981</v>
      </c>
      <c r="C46" s="176">
        <v>2365560971.7689981</v>
      </c>
      <c r="D46" s="176">
        <v>-452620</v>
      </c>
      <c r="E46" s="176"/>
      <c r="F46" s="176">
        <v>-16496.799798819709</v>
      </c>
      <c r="G46" s="176">
        <v>-469116.7997988197</v>
      </c>
      <c r="H46" s="176">
        <v>-469116.7997988197</v>
      </c>
      <c r="I46" s="177">
        <v>2416700899.3917036</v>
      </c>
      <c r="J46" s="77">
        <v>2416231782.5919046</v>
      </c>
    </row>
    <row r="47" spans="1:10" ht="15.75" thickBot="1" x14ac:dyDescent="0.3">
      <c r="A47" s="167"/>
      <c r="B47" s="178"/>
      <c r="C47" s="178"/>
      <c r="D47" s="178"/>
      <c r="E47" s="178"/>
      <c r="F47" s="178"/>
      <c r="G47" s="178"/>
      <c r="H47" s="178"/>
      <c r="I47" s="179"/>
      <c r="J47" s="78"/>
    </row>
    <row r="48" spans="1:10" x14ac:dyDescent="0.25">
      <c r="A48" s="81"/>
      <c r="B48" s="70"/>
      <c r="C48" s="70"/>
      <c r="D48" s="70"/>
      <c r="E48" s="70"/>
      <c r="F48" s="70"/>
      <c r="G48" s="70"/>
      <c r="H48" s="70"/>
      <c r="I48" s="166"/>
      <c r="J48" s="70"/>
    </row>
    <row r="49" spans="1:11" x14ac:dyDescent="0.25">
      <c r="A49" s="272" t="s">
        <v>491</v>
      </c>
      <c r="B49" s="70"/>
      <c r="C49" s="70"/>
      <c r="D49" s="70"/>
      <c r="E49" s="70"/>
      <c r="F49" s="70"/>
      <c r="G49" s="70"/>
      <c r="H49" s="70"/>
      <c r="I49" s="166"/>
      <c r="J49" s="70"/>
    </row>
    <row r="50" spans="1:11" x14ac:dyDescent="0.25">
      <c r="A50" s="272"/>
      <c r="B50" s="70"/>
      <c r="C50" s="70"/>
      <c r="D50" s="70"/>
      <c r="E50" s="70"/>
      <c r="F50" s="70"/>
      <c r="G50" s="70"/>
      <c r="H50" s="70"/>
      <c r="I50" s="166"/>
      <c r="J50" s="70"/>
    </row>
    <row r="55" spans="1:11" ht="15.75" x14ac:dyDescent="0.25">
      <c r="A55" s="133" t="s">
        <v>492</v>
      </c>
      <c r="B55" s="180"/>
      <c r="C55" s="180"/>
      <c r="D55" s="180"/>
      <c r="E55" s="180"/>
      <c r="F55" s="180"/>
      <c r="G55" s="180"/>
      <c r="H55" s="180"/>
      <c r="I55" s="180"/>
      <c r="J55" s="180"/>
      <c r="K55" s="180"/>
    </row>
    <row r="56" spans="1:11" ht="15.75" x14ac:dyDescent="0.25">
      <c r="A56" s="133" t="s">
        <v>439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</row>
    <row r="57" spans="1:11" ht="15.75" x14ac:dyDescent="0.25">
      <c r="A57" s="133"/>
      <c r="B57" s="180"/>
      <c r="C57" s="180"/>
      <c r="D57" s="180"/>
      <c r="E57" s="180"/>
      <c r="F57" s="180"/>
      <c r="G57" s="180"/>
      <c r="H57" s="180"/>
      <c r="I57" s="180"/>
      <c r="J57" s="180"/>
      <c r="K57" s="180"/>
    </row>
    <row r="58" spans="1:11" ht="15.75" thickBot="1" x14ac:dyDescent="0.3">
      <c r="A58" s="180"/>
      <c r="B58" s="180"/>
      <c r="C58" s="180"/>
      <c r="D58" s="180"/>
      <c r="E58" s="180"/>
      <c r="F58" s="180"/>
      <c r="G58" s="180"/>
      <c r="H58" s="180"/>
      <c r="I58" s="180"/>
      <c r="J58" s="180"/>
      <c r="K58" s="180"/>
    </row>
    <row r="59" spans="1:11" ht="15.75" thickBot="1" x14ac:dyDescent="0.3">
      <c r="A59" s="181"/>
      <c r="B59" s="182"/>
      <c r="C59" s="180"/>
      <c r="D59" s="180"/>
      <c r="E59" s="180"/>
      <c r="F59" s="180"/>
      <c r="G59" s="180"/>
      <c r="H59" s="183" t="s">
        <v>493</v>
      </c>
      <c r="I59" s="184"/>
      <c r="J59" s="185" t="s">
        <v>494</v>
      </c>
      <c r="K59" s="186" t="s">
        <v>495</v>
      </c>
    </row>
    <row r="60" spans="1:11" x14ac:dyDescent="0.25">
      <c r="A60" s="135" t="s">
        <v>440</v>
      </c>
      <c r="B60" s="187">
        <v>22233671792</v>
      </c>
      <c r="C60" s="188"/>
      <c r="D60" s="188"/>
      <c r="E60" s="188"/>
      <c r="F60" s="188"/>
      <c r="G60" s="180"/>
      <c r="H60" s="189" t="s">
        <v>496</v>
      </c>
      <c r="I60" s="190"/>
      <c r="J60" s="154" t="s">
        <v>461</v>
      </c>
      <c r="K60" s="64" t="s">
        <v>497</v>
      </c>
    </row>
    <row r="61" spans="1:11" x14ac:dyDescent="0.25">
      <c r="A61" s="140" t="s">
        <v>502</v>
      </c>
      <c r="B61" s="191">
        <v>1578590697.2319999</v>
      </c>
      <c r="C61" s="182"/>
      <c r="D61" s="182"/>
      <c r="E61" s="182"/>
      <c r="F61" s="182"/>
      <c r="G61" s="180"/>
      <c r="H61" s="140" t="s">
        <v>498</v>
      </c>
      <c r="I61" s="192"/>
      <c r="J61" s="193">
        <v>2.9975001023434478E-2</v>
      </c>
      <c r="K61" s="194">
        <v>7.0270541510746446E-3</v>
      </c>
    </row>
    <row r="62" spans="1:11" x14ac:dyDescent="0.25">
      <c r="A62" s="140" t="s">
        <v>503</v>
      </c>
      <c r="B62" s="195">
        <v>-49198937.771789551</v>
      </c>
      <c r="C62" s="188"/>
      <c r="D62" s="188"/>
      <c r="E62" s="180"/>
      <c r="F62" s="182"/>
      <c r="G62" s="180"/>
      <c r="H62" s="140" t="s">
        <v>499</v>
      </c>
      <c r="I62" s="192"/>
      <c r="J62" s="193">
        <v>9.3142292757198042E-2</v>
      </c>
      <c r="K62" s="194">
        <v>4.6114107807676039E-2</v>
      </c>
    </row>
    <row r="63" spans="1:11" ht="15.75" thickBot="1" x14ac:dyDescent="0.3">
      <c r="A63" s="196" t="s">
        <v>504</v>
      </c>
      <c r="B63" s="197">
        <v>20704280032.539791</v>
      </c>
      <c r="C63" s="198"/>
      <c r="D63" s="182"/>
      <c r="E63" s="188"/>
      <c r="F63" s="182"/>
      <c r="G63" s="180"/>
      <c r="H63" s="199" t="s">
        <v>500</v>
      </c>
      <c r="I63" s="200"/>
      <c r="J63" s="201">
        <v>0.87688270621936737</v>
      </c>
      <c r="K63" s="202">
        <v>0.9468588380412496</v>
      </c>
    </row>
    <row r="64" spans="1:11" ht="15.75" thickBot="1" x14ac:dyDescent="0.3">
      <c r="A64" s="182"/>
      <c r="B64" s="180"/>
      <c r="C64" s="180"/>
      <c r="D64" s="180"/>
      <c r="E64" s="188"/>
      <c r="F64" s="182"/>
      <c r="G64" s="180"/>
      <c r="H64" s="145" t="s">
        <v>501</v>
      </c>
      <c r="I64" s="203"/>
      <c r="J64" s="204">
        <v>0.99999999999999989</v>
      </c>
      <c r="K64" s="205">
        <v>1.0000000000000002</v>
      </c>
    </row>
    <row r="65" spans="1:11" x14ac:dyDescent="0.25">
      <c r="A65" s="181"/>
      <c r="B65" s="181"/>
      <c r="C65" s="181"/>
      <c r="D65" s="181"/>
      <c r="E65" s="181"/>
      <c r="F65" s="181"/>
      <c r="G65" s="181"/>
      <c r="H65" s="413"/>
      <c r="I65" s="413"/>
      <c r="J65" s="181"/>
      <c r="K65" s="181"/>
    </row>
    <row r="66" spans="1:11" x14ac:dyDescent="0.25">
      <c r="A66" s="180"/>
      <c r="B66" s="180"/>
      <c r="C66" s="180"/>
      <c r="D66" s="180"/>
      <c r="E66" s="180"/>
      <c r="F66" s="182"/>
      <c r="G66" s="180"/>
      <c r="H66" s="181"/>
      <c r="I66" s="180"/>
      <c r="J66" s="180"/>
      <c r="K66" s="180"/>
    </row>
    <row r="67" spans="1:11" ht="15.75" thickBot="1" x14ac:dyDescent="0.3">
      <c r="A67" s="62"/>
      <c r="B67" s="62"/>
      <c r="C67" s="79"/>
      <c r="D67" s="79"/>
      <c r="E67" s="62"/>
      <c r="F67" s="62"/>
      <c r="G67" s="79"/>
      <c r="H67" s="62"/>
      <c r="I67" s="62"/>
      <c r="J67" s="62"/>
      <c r="K67" s="62"/>
    </row>
    <row r="68" spans="1:11" x14ac:dyDescent="0.25">
      <c r="A68" s="206" t="s">
        <v>505</v>
      </c>
      <c r="B68" s="207" t="s">
        <v>506</v>
      </c>
      <c r="C68" s="207" t="s">
        <v>507</v>
      </c>
      <c r="D68" s="207" t="s">
        <v>508</v>
      </c>
      <c r="E68" s="207" t="s">
        <v>509</v>
      </c>
      <c r="F68" s="207" t="s">
        <v>510</v>
      </c>
      <c r="G68" s="207" t="s">
        <v>511</v>
      </c>
      <c r="H68" s="207" t="s">
        <v>512</v>
      </c>
      <c r="I68" s="207" t="s">
        <v>513</v>
      </c>
      <c r="J68" s="207" t="s">
        <v>514</v>
      </c>
      <c r="K68" s="208" t="s">
        <v>515</v>
      </c>
    </row>
    <row r="69" spans="1:11" x14ac:dyDescent="0.25">
      <c r="A69" s="209"/>
      <c r="B69" s="210"/>
      <c r="C69" s="210"/>
      <c r="D69" s="210"/>
      <c r="E69" s="210"/>
      <c r="F69" s="210" t="s">
        <v>516</v>
      </c>
      <c r="G69" s="210" t="s">
        <v>516</v>
      </c>
      <c r="H69" s="210" t="s">
        <v>516</v>
      </c>
      <c r="I69" s="210"/>
      <c r="J69" s="210" t="s">
        <v>457</v>
      </c>
      <c r="K69" s="211" t="s">
        <v>85</v>
      </c>
    </row>
    <row r="70" spans="1:11" x14ac:dyDescent="0.25">
      <c r="A70" s="209"/>
      <c r="B70" s="210" t="s">
        <v>517</v>
      </c>
      <c r="C70" s="210" t="s">
        <v>518</v>
      </c>
      <c r="D70" s="210" t="s">
        <v>516</v>
      </c>
      <c r="E70" s="210" t="s">
        <v>3</v>
      </c>
      <c r="F70" s="210" t="s">
        <v>519</v>
      </c>
      <c r="G70" s="210" t="s">
        <v>519</v>
      </c>
      <c r="H70" s="210" t="s">
        <v>519</v>
      </c>
      <c r="I70" s="210" t="s">
        <v>520</v>
      </c>
      <c r="J70" s="210" t="s">
        <v>462</v>
      </c>
      <c r="K70" s="211" t="s">
        <v>457</v>
      </c>
    </row>
    <row r="71" spans="1:11" x14ac:dyDescent="0.25">
      <c r="A71" s="209" t="s">
        <v>464</v>
      </c>
      <c r="B71" s="210" t="s">
        <v>521</v>
      </c>
      <c r="C71" s="210" t="s">
        <v>473</v>
      </c>
      <c r="D71" s="210" t="s">
        <v>522</v>
      </c>
      <c r="E71" s="210" t="s">
        <v>523</v>
      </c>
      <c r="F71" s="210" t="s">
        <v>524</v>
      </c>
      <c r="G71" s="210" t="s">
        <v>525</v>
      </c>
      <c r="H71" s="210" t="s">
        <v>526</v>
      </c>
      <c r="I71" s="210" t="s">
        <v>473</v>
      </c>
      <c r="J71" s="210" t="s">
        <v>470</v>
      </c>
      <c r="K71" s="211" t="s">
        <v>467</v>
      </c>
    </row>
    <row r="72" spans="1:11" x14ac:dyDescent="0.25">
      <c r="A72" s="155"/>
      <c r="B72" s="156"/>
      <c r="C72" s="156"/>
      <c r="D72" s="156"/>
      <c r="E72" s="156"/>
      <c r="F72" s="156"/>
      <c r="G72" s="156"/>
      <c r="H72" s="156"/>
      <c r="I72" s="156"/>
      <c r="J72" s="210" t="s">
        <v>473</v>
      </c>
      <c r="K72" s="212"/>
    </row>
    <row r="73" spans="1:11" x14ac:dyDescent="0.25">
      <c r="A73" s="158"/>
      <c r="B73" s="81">
        <v>0</v>
      </c>
      <c r="C73" s="160" t="s">
        <v>527</v>
      </c>
      <c r="D73" s="81" t="s">
        <v>528</v>
      </c>
      <c r="E73" s="160" t="s">
        <v>529</v>
      </c>
      <c r="F73" s="160" t="s">
        <v>530</v>
      </c>
      <c r="G73" s="81" t="s">
        <v>528</v>
      </c>
      <c r="H73" s="160" t="s">
        <v>531</v>
      </c>
      <c r="I73" s="81" t="s">
        <v>532</v>
      </c>
      <c r="J73" s="160" t="s">
        <v>533</v>
      </c>
      <c r="K73" s="65" t="s">
        <v>534</v>
      </c>
    </row>
    <row r="74" spans="1:11" x14ac:dyDescent="0.25">
      <c r="A74" s="158"/>
      <c r="B74" s="81" t="s">
        <v>535</v>
      </c>
      <c r="C74" s="160" t="s">
        <v>536</v>
      </c>
      <c r="D74" s="81"/>
      <c r="E74" s="160"/>
      <c r="F74" s="160"/>
      <c r="G74" s="81"/>
      <c r="H74" s="160"/>
      <c r="I74" s="81" t="s">
        <v>537</v>
      </c>
      <c r="J74" s="160"/>
      <c r="K74" s="65"/>
    </row>
    <row r="75" spans="1:11" x14ac:dyDescent="0.25">
      <c r="A75" s="161" t="s">
        <v>482</v>
      </c>
      <c r="B75" s="69" t="s">
        <v>482</v>
      </c>
      <c r="C75" s="69" t="s">
        <v>482</v>
      </c>
      <c r="D75" s="69" t="s">
        <v>482</v>
      </c>
      <c r="E75" s="69" t="s">
        <v>482</v>
      </c>
      <c r="F75" s="69" t="s">
        <v>482</v>
      </c>
      <c r="G75" s="69" t="s">
        <v>482</v>
      </c>
      <c r="H75" s="69" t="s">
        <v>482</v>
      </c>
      <c r="I75" s="69" t="s">
        <v>538</v>
      </c>
      <c r="J75" s="69" t="s">
        <v>482</v>
      </c>
      <c r="K75" s="66" t="s">
        <v>482</v>
      </c>
    </row>
    <row r="76" spans="1:11" x14ac:dyDescent="0.25">
      <c r="A76" s="162" t="s">
        <v>485</v>
      </c>
      <c r="B76" s="80">
        <v>10497389420.49617</v>
      </c>
      <c r="C76" s="80">
        <v>-24944620.535152167</v>
      </c>
      <c r="D76" s="80">
        <v>1626541.6907758305</v>
      </c>
      <c r="E76" s="80">
        <v>1195484.5662055956</v>
      </c>
      <c r="F76" s="84">
        <v>0.73498550512736716</v>
      </c>
      <c r="G76" s="80">
        <v>251673.71992420664</v>
      </c>
      <c r="H76" s="80">
        <v>1620394456.8122025</v>
      </c>
      <c r="I76" s="80">
        <v>866208837.55113983</v>
      </c>
      <c r="J76" s="80">
        <v>11338653637.512157</v>
      </c>
      <c r="K76" s="213">
        <v>7.6394329101422034E-2</v>
      </c>
    </row>
    <row r="77" spans="1:11" x14ac:dyDescent="0.25">
      <c r="A77" s="165">
        <v>24</v>
      </c>
      <c r="B77" s="80">
        <v>2689866724.7775373</v>
      </c>
      <c r="C77" s="80">
        <v>-6391846.7775140246</v>
      </c>
      <c r="D77" s="80">
        <v>383616.17135738832</v>
      </c>
      <c r="E77" s="80">
        <v>306332.74863013963</v>
      </c>
      <c r="F77" s="84">
        <v>0.79853971626433562</v>
      </c>
      <c r="G77" s="80">
        <v>59234.060525990433</v>
      </c>
      <c r="H77" s="80">
        <v>414354568.99793386</v>
      </c>
      <c r="I77" s="80">
        <v>221500134.14128894</v>
      </c>
      <c r="J77" s="80">
        <v>2904975012.1413121</v>
      </c>
      <c r="K77" s="213">
        <v>7.6248550578070895E-2</v>
      </c>
    </row>
    <row r="78" spans="1:11" x14ac:dyDescent="0.25">
      <c r="A78" s="165">
        <v>25</v>
      </c>
      <c r="B78" s="80">
        <v>2979551170.6691647</v>
      </c>
      <c r="C78" s="80">
        <v>-7080214.9315613108</v>
      </c>
      <c r="D78" s="80">
        <v>432908.50216168351</v>
      </c>
      <c r="E78" s="80">
        <v>339323.16846319672</v>
      </c>
      <c r="F78" s="84">
        <v>0.78382190871470947</v>
      </c>
      <c r="G78" s="80">
        <v>66635.147110322345</v>
      </c>
      <c r="H78" s="80">
        <v>457535572.5925653</v>
      </c>
      <c r="I78" s="80">
        <v>244583258.60567498</v>
      </c>
      <c r="J78" s="80">
        <v>3217054214.3432779</v>
      </c>
      <c r="K78" s="213">
        <v>7.6027086368391728E-2</v>
      </c>
    </row>
    <row r="79" spans="1:11" x14ac:dyDescent="0.25">
      <c r="A79" s="165">
        <v>26</v>
      </c>
      <c r="B79" s="80">
        <v>1901973153.8160584</v>
      </c>
      <c r="C79" s="80">
        <v>-4519599.7489960399</v>
      </c>
      <c r="D79" s="80">
        <v>256067.09075776031</v>
      </c>
      <c r="E79" s="80">
        <v>216604.28699395689</v>
      </c>
      <c r="F79" s="84">
        <v>0.84588881122121518</v>
      </c>
      <c r="G79" s="80">
        <v>39135.120706198133</v>
      </c>
      <c r="H79" s="80">
        <v>289990696.0050028</v>
      </c>
      <c r="I79" s="80">
        <v>155019355.09043258</v>
      </c>
      <c r="J79" s="80">
        <v>2052472909.157495</v>
      </c>
      <c r="K79" s="213">
        <v>7.552808828744316E-2</v>
      </c>
    </row>
    <row r="80" spans="1:11" x14ac:dyDescent="0.25">
      <c r="A80" s="165">
        <v>29</v>
      </c>
      <c r="B80" s="80">
        <v>16475530.202172358</v>
      </c>
      <c r="C80" s="80">
        <v>-39150.29085290456</v>
      </c>
      <c r="D80" s="80">
        <v>1926.7026364139044</v>
      </c>
      <c r="E80" s="80">
        <v>1876.2990766346409</v>
      </c>
      <c r="F80" s="84">
        <v>0.97383947121540371</v>
      </c>
      <c r="G80" s="80">
        <v>286.47962012725094</v>
      </c>
      <c r="H80" s="80">
        <v>2443910.0171815148</v>
      </c>
      <c r="I80" s="80">
        <v>1306432.792436867</v>
      </c>
      <c r="J80" s="80">
        <v>17742812.703756321</v>
      </c>
      <c r="K80" s="213">
        <v>7.3631662253881694E-2</v>
      </c>
    </row>
    <row r="81" spans="1:11" x14ac:dyDescent="0.25">
      <c r="A81" s="162">
        <v>31</v>
      </c>
      <c r="B81" s="80">
        <v>1297584516.8405302</v>
      </c>
      <c r="C81" s="80">
        <v>-3083409.7972661373</v>
      </c>
      <c r="D81" s="80">
        <v>169381.15576487154</v>
      </c>
      <c r="E81" s="80">
        <v>147774.09897754155</v>
      </c>
      <c r="F81" s="84">
        <v>0.87243529724567426</v>
      </c>
      <c r="G81" s="80">
        <v>11972.725430804838</v>
      </c>
      <c r="H81" s="80">
        <v>91501951.645769939</v>
      </c>
      <c r="I81" s="80">
        <v>48913891.821544841</v>
      </c>
      <c r="J81" s="80">
        <v>1343414998.8648088</v>
      </c>
      <c r="K81" s="213">
        <v>3.6410112930760248E-2</v>
      </c>
    </row>
    <row r="82" spans="1:11" x14ac:dyDescent="0.25">
      <c r="A82" s="162">
        <v>35</v>
      </c>
      <c r="B82" s="80">
        <v>4443660</v>
      </c>
      <c r="C82" s="80">
        <v>-10559.331282005071</v>
      </c>
      <c r="D82" s="80">
        <v>430.7000000000001</v>
      </c>
      <c r="E82" s="80">
        <v>506.06172017328714</v>
      </c>
      <c r="F82" s="84">
        <v>1.1749749713798165</v>
      </c>
      <c r="G82" s="80">
        <v>29.892050561080193</v>
      </c>
      <c r="H82" s="80">
        <v>307672.32257180562</v>
      </c>
      <c r="I82" s="80">
        <v>164471.36298274217</v>
      </c>
      <c r="J82" s="80">
        <v>4597572.0317007378</v>
      </c>
      <c r="K82" s="213">
        <v>3.577352608043876E-2</v>
      </c>
    </row>
    <row r="83" spans="1:11" x14ac:dyDescent="0.25">
      <c r="A83" s="162">
        <v>40</v>
      </c>
      <c r="B83" s="80">
        <v>499634378.34003699</v>
      </c>
      <c r="C83" s="80">
        <v>-1187265.6595624122</v>
      </c>
      <c r="D83" s="80">
        <v>67652.62769578585</v>
      </c>
      <c r="E83" s="80">
        <v>56900.355328821301</v>
      </c>
      <c r="F83" s="84">
        <v>0.84106644881091119</v>
      </c>
      <c r="G83" s="80">
        <v>4787.109062591654</v>
      </c>
      <c r="H83" s="80">
        <v>35270184.937457755</v>
      </c>
      <c r="I83" s="80">
        <v>18854264.630719971</v>
      </c>
      <c r="J83" s="80">
        <v>517301377.31119454</v>
      </c>
      <c r="K83" s="213">
        <v>3.6447350534266516E-2</v>
      </c>
    </row>
    <row r="84" spans="1:11" x14ac:dyDescent="0.25">
      <c r="A84" s="165">
        <v>43</v>
      </c>
      <c r="B84" s="80">
        <v>119697406.93726367</v>
      </c>
      <c r="C84" s="80">
        <v>-284433.23149105441</v>
      </c>
      <c r="D84" s="80">
        <v>23873.502004593163</v>
      </c>
      <c r="E84" s="80">
        <v>13631.618002942079</v>
      </c>
      <c r="F84" s="84">
        <v>0.57099364811745723</v>
      </c>
      <c r="G84" s="80">
        <v>1717.1642671213274</v>
      </c>
      <c r="H84" s="80">
        <v>8589091.4302727878</v>
      </c>
      <c r="I84" s="80">
        <v>4591441.8382260064</v>
      </c>
      <c r="J84" s="80">
        <v>124004415.54399861</v>
      </c>
      <c r="K84" s="213">
        <v>3.7026438277086147E-2</v>
      </c>
    </row>
    <row r="85" spans="1:11" x14ac:dyDescent="0.25">
      <c r="A85" s="165">
        <v>46</v>
      </c>
      <c r="B85" s="80">
        <v>78351494.123954177</v>
      </c>
      <c r="C85" s="80">
        <v>-186184.22266665444</v>
      </c>
      <c r="D85" s="80">
        <v>9747.4433333333327</v>
      </c>
      <c r="E85" s="80">
        <v>8922.9805823387578</v>
      </c>
      <c r="F85" s="84">
        <v>0.91541753844568041</v>
      </c>
      <c r="G85" s="80">
        <v>328.50171941937214</v>
      </c>
      <c r="H85" s="80">
        <v>2634274.221806644</v>
      </c>
      <c r="I85" s="80">
        <v>1408195.1477118155</v>
      </c>
      <c r="J85" s="80">
        <v>79573505.048999339</v>
      </c>
      <c r="K85" s="213">
        <v>1.7696784210330874E-2</v>
      </c>
    </row>
    <row r="86" spans="1:11" x14ac:dyDescent="0.25">
      <c r="A86" s="165">
        <v>49</v>
      </c>
      <c r="B86" s="80">
        <v>542259321.04090011</v>
      </c>
      <c r="C86" s="80">
        <v>-1288553.9873946265</v>
      </c>
      <c r="D86" s="80">
        <v>69168.869083333324</v>
      </c>
      <c r="E86" s="80">
        <v>61754.653773231228</v>
      </c>
      <c r="F86" s="84">
        <v>0.89280993880108706</v>
      </c>
      <c r="G86" s="80">
        <v>2316.428070316711</v>
      </c>
      <c r="H86" s="80">
        <v>18116818.832382068</v>
      </c>
      <c r="I86" s="80">
        <v>9684647.1641201265</v>
      </c>
      <c r="J86" s="80">
        <v>550655414.21762562</v>
      </c>
      <c r="K86" s="213">
        <v>1.7587491040799316E-2</v>
      </c>
    </row>
    <row r="87" spans="1:11" x14ac:dyDescent="0.25">
      <c r="A87" s="165" t="s">
        <v>486</v>
      </c>
      <c r="B87" s="80">
        <v>7084150</v>
      </c>
      <c r="C87" s="80">
        <v>-16833.84568158145</v>
      </c>
      <c r="D87" s="80">
        <v>831.0577259435554</v>
      </c>
      <c r="E87" s="80">
        <v>806.77125049297013</v>
      </c>
      <c r="F87" s="84">
        <v>0.97077642780709217</v>
      </c>
      <c r="G87" s="80">
        <v>59.66445045864188</v>
      </c>
      <c r="H87" s="80">
        <v>507386.57664982701</v>
      </c>
      <c r="I87" s="80">
        <v>271231.9428773729</v>
      </c>
      <c r="J87" s="80">
        <v>7338548.0971957911</v>
      </c>
      <c r="K87" s="213">
        <v>3.6959891695881389E-2</v>
      </c>
    </row>
    <row r="88" spans="1:11" x14ac:dyDescent="0.25">
      <c r="A88" s="162" t="s">
        <v>539</v>
      </c>
      <c r="B88" s="80">
        <v>69969105.295999989</v>
      </c>
      <c r="C88" s="80">
        <v>-166265.41236862389</v>
      </c>
      <c r="D88" s="80">
        <v>2661.2756900677418</v>
      </c>
      <c r="E88" s="80">
        <v>7968.3607173095161</v>
      </c>
      <c r="F88" s="84">
        <v>2.9941883687768871</v>
      </c>
      <c r="G88" s="80">
        <v>433.95262242340772</v>
      </c>
      <c r="H88" s="80">
        <v>11382182.437225064</v>
      </c>
      <c r="I88" s="80">
        <v>6084535.142844162</v>
      </c>
      <c r="J88" s="80">
        <v>75887375.026475519</v>
      </c>
      <c r="K88" s="213">
        <v>8.0178490041609624E-2</v>
      </c>
    </row>
    <row r="89" spans="1:11" x14ac:dyDescent="0.25">
      <c r="A89" s="161" t="s">
        <v>482</v>
      </c>
      <c r="B89" s="69" t="s">
        <v>482</v>
      </c>
      <c r="C89" s="69" t="s">
        <v>482</v>
      </c>
      <c r="D89" s="69" t="s">
        <v>482</v>
      </c>
      <c r="E89" s="69" t="s">
        <v>482</v>
      </c>
      <c r="F89" s="69" t="s">
        <v>482</v>
      </c>
      <c r="G89" s="69" t="s">
        <v>482</v>
      </c>
      <c r="H89" s="69" t="s">
        <v>482</v>
      </c>
      <c r="I89" s="69" t="s">
        <v>538</v>
      </c>
      <c r="J89" s="69" t="s">
        <v>482</v>
      </c>
      <c r="K89" s="66" t="s">
        <v>482</v>
      </c>
    </row>
    <row r="90" spans="1:11" x14ac:dyDescent="0.25">
      <c r="A90" s="158" t="s">
        <v>4</v>
      </c>
      <c r="B90" s="70">
        <v>20704280032.539791</v>
      </c>
      <c r="C90" s="176">
        <v>-49198937.771789551</v>
      </c>
      <c r="D90" s="70">
        <v>3044806.7889870051</v>
      </c>
      <c r="E90" s="70">
        <v>2357885.9697223743</v>
      </c>
      <c r="F90" s="214">
        <v>0.77439592497323395</v>
      </c>
      <c r="G90" s="70">
        <v>438609.9655605419</v>
      </c>
      <c r="H90" s="70">
        <v>2953028766.829021</v>
      </c>
      <c r="I90" s="70">
        <v>1578590697.2319999</v>
      </c>
      <c r="J90" s="70">
        <v>22233671791.999989</v>
      </c>
      <c r="K90" s="215">
        <v>7.0999999999999994E-2</v>
      </c>
    </row>
    <row r="91" spans="1:11" ht="15.75" thickBot="1" x14ac:dyDescent="0.3">
      <c r="A91" s="167"/>
      <c r="B91" s="72"/>
      <c r="C91" s="72"/>
      <c r="D91" s="72"/>
      <c r="E91" s="72"/>
      <c r="F91" s="72"/>
      <c r="G91" s="72"/>
      <c r="H91" s="168"/>
      <c r="I91" s="72"/>
      <c r="J91" s="72"/>
      <c r="K91" s="73"/>
    </row>
    <row r="92" spans="1:11" x14ac:dyDescent="0.25">
      <c r="A92" s="158"/>
      <c r="B92" s="81"/>
      <c r="C92" s="81"/>
      <c r="D92" s="81"/>
      <c r="E92" s="81"/>
      <c r="F92" s="81"/>
      <c r="G92" s="81"/>
      <c r="H92" s="216"/>
      <c r="I92" s="81"/>
      <c r="J92" s="81"/>
      <c r="K92" s="81"/>
    </row>
    <row r="93" spans="1:11" x14ac:dyDescent="0.25">
      <c r="A93" s="158"/>
      <c r="B93" s="81"/>
      <c r="C93" s="81"/>
      <c r="D93" s="81"/>
      <c r="E93" s="81"/>
      <c r="F93" s="81"/>
      <c r="G93" s="81"/>
      <c r="H93" s="216"/>
      <c r="I93" s="81"/>
      <c r="J93" s="81"/>
      <c r="K93" s="81"/>
    </row>
    <row r="94" spans="1:11" ht="15.75" thickBot="1" x14ac:dyDescent="0.3">
      <c r="A94" s="217" t="s">
        <v>488</v>
      </c>
      <c r="B94" s="81"/>
      <c r="C94" s="81"/>
      <c r="D94" s="79"/>
      <c r="E94" s="81"/>
      <c r="F94" s="81"/>
      <c r="G94" s="79"/>
      <c r="H94" s="216"/>
      <c r="I94" s="81"/>
      <c r="J94" s="81"/>
      <c r="K94" s="81"/>
    </row>
    <row r="95" spans="1:11" x14ac:dyDescent="0.25">
      <c r="A95" s="170">
        <v>459</v>
      </c>
      <c r="B95" s="82">
        <v>293153938.24000144</v>
      </c>
      <c r="C95" s="82"/>
      <c r="D95" s="82">
        <v>34976.057500000003</v>
      </c>
      <c r="E95" s="82">
        <v>33465.061442922539</v>
      </c>
      <c r="F95" s="83">
        <v>0.95679913160374164</v>
      </c>
      <c r="G95" s="82">
        <v>602.89324255624524</v>
      </c>
      <c r="H95" s="82">
        <v>5053186.1229255954</v>
      </c>
      <c r="I95" s="82">
        <v>5053186.1229255954</v>
      </c>
      <c r="J95" s="82">
        <v>298207124.36292702</v>
      </c>
      <c r="K95" s="218">
        <v>1.6945222666027646E-2</v>
      </c>
    </row>
    <row r="96" spans="1:11" x14ac:dyDescent="0.25">
      <c r="A96" s="165" t="s">
        <v>249</v>
      </c>
      <c r="B96" s="80">
        <v>1661664054.6089966</v>
      </c>
      <c r="C96" s="80"/>
      <c r="D96" s="80">
        <v>198654.46691666663</v>
      </c>
      <c r="E96" s="80">
        <v>189687.67746678044</v>
      </c>
      <c r="F96" s="84">
        <v>0.95486238195868178</v>
      </c>
      <c r="G96" s="80">
        <v>3417.3377848405798</v>
      </c>
      <c r="H96" s="80">
        <v>28584644.723386865</v>
      </c>
      <c r="I96" s="80">
        <v>28584644.723386865</v>
      </c>
      <c r="J96" s="80">
        <v>1690248699.3323834</v>
      </c>
      <c r="K96" s="213">
        <v>1.6911502274592646E-2</v>
      </c>
    </row>
    <row r="97" spans="1:11" x14ac:dyDescent="0.25">
      <c r="A97" s="165" t="s">
        <v>489</v>
      </c>
      <c r="B97" s="80">
        <v>74975062.919999987</v>
      </c>
      <c r="C97" s="80"/>
      <c r="D97" s="80">
        <v>8915.4699999999993</v>
      </c>
      <c r="E97" s="80">
        <v>8558.7971369863008</v>
      </c>
      <c r="F97" s="84">
        <v>0.95999393604445993</v>
      </c>
      <c r="G97" s="80">
        <v>323.40186887696836</v>
      </c>
      <c r="H97" s="80">
        <v>2719663.1773194559</v>
      </c>
      <c r="I97" s="80">
        <v>2719663.1773194559</v>
      </c>
      <c r="J97" s="80">
        <v>77694726.097319439</v>
      </c>
      <c r="K97" s="213">
        <v>3.5004476029850982E-2</v>
      </c>
    </row>
    <row r="98" spans="1:11" x14ac:dyDescent="0.25">
      <c r="A98" s="175" t="s">
        <v>482</v>
      </c>
      <c r="B98" s="219" t="s">
        <v>482</v>
      </c>
      <c r="C98" s="219"/>
      <c r="D98" s="219" t="s">
        <v>482</v>
      </c>
      <c r="E98" s="219" t="s">
        <v>482</v>
      </c>
      <c r="F98" s="219" t="s">
        <v>482</v>
      </c>
      <c r="G98" s="219" t="s">
        <v>482</v>
      </c>
      <c r="H98" s="219" t="s">
        <v>482</v>
      </c>
      <c r="I98" s="219" t="s">
        <v>538</v>
      </c>
      <c r="J98" s="219" t="s">
        <v>482</v>
      </c>
      <c r="K98" s="220" t="s">
        <v>482</v>
      </c>
    </row>
    <row r="99" spans="1:11" x14ac:dyDescent="0.25">
      <c r="A99" s="158" t="s">
        <v>490</v>
      </c>
      <c r="B99" s="70">
        <v>2029793055.7689981</v>
      </c>
      <c r="C99" s="176"/>
      <c r="D99" s="70">
        <v>242545.99441666662</v>
      </c>
      <c r="E99" s="70">
        <v>231711.53604668929</v>
      </c>
      <c r="F99" s="214">
        <v>0.95533029355510624</v>
      </c>
      <c r="G99" s="70">
        <v>4343.6328962737934</v>
      </c>
      <c r="H99" s="70">
        <v>36357494.023631915</v>
      </c>
      <c r="I99" s="70">
        <v>36357494.023631915</v>
      </c>
      <c r="J99" s="70">
        <v>2066150549.7926297</v>
      </c>
      <c r="K99" s="215">
        <v>1.7911921572644103E-2</v>
      </c>
    </row>
    <row r="100" spans="1:11" ht="15.75" thickBot="1" x14ac:dyDescent="0.3">
      <c r="A100" s="167"/>
      <c r="B100" s="72"/>
      <c r="C100" s="72"/>
      <c r="D100" s="72"/>
      <c r="E100" s="72"/>
      <c r="F100" s="72"/>
      <c r="G100" s="72"/>
      <c r="H100" s="168"/>
      <c r="I100" s="72"/>
      <c r="J100" s="72"/>
      <c r="K100" s="73"/>
    </row>
    <row r="101" spans="1:11" x14ac:dyDescent="0.25">
      <c r="A101" s="81"/>
      <c r="B101" s="81"/>
      <c r="C101" s="81"/>
      <c r="D101" s="81"/>
      <c r="E101" s="81"/>
      <c r="F101" s="81"/>
      <c r="G101" s="81"/>
      <c r="H101" s="216"/>
      <c r="I101" s="81"/>
      <c r="J101" s="81"/>
      <c r="K101" s="81"/>
    </row>
    <row r="102" spans="1:11" x14ac:dyDescent="0.25">
      <c r="A102" s="221" t="s">
        <v>540</v>
      </c>
      <c r="B102" s="81"/>
      <c r="C102" s="81"/>
      <c r="D102" s="81"/>
      <c r="E102" s="81"/>
      <c r="F102" s="81"/>
      <c r="G102" s="81"/>
      <c r="H102" s="216"/>
      <c r="I102" s="81"/>
      <c r="J102" s="81"/>
      <c r="K102" s="81"/>
    </row>
    <row r="103" spans="1:11" x14ac:dyDescent="0.25">
      <c r="A103" s="222" t="s">
        <v>541</v>
      </c>
      <c r="B103" s="62"/>
      <c r="C103" s="62"/>
      <c r="D103" s="62"/>
      <c r="E103" s="62"/>
      <c r="F103" s="62"/>
      <c r="G103" s="62"/>
      <c r="H103" s="62"/>
      <c r="I103" s="62"/>
      <c r="J103" s="62"/>
      <c r="K103" s="62"/>
    </row>
    <row r="104" spans="1:11" x14ac:dyDescent="0.25">
      <c r="A104" s="222" t="s">
        <v>542</v>
      </c>
      <c r="B104" s="62"/>
      <c r="C104" s="62"/>
      <c r="D104" s="62"/>
      <c r="E104" s="62"/>
      <c r="F104" s="62"/>
      <c r="G104" s="62"/>
      <c r="H104" s="62"/>
      <c r="I104" s="62"/>
      <c r="J104" s="62"/>
      <c r="K104" s="62"/>
    </row>
    <row r="105" spans="1:11" x14ac:dyDescent="0.2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</row>
    <row r="106" spans="1:11" x14ac:dyDescent="0.2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</row>
    <row r="107" spans="1:11" x14ac:dyDescent="0.25">
      <c r="A107" s="62" t="s">
        <v>543</v>
      </c>
      <c r="B107" s="273">
        <v>18155225105.257103</v>
      </c>
      <c r="C107" s="273">
        <v>-43141697.696445078</v>
      </c>
      <c r="D107" s="273">
        <v>2703721.4333791439</v>
      </c>
      <c r="E107" s="273">
        <v>2061940.2786385084</v>
      </c>
      <c r="F107" s="273">
        <v>0.76263044453565265</v>
      </c>
      <c r="G107" s="273">
        <v>417398.48050926824</v>
      </c>
      <c r="H107" s="273">
        <v>2796101386.8621106</v>
      </c>
      <c r="I107" s="273">
        <v>1494702553.3238175</v>
      </c>
      <c r="J107" s="273">
        <v>19606785960.884476</v>
      </c>
      <c r="K107" s="174">
        <v>7.6233940448258472E-2</v>
      </c>
    </row>
    <row r="108" spans="1:11" x14ac:dyDescent="0.25">
      <c r="A108" s="62" t="s">
        <v>544</v>
      </c>
      <c r="B108" s="273">
        <v>1928444112.117831</v>
      </c>
      <c r="C108" s="273">
        <v>-4582501.8652831903</v>
      </c>
      <c r="D108" s="273">
        <v>262169.04319119413</v>
      </c>
      <c r="E108" s="273">
        <v>219018.85362620078</v>
      </c>
      <c r="F108" s="273">
        <v>0.83541081342115264</v>
      </c>
      <c r="G108" s="273">
        <v>18566.555261537538</v>
      </c>
      <c r="H108" s="273">
        <v>136176286.91272208</v>
      </c>
      <c r="I108" s="273">
        <v>72795301.596350923</v>
      </c>
      <c r="J108" s="273">
        <v>1996656911.8488986</v>
      </c>
      <c r="K108" s="174">
        <v>3.6458592943212603E-2</v>
      </c>
    </row>
    <row r="109" spans="1:11" x14ac:dyDescent="0.25">
      <c r="A109" s="274" t="s">
        <v>545</v>
      </c>
      <c r="B109" s="275">
        <v>620610815.16485429</v>
      </c>
      <c r="C109" s="275">
        <v>-1474738.210061281</v>
      </c>
      <c r="D109" s="275">
        <v>78916.312416666653</v>
      </c>
      <c r="E109" s="275">
        <v>70484.526064980979</v>
      </c>
      <c r="F109" s="275">
        <v>0.89315534274882147</v>
      </c>
      <c r="G109" s="275">
        <v>2644.929789736083</v>
      </c>
      <c r="H109" s="275">
        <v>20751093.054188713</v>
      </c>
      <c r="I109" s="275">
        <v>11092842.311831942</v>
      </c>
      <c r="J109" s="275">
        <v>630228919.26662493</v>
      </c>
      <c r="K109" s="276">
        <v>1.7601290535414163E-2</v>
      </c>
    </row>
    <row r="110" spans="1:11" x14ac:dyDescent="0.25">
      <c r="A110" s="62" t="s">
        <v>4</v>
      </c>
      <c r="B110" s="273">
        <v>20704280032.539791</v>
      </c>
      <c r="C110" s="273">
        <v>-49198937.771789551</v>
      </c>
      <c r="D110" s="273">
        <v>3044806.7889870047</v>
      </c>
      <c r="E110" s="273">
        <v>2351443.6583296899</v>
      </c>
      <c r="F110" s="273"/>
      <c r="G110" s="273">
        <v>438609.9655605419</v>
      </c>
      <c r="H110" s="273">
        <v>2953028766.8290215</v>
      </c>
      <c r="I110" s="273">
        <v>1578590697.2320004</v>
      </c>
      <c r="J110" s="273">
        <v>22233671792</v>
      </c>
      <c r="K110" s="62"/>
    </row>
  </sheetData>
  <mergeCells count="1">
    <mergeCell ref="H65:I65"/>
  </mergeCells>
  <printOptions horizontalCentered="1"/>
  <pageMargins left="0.25" right="0.25" top="0.75" bottom="0.75" header="0.3" footer="0.3"/>
  <pageSetup scale="60" fitToHeight="0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/>
  </sheetViews>
  <sheetFormatPr defaultRowHeight="15" x14ac:dyDescent="0.25"/>
  <cols>
    <col min="1" max="1" width="7.85546875" style="256" bestFit="1" customWidth="1"/>
    <col min="2" max="2" width="5.5703125" style="256" bestFit="1" customWidth="1"/>
    <col min="3" max="3" width="21.7109375" style="256" bestFit="1" customWidth="1"/>
    <col min="4" max="4" width="13.85546875" style="256" bestFit="1" customWidth="1"/>
    <col min="5" max="5" width="16.140625" style="256" bestFit="1" customWidth="1"/>
    <col min="6" max="13" width="14.7109375" style="256" bestFit="1" customWidth="1"/>
    <col min="14" max="15" width="16.140625" style="256" bestFit="1" customWidth="1"/>
    <col min="16" max="16384" width="9.140625" style="256"/>
  </cols>
  <sheetData>
    <row r="1" spans="1:4" x14ac:dyDescent="0.25">
      <c r="A1" s="396" t="s">
        <v>33</v>
      </c>
      <c r="B1" s="396"/>
      <c r="C1" s="396"/>
      <c r="D1" s="396"/>
    </row>
    <row r="2" spans="1:4" x14ac:dyDescent="0.25">
      <c r="A2" s="396" t="s">
        <v>364</v>
      </c>
      <c r="B2" s="396"/>
      <c r="C2" s="396"/>
      <c r="D2" s="396"/>
    </row>
    <row r="3" spans="1:4" x14ac:dyDescent="0.25">
      <c r="A3" s="397" t="s">
        <v>365</v>
      </c>
      <c r="B3" s="396"/>
      <c r="C3" s="396"/>
      <c r="D3" s="396"/>
    </row>
    <row r="4" spans="1:4" x14ac:dyDescent="0.25">
      <c r="A4" s="397" t="s">
        <v>366</v>
      </c>
      <c r="B4" s="396"/>
      <c r="C4" s="396"/>
      <c r="D4" s="396"/>
    </row>
    <row r="6" spans="1:4" ht="39" x14ac:dyDescent="0.25">
      <c r="A6" s="85" t="s">
        <v>110</v>
      </c>
      <c r="B6" s="85" t="s">
        <v>227</v>
      </c>
      <c r="C6" s="85" t="s">
        <v>14</v>
      </c>
      <c r="D6" s="86" t="s">
        <v>367</v>
      </c>
    </row>
    <row r="7" spans="1:4" x14ac:dyDescent="0.25">
      <c r="A7" s="26">
        <v>1</v>
      </c>
      <c r="B7" s="26">
        <v>7</v>
      </c>
      <c r="C7" s="25"/>
      <c r="D7" s="269">
        <v>10494946.737496169</v>
      </c>
    </row>
    <row r="8" spans="1:4" x14ac:dyDescent="0.25">
      <c r="A8" s="26">
        <f>+A7+1</f>
        <v>2</v>
      </c>
      <c r="B8" s="26"/>
      <c r="C8" s="25" t="s">
        <v>99</v>
      </c>
      <c r="D8" s="270">
        <f>SUM(D7)</f>
        <v>10494946.737496169</v>
      </c>
    </row>
    <row r="9" spans="1:4" x14ac:dyDescent="0.25">
      <c r="A9" s="26">
        <f t="shared" ref="A9:A22" si="0">+A8+1</f>
        <v>3</v>
      </c>
      <c r="B9" s="26"/>
      <c r="C9" s="25"/>
      <c r="D9" s="269"/>
    </row>
    <row r="10" spans="1:4" x14ac:dyDescent="0.25">
      <c r="A10" s="26">
        <f t="shared" si="0"/>
        <v>4</v>
      </c>
      <c r="B10" s="26">
        <v>8</v>
      </c>
      <c r="D10" s="269">
        <v>250681.08714269023</v>
      </c>
    </row>
    <row r="11" spans="1:4" x14ac:dyDescent="0.25">
      <c r="A11" s="26">
        <f t="shared" si="0"/>
        <v>5</v>
      </c>
      <c r="B11" s="87">
        <v>11</v>
      </c>
      <c r="D11" s="269">
        <v>146070.963299</v>
      </c>
    </row>
    <row r="12" spans="1:4" x14ac:dyDescent="0.25">
      <c r="A12" s="26">
        <f t="shared" si="0"/>
        <v>6</v>
      </c>
      <c r="B12" s="26">
        <v>12</v>
      </c>
      <c r="D12" s="269">
        <v>16784.689999999999</v>
      </c>
    </row>
    <row r="13" spans="1:4" x14ac:dyDescent="0.25">
      <c r="A13" s="26">
        <f t="shared" si="0"/>
        <v>7</v>
      </c>
      <c r="B13" s="26">
        <v>29</v>
      </c>
      <c r="C13" s="25"/>
      <c r="D13" s="269">
        <v>16475.530202172358</v>
      </c>
    </row>
    <row r="14" spans="1:4" x14ac:dyDescent="0.25">
      <c r="A14" s="26">
        <f t="shared" si="0"/>
        <v>8</v>
      </c>
      <c r="B14" s="26"/>
      <c r="C14" s="88" t="s">
        <v>111</v>
      </c>
      <c r="D14" s="270">
        <f>SUM(D10:D13)</f>
        <v>430012.2706438626</v>
      </c>
    </row>
    <row r="15" spans="1:4" x14ac:dyDescent="0.25">
      <c r="A15" s="26">
        <f t="shared" si="0"/>
        <v>9</v>
      </c>
    </row>
    <row r="16" spans="1:4" x14ac:dyDescent="0.25">
      <c r="A16" s="26">
        <f t="shared" si="0"/>
        <v>10</v>
      </c>
      <c r="B16" s="26">
        <v>10</v>
      </c>
      <c r="C16" s="25"/>
      <c r="D16" s="269">
        <v>30627.212307692309</v>
      </c>
    </row>
    <row r="17" spans="1:4" x14ac:dyDescent="0.25">
      <c r="A17" s="26">
        <f t="shared" si="0"/>
        <v>11</v>
      </c>
      <c r="B17" s="26">
        <v>35</v>
      </c>
      <c r="C17" s="25"/>
      <c r="D17" s="269">
        <v>4443.66</v>
      </c>
    </row>
    <row r="18" spans="1:4" x14ac:dyDescent="0.25">
      <c r="A18" s="26">
        <f t="shared" si="0"/>
        <v>12</v>
      </c>
      <c r="B18" s="26"/>
      <c r="C18" s="25" t="s">
        <v>112</v>
      </c>
      <c r="D18" s="270">
        <f>SUM(D16:D17)</f>
        <v>35070.872307692305</v>
      </c>
    </row>
    <row r="19" spans="1:4" x14ac:dyDescent="0.25">
      <c r="A19" s="26">
        <f t="shared" si="0"/>
        <v>13</v>
      </c>
    </row>
    <row r="20" spans="1:4" x14ac:dyDescent="0.25">
      <c r="A20" s="26">
        <f t="shared" si="0"/>
        <v>14</v>
      </c>
      <c r="B20" s="26" t="s">
        <v>113</v>
      </c>
      <c r="C20" s="25"/>
      <c r="D20" s="270">
        <v>1897.0049755</v>
      </c>
    </row>
    <row r="21" spans="1:4" x14ac:dyDescent="0.25">
      <c r="A21" s="26">
        <f t="shared" si="0"/>
        <v>15</v>
      </c>
      <c r="B21" s="26"/>
      <c r="C21" s="25"/>
      <c r="D21" s="269"/>
    </row>
    <row r="22" spans="1:4" ht="15.75" thickBot="1" x14ac:dyDescent="0.3">
      <c r="A22" s="26">
        <f t="shared" si="0"/>
        <v>16</v>
      </c>
      <c r="B22" s="26"/>
      <c r="C22" s="88" t="s">
        <v>368</v>
      </c>
      <c r="D22" s="271">
        <f>SUM(D8,D14,D18,D20)</f>
        <v>10961926.885423223</v>
      </c>
    </row>
    <row r="23" spans="1:4" ht="15.75" thickTop="1" x14ac:dyDescent="0.25"/>
  </sheetData>
  <mergeCells count="4">
    <mergeCell ref="A1:D1"/>
    <mergeCell ref="A2:D2"/>
    <mergeCell ref="A3:D3"/>
    <mergeCell ref="A4:D4"/>
  </mergeCells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I22"/>
  <sheetViews>
    <sheetView workbookViewId="0"/>
  </sheetViews>
  <sheetFormatPr defaultRowHeight="15" x14ac:dyDescent="0.25"/>
  <cols>
    <col min="1" max="1" width="12.7109375" style="256" bestFit="1" customWidth="1"/>
    <col min="2" max="2" width="50.7109375" style="256" bestFit="1" customWidth="1"/>
    <col min="3" max="6" width="5.7109375" style="256" bestFit="1" customWidth="1"/>
    <col min="7" max="9" width="2.140625" style="256" bestFit="1" customWidth="1"/>
    <col min="10" max="16384" width="9.140625" style="256"/>
  </cols>
  <sheetData>
    <row r="3" spans="1:9" ht="15.75" x14ac:dyDescent="0.25">
      <c r="A3" s="257" t="s">
        <v>115</v>
      </c>
      <c r="B3" s="255"/>
      <c r="C3" s="255"/>
      <c r="D3" s="255"/>
      <c r="E3" s="255"/>
      <c r="F3" s="255"/>
      <c r="G3" s="255"/>
      <c r="H3" s="255"/>
      <c r="I3" s="255"/>
    </row>
    <row r="4" spans="1:9" x14ac:dyDescent="0.25">
      <c r="A4" s="258"/>
      <c r="B4" s="258"/>
      <c r="C4" s="258"/>
      <c r="D4" s="258"/>
      <c r="E4" s="258"/>
      <c r="F4" s="258"/>
      <c r="G4" s="258"/>
      <c r="H4" s="258"/>
      <c r="I4" s="258"/>
    </row>
    <row r="5" spans="1:9" x14ac:dyDescent="0.25">
      <c r="A5" s="128" t="s">
        <v>53</v>
      </c>
      <c r="B5" s="128" t="s">
        <v>14</v>
      </c>
      <c r="C5" s="128" t="s">
        <v>4</v>
      </c>
      <c r="D5" s="128" t="s">
        <v>100</v>
      </c>
      <c r="E5" s="128" t="s">
        <v>102</v>
      </c>
      <c r="F5" s="128" t="s">
        <v>105</v>
      </c>
      <c r="G5" s="128" t="s">
        <v>60</v>
      </c>
      <c r="H5" s="128" t="s">
        <v>60</v>
      </c>
      <c r="I5" s="128" t="s">
        <v>60</v>
      </c>
    </row>
    <row r="6" spans="1:9" x14ac:dyDescent="0.25">
      <c r="A6" s="14" t="s">
        <v>100</v>
      </c>
      <c r="B6" s="14" t="s">
        <v>101</v>
      </c>
      <c r="C6" s="371">
        <v>1</v>
      </c>
      <c r="D6" s="371">
        <v>1</v>
      </c>
      <c r="E6" s="371"/>
      <c r="F6" s="371"/>
      <c r="G6" s="371"/>
      <c r="H6" s="371"/>
      <c r="I6" s="371"/>
    </row>
    <row r="7" spans="1:9" x14ac:dyDescent="0.25">
      <c r="A7" s="14" t="s">
        <v>102</v>
      </c>
      <c r="B7" s="14" t="s">
        <v>103</v>
      </c>
      <c r="C7" s="371">
        <v>1</v>
      </c>
      <c r="D7" s="371"/>
      <c r="E7" s="371">
        <v>1</v>
      </c>
      <c r="F7" s="371"/>
      <c r="G7" s="371"/>
      <c r="H7" s="371"/>
      <c r="I7" s="371"/>
    </row>
    <row r="8" spans="1:9" x14ac:dyDescent="0.25">
      <c r="A8" s="14" t="s">
        <v>105</v>
      </c>
      <c r="B8" s="14" t="s">
        <v>106</v>
      </c>
      <c r="C8" s="371">
        <v>1</v>
      </c>
      <c r="D8" s="371"/>
      <c r="E8" s="371"/>
      <c r="F8" s="371">
        <v>1</v>
      </c>
      <c r="G8" s="371"/>
      <c r="H8" s="371"/>
      <c r="I8" s="371"/>
    </row>
    <row r="9" spans="1:9" x14ac:dyDescent="0.25">
      <c r="A9" s="14" t="s">
        <v>116</v>
      </c>
      <c r="B9" s="14" t="s">
        <v>117</v>
      </c>
      <c r="C9" s="371">
        <v>1</v>
      </c>
      <c r="D9" s="371"/>
      <c r="E9" s="371"/>
      <c r="F9" s="371"/>
      <c r="G9" s="371"/>
      <c r="H9" s="371"/>
      <c r="I9" s="371"/>
    </row>
    <row r="10" spans="1:9" x14ac:dyDescent="0.25">
      <c r="A10" s="14" t="s">
        <v>118</v>
      </c>
      <c r="B10" s="14" t="s">
        <v>119</v>
      </c>
      <c r="C10" s="371">
        <v>1</v>
      </c>
      <c r="D10" s="371"/>
      <c r="E10" s="371"/>
      <c r="F10" s="371"/>
      <c r="G10" s="371"/>
      <c r="H10" s="371"/>
      <c r="I10" s="371"/>
    </row>
    <row r="11" spans="1:9" x14ac:dyDescent="0.25">
      <c r="A11" s="14" t="s">
        <v>120</v>
      </c>
      <c r="B11" s="14" t="s">
        <v>121</v>
      </c>
      <c r="C11" s="371">
        <v>1</v>
      </c>
      <c r="D11" s="371">
        <v>1</v>
      </c>
      <c r="E11" s="371"/>
      <c r="F11" s="371">
        <v>0</v>
      </c>
      <c r="G11" s="371"/>
      <c r="H11" s="371"/>
      <c r="I11" s="371"/>
    </row>
    <row r="12" spans="1:9" x14ac:dyDescent="0.25">
      <c r="A12" s="14" t="s">
        <v>122</v>
      </c>
      <c r="B12" s="14" t="s">
        <v>123</v>
      </c>
      <c r="C12" s="371">
        <v>1</v>
      </c>
      <c r="D12" s="371">
        <f>ROUND('Peak Credit'!G9,2)</f>
        <v>0.11</v>
      </c>
      <c r="E12" s="371">
        <f>1-D12</f>
        <v>0.89</v>
      </c>
      <c r="F12" s="371"/>
      <c r="G12" s="371"/>
      <c r="H12" s="371"/>
      <c r="I12" s="371"/>
    </row>
    <row r="13" spans="1:9" x14ac:dyDescent="0.25">
      <c r="A13" s="14" t="s">
        <v>124</v>
      </c>
      <c r="B13" s="14" t="s">
        <v>125</v>
      </c>
      <c r="C13" s="371">
        <v>1</v>
      </c>
      <c r="D13" s="371">
        <f>+$D$12</f>
        <v>0.11</v>
      </c>
      <c r="E13" s="371">
        <f>+$E$12</f>
        <v>0.89</v>
      </c>
      <c r="F13" s="371"/>
      <c r="G13" s="371"/>
      <c r="H13" s="371"/>
      <c r="I13" s="371"/>
    </row>
    <row r="14" spans="1:9" x14ac:dyDescent="0.25">
      <c r="A14" s="14" t="s">
        <v>60</v>
      </c>
      <c r="B14" s="14" t="s">
        <v>60</v>
      </c>
      <c r="C14" s="371">
        <v>0</v>
      </c>
      <c r="D14" s="371"/>
      <c r="E14" s="371"/>
      <c r="F14" s="371"/>
      <c r="G14" s="371"/>
      <c r="H14" s="371"/>
      <c r="I14" s="371"/>
    </row>
    <row r="15" spans="1:9" x14ac:dyDescent="0.25">
      <c r="A15" s="14" t="s">
        <v>60</v>
      </c>
      <c r="B15" s="14" t="s">
        <v>60</v>
      </c>
      <c r="C15" s="371">
        <v>0</v>
      </c>
      <c r="D15" s="371"/>
      <c r="E15" s="371"/>
      <c r="F15" s="371"/>
      <c r="G15" s="371"/>
      <c r="H15" s="371"/>
      <c r="I15" s="371"/>
    </row>
    <row r="16" spans="1:9" x14ac:dyDescent="0.25">
      <c r="A16" s="14" t="s">
        <v>60</v>
      </c>
      <c r="B16" s="14" t="s">
        <v>60</v>
      </c>
      <c r="C16" s="371">
        <v>0</v>
      </c>
      <c r="D16" s="371"/>
      <c r="E16" s="371"/>
      <c r="F16" s="371"/>
      <c r="G16" s="371"/>
      <c r="H16" s="371"/>
      <c r="I16" s="371"/>
    </row>
    <row r="17" spans="1:9" x14ac:dyDescent="0.25">
      <c r="A17" s="14" t="s">
        <v>60</v>
      </c>
      <c r="B17" s="14" t="s">
        <v>60</v>
      </c>
      <c r="C17" s="371">
        <v>0</v>
      </c>
      <c r="D17" s="371"/>
      <c r="E17" s="371"/>
      <c r="F17" s="371"/>
      <c r="G17" s="371"/>
      <c r="H17" s="371"/>
      <c r="I17" s="371"/>
    </row>
    <row r="18" spans="1:9" x14ac:dyDescent="0.25">
      <c r="A18" s="14" t="s">
        <v>60</v>
      </c>
      <c r="B18" s="14" t="s">
        <v>60</v>
      </c>
      <c r="C18" s="371">
        <v>0</v>
      </c>
      <c r="D18" s="371"/>
      <c r="E18" s="371"/>
      <c r="F18" s="371"/>
      <c r="G18" s="371"/>
      <c r="H18" s="371"/>
      <c r="I18" s="371"/>
    </row>
    <row r="19" spans="1:9" x14ac:dyDescent="0.25">
      <c r="A19" s="14" t="s">
        <v>60</v>
      </c>
      <c r="B19" s="14" t="s">
        <v>60</v>
      </c>
      <c r="C19" s="371">
        <v>0</v>
      </c>
      <c r="D19" s="371"/>
      <c r="E19" s="371"/>
      <c r="F19" s="371"/>
      <c r="G19" s="371"/>
      <c r="H19" s="371"/>
      <c r="I19" s="371"/>
    </row>
    <row r="20" spans="1:9" x14ac:dyDescent="0.25">
      <c r="A20" s="14" t="s">
        <v>60</v>
      </c>
      <c r="B20" s="14" t="s">
        <v>60</v>
      </c>
      <c r="C20" s="371">
        <v>0</v>
      </c>
      <c r="D20" s="371"/>
      <c r="E20" s="371"/>
      <c r="F20" s="371"/>
      <c r="G20" s="371"/>
      <c r="H20" s="371"/>
      <c r="I20" s="371"/>
    </row>
    <row r="21" spans="1:9" x14ac:dyDescent="0.25">
      <c r="A21" s="14" t="s">
        <v>60</v>
      </c>
      <c r="B21" s="14" t="s">
        <v>60</v>
      </c>
      <c r="C21" s="371">
        <v>0</v>
      </c>
      <c r="D21" s="371"/>
      <c r="E21" s="371"/>
      <c r="F21" s="371"/>
      <c r="G21" s="371"/>
      <c r="H21" s="371"/>
      <c r="I21" s="371"/>
    </row>
    <row r="22" spans="1:9" x14ac:dyDescent="0.25">
      <c r="A22" s="14" t="s">
        <v>60</v>
      </c>
      <c r="B22" s="14" t="s">
        <v>60</v>
      </c>
      <c r="C22" s="371">
        <v>0</v>
      </c>
      <c r="D22" s="371"/>
      <c r="E22" s="371"/>
      <c r="F22" s="371"/>
      <c r="G22" s="371"/>
      <c r="H22" s="371"/>
      <c r="I22" s="371"/>
    </row>
  </sheetData>
  <printOptions horizontalCentered="1"/>
  <pageMargins left="0.25" right="0.25" top="0.75" bottom="0.75" header="0.3" footer="0.3"/>
  <pageSetup orientation="landscape" r:id="rId1"/>
  <headerFooter>
    <oddHeader xml:space="preserve">&amp;CPuget Sound Energy
</oddHead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P173"/>
  <sheetViews>
    <sheetView workbookViewId="0">
      <pane xSplit="4" ySplit="3" topLeftCell="E142" activePane="bottomRight" state="frozen"/>
      <selection pane="topRight"/>
      <selection pane="bottomLeft"/>
      <selection pane="bottomRight" activeCell="E169" sqref="E169"/>
    </sheetView>
  </sheetViews>
  <sheetFormatPr defaultRowHeight="15" x14ac:dyDescent="0.25"/>
  <cols>
    <col min="1" max="1" width="21" style="256" bestFit="1" customWidth="1"/>
    <col min="2" max="2" width="59.5703125" style="256" bestFit="1" customWidth="1"/>
    <col min="3" max="3" width="8.5703125" style="256" bestFit="1" customWidth="1"/>
    <col min="4" max="5" width="15" style="256" bestFit="1" customWidth="1"/>
    <col min="6" max="9" width="14" style="256" bestFit="1" customWidth="1"/>
    <col min="10" max="10" width="10.28515625" style="256" bestFit="1" customWidth="1"/>
    <col min="11" max="13" width="12.28515625" style="256" bestFit="1" customWidth="1"/>
    <col min="14" max="14" width="14" style="256" bestFit="1" customWidth="1"/>
    <col min="15" max="15" width="11.28515625" style="256" bestFit="1" customWidth="1"/>
    <col min="16" max="16" width="10.28515625" style="256" bestFit="1" customWidth="1"/>
    <col min="17" max="16384" width="9.140625" style="256"/>
  </cols>
  <sheetData>
    <row r="1" spans="1:16" ht="15.75" x14ac:dyDescent="0.25">
      <c r="A1" s="374" t="s">
        <v>126</v>
      </c>
      <c r="B1" s="374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ht="15.75" x14ac:dyDescent="0.25">
      <c r="A2" s="253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</row>
    <row r="3" spans="1:16" ht="39" x14ac:dyDescent="0.25">
      <c r="A3" s="128" t="s">
        <v>53</v>
      </c>
      <c r="B3" s="128" t="s">
        <v>14</v>
      </c>
      <c r="C3" s="128" t="s">
        <v>127</v>
      </c>
      <c r="D3" s="129" t="s">
        <v>4</v>
      </c>
      <c r="E3" s="129" t="s">
        <v>63</v>
      </c>
      <c r="F3" s="129" t="s">
        <v>65</v>
      </c>
      <c r="G3" s="129" t="s">
        <v>67</v>
      </c>
      <c r="H3" s="129" t="s">
        <v>69</v>
      </c>
      <c r="I3" s="129" t="s">
        <v>71</v>
      </c>
      <c r="J3" s="129" t="s">
        <v>74</v>
      </c>
      <c r="K3" s="129" t="s">
        <v>78</v>
      </c>
      <c r="L3" s="129" t="s">
        <v>330</v>
      </c>
      <c r="M3" s="129" t="s">
        <v>82</v>
      </c>
      <c r="N3" s="131" t="s">
        <v>327</v>
      </c>
      <c r="O3" s="129" t="s">
        <v>86</v>
      </c>
      <c r="P3" s="129" t="s">
        <v>89</v>
      </c>
    </row>
    <row r="4" spans="1:16" x14ac:dyDescent="0.25">
      <c r="A4" s="128"/>
      <c r="B4" s="128"/>
      <c r="C4" s="128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</row>
    <row r="5" spans="1:16" x14ac:dyDescent="0.25">
      <c r="A5" s="128"/>
      <c r="B5" s="128" t="s">
        <v>128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16" x14ac:dyDescent="0.25">
      <c r="A6" s="258"/>
      <c r="B6" s="255"/>
      <c r="C6" s="258"/>
      <c r="D6" s="25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</row>
    <row r="7" spans="1:16" x14ac:dyDescent="0.25">
      <c r="A7" s="14" t="s">
        <v>80</v>
      </c>
      <c r="B7" s="14" t="s">
        <v>129</v>
      </c>
      <c r="C7" s="14" t="s">
        <v>105</v>
      </c>
      <c r="D7" s="14"/>
      <c r="E7" s="15">
        <f t="shared" ref="E7:P7" si="0">IF($D8=0,0,E8/$D8)</f>
        <v>0.87891799466163856</v>
      </c>
      <c r="F7" s="15">
        <f t="shared" si="0"/>
        <v>0.10575661141894484</v>
      </c>
      <c r="G7" s="15">
        <f t="shared" si="0"/>
        <v>7.1004208590952616E-3</v>
      </c>
      <c r="H7" s="15">
        <f t="shared" si="0"/>
        <v>7.3230700188121141E-4</v>
      </c>
      <c r="I7" s="15">
        <f t="shared" si="0"/>
        <v>4.2355523743010687E-4</v>
      </c>
      <c r="J7" s="15">
        <f t="shared" si="0"/>
        <v>1.7394465602879132E-6</v>
      </c>
      <c r="K7" s="15">
        <f t="shared" si="0"/>
        <v>1.3480710842231328E-4</v>
      </c>
      <c r="L7" s="15">
        <f t="shared" si="0"/>
        <v>8.0884265053387963E-5</v>
      </c>
      <c r="M7" s="15">
        <f t="shared" si="0"/>
        <v>2.1743082003598914E-5</v>
      </c>
      <c r="N7" s="15">
        <f t="shared" si="0"/>
        <v>1.3915572482303306E-5</v>
      </c>
      <c r="O7" s="15">
        <f t="shared" si="0"/>
        <v>6.809063560247036E-3</v>
      </c>
      <c r="P7" s="15">
        <f t="shared" si="0"/>
        <v>6.9577862411516528E-6</v>
      </c>
    </row>
    <row r="8" spans="1:16" x14ac:dyDescent="0.25">
      <c r="A8" s="254" t="str">
        <f>IF(A7="~","~","")</f>
        <v/>
      </c>
      <c r="B8" s="369" t="s">
        <v>298</v>
      </c>
      <c r="C8" s="268"/>
      <c r="D8" s="14">
        <f>SUM(E8:P8)</f>
        <v>1149791</v>
      </c>
      <c r="E8" s="14">
        <f>+'Customer Counts'!Q10</f>
        <v>1010572</v>
      </c>
      <c r="F8" s="14">
        <f>+'Customer Counts'!$Q$11</f>
        <v>121598</v>
      </c>
      <c r="G8" s="14">
        <f>+'Customer Counts'!Q12+'Customer Counts'!Q14</f>
        <v>8164</v>
      </c>
      <c r="H8" s="14">
        <f>+'Customer Counts'!Q13</f>
        <v>842</v>
      </c>
      <c r="I8" s="14">
        <f>+'Customer Counts'!Q15</f>
        <v>487</v>
      </c>
      <c r="J8" s="14">
        <f>+'Customer Counts'!Q16</f>
        <v>2</v>
      </c>
      <c r="K8" s="14">
        <f>+'Customer Counts'!Q18</f>
        <v>155</v>
      </c>
      <c r="L8" s="14">
        <f>+'Customer Counts'!P21</f>
        <v>93</v>
      </c>
      <c r="M8" s="14">
        <f>+'Customer Counts'!Q19+'Customer Counts'!Q20</f>
        <v>25</v>
      </c>
      <c r="N8" s="14">
        <f>+'Customer Counts'!Q21-'ECOS - EXTERNAL (2019 GRC)'!L8</f>
        <v>16</v>
      </c>
      <c r="O8" s="14">
        <f>+'Customer Counts'!Q22</f>
        <v>7829</v>
      </c>
      <c r="P8" s="14">
        <f>+'Customer Counts'!Q23</f>
        <v>8</v>
      </c>
    </row>
    <row r="9" spans="1:16" x14ac:dyDescent="0.25">
      <c r="A9" s="230" t="str">
        <f>IF(A8="~","~","")</f>
        <v/>
      </c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</row>
    <row r="10" spans="1:16" x14ac:dyDescent="0.25">
      <c r="A10" s="14" t="s">
        <v>130</v>
      </c>
      <c r="B10" s="14" t="s">
        <v>131</v>
      </c>
      <c r="C10" s="14" t="s">
        <v>105</v>
      </c>
      <c r="D10" s="14"/>
      <c r="E10" s="15">
        <f t="shared" ref="E10:P10" si="1">IF($D11=0,0,E11/$D11)</f>
        <v>0.88555314868171076</v>
      </c>
      <c r="F10" s="15">
        <f t="shared" si="1"/>
        <v>0.10655499239381129</v>
      </c>
      <c r="G10" s="15">
        <f t="shared" si="1"/>
        <v>7.1540235686695132E-3</v>
      </c>
      <c r="H10" s="15">
        <f t="shared" si="1"/>
        <v>7.3783535580839419E-4</v>
      </c>
      <c r="I10" s="15">
        <f t="shared" si="1"/>
        <v>0</v>
      </c>
      <c r="J10" s="15">
        <f t="shared" si="1"/>
        <v>0</v>
      </c>
      <c r="K10" s="15">
        <f t="shared" si="1"/>
        <v>0</v>
      </c>
      <c r="L10" s="15">
        <f t="shared" si="1"/>
        <v>0</v>
      </c>
      <c r="M10" s="15">
        <f t="shared" si="1"/>
        <v>0</v>
      </c>
      <c r="N10" s="15">
        <f t="shared" si="1"/>
        <v>0</v>
      </c>
      <c r="O10" s="15">
        <f t="shared" si="1"/>
        <v>0</v>
      </c>
      <c r="P10" s="15">
        <f t="shared" si="1"/>
        <v>0</v>
      </c>
    </row>
    <row r="11" spans="1:16" x14ac:dyDescent="0.25">
      <c r="A11" s="254" t="str">
        <f>IF(A10="~","~","")</f>
        <v/>
      </c>
      <c r="B11" s="369" t="s">
        <v>298</v>
      </c>
      <c r="C11" s="268"/>
      <c r="D11" s="14">
        <f>SUM(E11:P11)</f>
        <v>1141176</v>
      </c>
      <c r="E11" s="14">
        <f t="shared" ref="E11:F11" si="2">+E8</f>
        <v>1010572</v>
      </c>
      <c r="F11" s="14">
        <f t="shared" si="2"/>
        <v>121598</v>
      </c>
      <c r="G11" s="14">
        <f>+G8</f>
        <v>8164</v>
      </c>
      <c r="H11" s="14">
        <f t="shared" ref="H11" si="3">+H8</f>
        <v>842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</row>
    <row r="12" spans="1:16" x14ac:dyDescent="0.25">
      <c r="A12" s="230" t="str">
        <f>IF(A11="~","~","")</f>
        <v/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</row>
    <row r="13" spans="1:16" x14ac:dyDescent="0.25">
      <c r="A13" s="14" t="s">
        <v>132</v>
      </c>
      <c r="B13" s="14" t="s">
        <v>290</v>
      </c>
      <c r="C13" s="14" t="s">
        <v>105</v>
      </c>
      <c r="D13" s="14"/>
      <c r="E13" s="15">
        <f t="shared" ref="E13:P13" si="4">IF($D14=0,0,E14/$D14)</f>
        <v>0.85415776617976635</v>
      </c>
      <c r="F13" s="15">
        <f t="shared" si="4"/>
        <v>0.10079256282734517</v>
      </c>
      <c r="G13" s="15">
        <f t="shared" si="4"/>
        <v>9.1822218457507949E-3</v>
      </c>
      <c r="H13" s="15">
        <f t="shared" si="4"/>
        <v>9.4889651996162908E-3</v>
      </c>
      <c r="I13" s="15">
        <f t="shared" si="4"/>
        <v>7.1051849231838892E-3</v>
      </c>
      <c r="J13" s="15">
        <f t="shared" si="4"/>
        <v>1.1309268713111472E-6</v>
      </c>
      <c r="K13" s="15">
        <f t="shared" si="4"/>
        <v>5.8190104929613923E-4</v>
      </c>
      <c r="L13" s="15">
        <f t="shared" si="4"/>
        <v>2.5853474589819054E-3</v>
      </c>
      <c r="M13" s="15">
        <f t="shared" si="4"/>
        <v>4.1739886374340708E-3</v>
      </c>
      <c r="N13" s="15">
        <f t="shared" si="4"/>
        <v>7.4567161198464127E-3</v>
      </c>
      <c r="O13" s="15">
        <f t="shared" si="4"/>
        <v>4.4733610875329587E-3</v>
      </c>
      <c r="P13" s="15">
        <f t="shared" si="4"/>
        <v>8.5374437449295518E-7</v>
      </c>
    </row>
    <row r="14" spans="1:16" x14ac:dyDescent="0.25">
      <c r="A14" s="254" t="str">
        <f>IF(A13="~","~","")</f>
        <v/>
      </c>
      <c r="B14" s="369" t="s">
        <v>298</v>
      </c>
      <c r="C14" s="268"/>
      <c r="D14" s="14">
        <f>SUM(E14:P14)</f>
        <v>23055852.679125007</v>
      </c>
      <c r="E14" s="14">
        <f>+'Records &amp; Collec (903)'!$L$8</f>
        <v>19693335.621771198</v>
      </c>
      <c r="F14" s="14">
        <f>+'Records &amp; Collec (903)'!$L$9</f>
        <v>2323858.4796987218</v>
      </c>
      <c r="G14" s="14">
        <f>+'Records &amp; Collec (903)'!$L$10</f>
        <v>211703.95414267364</v>
      </c>
      <c r="H14" s="14">
        <f>+'Records &amp; Collec (903)'!$L$11</f>
        <v>218776.18371969723</v>
      </c>
      <c r="I14" s="14">
        <f>+'Records &amp; Collec (903)'!$L$12</f>
        <v>163816.09684686788</v>
      </c>
      <c r="J14" s="14">
        <f>+'Records &amp; Collec (903)'!$L$13</f>
        <v>26.074483335813575</v>
      </c>
      <c r="K14" s="14">
        <f>+'Records &amp; Collec (903)'!L14</f>
        <v>13416.224866400044</v>
      </c>
      <c r="L14" s="14">
        <f>+'Records &amp; Collec (903)'!$L$18</f>
        <v>59607.390138636991</v>
      </c>
      <c r="M14" s="14">
        <f>+'Records &amp; Collec (903)'!$L$16</f>
        <v>96234.867109021652</v>
      </c>
      <c r="N14" s="14">
        <f>+'Records &amp; Collec (903)'!L17</f>
        <v>171920.94832923554</v>
      </c>
      <c r="O14" s="14">
        <f>+'Records &amp; Collec (903)'!L19</f>
        <v>103137.15421469032</v>
      </c>
      <c r="P14" s="14">
        <f>+'Records &amp; Collec (903)'!L20</f>
        <v>19.683804523941305</v>
      </c>
    </row>
    <row r="15" spans="1:16" x14ac:dyDescent="0.25">
      <c r="A15" s="230" t="str">
        <f>IF(A14="~","~","")</f>
        <v/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</row>
    <row r="16" spans="1:16" x14ac:dyDescent="0.25">
      <c r="A16" s="14" t="s">
        <v>133</v>
      </c>
      <c r="B16" s="370" t="s">
        <v>134</v>
      </c>
      <c r="C16" s="14" t="s">
        <v>105</v>
      </c>
      <c r="D16" s="14"/>
      <c r="E16" s="15">
        <f t="shared" ref="E16:P16" si="5">IF($D17=0,0,E17/$D17)</f>
        <v>0.87912300645490304</v>
      </c>
      <c r="F16" s="15">
        <f t="shared" si="5"/>
        <v>0.11191483519060683</v>
      </c>
      <c r="G16" s="15">
        <f t="shared" si="5"/>
        <v>7.4509827331981915E-3</v>
      </c>
      <c r="H16" s="15">
        <f t="shared" si="5"/>
        <v>7.530293869078635E-4</v>
      </c>
      <c r="I16" s="15">
        <f t="shared" si="5"/>
        <v>4.5198819372725669E-4</v>
      </c>
      <c r="J16" s="15">
        <f t="shared" si="5"/>
        <v>1.7056158253858743E-6</v>
      </c>
      <c r="K16" s="15">
        <f t="shared" si="5"/>
        <v>1.35596458118177E-4</v>
      </c>
      <c r="L16" s="15">
        <f t="shared" si="5"/>
        <v>8.4427983356600775E-5</v>
      </c>
      <c r="M16" s="15">
        <f t="shared" si="5"/>
        <v>3.0701084856945739E-5</v>
      </c>
      <c r="N16" s="15">
        <f t="shared" si="5"/>
        <v>4.690443519811154E-5</v>
      </c>
      <c r="O16" s="15">
        <f t="shared" si="5"/>
        <v>0</v>
      </c>
      <c r="P16" s="15">
        <f t="shared" si="5"/>
        <v>6.8224633015434971E-6</v>
      </c>
    </row>
    <row r="17" spans="1:16" x14ac:dyDescent="0.25">
      <c r="A17" s="254" t="str">
        <f>IF(A16="~","~","")</f>
        <v/>
      </c>
      <c r="B17" s="369" t="s">
        <v>298</v>
      </c>
      <c r="C17" s="268"/>
      <c r="D17" s="14">
        <f>SUM(E17:P17)</f>
        <v>1172597</v>
      </c>
      <c r="E17" s="14">
        <f>+'Meter Costs (370)'!B7</f>
        <v>1030857</v>
      </c>
      <c r="F17" s="14">
        <f>+'Meter Costs (370)'!B8</f>
        <v>131231</v>
      </c>
      <c r="G17" s="14">
        <f>+'Meter Costs (370)'!B9+'Meter Costs (370)'!B11+'Meter Costs (370)'!E17</f>
        <v>8737</v>
      </c>
      <c r="H17" s="14">
        <f>+'Meter Costs (370)'!B10+'Meter Costs (370)'!E18</f>
        <v>883</v>
      </c>
      <c r="I17" s="14">
        <f>+'Meter Costs (370)'!B12+'Meter Costs (370)'!E19</f>
        <v>530</v>
      </c>
      <c r="J17" s="14">
        <f>+'Meter Costs (370)'!B13</f>
        <v>2</v>
      </c>
      <c r="K17" s="14">
        <f>+'Meter Costs (370)'!B14</f>
        <v>159</v>
      </c>
      <c r="L17" s="14">
        <f>+'Meter Costs (370)'!F23</f>
        <v>99</v>
      </c>
      <c r="M17" s="14">
        <f>+'Meter Costs (370)'!B15+'Meter Costs (370)'!B16</f>
        <v>36</v>
      </c>
      <c r="N17" s="14">
        <f>+'Meter Costs (370)'!B20+'Meter Costs (370)'!B21+'Meter Costs (370)'!B22</f>
        <v>55</v>
      </c>
      <c r="O17" s="14">
        <v>0</v>
      </c>
      <c r="P17" s="14">
        <f>+'Meter Costs (370)'!B26</f>
        <v>8</v>
      </c>
    </row>
    <row r="18" spans="1:16" x14ac:dyDescent="0.25">
      <c r="A18" s="230" t="str">
        <f>IF(A17="~","~","")</f>
        <v/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</row>
    <row r="19" spans="1:16" x14ac:dyDescent="0.25">
      <c r="A19" s="370" t="s">
        <v>409</v>
      </c>
      <c r="B19" s="370" t="s">
        <v>338</v>
      </c>
      <c r="C19" s="14" t="s">
        <v>105</v>
      </c>
      <c r="D19" s="14"/>
      <c r="E19" s="15">
        <f t="shared" ref="E19:P19" si="6">IF($D20=0,0,E20/$D20)</f>
        <v>0</v>
      </c>
      <c r="F19" s="15">
        <f t="shared" si="6"/>
        <v>0</v>
      </c>
      <c r="G19" s="15">
        <f t="shared" si="6"/>
        <v>0</v>
      </c>
      <c r="H19" s="15">
        <f t="shared" si="6"/>
        <v>0</v>
      </c>
      <c r="I19" s="15">
        <f t="shared" si="6"/>
        <v>0</v>
      </c>
      <c r="J19" s="15">
        <f t="shared" si="6"/>
        <v>0</v>
      </c>
      <c r="K19" s="15">
        <f t="shared" si="6"/>
        <v>0</v>
      </c>
      <c r="L19" s="15">
        <f t="shared" si="6"/>
        <v>1</v>
      </c>
      <c r="M19" s="15">
        <f t="shared" si="6"/>
        <v>0</v>
      </c>
      <c r="N19" s="15">
        <f t="shared" si="6"/>
        <v>0</v>
      </c>
      <c r="O19" s="15">
        <f t="shared" si="6"/>
        <v>0</v>
      </c>
      <c r="P19" s="15">
        <f t="shared" si="6"/>
        <v>0</v>
      </c>
    </row>
    <row r="20" spans="1:16" x14ac:dyDescent="0.25">
      <c r="A20" s="254" t="str">
        <f>IF(A19="~","~","")</f>
        <v/>
      </c>
      <c r="B20" s="369" t="s">
        <v>298</v>
      </c>
      <c r="C20" s="268"/>
      <c r="D20" s="14">
        <f>SUM(E20:P20)</f>
        <v>1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1</v>
      </c>
      <c r="M20" s="14">
        <v>0</v>
      </c>
      <c r="N20" s="14">
        <v>0</v>
      </c>
      <c r="O20" s="14">
        <v>0</v>
      </c>
      <c r="P20" s="14">
        <v>0</v>
      </c>
    </row>
    <row r="21" spans="1:16" x14ac:dyDescent="0.25">
      <c r="A21" s="230" t="str">
        <f>IF(A20="~","~","")</f>
        <v/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</row>
    <row r="22" spans="1:16" x14ac:dyDescent="0.25">
      <c r="A22" s="14" t="s">
        <v>135</v>
      </c>
      <c r="B22" s="370" t="s">
        <v>136</v>
      </c>
      <c r="C22" s="14" t="s">
        <v>100</v>
      </c>
      <c r="D22" s="14"/>
      <c r="E22" s="15">
        <f t="shared" ref="E22:P22" si="7">IF($D23=0,0,E23/$D23)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0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7"/>
        <v>1</v>
      </c>
      <c r="O22" s="15">
        <f t="shared" si="7"/>
        <v>0</v>
      </c>
      <c r="P22" s="15">
        <f t="shared" si="7"/>
        <v>0</v>
      </c>
    </row>
    <row r="23" spans="1:16" x14ac:dyDescent="0.25">
      <c r="A23" s="254" t="str">
        <f>IF(A22="~","~","")</f>
        <v/>
      </c>
      <c r="B23" s="369" t="s">
        <v>298</v>
      </c>
      <c r="C23" s="268"/>
      <c r="D23" s="14">
        <f>SUM(E23:P23)</f>
        <v>1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1</v>
      </c>
      <c r="O23" s="14">
        <v>0</v>
      </c>
      <c r="P23" s="14">
        <v>0</v>
      </c>
    </row>
    <row r="24" spans="1:16" x14ac:dyDescent="0.25">
      <c r="A24" s="230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</row>
    <row r="25" spans="1:16" x14ac:dyDescent="0.25">
      <c r="A25" s="14" t="s">
        <v>137</v>
      </c>
      <c r="B25" s="14" t="s">
        <v>138</v>
      </c>
      <c r="C25" s="14" t="s">
        <v>105</v>
      </c>
      <c r="D25" s="14"/>
      <c r="E25" s="15">
        <f t="shared" ref="E25:P25" si="8">IF($D26=0,0,E26/$D26)</f>
        <v>0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8"/>
        <v>1</v>
      </c>
      <c r="O25" s="15">
        <f t="shared" si="8"/>
        <v>0</v>
      </c>
      <c r="P25" s="15">
        <f t="shared" si="8"/>
        <v>0</v>
      </c>
    </row>
    <row r="26" spans="1:16" x14ac:dyDescent="0.25">
      <c r="A26" s="254" t="str">
        <f>IF(A25="~","~","")</f>
        <v/>
      </c>
      <c r="B26" s="369" t="s">
        <v>298</v>
      </c>
      <c r="C26" s="268"/>
      <c r="D26" s="14">
        <f>SUM(E26:P26)</f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1</v>
      </c>
      <c r="O26" s="14">
        <v>0</v>
      </c>
      <c r="P26" s="14">
        <v>0</v>
      </c>
    </row>
    <row r="27" spans="1:16" x14ac:dyDescent="0.25">
      <c r="A27" s="230" t="str">
        <f>IF(A26="~","~","")</f>
        <v/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</row>
    <row r="28" spans="1:16" x14ac:dyDescent="0.25">
      <c r="A28" s="14" t="s">
        <v>139</v>
      </c>
      <c r="B28" s="14" t="s">
        <v>140</v>
      </c>
      <c r="C28" s="14" t="s">
        <v>105</v>
      </c>
      <c r="D28" s="14"/>
      <c r="E28" s="15">
        <f t="shared" ref="E28:P28" si="9">IF($D29=0,0,E29/$D29)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  <c r="P28" s="15">
        <f t="shared" si="9"/>
        <v>1</v>
      </c>
    </row>
    <row r="29" spans="1:16" x14ac:dyDescent="0.25">
      <c r="A29" s="254" t="str">
        <f>IF(A28="~","~","")</f>
        <v/>
      </c>
      <c r="B29" s="369" t="s">
        <v>298</v>
      </c>
      <c r="C29" s="268"/>
      <c r="D29" s="14">
        <f>SUM(E29:P29)</f>
        <v>1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1</v>
      </c>
    </row>
    <row r="30" spans="1:16" x14ac:dyDescent="0.25">
      <c r="A30" s="230" t="str">
        <f>IF(A29="~","~","")</f>
        <v/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</row>
    <row r="31" spans="1:16" x14ac:dyDescent="0.25">
      <c r="A31" s="14" t="s">
        <v>141</v>
      </c>
      <c r="B31" s="14" t="s">
        <v>35</v>
      </c>
      <c r="C31" s="14" t="s">
        <v>105</v>
      </c>
      <c r="D31" s="14"/>
      <c r="E31" s="15">
        <f t="shared" ref="E31:P31" si="10">IF($D32=0,0,E32/$D32)</f>
        <v>0.893896279793293</v>
      </c>
      <c r="F31" s="15">
        <f t="shared" si="10"/>
        <v>7.2180048419793794E-2</v>
      </c>
      <c r="G31" s="15">
        <f t="shared" si="10"/>
        <v>2.4703141651805479E-2</v>
      </c>
      <c r="H31" s="15">
        <f t="shared" si="10"/>
        <v>6.5614628541933694E-3</v>
      </c>
      <c r="I31" s="15">
        <f t="shared" si="10"/>
        <v>2.228861196584807E-3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0"/>
        <v>0</v>
      </c>
      <c r="O31" s="15">
        <f t="shared" si="10"/>
        <v>4.3020608432964432E-4</v>
      </c>
      <c r="P31" s="15">
        <f t="shared" si="10"/>
        <v>0</v>
      </c>
    </row>
    <row r="32" spans="1:16" x14ac:dyDescent="0.25">
      <c r="A32" s="254" t="str">
        <f>IF(A31="~","~","")</f>
        <v/>
      </c>
      <c r="B32" s="369" t="s">
        <v>298</v>
      </c>
      <c r="C32" s="268"/>
      <c r="D32" s="14">
        <f>SUM(E32:P32)</f>
        <v>-34015464.989999995</v>
      </c>
      <c r="E32" s="14">
        <f>+'Customer Deposits (235)'!B11</f>
        <v>-30406297.609999999</v>
      </c>
      <c r="F32" s="14">
        <f>+'Customer Deposits (235)'!B12</f>
        <v>-2455237.91</v>
      </c>
      <c r="G32" s="14">
        <f>+'Customer Deposits (235)'!B13+'Customer Deposits (235)'!B15</f>
        <v>-840288.84999999986</v>
      </c>
      <c r="H32" s="14">
        <f>+'Customer Deposits (235)'!B14</f>
        <v>-223191.21</v>
      </c>
      <c r="I32" s="14">
        <f>+'Customer Deposits (235)'!B16</f>
        <v>-75815.75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f>+'Customer Deposits (235)'!B17</f>
        <v>-14633.660000000002</v>
      </c>
      <c r="P32" s="14">
        <v>0</v>
      </c>
    </row>
    <row r="33" spans="1:16" x14ac:dyDescent="0.25">
      <c r="A33" s="230" t="str">
        <f>IF(A32="~","~","")</f>
        <v/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</row>
    <row r="34" spans="1:16" x14ac:dyDescent="0.25">
      <c r="A34" s="370" t="s">
        <v>142</v>
      </c>
      <c r="B34" s="14" t="s">
        <v>10</v>
      </c>
      <c r="C34" s="14" t="s">
        <v>105</v>
      </c>
      <c r="D34" s="14"/>
      <c r="E34" s="15">
        <f t="shared" ref="E34:P34" si="11">IF($D35=0,0,E35/$D35)</f>
        <v>0.4286586223232956</v>
      </c>
      <c r="F34" s="15">
        <f t="shared" si="11"/>
        <v>0.53194365289525514</v>
      </c>
      <c r="G34" s="15">
        <f t="shared" si="11"/>
        <v>3.5714304365506537E-2</v>
      </c>
      <c r="H34" s="15">
        <f t="shared" si="11"/>
        <v>3.6834204159427362E-3</v>
      </c>
      <c r="I34" s="15">
        <f t="shared" si="11"/>
        <v>0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11"/>
        <v>0</v>
      </c>
      <c r="O34" s="15">
        <f t="shared" si="11"/>
        <v>0</v>
      </c>
      <c r="P34" s="15">
        <f t="shared" si="11"/>
        <v>0</v>
      </c>
    </row>
    <row r="35" spans="1:16" x14ac:dyDescent="0.25">
      <c r="A35" s="254" t="str">
        <f>IF(A34="~","~","")</f>
        <v/>
      </c>
      <c r="B35" s="369" t="s">
        <v>298</v>
      </c>
      <c r="C35" s="268"/>
      <c r="D35" s="14">
        <f>SUM(E35:P35)</f>
        <v>-77716905.469999999</v>
      </c>
      <c r="E35" s="14">
        <f>+'Customer Advances (252)'!C16</f>
        <v>-33314021.629999995</v>
      </c>
      <c r="F35" s="14">
        <f>+'Customer Advances (252)'!C17</f>
        <v>-41341014.587427035</v>
      </c>
      <c r="G35" s="14">
        <f>+'Customer Advances (252)'!C18</f>
        <v>-2775605.2163008796</v>
      </c>
      <c r="H35" s="14">
        <f>+'Customer Advances (252)'!C19</f>
        <v>-286264.0362720897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x14ac:dyDescent="0.25">
      <c r="A36" s="230" t="str">
        <f>IF(A35="~","~","")</f>
        <v/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</row>
    <row r="37" spans="1:16" x14ac:dyDescent="0.25">
      <c r="A37" s="14" t="s">
        <v>143</v>
      </c>
      <c r="B37" s="14" t="s">
        <v>144</v>
      </c>
      <c r="C37" s="14" t="s">
        <v>105</v>
      </c>
      <c r="D37" s="14"/>
      <c r="E37" s="15">
        <f t="shared" ref="E37:P37" si="12">IF($D38=0,0,E38/$D38)</f>
        <v>0</v>
      </c>
      <c r="F37" s="15">
        <f t="shared" si="12"/>
        <v>0</v>
      </c>
      <c r="G37" s="15">
        <f t="shared" si="12"/>
        <v>0</v>
      </c>
      <c r="H37" s="15">
        <f t="shared" si="12"/>
        <v>0</v>
      </c>
      <c r="I37" s="15">
        <f t="shared" si="12"/>
        <v>0.35908484956782455</v>
      </c>
      <c r="J37" s="15">
        <f t="shared" si="12"/>
        <v>0</v>
      </c>
      <c r="K37" s="15">
        <f t="shared" si="12"/>
        <v>2.0579680622188106E-2</v>
      </c>
      <c r="L37" s="15">
        <f t="shared" si="12"/>
        <v>0.61188698089763194</v>
      </c>
      <c r="M37" s="15">
        <f t="shared" si="12"/>
        <v>0</v>
      </c>
      <c r="N37" s="15">
        <f t="shared" si="12"/>
        <v>0</v>
      </c>
      <c r="O37" s="15">
        <f t="shared" si="12"/>
        <v>0</v>
      </c>
      <c r="P37" s="15">
        <f t="shared" si="12"/>
        <v>8.4484889123555215E-3</v>
      </c>
    </row>
    <row r="38" spans="1:16" x14ac:dyDescent="0.25">
      <c r="A38" s="254" t="str">
        <f>IF(A37="~","~","")</f>
        <v/>
      </c>
      <c r="B38" s="369" t="s">
        <v>298</v>
      </c>
      <c r="C38" s="268"/>
      <c r="D38" s="14">
        <f>SUM(E38:P38)</f>
        <v>2295936.0190000972</v>
      </c>
      <c r="E38" s="14">
        <f>+E130</f>
        <v>0</v>
      </c>
      <c r="F38" s="14">
        <f t="shared" ref="F38:P38" si="13">+F130</f>
        <v>0</v>
      </c>
      <c r="G38" s="14">
        <f t="shared" si="13"/>
        <v>0</v>
      </c>
      <c r="H38" s="14">
        <f t="shared" si="13"/>
        <v>0</v>
      </c>
      <c r="I38" s="14">
        <f t="shared" si="13"/>
        <v>824435.83999999985</v>
      </c>
      <c r="J38" s="14">
        <f t="shared" si="13"/>
        <v>0</v>
      </c>
      <c r="K38" s="14">
        <f t="shared" si="13"/>
        <v>47249.630000000005</v>
      </c>
      <c r="L38" s="14">
        <f t="shared" si="13"/>
        <v>1404853.3590000975</v>
      </c>
      <c r="M38" s="14">
        <f t="shared" si="13"/>
        <v>0</v>
      </c>
      <c r="N38" s="14">
        <f t="shared" si="13"/>
        <v>0</v>
      </c>
      <c r="O38" s="14">
        <f t="shared" si="13"/>
        <v>0</v>
      </c>
      <c r="P38" s="14">
        <f t="shared" si="13"/>
        <v>19397.189999999999</v>
      </c>
    </row>
    <row r="39" spans="1:16" x14ac:dyDescent="0.25">
      <c r="A39" s="230" t="str">
        <f>IF(A38="~","~","")</f>
        <v/>
      </c>
      <c r="B39" s="268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</row>
    <row r="40" spans="1:16" x14ac:dyDescent="0.25">
      <c r="A40" s="14" t="s">
        <v>145</v>
      </c>
      <c r="B40" s="14" t="s">
        <v>146</v>
      </c>
      <c r="C40" s="14" t="s">
        <v>105</v>
      </c>
      <c r="D40" s="14"/>
      <c r="E40" s="15">
        <f t="shared" ref="E40:P40" si="14">IF($D41=0,0,E41/$D41)</f>
        <v>0</v>
      </c>
      <c r="F40" s="15">
        <f t="shared" si="14"/>
        <v>0</v>
      </c>
      <c r="G40" s="15">
        <f t="shared" si="14"/>
        <v>0</v>
      </c>
      <c r="H40" s="15">
        <f t="shared" si="14"/>
        <v>0</v>
      </c>
      <c r="I40" s="15">
        <f t="shared" si="14"/>
        <v>0</v>
      </c>
      <c r="J40" s="15">
        <f t="shared" si="14"/>
        <v>0</v>
      </c>
      <c r="K40" s="15">
        <f t="shared" si="14"/>
        <v>0</v>
      </c>
      <c r="L40" s="15">
        <f t="shared" si="14"/>
        <v>0</v>
      </c>
      <c r="M40" s="15">
        <f t="shared" si="14"/>
        <v>0</v>
      </c>
      <c r="N40" s="15">
        <f t="shared" si="14"/>
        <v>0</v>
      </c>
      <c r="O40" s="15">
        <f t="shared" si="14"/>
        <v>1</v>
      </c>
      <c r="P40" s="15">
        <f t="shared" si="14"/>
        <v>0</v>
      </c>
    </row>
    <row r="41" spans="1:16" x14ac:dyDescent="0.25">
      <c r="A41" s="254" t="str">
        <f>IF(A40="~","~","")</f>
        <v/>
      </c>
      <c r="B41" s="369" t="s">
        <v>298</v>
      </c>
      <c r="C41" s="268"/>
      <c r="D41" s="14">
        <f>SUM(E41:P41)</f>
        <v>1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14">
        <v>0</v>
      </c>
    </row>
    <row r="42" spans="1:16" x14ac:dyDescent="0.25">
      <c r="A42" s="230" t="str">
        <f>IF(A41="~","~","")</f>
        <v/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</row>
    <row r="43" spans="1:16" x14ac:dyDescent="0.25">
      <c r="A43" s="14" t="s">
        <v>147</v>
      </c>
      <c r="B43" s="14" t="s">
        <v>148</v>
      </c>
      <c r="C43" s="14" t="s">
        <v>105</v>
      </c>
      <c r="D43" s="14"/>
      <c r="E43" s="15">
        <f t="shared" ref="E43:P43" si="15">IF($D44=0,0,E44/$D44)</f>
        <v>0.78186295497184166</v>
      </c>
      <c r="F43" s="15">
        <f t="shared" si="15"/>
        <v>0.11470982668073583</v>
      </c>
      <c r="G43" s="15">
        <f t="shared" si="15"/>
        <v>4.2290701416988451E-2</v>
      </c>
      <c r="H43" s="15">
        <f t="shared" si="15"/>
        <v>1.1147434345394995E-2</v>
      </c>
      <c r="I43" s="15">
        <f t="shared" si="15"/>
        <v>9.3693768270235334E-3</v>
      </c>
      <c r="J43" s="15">
        <f t="shared" si="15"/>
        <v>0</v>
      </c>
      <c r="K43" s="15">
        <f t="shared" si="15"/>
        <v>6.6531897656732655E-5</v>
      </c>
      <c r="L43" s="15">
        <f t="shared" si="15"/>
        <v>0</v>
      </c>
      <c r="M43" s="15">
        <f t="shared" si="15"/>
        <v>1.2871713416445587E-3</v>
      </c>
      <c r="N43" s="15">
        <f t="shared" si="15"/>
        <v>9.261773785028606E-4</v>
      </c>
      <c r="O43" s="15">
        <f t="shared" si="15"/>
        <v>3.8323346339908901E-2</v>
      </c>
      <c r="P43" s="15">
        <f t="shared" si="15"/>
        <v>1.6478800302392702E-5</v>
      </c>
    </row>
    <row r="44" spans="1:16" x14ac:dyDescent="0.25">
      <c r="A44" s="254" t="str">
        <f>IF(A43="~","~","")</f>
        <v/>
      </c>
      <c r="B44" s="369" t="s">
        <v>298</v>
      </c>
      <c r="C44" s="268"/>
      <c r="D44" s="14">
        <f>SUM(E44:P44)</f>
        <v>2383668.6699999995</v>
      </c>
      <c r="E44" s="14">
        <f>+'Other Op Rev (450-451)'!C7</f>
        <v>1863702.2299999993</v>
      </c>
      <c r="F44" s="14">
        <f>+'Other Op Rev (450-451)'!D7</f>
        <v>273430.22000000003</v>
      </c>
      <c r="G44" s="14">
        <f>+'Other Op Rev (450-451)'!E7+'Other Op Rev (450-451)'!G7</f>
        <v>100807.01999999996</v>
      </c>
      <c r="H44" s="14">
        <f>+'Other Op Rev (450-451)'!F7</f>
        <v>26571.79</v>
      </c>
      <c r="I44" s="14">
        <f>+'Other Op Rev (450-451)'!H7</f>
        <v>22333.49</v>
      </c>
      <c r="J44" s="14">
        <v>0</v>
      </c>
      <c r="K44" s="14">
        <f>+'Other Op Rev (450-451)'!I7</f>
        <v>158.59</v>
      </c>
      <c r="L44" s="14">
        <v>0</v>
      </c>
      <c r="M44" s="14">
        <f>+'Other Op Rev (450-451)'!J7+'Other Op Rev (450-451)'!K7</f>
        <v>3068.19</v>
      </c>
      <c r="N44" s="14">
        <f>+'Other Op Rev (450-451)'!L7</f>
        <v>2207.6999999999998</v>
      </c>
      <c r="O44" s="14">
        <f>+'Other Op Rev (450-451)'!M7</f>
        <v>91350.16</v>
      </c>
      <c r="P44" s="14">
        <f>+'Other Op Rev (450-451)'!N7</f>
        <v>39.28</v>
      </c>
    </row>
    <row r="45" spans="1:16" x14ac:dyDescent="0.25">
      <c r="A45" s="230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</row>
    <row r="46" spans="1:16" x14ac:dyDescent="0.25">
      <c r="A46" s="14" t="s">
        <v>149</v>
      </c>
      <c r="B46" s="14" t="s">
        <v>150</v>
      </c>
      <c r="C46" s="14" t="s">
        <v>105</v>
      </c>
      <c r="D46" s="14"/>
      <c r="E46" s="15">
        <f t="shared" ref="E46:P46" si="16">IF($D47=0,0,E47/$D47)</f>
        <v>0.94011627601407</v>
      </c>
      <c r="F46" s="15">
        <f t="shared" si="16"/>
        <v>5.8247017381308698E-2</v>
      </c>
      <c r="G46" s="15">
        <f t="shared" si="16"/>
        <v>1.2504370070590448E-3</v>
      </c>
      <c r="H46" s="15">
        <f t="shared" si="16"/>
        <v>8.5042634348523691E-5</v>
      </c>
      <c r="I46" s="15">
        <f t="shared" si="16"/>
        <v>0</v>
      </c>
      <c r="J46" s="15">
        <f t="shared" si="16"/>
        <v>0</v>
      </c>
      <c r="K46" s="15">
        <f t="shared" si="16"/>
        <v>0</v>
      </c>
      <c r="L46" s="15">
        <f t="shared" si="16"/>
        <v>0</v>
      </c>
      <c r="M46" s="15">
        <f t="shared" si="16"/>
        <v>0</v>
      </c>
      <c r="N46" s="15">
        <f t="shared" si="16"/>
        <v>0</v>
      </c>
      <c r="O46" s="15">
        <f t="shared" si="16"/>
        <v>3.0122696321364646E-4</v>
      </c>
      <c r="P46" s="15">
        <f t="shared" si="16"/>
        <v>0</v>
      </c>
    </row>
    <row r="47" spans="1:16" x14ac:dyDescent="0.25">
      <c r="A47" s="254" t="str">
        <f>IF(A46="~","~","")</f>
        <v/>
      </c>
      <c r="B47" s="369" t="s">
        <v>298</v>
      </c>
      <c r="C47" s="268"/>
      <c r="D47" s="14">
        <f>SUM(E47:P47)</f>
        <v>315841.58000000007</v>
      </c>
      <c r="E47" s="14">
        <f>+'Other Op Rev (450-451)'!C8</f>
        <v>296927.81000000006</v>
      </c>
      <c r="F47" s="14">
        <f>+'Other Op Rev (450-451)'!D8</f>
        <v>18396.830000000005</v>
      </c>
      <c r="G47" s="14">
        <f>+'Other Op Rev (450-451)'!E8+'Other Op Rev (450-451)'!G8</f>
        <v>394.94</v>
      </c>
      <c r="H47" s="14">
        <f>+'Other Op Rev (450-451)'!F8</f>
        <v>26.86</v>
      </c>
      <c r="I47" s="14">
        <f>+'Other Op Rev (450-451)'!H8</f>
        <v>0</v>
      </c>
      <c r="J47" s="14">
        <v>0</v>
      </c>
      <c r="K47" s="14">
        <f>+'Other Op Rev (450-451)'!I8</f>
        <v>0</v>
      </c>
      <c r="L47" s="14">
        <v>0</v>
      </c>
      <c r="M47" s="14">
        <f>+'Other Op Rev (450-451)'!J8+'Other Op Rev (450-451)'!J8</f>
        <v>0</v>
      </c>
      <c r="N47" s="14">
        <f>+'Other Op Rev (450-451)'!L8</f>
        <v>0</v>
      </c>
      <c r="O47" s="14">
        <f>+'Other Op Rev (450-451)'!M8</f>
        <v>95.14</v>
      </c>
      <c r="P47" s="14">
        <f>+'Other Op Rev (450-451)'!N8</f>
        <v>0</v>
      </c>
    </row>
    <row r="48" spans="1:16" x14ac:dyDescent="0.25">
      <c r="A48" s="230"/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</row>
    <row r="49" spans="1:16" x14ac:dyDescent="0.25">
      <c r="A49" s="14" t="s">
        <v>151</v>
      </c>
      <c r="B49" s="14" t="s">
        <v>152</v>
      </c>
      <c r="C49" s="14" t="s">
        <v>105</v>
      </c>
      <c r="D49" s="14"/>
      <c r="E49" s="15">
        <f t="shared" ref="E49:P49" si="17">IF($D50=0,0,E50/$D50)</f>
        <v>0.9767889548549169</v>
      </c>
      <c r="F49" s="15">
        <f t="shared" si="17"/>
        <v>2.2722889444232744E-2</v>
      </c>
      <c r="G49" s="15">
        <f t="shared" si="17"/>
        <v>4.8815570085043188E-4</v>
      </c>
      <c r="H49" s="15">
        <f t="shared" si="17"/>
        <v>0</v>
      </c>
      <c r="I49" s="15">
        <f t="shared" si="17"/>
        <v>0</v>
      </c>
      <c r="J49" s="15">
        <f t="shared" si="17"/>
        <v>0</v>
      </c>
      <c r="K49" s="15">
        <f t="shared" si="17"/>
        <v>0</v>
      </c>
      <c r="L49" s="15">
        <f t="shared" si="17"/>
        <v>0</v>
      </c>
      <c r="M49" s="15">
        <f t="shared" si="17"/>
        <v>0</v>
      </c>
      <c r="N49" s="15">
        <f t="shared" si="17"/>
        <v>0</v>
      </c>
      <c r="O49" s="15">
        <f t="shared" si="17"/>
        <v>0</v>
      </c>
      <c r="P49" s="15">
        <f t="shared" si="17"/>
        <v>0</v>
      </c>
    </row>
    <row r="50" spans="1:16" x14ac:dyDescent="0.25">
      <c r="A50" s="254" t="str">
        <f>IF(A49="~","~","")</f>
        <v/>
      </c>
      <c r="B50" s="369" t="s">
        <v>298</v>
      </c>
      <c r="C50" s="268"/>
      <c r="D50" s="14">
        <f>SUM(E50:P50)</f>
        <v>1550570.85</v>
      </c>
      <c r="E50" s="14">
        <f>+'Other Op Rev (450-451)'!C9</f>
        <v>1514580.4800000002</v>
      </c>
      <c r="F50" s="14">
        <f>+'Other Op Rev (450-451)'!D9</f>
        <v>35233.449999999997</v>
      </c>
      <c r="G50" s="14">
        <f>+'Other Op Rev (450-451)'!E9+'Other Op Rev (450-451)'!G9</f>
        <v>756.92</v>
      </c>
      <c r="H50" s="14">
        <f>+'Other Op Rev (450-451)'!F9</f>
        <v>0</v>
      </c>
      <c r="I50" s="14">
        <f>+'Other Op Rev (450-451)'!H9</f>
        <v>0</v>
      </c>
      <c r="J50" s="14">
        <v>0</v>
      </c>
      <c r="K50" s="14">
        <f>+'Other Op Rev (450-451)'!I9</f>
        <v>0</v>
      </c>
      <c r="L50" s="14">
        <v>0</v>
      </c>
      <c r="M50" s="14">
        <f>+'Other Op Rev (450-451)'!J9+'Other Op Rev (450-451)'!K9</f>
        <v>0</v>
      </c>
      <c r="N50" s="14">
        <f>+'Other Op Rev (450-451)'!L9</f>
        <v>0</v>
      </c>
      <c r="O50" s="14">
        <f>+'Other Op Rev (450-451)'!M9</f>
        <v>0</v>
      </c>
      <c r="P50" s="14">
        <f>+'Other Op Rev (450-451)'!N9</f>
        <v>0</v>
      </c>
    </row>
    <row r="51" spans="1:16" x14ac:dyDescent="0.25">
      <c r="A51" s="230" t="str">
        <f>IF(A50="~","~","")</f>
        <v/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</row>
    <row r="52" spans="1:16" x14ac:dyDescent="0.25">
      <c r="A52" s="14" t="s">
        <v>153</v>
      </c>
      <c r="B52" s="14" t="s">
        <v>154</v>
      </c>
      <c r="C52" s="14" t="s">
        <v>105</v>
      </c>
      <c r="D52" s="14"/>
      <c r="E52" s="15">
        <f t="shared" ref="E52:P52" si="18">IF($D53=0,0,E53/$D53)</f>
        <v>0.91515009949966963</v>
      </c>
      <c r="F52" s="15">
        <f t="shared" si="18"/>
        <v>8.2103481906014422E-2</v>
      </c>
      <c r="G52" s="15">
        <f t="shared" si="18"/>
        <v>2.4823827627927226E-3</v>
      </c>
      <c r="H52" s="15">
        <f t="shared" si="18"/>
        <v>1.7960198329893611E-4</v>
      </c>
      <c r="I52" s="15">
        <f t="shared" si="18"/>
        <v>8.3427508831894302E-5</v>
      </c>
      <c r="J52" s="15">
        <f t="shared" si="18"/>
        <v>0</v>
      </c>
      <c r="K52" s="15">
        <f t="shared" si="18"/>
        <v>0</v>
      </c>
      <c r="L52" s="15">
        <f t="shared" si="18"/>
        <v>0</v>
      </c>
      <c r="M52" s="15">
        <f t="shared" si="18"/>
        <v>1.0063393922484885E-6</v>
      </c>
      <c r="N52" s="15">
        <f t="shared" si="18"/>
        <v>0</v>
      </c>
      <c r="O52" s="15">
        <f t="shared" si="18"/>
        <v>0</v>
      </c>
      <c r="P52" s="15">
        <f t="shared" si="18"/>
        <v>0</v>
      </c>
    </row>
    <row r="53" spans="1:16" x14ac:dyDescent="0.25">
      <c r="A53" s="254" t="str">
        <f>IF(A52="~","~","")</f>
        <v/>
      </c>
      <c r="B53" s="369" t="s">
        <v>298</v>
      </c>
      <c r="C53" s="268"/>
      <c r="D53" s="14">
        <f>SUM(E53:P53)</f>
        <v>1520361.83</v>
      </c>
      <c r="E53" s="14">
        <f>+'Other Op Rev (450-451)'!C10</f>
        <v>1391359.2799999998</v>
      </c>
      <c r="F53" s="14">
        <f>+'Other Op Rev (450-451)'!D10</f>
        <v>124826.99999999997</v>
      </c>
      <c r="G53" s="14">
        <f>+'Other Op Rev (450-451)'!E10+'Other Op Rev (450-451)'!G10</f>
        <v>3774.12</v>
      </c>
      <c r="H53" s="14">
        <f>+'Other Op Rev (450-451)'!F10</f>
        <v>273.05999999999995</v>
      </c>
      <c r="I53" s="14">
        <f>+'Other Op Rev (450-451)'!H10</f>
        <v>126.83999999999999</v>
      </c>
      <c r="J53" s="14">
        <v>0</v>
      </c>
      <c r="K53" s="14">
        <f>+'Other Op Rev (450-451)'!I10</f>
        <v>0</v>
      </c>
      <c r="L53" s="14">
        <v>0</v>
      </c>
      <c r="M53" s="14">
        <f>+'Other Op Rev (450-451)'!K10+'Other Op Rev (450-451)'!L10</f>
        <v>1.53</v>
      </c>
      <c r="N53" s="14">
        <f>+'Other Op Rev (450-451)'!L10</f>
        <v>0</v>
      </c>
      <c r="O53" s="14">
        <f>+'Other Op Rev (450-451)'!M10</f>
        <v>0</v>
      </c>
      <c r="P53" s="14">
        <f>+'Other Op Rev (450-451)'!N10</f>
        <v>0</v>
      </c>
    </row>
    <row r="54" spans="1:16" x14ac:dyDescent="0.25">
      <c r="A54" s="230" t="str">
        <f>IF(A53="~","~","")</f>
        <v/>
      </c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</row>
    <row r="55" spans="1:16" x14ac:dyDescent="0.25">
      <c r="A55" s="14" t="s">
        <v>155</v>
      </c>
      <c r="B55" s="14" t="s">
        <v>156</v>
      </c>
      <c r="C55" s="14" t="s">
        <v>105</v>
      </c>
      <c r="D55" s="14"/>
      <c r="E55" s="15">
        <f t="shared" ref="E55:P55" si="19">IF($D56=0,0,E56/$D56)</f>
        <v>0.656151494115645</v>
      </c>
      <c r="F55" s="15">
        <f t="shared" si="19"/>
        <v>0.24904718558474845</v>
      </c>
      <c r="G55" s="15">
        <f t="shared" si="19"/>
        <v>9.2392948498051158E-2</v>
      </c>
      <c r="H55" s="15">
        <f t="shared" si="19"/>
        <v>0</v>
      </c>
      <c r="I55" s="15">
        <f t="shared" si="19"/>
        <v>0</v>
      </c>
      <c r="J55" s="15">
        <f t="shared" si="19"/>
        <v>0</v>
      </c>
      <c r="K55" s="15">
        <f t="shared" si="19"/>
        <v>0</v>
      </c>
      <c r="L55" s="15">
        <f t="shared" si="19"/>
        <v>0</v>
      </c>
      <c r="M55" s="15">
        <f t="shared" si="19"/>
        <v>0</v>
      </c>
      <c r="N55" s="15">
        <f t="shared" si="19"/>
        <v>0</v>
      </c>
      <c r="O55" s="15">
        <f t="shared" si="19"/>
        <v>2.4083718015552955E-3</v>
      </c>
      <c r="P55" s="15">
        <f t="shared" si="19"/>
        <v>0</v>
      </c>
    </row>
    <row r="56" spans="1:16" x14ac:dyDescent="0.25">
      <c r="A56" s="254" t="str">
        <f>IF(A55="~","~","")</f>
        <v/>
      </c>
      <c r="B56" s="369" t="s">
        <v>298</v>
      </c>
      <c r="C56" s="268"/>
      <c r="D56" s="14">
        <f>SUM(E56:P56)</f>
        <v>29617.52</v>
      </c>
      <c r="E56" s="14">
        <f>+'Other Op Rev (450-451)'!C11</f>
        <v>19433.579999999998</v>
      </c>
      <c r="F56" s="14">
        <f>+'Other Op Rev (450-451)'!D11</f>
        <v>7376.1599999999989</v>
      </c>
      <c r="G56" s="14">
        <f>+'Other Op Rev (450-451)'!E11+'Other Op Rev (450-451)'!G11</f>
        <v>2736.4500000000003</v>
      </c>
      <c r="H56" s="14">
        <f>+'Other Op Rev (450-451)'!F11</f>
        <v>0</v>
      </c>
      <c r="I56" s="14">
        <f>+'Other Op Rev (450-451)'!H11</f>
        <v>0</v>
      </c>
      <c r="J56" s="14">
        <v>0</v>
      </c>
      <c r="K56" s="14">
        <f>+'Other Op Rev (450-451)'!I11</f>
        <v>0</v>
      </c>
      <c r="L56" s="14">
        <f>+'Other Op Rev (450-451)'!I11</f>
        <v>0</v>
      </c>
      <c r="M56" s="14">
        <f>+'Other Op Rev (450-451)'!K11+'Other Op Rev (450-451)'!J11</f>
        <v>0</v>
      </c>
      <c r="N56" s="14">
        <f>+'Other Op Rev (450-451)'!L11</f>
        <v>0</v>
      </c>
      <c r="O56" s="14">
        <f>+'Other Op Rev (450-451)'!M11</f>
        <v>71.33</v>
      </c>
      <c r="P56" s="14">
        <f>+'Other Op Rev (450-451)'!N11</f>
        <v>0</v>
      </c>
    </row>
    <row r="57" spans="1:16" x14ac:dyDescent="0.25">
      <c r="A57" s="230" t="str">
        <f>IF(A56="~","~","")</f>
        <v/>
      </c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</row>
    <row r="58" spans="1:16" x14ac:dyDescent="0.25">
      <c r="A58" s="14" t="s">
        <v>157</v>
      </c>
      <c r="B58" s="14" t="s">
        <v>158</v>
      </c>
      <c r="C58" s="14" t="s">
        <v>105</v>
      </c>
      <c r="D58" s="14"/>
      <c r="E58" s="15">
        <f t="shared" ref="E58:P58" si="20">IF($D59=0,0,E59/$D59)</f>
        <v>0.8853825160025196</v>
      </c>
      <c r="F58" s="15">
        <f t="shared" si="20"/>
        <v>6.3687275902134882E-2</v>
      </c>
      <c r="G58" s="15">
        <f t="shared" si="20"/>
        <v>1.0297212766650366E-2</v>
      </c>
      <c r="H58" s="15">
        <f t="shared" si="20"/>
        <v>1.6076706083042191E-2</v>
      </c>
      <c r="I58" s="15">
        <f t="shared" si="20"/>
        <v>2.2008554317511406E-2</v>
      </c>
      <c r="J58" s="15">
        <f t="shared" si="20"/>
        <v>0</v>
      </c>
      <c r="K58" s="15">
        <f t="shared" si="20"/>
        <v>0</v>
      </c>
      <c r="L58" s="15">
        <f t="shared" si="20"/>
        <v>0</v>
      </c>
      <c r="M58" s="15">
        <f t="shared" si="20"/>
        <v>0</v>
      </c>
      <c r="N58" s="15">
        <f t="shared" si="20"/>
        <v>0</v>
      </c>
      <c r="O58" s="15">
        <f t="shared" si="20"/>
        <v>2.5477349281414732E-3</v>
      </c>
      <c r="P58" s="15">
        <f t="shared" si="20"/>
        <v>0</v>
      </c>
    </row>
    <row r="59" spans="1:16" x14ac:dyDescent="0.25">
      <c r="A59" s="254" t="str">
        <f>IF(A58="~","~","")</f>
        <v/>
      </c>
      <c r="B59" s="369" t="s">
        <v>298</v>
      </c>
      <c r="C59" s="268"/>
      <c r="D59" s="14">
        <f>SUM(E59:P59)</f>
        <v>19454508.18</v>
      </c>
      <c r="E59" s="14">
        <f>+'Uncollectibles (904)'!B9</f>
        <v>17224681.399999999</v>
      </c>
      <c r="F59" s="14">
        <f>+'Uncollectibles (904)'!B10</f>
        <v>1239004.6299999999</v>
      </c>
      <c r="G59" s="14">
        <f>+'Uncollectibles (904)'!B11+'Uncollectibles (904)'!B13</f>
        <v>200327.21</v>
      </c>
      <c r="H59" s="14">
        <f>+'Uncollectibles (904)'!B12</f>
        <v>312764.41000000003</v>
      </c>
      <c r="I59" s="14">
        <f>+'Uncollectibles (904)'!B14</f>
        <v>428165.6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f>+'Uncollectibles (904)'!B15</f>
        <v>49564.93</v>
      </c>
      <c r="P59" s="14">
        <v>0</v>
      </c>
    </row>
    <row r="60" spans="1:16" x14ac:dyDescent="0.25">
      <c r="A60" s="230" t="str">
        <f>IF(A59="~","~","")</f>
        <v/>
      </c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</row>
    <row r="61" spans="1:16" x14ac:dyDescent="0.25">
      <c r="A61" s="14" t="s">
        <v>159</v>
      </c>
      <c r="B61" s="14" t="s">
        <v>160</v>
      </c>
      <c r="C61" s="14" t="s">
        <v>105</v>
      </c>
      <c r="D61" s="14"/>
      <c r="E61" s="15">
        <f t="shared" ref="E61:P61" si="21">IF($D62=0,0,E62/$D62)</f>
        <v>0.64922596597539906</v>
      </c>
      <c r="F61" s="15">
        <f t="shared" si="21"/>
        <v>0.18222827816849618</v>
      </c>
      <c r="G61" s="15">
        <f t="shared" si="21"/>
        <v>5.3855034276632484E-2</v>
      </c>
      <c r="H61" s="15">
        <f t="shared" si="21"/>
        <v>6.0528439085588354E-3</v>
      </c>
      <c r="I61" s="15">
        <f t="shared" si="21"/>
        <v>7.2499760370043104E-2</v>
      </c>
      <c r="J61" s="15">
        <f t="shared" si="21"/>
        <v>2.3506706645110047E-4</v>
      </c>
      <c r="K61" s="15">
        <f t="shared" si="21"/>
        <v>2.3430594920694079E-2</v>
      </c>
      <c r="L61" s="15">
        <f t="shared" si="21"/>
        <v>4.7388718767973573E-3</v>
      </c>
      <c r="M61" s="15">
        <f t="shared" si="21"/>
        <v>2.9428281467111998E-3</v>
      </c>
      <c r="N61" s="15">
        <f t="shared" si="21"/>
        <v>4.7379279512920367E-3</v>
      </c>
      <c r="O61" s="15">
        <f t="shared" si="21"/>
        <v>0</v>
      </c>
      <c r="P61" s="15">
        <f t="shared" si="21"/>
        <v>5.2827338924457138E-5</v>
      </c>
    </row>
    <row r="62" spans="1:16" x14ac:dyDescent="0.25">
      <c r="A62" s="254" t="str">
        <f>IF(A61="~","~","")</f>
        <v/>
      </c>
      <c r="B62" s="369" t="s">
        <v>298</v>
      </c>
      <c r="C62" s="268"/>
      <c r="D62" s="14">
        <f>SUM(E62:P62)</f>
        <v>176621934.4411512</v>
      </c>
      <c r="E62" s="14">
        <f>+'Meter Costs (370)'!K7</f>
        <v>114667546</v>
      </c>
      <c r="F62" s="14">
        <f>+'Meter Costs (370)'!K8</f>
        <v>32185511</v>
      </c>
      <c r="G62" s="14">
        <f>+'Meter Costs (370)'!K9+'Meter Costs (370)'!K11</f>
        <v>9511980.333333334</v>
      </c>
      <c r="H62" s="14">
        <f>+'Meter Costs (370)'!K10</f>
        <v>1069065</v>
      </c>
      <c r="I62" s="14">
        <f>+'Meter Costs (370)'!K12</f>
        <v>12805047.923076924</v>
      </c>
      <c r="J62" s="14">
        <f>+'Meter Costs (370)'!K13</f>
        <v>41518</v>
      </c>
      <c r="K62" s="14">
        <f>+'Meter Costs (370)'!K14</f>
        <v>4138357</v>
      </c>
      <c r="L62" s="14">
        <f>+'Meter Costs (370)'!K25</f>
        <v>836988.717948718</v>
      </c>
      <c r="M62" s="14">
        <f>+'Meter Costs (370)'!K15+'Meter Costs (370)'!K16</f>
        <v>519768</v>
      </c>
      <c r="N62" s="14">
        <f>+'Meter Costs (370)'!K20+'Meter Costs (370)'!K21+'Meter Costs (370)'!K22</f>
        <v>836822</v>
      </c>
      <c r="O62" s="14">
        <v>0</v>
      </c>
      <c r="P62" s="14">
        <f>+'Meter Costs (370)'!K26</f>
        <v>9330.4667922159442</v>
      </c>
    </row>
    <row r="63" spans="1:16" x14ac:dyDescent="0.25">
      <c r="A63" s="230" t="str">
        <f>IF(A62="~","~","")</f>
        <v/>
      </c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</row>
    <row r="64" spans="1:16" x14ac:dyDescent="0.25">
      <c r="A64" s="14" t="s">
        <v>161</v>
      </c>
      <c r="B64" s="14" t="s">
        <v>162</v>
      </c>
      <c r="C64" s="14" t="s">
        <v>105</v>
      </c>
      <c r="D64" s="14"/>
      <c r="E64" s="15">
        <f t="shared" ref="E64:P64" si="22">IF($D65=0,0,E65/$D65)</f>
        <v>0.86298384468324196</v>
      </c>
      <c r="F64" s="15">
        <f t="shared" si="22"/>
        <v>0.13185482105590879</v>
      </c>
      <c r="G64" s="15">
        <f t="shared" si="22"/>
        <v>5.051880895279884E-3</v>
      </c>
      <c r="H64" s="15">
        <f t="shared" si="22"/>
        <v>1.094533655693764E-4</v>
      </c>
      <c r="I64" s="15">
        <f t="shared" si="22"/>
        <v>0</v>
      </c>
      <c r="J64" s="15">
        <f t="shared" si="22"/>
        <v>0</v>
      </c>
      <c r="K64" s="15">
        <f t="shared" si="22"/>
        <v>0</v>
      </c>
      <c r="L64" s="15">
        <f t="shared" si="22"/>
        <v>0</v>
      </c>
      <c r="M64" s="15">
        <f t="shared" si="22"/>
        <v>0</v>
      </c>
      <c r="N64" s="15">
        <f t="shared" si="22"/>
        <v>0</v>
      </c>
      <c r="O64" s="15">
        <f t="shared" si="22"/>
        <v>0</v>
      </c>
      <c r="P64" s="15">
        <f t="shared" si="22"/>
        <v>0</v>
      </c>
    </row>
    <row r="65" spans="1:16" x14ac:dyDescent="0.25">
      <c r="A65" s="254" t="str">
        <f>IF(A64="~","~","")</f>
        <v/>
      </c>
      <c r="B65" s="369" t="s">
        <v>298</v>
      </c>
      <c r="C65" s="268"/>
      <c r="D65" s="14">
        <f>SUM(E65:P65)</f>
        <v>411134</v>
      </c>
      <c r="E65" s="14">
        <f>+'Distribution Service (369)'!B11</f>
        <v>354802</v>
      </c>
      <c r="F65" s="14">
        <f>+'Distribution Service (369)'!B12</f>
        <v>54210</v>
      </c>
      <c r="G65" s="14">
        <f>+'Distribution Service (369)'!B13+'Distribution Service (369)'!B15</f>
        <v>2077</v>
      </c>
      <c r="H65" s="14">
        <f>+'Distribution Service (369)'!B14</f>
        <v>45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</row>
    <row r="66" spans="1:16" x14ac:dyDescent="0.25">
      <c r="A66" s="230" t="str">
        <f>IF(A91="~","~","")</f>
        <v/>
      </c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</row>
    <row r="67" spans="1:16" x14ac:dyDescent="0.25">
      <c r="A67" s="14" t="s">
        <v>163</v>
      </c>
      <c r="B67" s="14" t="s">
        <v>164</v>
      </c>
      <c r="C67" s="14" t="s">
        <v>105</v>
      </c>
      <c r="D67" s="14"/>
      <c r="E67" s="15">
        <f t="shared" ref="E67:P67" si="23">IF($D68=0,0,E68/$D68)</f>
        <v>0</v>
      </c>
      <c r="F67" s="15">
        <f t="shared" si="23"/>
        <v>0</v>
      </c>
      <c r="G67" s="15">
        <f t="shared" si="23"/>
        <v>0</v>
      </c>
      <c r="H67" s="15">
        <f t="shared" si="23"/>
        <v>0</v>
      </c>
      <c r="I67" s="15">
        <f t="shared" si="23"/>
        <v>0</v>
      </c>
      <c r="J67" s="15">
        <f t="shared" si="23"/>
        <v>0</v>
      </c>
      <c r="K67" s="15">
        <f t="shared" si="23"/>
        <v>0</v>
      </c>
      <c r="L67" s="15">
        <f t="shared" si="23"/>
        <v>0</v>
      </c>
      <c r="M67" s="15">
        <f t="shared" si="23"/>
        <v>0</v>
      </c>
      <c r="N67" s="15">
        <f t="shared" si="23"/>
        <v>0</v>
      </c>
      <c r="O67" s="15">
        <f t="shared" si="23"/>
        <v>0</v>
      </c>
      <c r="P67" s="15">
        <f t="shared" si="23"/>
        <v>0</v>
      </c>
    </row>
    <row r="68" spans="1:16" x14ac:dyDescent="0.25">
      <c r="A68" s="254" t="str">
        <f>IF(A67="~","~","")</f>
        <v/>
      </c>
      <c r="B68" s="369" t="s">
        <v>298</v>
      </c>
      <c r="C68" s="268"/>
      <c r="D68" s="14">
        <f>SUM(E68:P68)</f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</row>
    <row r="69" spans="1:16" x14ac:dyDescent="0.25">
      <c r="A69" s="230" t="str">
        <f>IF(A145="~","~","")</f>
        <v/>
      </c>
      <c r="B69" s="268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</row>
    <row r="70" spans="1:16" x14ac:dyDescent="0.25">
      <c r="A70" s="14" t="s">
        <v>165</v>
      </c>
      <c r="B70" s="14" t="s">
        <v>114</v>
      </c>
      <c r="C70" s="14" t="s">
        <v>105</v>
      </c>
      <c r="D70" s="14"/>
      <c r="E70" s="15">
        <f t="shared" ref="E70:P70" si="24">IF($D71=0,0,E71/$D71)</f>
        <v>0.5546488392430674</v>
      </c>
      <c r="F70" s="15">
        <f t="shared" si="24"/>
        <v>0.13168468530332167</v>
      </c>
      <c r="G70" s="15">
        <f t="shared" si="24"/>
        <v>0.13525682636900224</v>
      </c>
      <c r="H70" s="15">
        <f t="shared" si="24"/>
        <v>8.0065624029420426E-2</v>
      </c>
      <c r="I70" s="15">
        <f t="shared" si="24"/>
        <v>5.6600501192374038E-2</v>
      </c>
      <c r="J70" s="15">
        <f t="shared" si="24"/>
        <v>1.3396777380771156E-4</v>
      </c>
      <c r="K70" s="15">
        <f t="shared" si="24"/>
        <v>5.3591848135603739E-3</v>
      </c>
      <c r="L70" s="15">
        <f t="shared" si="24"/>
        <v>2.7459709709244814E-3</v>
      </c>
      <c r="M70" s="15">
        <f t="shared" si="24"/>
        <v>2.0058248880628099E-2</v>
      </c>
      <c r="N70" s="15">
        <f t="shared" si="24"/>
        <v>5.0556976755642257E-3</v>
      </c>
      <c r="O70" s="15">
        <f t="shared" si="24"/>
        <v>8.2263383018565082E-3</v>
      </c>
      <c r="P70" s="15">
        <f t="shared" si="24"/>
        <v>1.6411544647281306E-4</v>
      </c>
    </row>
    <row r="71" spans="1:16" x14ac:dyDescent="0.25">
      <c r="A71" s="254" t="str">
        <f>IF(A70="~","~","")</f>
        <v/>
      </c>
      <c r="B71" s="369" t="s">
        <v>298</v>
      </c>
      <c r="C71" s="268"/>
      <c r="D71" s="14">
        <f>SUM(E71:P71)</f>
        <v>2000585606.391351</v>
      </c>
      <c r="E71" s="14">
        <f>+'Proforma Revenue'!J9</f>
        <v>1109622484.391351</v>
      </c>
      <c r="F71" s="14">
        <f>+'Proforma Revenue'!J13</f>
        <v>263446486</v>
      </c>
      <c r="G71" s="14">
        <f>+'Proforma Revenue'!J10+'Proforma Revenue'!J14+'Proforma Revenue'!J17</f>
        <v>270592860</v>
      </c>
      <c r="H71" s="14">
        <f>+'Proforma Revenue'!J15+'Proforma Revenue'!J16</f>
        <v>160178135</v>
      </c>
      <c r="I71" s="14">
        <f>+'Proforma Revenue'!J20</f>
        <v>113234148</v>
      </c>
      <c r="J71" s="14">
        <f>+'Proforma Revenue'!J21</f>
        <v>268014</v>
      </c>
      <c r="K71" s="14">
        <f>+'Proforma Revenue'!J22</f>
        <v>10721508</v>
      </c>
      <c r="L71" s="14">
        <f>+'Proforma Revenue'!M33</f>
        <v>5493550</v>
      </c>
      <c r="M71" s="14">
        <f>+'Proforma Revenue'!J27+'Proforma Revenue'!J28</f>
        <v>40128244</v>
      </c>
      <c r="N71" s="14">
        <f>+'Proforma Revenue'!J33-'Proforma Revenue'!M33</f>
        <v>10114356</v>
      </c>
      <c r="O71" s="14">
        <f>+'Proforma Revenue'!J31</f>
        <v>16457494</v>
      </c>
      <c r="P71" s="14">
        <f>+'Proforma Revenue'!J37</f>
        <v>328327</v>
      </c>
    </row>
    <row r="72" spans="1:16" x14ac:dyDescent="0.25">
      <c r="A72" s="230" t="str">
        <f>IF(A71="~","~","")</f>
        <v/>
      </c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</row>
    <row r="73" spans="1:16" x14ac:dyDescent="0.25">
      <c r="A73" s="14" t="s">
        <v>166</v>
      </c>
      <c r="B73" s="370" t="s">
        <v>408</v>
      </c>
      <c r="C73" s="14" t="s">
        <v>105</v>
      </c>
      <c r="D73" s="14"/>
      <c r="E73" s="15">
        <f t="shared" ref="E73:P73" si="25">IF($D74=0,0,E74/$D74)</f>
        <v>0.55910252927711768</v>
      </c>
      <c r="F73" s="15">
        <f t="shared" si="25"/>
        <v>0.13274208005307508</v>
      </c>
      <c r="G73" s="15">
        <f t="shared" si="25"/>
        <v>0.13634290450892761</v>
      </c>
      <c r="H73" s="15">
        <f t="shared" si="25"/>
        <v>8.0708530759914049E-2</v>
      </c>
      <c r="I73" s="15">
        <f t="shared" si="25"/>
        <v>5.7054988915501231E-2</v>
      </c>
      <c r="J73" s="15">
        <f t="shared" si="25"/>
        <v>1.3504350118127923E-4</v>
      </c>
      <c r="K73" s="15">
        <f t="shared" si="25"/>
        <v>5.4022177134892008E-3</v>
      </c>
      <c r="L73" s="15">
        <f t="shared" si="25"/>
        <v>0</v>
      </c>
      <c r="M73" s="15">
        <f t="shared" si="25"/>
        <v>2.0219311550951299E-2</v>
      </c>
      <c r="N73" s="15">
        <f t="shared" si="25"/>
        <v>0</v>
      </c>
      <c r="O73" s="15">
        <f t="shared" si="25"/>
        <v>8.2923937198426043E-3</v>
      </c>
      <c r="P73" s="15">
        <f t="shared" si="25"/>
        <v>0</v>
      </c>
    </row>
    <row r="74" spans="1:16" x14ac:dyDescent="0.25">
      <c r="A74" s="254" t="str">
        <f>IF(A73="~","~","")</f>
        <v/>
      </c>
      <c r="B74" s="369" t="s">
        <v>298</v>
      </c>
      <c r="C74" s="268"/>
      <c r="D74" s="14">
        <f>SUM(E74:P74)</f>
        <v>1984649373.391351</v>
      </c>
      <c r="E74" s="14">
        <f>+E71</f>
        <v>1109622484.391351</v>
      </c>
      <c r="F74" s="14">
        <f t="shared" ref="F74:O74" si="26">+F71</f>
        <v>263446486</v>
      </c>
      <c r="G74" s="14">
        <f t="shared" si="26"/>
        <v>270592860</v>
      </c>
      <c r="H74" s="14">
        <f t="shared" si="26"/>
        <v>160178135</v>
      </c>
      <c r="I74" s="14">
        <f t="shared" si="26"/>
        <v>113234148</v>
      </c>
      <c r="J74" s="14">
        <f t="shared" si="26"/>
        <v>268014</v>
      </c>
      <c r="K74" s="14">
        <f t="shared" si="26"/>
        <v>10721508</v>
      </c>
      <c r="L74" s="14">
        <v>0</v>
      </c>
      <c r="M74" s="14">
        <f t="shared" si="26"/>
        <v>40128244</v>
      </c>
      <c r="N74" s="14">
        <v>0</v>
      </c>
      <c r="O74" s="14">
        <f t="shared" si="26"/>
        <v>16457494</v>
      </c>
      <c r="P74" s="14">
        <v>0</v>
      </c>
    </row>
    <row r="75" spans="1:16" x14ac:dyDescent="0.25">
      <c r="A75" s="230" t="str">
        <f>IF(A74="~","~","")</f>
        <v/>
      </c>
      <c r="B75" s="268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</row>
    <row r="76" spans="1:16" x14ac:dyDescent="0.25">
      <c r="A76" s="14" t="s">
        <v>167</v>
      </c>
      <c r="B76" s="14" t="s">
        <v>168</v>
      </c>
      <c r="C76" s="14" t="s">
        <v>105</v>
      </c>
      <c r="D76" s="14"/>
      <c r="E76" s="15">
        <f t="shared" ref="E76:P76" si="27">IF($D77=0,0,E77/$D77)</f>
        <v>1</v>
      </c>
      <c r="F76" s="15">
        <f t="shared" si="27"/>
        <v>0</v>
      </c>
      <c r="G76" s="15">
        <f t="shared" si="27"/>
        <v>0</v>
      </c>
      <c r="H76" s="15">
        <f t="shared" si="27"/>
        <v>0</v>
      </c>
      <c r="I76" s="15">
        <f t="shared" si="27"/>
        <v>0</v>
      </c>
      <c r="J76" s="15">
        <f t="shared" si="27"/>
        <v>0</v>
      </c>
      <c r="K76" s="15">
        <f t="shared" si="27"/>
        <v>0</v>
      </c>
      <c r="L76" s="15">
        <f t="shared" si="27"/>
        <v>0</v>
      </c>
      <c r="M76" s="15">
        <f t="shared" si="27"/>
        <v>0</v>
      </c>
      <c r="N76" s="15">
        <f t="shared" si="27"/>
        <v>0</v>
      </c>
      <c r="O76" s="15">
        <f t="shared" si="27"/>
        <v>0</v>
      </c>
      <c r="P76" s="15">
        <f t="shared" si="27"/>
        <v>0</v>
      </c>
    </row>
    <row r="77" spans="1:16" x14ac:dyDescent="0.25">
      <c r="A77" s="254" t="str">
        <f>IF(A76="~","~","")</f>
        <v/>
      </c>
      <c r="B77" s="369" t="s">
        <v>298</v>
      </c>
      <c r="C77" s="268"/>
      <c r="D77" s="14">
        <f>SUM(E77:P77)</f>
        <v>1</v>
      </c>
      <c r="E77" s="14">
        <v>1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</row>
    <row r="78" spans="1:16" x14ac:dyDescent="0.25">
      <c r="A78" s="230" t="str">
        <f>IF(A77="~","~","")</f>
        <v/>
      </c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268"/>
      <c r="N78" s="268"/>
      <c r="O78" s="268"/>
      <c r="P78" s="268"/>
    </row>
    <row r="79" spans="1:16" x14ac:dyDescent="0.25">
      <c r="A79" s="14" t="s">
        <v>169</v>
      </c>
      <c r="B79" s="14" t="s">
        <v>170</v>
      </c>
      <c r="C79" s="14" t="s">
        <v>105</v>
      </c>
      <c r="D79" s="14"/>
      <c r="E79" s="15">
        <f t="shared" ref="E79:P79" si="28">IF($D80=0,0,E80/$D80)</f>
        <v>0</v>
      </c>
      <c r="F79" s="15">
        <f t="shared" si="28"/>
        <v>0</v>
      </c>
      <c r="G79" s="15">
        <f t="shared" si="28"/>
        <v>0</v>
      </c>
      <c r="H79" s="15">
        <f t="shared" si="28"/>
        <v>0</v>
      </c>
      <c r="I79" s="15">
        <f t="shared" si="28"/>
        <v>0</v>
      </c>
      <c r="J79" s="15">
        <f t="shared" si="28"/>
        <v>0</v>
      </c>
      <c r="K79" s="15">
        <f t="shared" si="28"/>
        <v>0</v>
      </c>
      <c r="L79" s="15">
        <f t="shared" si="28"/>
        <v>0</v>
      </c>
      <c r="M79" s="15">
        <f t="shared" si="28"/>
        <v>0</v>
      </c>
      <c r="N79" s="15">
        <f t="shared" si="28"/>
        <v>0</v>
      </c>
      <c r="O79" s="15">
        <f t="shared" si="28"/>
        <v>0</v>
      </c>
      <c r="P79" s="15">
        <f t="shared" si="28"/>
        <v>0</v>
      </c>
    </row>
    <row r="80" spans="1:16" x14ac:dyDescent="0.25">
      <c r="A80" s="254" t="str">
        <f>IF(A79="~","~","")</f>
        <v/>
      </c>
      <c r="B80" s="369" t="s">
        <v>298</v>
      </c>
      <c r="C80" s="268"/>
      <c r="D80" s="14">
        <f>SUM(E80:P80)</f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</row>
    <row r="81" spans="1:16" x14ac:dyDescent="0.25">
      <c r="A81" s="230"/>
      <c r="B81" s="268"/>
      <c r="C81" s="268"/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</row>
    <row r="82" spans="1:16" x14ac:dyDescent="0.25">
      <c r="A82" s="258"/>
      <c r="B82" s="128" t="s">
        <v>171</v>
      </c>
      <c r="C82" s="258"/>
      <c r="D82" s="368"/>
      <c r="E82" s="368"/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</row>
    <row r="83" spans="1:16" x14ac:dyDescent="0.25">
      <c r="A83" s="258"/>
      <c r="B83" s="255"/>
      <c r="C83" s="258"/>
      <c r="D83" s="258"/>
      <c r="E83" s="368"/>
      <c r="F83" s="368"/>
      <c r="G83" s="368"/>
      <c r="H83" s="368"/>
      <c r="I83" s="368"/>
      <c r="J83" s="368"/>
      <c r="K83" s="368"/>
      <c r="L83" s="368"/>
      <c r="M83" s="368"/>
      <c r="N83" s="368"/>
      <c r="O83" s="368"/>
      <c r="P83" s="368"/>
    </row>
    <row r="84" spans="1:16" x14ac:dyDescent="0.25">
      <c r="A84" s="14" t="s">
        <v>172</v>
      </c>
      <c r="B84" s="14" t="s">
        <v>173</v>
      </c>
      <c r="C84" s="14" t="s">
        <v>100</v>
      </c>
      <c r="D84" s="14"/>
      <c r="E84" s="15">
        <f t="shared" ref="E84:P84" si="29">IF($D85=0,0,E85/$D85)</f>
        <v>0</v>
      </c>
      <c r="F84" s="15">
        <f t="shared" si="29"/>
        <v>0</v>
      </c>
      <c r="G84" s="15">
        <f t="shared" si="29"/>
        <v>0</v>
      </c>
      <c r="H84" s="15">
        <f t="shared" si="29"/>
        <v>0</v>
      </c>
      <c r="I84" s="15">
        <f t="shared" si="29"/>
        <v>0</v>
      </c>
      <c r="J84" s="15">
        <f t="shared" si="29"/>
        <v>0</v>
      </c>
      <c r="K84" s="15">
        <f t="shared" si="29"/>
        <v>0</v>
      </c>
      <c r="L84" s="15">
        <f t="shared" si="29"/>
        <v>0</v>
      </c>
      <c r="M84" s="15">
        <f t="shared" si="29"/>
        <v>0</v>
      </c>
      <c r="N84" s="15">
        <f t="shared" si="29"/>
        <v>0</v>
      </c>
      <c r="O84" s="15">
        <f t="shared" si="29"/>
        <v>0</v>
      </c>
      <c r="P84" s="15">
        <f t="shared" si="29"/>
        <v>0</v>
      </c>
    </row>
    <row r="85" spans="1:16" x14ac:dyDescent="0.25">
      <c r="A85" s="254" t="str">
        <f>IF(A84="~","~","")</f>
        <v/>
      </c>
      <c r="B85" s="369" t="s">
        <v>298</v>
      </c>
      <c r="C85" s="268"/>
      <c r="D85" s="14">
        <f>SUM(E85:P85)</f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</row>
    <row r="86" spans="1:16" x14ac:dyDescent="0.25">
      <c r="A86" s="230" t="str">
        <f>IF(A85="~","~","")</f>
        <v/>
      </c>
      <c r="B86" s="268"/>
      <c r="C86" s="268"/>
      <c r="D86" s="268"/>
      <c r="E86" s="268">
        <v>0</v>
      </c>
      <c r="F86" s="268">
        <v>0</v>
      </c>
      <c r="G86" s="268">
        <v>0</v>
      </c>
      <c r="H86" s="268">
        <v>0</v>
      </c>
      <c r="I86" s="268">
        <v>0</v>
      </c>
      <c r="J86" s="268">
        <v>0</v>
      </c>
      <c r="K86" s="268">
        <v>0</v>
      </c>
      <c r="L86" s="268">
        <v>0</v>
      </c>
      <c r="M86" s="268">
        <v>0</v>
      </c>
      <c r="N86" s="268">
        <v>0</v>
      </c>
      <c r="O86" s="268">
        <v>0</v>
      </c>
      <c r="P86" s="268">
        <v>0</v>
      </c>
    </row>
    <row r="87" spans="1:16" x14ac:dyDescent="0.25">
      <c r="A87" s="14" t="s">
        <v>174</v>
      </c>
      <c r="B87" s="14" t="s">
        <v>175</v>
      </c>
      <c r="C87" s="14" t="s">
        <v>100</v>
      </c>
      <c r="D87" s="14"/>
      <c r="E87" s="15">
        <f t="shared" ref="E87:P87" si="30">IF($D88=0,0,E88/$D88)</f>
        <v>0</v>
      </c>
      <c r="F87" s="15">
        <f t="shared" si="30"/>
        <v>0</v>
      </c>
      <c r="G87" s="15">
        <f t="shared" si="30"/>
        <v>0</v>
      </c>
      <c r="H87" s="15">
        <f t="shared" si="30"/>
        <v>0</v>
      </c>
      <c r="I87" s="15">
        <f t="shared" si="30"/>
        <v>0</v>
      </c>
      <c r="J87" s="15">
        <f t="shared" si="30"/>
        <v>0</v>
      </c>
      <c r="K87" s="15">
        <f t="shared" si="30"/>
        <v>0</v>
      </c>
      <c r="L87" s="15">
        <f t="shared" si="30"/>
        <v>0</v>
      </c>
      <c r="M87" s="15">
        <f t="shared" si="30"/>
        <v>0</v>
      </c>
      <c r="N87" s="15">
        <f t="shared" si="30"/>
        <v>0</v>
      </c>
      <c r="O87" s="15">
        <f t="shared" si="30"/>
        <v>0</v>
      </c>
      <c r="P87" s="15">
        <f t="shared" si="30"/>
        <v>0</v>
      </c>
    </row>
    <row r="88" spans="1:16" x14ac:dyDescent="0.25">
      <c r="A88" s="254" t="str">
        <f>IF(A87="~","~","")</f>
        <v/>
      </c>
      <c r="B88" s="369" t="s">
        <v>298</v>
      </c>
      <c r="C88" s="268"/>
      <c r="D88" s="14">
        <f>SUM(E88:P88)</f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</row>
    <row r="89" spans="1:16" x14ac:dyDescent="0.25">
      <c r="A89" s="230" t="str">
        <f>IF(A88="~","~","")</f>
        <v/>
      </c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</row>
    <row r="90" spans="1:16" x14ac:dyDescent="0.25">
      <c r="A90" s="14" t="s">
        <v>176</v>
      </c>
      <c r="B90" s="14" t="s">
        <v>177</v>
      </c>
      <c r="C90" s="14" t="s">
        <v>100</v>
      </c>
      <c r="D90" s="14"/>
      <c r="E90" s="15">
        <f t="shared" ref="E90:P90" si="31">IF($D91=0,0,E91/$D91)</f>
        <v>0</v>
      </c>
      <c r="F90" s="15">
        <f t="shared" si="31"/>
        <v>0</v>
      </c>
      <c r="G90" s="15">
        <f t="shared" si="31"/>
        <v>0</v>
      </c>
      <c r="H90" s="15">
        <f t="shared" si="31"/>
        <v>0</v>
      </c>
      <c r="I90" s="15">
        <f t="shared" si="31"/>
        <v>0</v>
      </c>
      <c r="J90" s="15">
        <f t="shared" si="31"/>
        <v>0</v>
      </c>
      <c r="K90" s="15">
        <f t="shared" si="31"/>
        <v>0</v>
      </c>
      <c r="L90" s="15">
        <f t="shared" si="31"/>
        <v>0</v>
      </c>
      <c r="M90" s="15">
        <f t="shared" si="31"/>
        <v>0</v>
      </c>
      <c r="N90" s="15">
        <f t="shared" si="31"/>
        <v>0</v>
      </c>
      <c r="O90" s="15">
        <f t="shared" si="31"/>
        <v>0</v>
      </c>
      <c r="P90" s="15">
        <f t="shared" si="31"/>
        <v>0</v>
      </c>
    </row>
    <row r="91" spans="1:16" x14ac:dyDescent="0.25">
      <c r="A91" s="254" t="str">
        <f>IF(A90="~","~","")</f>
        <v/>
      </c>
      <c r="B91" s="369" t="s">
        <v>298</v>
      </c>
      <c r="C91" s="268"/>
      <c r="D91" s="14">
        <f>SUM(E91:P91)</f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</row>
    <row r="92" spans="1:16" x14ac:dyDescent="0.25">
      <c r="A92" s="230"/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</row>
    <row r="93" spans="1:16" x14ac:dyDescent="0.25">
      <c r="A93" s="14" t="s">
        <v>178</v>
      </c>
      <c r="B93" s="370" t="s">
        <v>179</v>
      </c>
      <c r="C93" s="14" t="s">
        <v>100</v>
      </c>
      <c r="D93" s="14"/>
      <c r="E93" s="15">
        <f t="shared" ref="E93:P93" si="32">IF($D94=0,0,E94/$D94)</f>
        <v>0.5347191170420158</v>
      </c>
      <c r="F93" s="15">
        <f t="shared" si="32"/>
        <v>0.12328109256695466</v>
      </c>
      <c r="G93" s="15">
        <f t="shared" si="32"/>
        <v>0.13195243906860502</v>
      </c>
      <c r="H93" s="15">
        <f t="shared" si="32"/>
        <v>6.9330167177492394E-2</v>
      </c>
      <c r="I93" s="15">
        <f t="shared" si="32"/>
        <v>4.8976398735908921E-2</v>
      </c>
      <c r="J93" s="15">
        <f t="shared" si="32"/>
        <v>1.6737343727032755E-6</v>
      </c>
      <c r="K93" s="15">
        <f t="shared" si="32"/>
        <v>0</v>
      </c>
      <c r="L93" s="15">
        <f t="shared" si="32"/>
        <v>1.2623042503619774E-2</v>
      </c>
      <c r="M93" s="15">
        <f t="shared" si="32"/>
        <v>1.6635211493138298E-2</v>
      </c>
      <c r="N93" s="15">
        <f t="shared" si="32"/>
        <v>6.0212444721210061E-2</v>
      </c>
      <c r="O93" s="15">
        <f t="shared" si="32"/>
        <v>1.9268931309528894E-3</v>
      </c>
      <c r="P93" s="15">
        <f t="shared" si="32"/>
        <v>3.4151982572964507E-4</v>
      </c>
    </row>
    <row r="94" spans="1:16" x14ac:dyDescent="0.25">
      <c r="A94" s="254" t="str">
        <f>IF(A93="~","~","")</f>
        <v/>
      </c>
      <c r="B94" s="369" t="s">
        <v>298</v>
      </c>
      <c r="C94" s="268"/>
      <c r="D94" s="14">
        <f>SUM(E94:P94)</f>
        <v>4182521.5409127185</v>
      </c>
      <c r="E94" s="14">
        <f>+'Load Research Data - Summary'!E9</f>
        <v>2236474.2253660602</v>
      </c>
      <c r="F94" s="14">
        <f>+'Load Research Data - Summary'!E10</f>
        <v>515625.82524854271</v>
      </c>
      <c r="G94" s="14">
        <f>+'Load Research Data - Summary'!E11</f>
        <v>551893.91878041346</v>
      </c>
      <c r="H94" s="14">
        <f>+'Load Research Data - Summary'!E12</f>
        <v>289974.91765494185</v>
      </c>
      <c r="I94" s="14">
        <f>+'Load Research Data - Summary'!E13</f>
        <v>204844.84270926949</v>
      </c>
      <c r="J94" s="14">
        <f>+'Load Research Data - Summary'!E14</f>
        <v>7.0004300675974864</v>
      </c>
      <c r="K94" s="14">
        <f>+'Load Research Data - Summary'!E15</f>
        <v>0</v>
      </c>
      <c r="L94" s="14">
        <f>+'Load Research Data - Summary'!E16</f>
        <v>52796.147183246518</v>
      </c>
      <c r="M94" s="14">
        <f>+'Load Research Data - Summary'!E17</f>
        <v>69577.130407689765</v>
      </c>
      <c r="N94" s="14">
        <f>+'Load Research Data - Summary'!E19</f>
        <v>251839.84707747737</v>
      </c>
      <c r="O94" s="14">
        <f>+'Load Research Data - Summary'!E18</f>
        <v>8059.2720272472116</v>
      </c>
      <c r="P94" s="14">
        <f>+'Load Research Data - Summary'!E20</f>
        <v>1428.4140277629981</v>
      </c>
    </row>
    <row r="95" spans="1:16" x14ac:dyDescent="0.25">
      <c r="A95" s="230" t="str">
        <f>IF(A94="~","~","")</f>
        <v/>
      </c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</row>
    <row r="96" spans="1:16" x14ac:dyDescent="0.25">
      <c r="A96" s="14" t="s">
        <v>81</v>
      </c>
      <c r="B96" s="370" t="s">
        <v>180</v>
      </c>
      <c r="C96" s="14" t="s">
        <v>100</v>
      </c>
      <c r="D96" s="14"/>
      <c r="E96" s="15">
        <f t="shared" ref="E96:P96" si="33">IF($D97=0,0,E97/$D97)</f>
        <v>0.5767251762489326</v>
      </c>
      <c r="F96" s="15">
        <f t="shared" si="33"/>
        <v>0.13296571521913858</v>
      </c>
      <c r="G96" s="15">
        <f t="shared" si="33"/>
        <v>0.14231825878845128</v>
      </c>
      <c r="H96" s="15">
        <f t="shared" si="33"/>
        <v>7.4776553914876143E-2</v>
      </c>
      <c r="I96" s="15">
        <f t="shared" si="33"/>
        <v>5.2823849555365038E-2</v>
      </c>
      <c r="J96" s="15">
        <f t="shared" si="33"/>
        <v>1.8052183292622876E-6</v>
      </c>
      <c r="K96" s="15">
        <f t="shared" si="33"/>
        <v>0</v>
      </c>
      <c r="L96" s="15">
        <f t="shared" si="33"/>
        <v>0</v>
      </c>
      <c r="M96" s="15">
        <f t="shared" si="33"/>
        <v>1.7942027832090035E-2</v>
      </c>
      <c r="N96" s="15">
        <f t="shared" si="33"/>
        <v>0</v>
      </c>
      <c r="O96" s="15">
        <f t="shared" si="33"/>
        <v>2.0782645414084621E-3</v>
      </c>
      <c r="P96" s="15">
        <f t="shared" si="33"/>
        <v>3.6834868140866908E-4</v>
      </c>
    </row>
    <row r="97" spans="1:16" x14ac:dyDescent="0.25">
      <c r="A97" s="254" t="str">
        <f>IF(A96="~","~","")</f>
        <v/>
      </c>
      <c r="B97" s="369" t="s">
        <v>298</v>
      </c>
      <c r="C97" s="268"/>
      <c r="D97" s="14">
        <f>SUM(E97:P97)</f>
        <v>3877885.5466519948</v>
      </c>
      <c r="E97" s="14">
        <f>+'Load Research Data - Summary'!F9</f>
        <v>2236474.2253660602</v>
      </c>
      <c r="F97" s="14">
        <f>+'Load Research Data - Summary'!F10</f>
        <v>515625.82524854271</v>
      </c>
      <c r="G97" s="14">
        <f>+'Load Research Data - Summary'!F11</f>
        <v>551893.91878041346</v>
      </c>
      <c r="H97" s="14">
        <f>+'Load Research Data - Summary'!F12</f>
        <v>289974.91765494185</v>
      </c>
      <c r="I97" s="14">
        <f>+'Load Research Data - Summary'!F13</f>
        <v>204844.84270926949</v>
      </c>
      <c r="J97" s="14">
        <f>+'Load Research Data - Summary'!F14</f>
        <v>7.0004300675974864</v>
      </c>
      <c r="K97" s="14">
        <f>+'Load Research Data - Summary'!F15</f>
        <v>0</v>
      </c>
      <c r="L97" s="14">
        <f>+'Load Research Data - Summary'!F16</f>
        <v>0</v>
      </c>
      <c r="M97" s="14">
        <f>+'Load Research Data - Summary'!F17</f>
        <v>69577.130407689765</v>
      </c>
      <c r="N97" s="14">
        <f>+'Load Research Data - Summary'!F19</f>
        <v>0</v>
      </c>
      <c r="O97" s="14">
        <f>+'Load Research Data - Summary'!F18</f>
        <v>8059.2720272472116</v>
      </c>
      <c r="P97" s="14">
        <f>+'Load Research Data - Summary'!F20</f>
        <v>1428.4140277629981</v>
      </c>
    </row>
    <row r="98" spans="1:16" x14ac:dyDescent="0.25">
      <c r="A98" s="230" t="str">
        <f>IF(A97="~","~","")</f>
        <v/>
      </c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  <c r="O98" s="268"/>
      <c r="P98" s="268"/>
    </row>
    <row r="99" spans="1:16" x14ac:dyDescent="0.25">
      <c r="A99" s="14" t="s">
        <v>181</v>
      </c>
      <c r="B99" s="14" t="s">
        <v>182</v>
      </c>
      <c r="C99" s="14" t="s">
        <v>100</v>
      </c>
      <c r="D99" s="14"/>
      <c r="E99" s="15">
        <f t="shared" ref="E99:P99" si="34">IF($D100=0,0,E100/$D100)</f>
        <v>0</v>
      </c>
      <c r="F99" s="15">
        <f t="shared" si="34"/>
        <v>0</v>
      </c>
      <c r="G99" s="15">
        <f t="shared" si="34"/>
        <v>0</v>
      </c>
      <c r="H99" s="15">
        <f t="shared" si="34"/>
        <v>0</v>
      </c>
      <c r="I99" s="15">
        <f t="shared" si="34"/>
        <v>0</v>
      </c>
      <c r="J99" s="15">
        <f t="shared" si="34"/>
        <v>0</v>
      </c>
      <c r="K99" s="15">
        <f t="shared" si="34"/>
        <v>0</v>
      </c>
      <c r="L99" s="15">
        <f t="shared" si="34"/>
        <v>0</v>
      </c>
      <c r="M99" s="15">
        <f t="shared" si="34"/>
        <v>1</v>
      </c>
      <c r="N99" s="15">
        <f t="shared" si="34"/>
        <v>0</v>
      </c>
      <c r="O99" s="15">
        <f t="shared" si="34"/>
        <v>0</v>
      </c>
      <c r="P99" s="15">
        <f t="shared" si="34"/>
        <v>0</v>
      </c>
    </row>
    <row r="100" spans="1:16" x14ac:dyDescent="0.25">
      <c r="A100" s="254" t="str">
        <f>IF(A99="~","~","")</f>
        <v/>
      </c>
      <c r="B100" s="369" t="s">
        <v>298</v>
      </c>
      <c r="C100" s="268"/>
      <c r="D100" s="14">
        <f>SUM(E100:P100)</f>
        <v>-12148.752</v>
      </c>
      <c r="E100" s="14">
        <v>0</v>
      </c>
      <c r="F100" s="14">
        <v>0</v>
      </c>
      <c r="G100" s="14">
        <v>0</v>
      </c>
      <c r="H100" s="14">
        <v>0</v>
      </c>
      <c r="I100" s="14">
        <f>+'Dist Accum Depr (360-368)'!$D$8</f>
        <v>0</v>
      </c>
      <c r="J100" s="14">
        <v>0</v>
      </c>
      <c r="K100" s="14">
        <f>+'Dist Accum Depr (360-368)'!$E$8</f>
        <v>0</v>
      </c>
      <c r="L100" s="14">
        <f>+'Dist Accum Depr (360-368)'!$G$8</f>
        <v>0</v>
      </c>
      <c r="M100" s="14">
        <f>+'Dist Accum Depr (360-368)'!$H$8</f>
        <v>-12148.752</v>
      </c>
      <c r="N100" s="14">
        <f>+'Dist Accum Depr (360-368)'!$I$8</f>
        <v>0</v>
      </c>
      <c r="O100" s="14">
        <v>0</v>
      </c>
      <c r="P100" s="14">
        <f>+'Dist Accum Depr (360-368)'!$F$8</f>
        <v>0</v>
      </c>
    </row>
    <row r="101" spans="1:16" x14ac:dyDescent="0.25">
      <c r="A101" s="230" t="str">
        <f>IF(A100="~","~","")</f>
        <v/>
      </c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</row>
    <row r="102" spans="1:16" x14ac:dyDescent="0.25">
      <c r="A102" s="14" t="s">
        <v>183</v>
      </c>
      <c r="B102" s="14" t="s">
        <v>184</v>
      </c>
      <c r="C102" s="14" t="s">
        <v>100</v>
      </c>
      <c r="D102" s="14"/>
      <c r="E102" s="15">
        <f t="shared" ref="E102:P102" si="35">IF($D103=0,0,E103/$D103)</f>
        <v>0</v>
      </c>
      <c r="F102" s="15">
        <f t="shared" si="35"/>
        <v>0</v>
      </c>
      <c r="G102" s="15">
        <f t="shared" si="35"/>
        <v>0</v>
      </c>
      <c r="H102" s="15">
        <f t="shared" si="35"/>
        <v>0</v>
      </c>
      <c r="I102" s="15">
        <f t="shared" si="35"/>
        <v>4.8754260304841229E-2</v>
      </c>
      <c r="J102" s="15">
        <f t="shared" si="35"/>
        <v>0</v>
      </c>
      <c r="K102" s="15">
        <f t="shared" si="35"/>
        <v>0</v>
      </c>
      <c r="L102" s="15">
        <f t="shared" si="35"/>
        <v>0.24608011916609382</v>
      </c>
      <c r="M102" s="15">
        <f t="shared" si="35"/>
        <v>0.25746624773014687</v>
      </c>
      <c r="N102" s="15">
        <f t="shared" si="35"/>
        <v>0.44769937279891803</v>
      </c>
      <c r="O102" s="15">
        <f t="shared" si="35"/>
        <v>0</v>
      </c>
      <c r="P102" s="15">
        <f t="shared" si="35"/>
        <v>0</v>
      </c>
    </row>
    <row r="103" spans="1:16" x14ac:dyDescent="0.25">
      <c r="A103" s="254" t="str">
        <f>IF(A102="~","~","")</f>
        <v/>
      </c>
      <c r="B103" s="369" t="s">
        <v>298</v>
      </c>
      <c r="C103" s="268"/>
      <c r="D103" s="14">
        <f>SUM(E103:P103)</f>
        <v>-224950.76187036239</v>
      </c>
      <c r="E103" s="14">
        <v>0</v>
      </c>
      <c r="F103" s="14">
        <v>0</v>
      </c>
      <c r="G103" s="14">
        <v>0</v>
      </c>
      <c r="H103" s="14">
        <v>0</v>
      </c>
      <c r="I103" s="14">
        <f>+'Dist Accum Depr (360-368)'!$D$9</f>
        <v>-10967.308000000001</v>
      </c>
      <c r="J103" s="14">
        <v>0</v>
      </c>
      <c r="K103" s="14">
        <f>+'Dist Accum Depr (360-368)'!$E$9</f>
        <v>0</v>
      </c>
      <c r="L103" s="14">
        <f>+'Dist Accum Depr (360-368)'!$G$9</f>
        <v>-55355.910287562372</v>
      </c>
      <c r="M103" s="14">
        <f>+'Dist Accum Depr (360-368)'!$H$9</f>
        <v>-57917.228582800002</v>
      </c>
      <c r="N103" s="14">
        <f>+'Dist Accum Depr (360-368)'!$I$9</f>
        <v>-100710.315</v>
      </c>
      <c r="O103" s="14">
        <v>0</v>
      </c>
      <c r="P103" s="14">
        <f>+'Dist Accum Depr (360-368)'!$F$9</f>
        <v>0</v>
      </c>
    </row>
    <row r="104" spans="1:16" x14ac:dyDescent="0.25">
      <c r="A104" s="230" t="str">
        <f>IF(A103="~","~","")</f>
        <v/>
      </c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</row>
    <row r="105" spans="1:16" x14ac:dyDescent="0.25">
      <c r="A105" s="14" t="s">
        <v>185</v>
      </c>
      <c r="B105" s="14" t="s">
        <v>186</v>
      </c>
      <c r="C105" s="14" t="s">
        <v>100</v>
      </c>
      <c r="D105" s="14"/>
      <c r="E105" s="15">
        <f t="shared" ref="E105:P105" si="36">IF($D106=0,0,E106/$D106)</f>
        <v>0</v>
      </c>
      <c r="F105" s="15">
        <f t="shared" si="36"/>
        <v>0</v>
      </c>
      <c r="G105" s="15">
        <f t="shared" si="36"/>
        <v>0</v>
      </c>
      <c r="H105" s="15">
        <f t="shared" si="36"/>
        <v>0</v>
      </c>
      <c r="I105" s="15">
        <f t="shared" si="36"/>
        <v>6.1835319887032905E-2</v>
      </c>
      <c r="J105" s="15">
        <f t="shared" si="36"/>
        <v>0</v>
      </c>
      <c r="K105" s="15">
        <f t="shared" si="36"/>
        <v>0</v>
      </c>
      <c r="L105" s="15">
        <f t="shared" si="36"/>
        <v>0.25052358633878391</v>
      </c>
      <c r="M105" s="15">
        <f t="shared" si="36"/>
        <v>0.38999705696283993</v>
      </c>
      <c r="N105" s="15">
        <f t="shared" si="36"/>
        <v>0.29764403681134338</v>
      </c>
      <c r="O105" s="15">
        <f t="shared" si="36"/>
        <v>0</v>
      </c>
      <c r="P105" s="15">
        <f t="shared" si="36"/>
        <v>0</v>
      </c>
    </row>
    <row r="106" spans="1:16" x14ac:dyDescent="0.25">
      <c r="A106" s="254" t="str">
        <f>IF(A105="~","~","")</f>
        <v/>
      </c>
      <c r="B106" s="369" t="s">
        <v>298</v>
      </c>
      <c r="C106" s="268"/>
      <c r="D106" s="14">
        <f>SUM(E106:P106)</f>
        <v>-11302572.919115141</v>
      </c>
      <c r="E106" s="14">
        <v>0</v>
      </c>
      <c r="F106" s="14">
        <v>0</v>
      </c>
      <c r="G106" s="14">
        <v>0</v>
      </c>
      <c r="H106" s="14">
        <v>0</v>
      </c>
      <c r="I106" s="14">
        <f>+'Dist Accum Depr (360-368)'!$D$10</f>
        <v>-698898.21200000006</v>
      </c>
      <c r="J106" s="14">
        <v>0</v>
      </c>
      <c r="K106" s="14">
        <f>+'Dist Accum Depr (360-368)'!$E$10</f>
        <v>0</v>
      </c>
      <c r="L106" s="14">
        <f>+'Dist Accum Depr (360-368)'!$G$10</f>
        <v>-2831561.1025523427</v>
      </c>
      <c r="M106" s="14">
        <f>+'Dist Accum Depr (360-368)'!$H$10</f>
        <v>-4407970.1745627997</v>
      </c>
      <c r="N106" s="14">
        <f>+'Dist Accum Depr (360-368)'!$I$10</f>
        <v>-3364143.4299999997</v>
      </c>
      <c r="O106" s="14">
        <v>0</v>
      </c>
      <c r="P106" s="14">
        <f>+'Dist Accum Depr (360-368)'!$F$10</f>
        <v>0</v>
      </c>
    </row>
    <row r="107" spans="1:16" x14ac:dyDescent="0.25">
      <c r="A107" s="230" t="str">
        <f>IF(A106="~","~","")</f>
        <v/>
      </c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</row>
    <row r="108" spans="1:16" x14ac:dyDescent="0.25">
      <c r="A108" s="14" t="s">
        <v>187</v>
      </c>
      <c r="B108" s="14" t="s">
        <v>188</v>
      </c>
      <c r="C108" s="14" t="s">
        <v>100</v>
      </c>
      <c r="D108" s="14"/>
      <c r="E108" s="15">
        <f t="shared" ref="E108:P108" si="37">IF($D109=0,0,E109/$D109)</f>
        <v>0</v>
      </c>
      <c r="F108" s="15">
        <f t="shared" si="37"/>
        <v>0</v>
      </c>
      <c r="G108" s="15">
        <f t="shared" si="37"/>
        <v>0</v>
      </c>
      <c r="H108" s="15">
        <f t="shared" si="37"/>
        <v>0</v>
      </c>
      <c r="I108" s="15">
        <f t="shared" si="37"/>
        <v>0</v>
      </c>
      <c r="J108" s="15">
        <f t="shared" si="37"/>
        <v>0</v>
      </c>
      <c r="K108" s="15">
        <f t="shared" si="37"/>
        <v>0</v>
      </c>
      <c r="L108" s="15">
        <f t="shared" si="37"/>
        <v>1</v>
      </c>
      <c r="M108" s="15">
        <f t="shared" si="37"/>
        <v>0</v>
      </c>
      <c r="N108" s="15">
        <f t="shared" si="37"/>
        <v>0</v>
      </c>
      <c r="O108" s="15">
        <f t="shared" si="37"/>
        <v>0</v>
      </c>
      <c r="P108" s="15">
        <f t="shared" si="37"/>
        <v>0</v>
      </c>
    </row>
    <row r="109" spans="1:16" x14ac:dyDescent="0.25">
      <c r="A109" s="254" t="str">
        <f>IF(A108="~","~","")</f>
        <v/>
      </c>
      <c r="B109" s="369" t="s">
        <v>298</v>
      </c>
      <c r="C109" s="268"/>
      <c r="D109" s="14">
        <f>SUM(E109:P109)</f>
        <v>-52160.692154439777</v>
      </c>
      <c r="E109" s="14">
        <v>0</v>
      </c>
      <c r="F109" s="14">
        <v>0</v>
      </c>
      <c r="G109" s="14">
        <v>0</v>
      </c>
      <c r="H109" s="14">
        <v>0</v>
      </c>
      <c r="I109" s="14">
        <f>+'Dist Accum Depr (360-368)'!$D$11</f>
        <v>0</v>
      </c>
      <c r="J109" s="14">
        <v>0</v>
      </c>
      <c r="K109" s="14">
        <f>+'Dist Accum Depr (360-368)'!$E$11</f>
        <v>0</v>
      </c>
      <c r="L109" s="14">
        <f>+'Dist Accum Depr (360-368)'!$G$11</f>
        <v>-52160.692154439777</v>
      </c>
      <c r="M109" s="14">
        <f>+'Dist Accum Depr (360-368)'!$H$11</f>
        <v>0</v>
      </c>
      <c r="N109" s="14">
        <f>+'Dist Accum Depr (360-368)'!$I$11</f>
        <v>0</v>
      </c>
      <c r="O109" s="14">
        <v>0</v>
      </c>
      <c r="P109" s="14">
        <f>+'Dist Accum Depr (360-368)'!$F$11</f>
        <v>0</v>
      </c>
    </row>
    <row r="110" spans="1:16" x14ac:dyDescent="0.25">
      <c r="A110" s="230" t="str">
        <f>IF(A109="~","~","")</f>
        <v/>
      </c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</row>
    <row r="111" spans="1:16" x14ac:dyDescent="0.25">
      <c r="A111" s="14" t="s">
        <v>189</v>
      </c>
      <c r="B111" s="370" t="s">
        <v>361</v>
      </c>
      <c r="C111" s="14" t="s">
        <v>100</v>
      </c>
      <c r="D111" s="14"/>
      <c r="E111" s="15">
        <f t="shared" ref="E111:P111" si="38">IF($D112=0,0,E112/$D112)</f>
        <v>0</v>
      </c>
      <c r="F111" s="15">
        <f t="shared" si="38"/>
        <v>0</v>
      </c>
      <c r="G111" s="15">
        <f t="shared" si="38"/>
        <v>0</v>
      </c>
      <c r="H111" s="15">
        <f t="shared" si="38"/>
        <v>0</v>
      </c>
      <c r="I111" s="15">
        <f t="shared" si="38"/>
        <v>0</v>
      </c>
      <c r="J111" s="15">
        <f t="shared" si="38"/>
        <v>0</v>
      </c>
      <c r="K111" s="15">
        <f t="shared" si="38"/>
        <v>0</v>
      </c>
      <c r="L111" s="15">
        <f t="shared" si="38"/>
        <v>0.87544778871422679</v>
      </c>
      <c r="M111" s="15">
        <f t="shared" si="38"/>
        <v>0.1229706833290868</v>
      </c>
      <c r="N111" s="15">
        <f t="shared" si="38"/>
        <v>1.5815279566864168E-3</v>
      </c>
      <c r="O111" s="15">
        <f t="shared" si="38"/>
        <v>0</v>
      </c>
      <c r="P111" s="15">
        <f t="shared" si="38"/>
        <v>0</v>
      </c>
    </row>
    <row r="112" spans="1:16" x14ac:dyDescent="0.25">
      <c r="A112" s="254" t="str">
        <f>IF(A111="~","~","")</f>
        <v/>
      </c>
      <c r="B112" s="369" t="s">
        <v>298</v>
      </c>
      <c r="C112" s="268"/>
      <c r="D112" s="14">
        <f>SUM(E112:P112)</f>
        <v>-15897826.552200768</v>
      </c>
      <c r="E112" s="14">
        <v>0</v>
      </c>
      <c r="F112" s="14">
        <v>0</v>
      </c>
      <c r="G112" s="14">
        <v>0</v>
      </c>
      <c r="H112" s="14">
        <v>0</v>
      </c>
      <c r="I112" s="14">
        <f>+'Dist Accum Depr (360-368)'!$D$12</f>
        <v>0</v>
      </c>
      <c r="J112" s="14">
        <v>0</v>
      </c>
      <c r="K112" s="14">
        <f>+'Dist Accum Depr (360-368)'!$E$12</f>
        <v>0</v>
      </c>
      <c r="L112" s="14">
        <f>+'Dist Accum Depr (360-368)'!$G$12</f>
        <v>-13917717.100486483</v>
      </c>
      <c r="M112" s="14">
        <f>+'Dist Accum Depr (360-368)'!$H$12</f>
        <v>-1954966.5945714284</v>
      </c>
      <c r="N112" s="14">
        <f>+'Dist Accum Depr (360-368)'!$I$12</f>
        <v>-25142.857142857145</v>
      </c>
      <c r="O112" s="14">
        <v>0</v>
      </c>
      <c r="P112" s="14">
        <f>+'Dist Accum Depr (360-368)'!$F$12</f>
        <v>0</v>
      </c>
    </row>
    <row r="113" spans="1:16" x14ac:dyDescent="0.25">
      <c r="A113" s="230" t="str">
        <f>IF(A112="~","~","")</f>
        <v/>
      </c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</row>
    <row r="114" spans="1:16" x14ac:dyDescent="0.25">
      <c r="A114" s="14" t="s">
        <v>191</v>
      </c>
      <c r="B114" s="14" t="s">
        <v>192</v>
      </c>
      <c r="C114" s="14" t="s">
        <v>100</v>
      </c>
      <c r="D114" s="14"/>
      <c r="E114" s="15">
        <f t="shared" ref="E114:P114" si="39">IF($D115=0,0,E115/$D115)</f>
        <v>0</v>
      </c>
      <c r="F114" s="15">
        <f t="shared" si="39"/>
        <v>0</v>
      </c>
      <c r="G114" s="15">
        <f t="shared" si="39"/>
        <v>0</v>
      </c>
      <c r="H114" s="15">
        <f t="shared" si="39"/>
        <v>0</v>
      </c>
      <c r="I114" s="15">
        <f t="shared" si="39"/>
        <v>0</v>
      </c>
      <c r="J114" s="15">
        <f t="shared" si="39"/>
        <v>0</v>
      </c>
      <c r="K114" s="15">
        <f t="shared" si="39"/>
        <v>0</v>
      </c>
      <c r="L114" s="15">
        <f t="shared" si="39"/>
        <v>0.99367452782220511</v>
      </c>
      <c r="M114" s="15">
        <f t="shared" si="39"/>
        <v>6.3254721777948174E-3</v>
      </c>
      <c r="N114" s="15">
        <f t="shared" si="39"/>
        <v>0</v>
      </c>
      <c r="O114" s="15">
        <f t="shared" si="39"/>
        <v>0</v>
      </c>
      <c r="P114" s="15">
        <f t="shared" si="39"/>
        <v>0</v>
      </c>
    </row>
    <row r="115" spans="1:16" x14ac:dyDescent="0.25">
      <c r="A115" s="254" t="str">
        <f>IF(A114="~","~","")</f>
        <v/>
      </c>
      <c r="B115" s="369" t="s">
        <v>298</v>
      </c>
      <c r="C115" s="268"/>
      <c r="D115" s="14">
        <f>SUM(E115:P115)</f>
        <v>3584294.5099956198</v>
      </c>
      <c r="E115" s="14">
        <v>0</v>
      </c>
      <c r="F115" s="14">
        <v>0</v>
      </c>
      <c r="G115" s="14">
        <v>0</v>
      </c>
      <c r="H115" s="14">
        <v>0</v>
      </c>
      <c r="I115" s="14">
        <f>+'Dist Plant (360-368)'!$D$9</f>
        <v>0</v>
      </c>
      <c r="J115" s="14">
        <v>0</v>
      </c>
      <c r="K115" s="14">
        <f>+'Dist Plant (360-368)'!$E$9</f>
        <v>0</v>
      </c>
      <c r="L115" s="14">
        <f>+'Dist Plant (360-368)'!$G$9</f>
        <v>3561622.1547956197</v>
      </c>
      <c r="M115" s="14">
        <f>+'Dist Plant (360-368)'!$H$9</f>
        <v>22672.355200000002</v>
      </c>
      <c r="N115" s="14">
        <f>+'Dist Plant (360-368)'!$I$9</f>
        <v>0</v>
      </c>
      <c r="O115" s="14">
        <v>0</v>
      </c>
      <c r="P115" s="14">
        <f>+'Dist Plant (360-368)'!$F$9</f>
        <v>0</v>
      </c>
    </row>
    <row r="116" spans="1:16" x14ac:dyDescent="0.25">
      <c r="A116" s="230" t="str">
        <f>IF(A115="~","~","")</f>
        <v/>
      </c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</row>
    <row r="117" spans="1:16" x14ac:dyDescent="0.25">
      <c r="A117" s="14" t="s">
        <v>193</v>
      </c>
      <c r="B117" s="14" t="s">
        <v>194</v>
      </c>
      <c r="C117" s="14" t="s">
        <v>100</v>
      </c>
      <c r="D117" s="14"/>
      <c r="E117" s="15">
        <f t="shared" ref="E117:P117" si="40">IF($D118=0,0,E118/$D118)</f>
        <v>0</v>
      </c>
      <c r="F117" s="15">
        <f t="shared" si="40"/>
        <v>0</v>
      </c>
      <c r="G117" s="15">
        <f t="shared" si="40"/>
        <v>0</v>
      </c>
      <c r="H117" s="15">
        <f t="shared" si="40"/>
        <v>0</v>
      </c>
      <c r="I117" s="15">
        <f t="shared" si="40"/>
        <v>0</v>
      </c>
      <c r="J117" s="15">
        <f t="shared" si="40"/>
        <v>0</v>
      </c>
      <c r="K117" s="15">
        <f t="shared" si="40"/>
        <v>0</v>
      </c>
      <c r="L117" s="15">
        <f t="shared" si="40"/>
        <v>0.40513194997945928</v>
      </c>
      <c r="M117" s="15">
        <f t="shared" si="40"/>
        <v>0.27221495574011295</v>
      </c>
      <c r="N117" s="15">
        <f t="shared" si="40"/>
        <v>0.32265309428042771</v>
      </c>
      <c r="O117" s="15">
        <f t="shared" si="40"/>
        <v>0</v>
      </c>
      <c r="P117" s="15">
        <f t="shared" si="40"/>
        <v>0</v>
      </c>
    </row>
    <row r="118" spans="1:16" x14ac:dyDescent="0.25">
      <c r="A118" s="254" t="str">
        <f>IF(A117="~","~","")</f>
        <v/>
      </c>
      <c r="B118" s="369" t="s">
        <v>298</v>
      </c>
      <c r="C118" s="268"/>
      <c r="D118" s="14">
        <f>SUM(E118:P118)</f>
        <v>598299.79449141794</v>
      </c>
      <c r="E118" s="14">
        <v>0</v>
      </c>
      <c r="F118" s="14">
        <v>0</v>
      </c>
      <c r="G118" s="14">
        <v>0</v>
      </c>
      <c r="H118" s="14">
        <v>0</v>
      </c>
      <c r="I118" s="14">
        <f>+'Dist Plant (360-368)'!$D$10</f>
        <v>0</v>
      </c>
      <c r="J118" s="14">
        <v>0</v>
      </c>
      <c r="K118" s="14">
        <f>+'Dist Plant (360-368)'!$E$10</f>
        <v>0</v>
      </c>
      <c r="L118" s="14">
        <f>+'Dist Plant (360-368)'!$G$10</f>
        <v>242390.36241461791</v>
      </c>
      <c r="M118" s="14">
        <f>+'Dist Plant (360-368)'!$H$10</f>
        <v>162866.1520768</v>
      </c>
      <c r="N118" s="14">
        <f>+'Dist Plant (360-368)'!$I$10</f>
        <v>193043.28</v>
      </c>
      <c r="O118" s="14">
        <v>0</v>
      </c>
      <c r="P118" s="14">
        <f>+'Dist Plant (360-368)'!$F$10</f>
        <v>0</v>
      </c>
    </row>
    <row r="119" spans="1:16" x14ac:dyDescent="0.25">
      <c r="A119" s="230" t="str">
        <f>IF(A118="~","~","")</f>
        <v/>
      </c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</row>
    <row r="120" spans="1:16" x14ac:dyDescent="0.25">
      <c r="A120" s="14" t="s">
        <v>195</v>
      </c>
      <c r="B120" s="14" t="s">
        <v>196</v>
      </c>
      <c r="C120" s="14" t="s">
        <v>100</v>
      </c>
      <c r="D120" s="14"/>
      <c r="E120" s="15">
        <f t="shared" ref="E120:P120" si="41">IF($D121=0,0,E121/$D121)</f>
        <v>0</v>
      </c>
      <c r="F120" s="15">
        <f t="shared" si="41"/>
        <v>0</v>
      </c>
      <c r="G120" s="15">
        <f t="shared" si="41"/>
        <v>0</v>
      </c>
      <c r="H120" s="15">
        <f t="shared" si="41"/>
        <v>0</v>
      </c>
      <c r="I120" s="15">
        <f t="shared" si="41"/>
        <v>2.4274136753904964E-2</v>
      </c>
      <c r="J120" s="15">
        <f t="shared" si="41"/>
        <v>0</v>
      </c>
      <c r="K120" s="15">
        <f t="shared" si="41"/>
        <v>0</v>
      </c>
      <c r="L120" s="15">
        <f t="shared" si="41"/>
        <v>0.32255243692780483</v>
      </c>
      <c r="M120" s="15">
        <f t="shared" si="41"/>
        <v>0.45649848456614339</v>
      </c>
      <c r="N120" s="15">
        <f t="shared" si="41"/>
        <v>0.19667494175214684</v>
      </c>
      <c r="O120" s="15">
        <f t="shared" si="41"/>
        <v>0</v>
      </c>
      <c r="P120" s="15">
        <f t="shared" si="41"/>
        <v>0</v>
      </c>
    </row>
    <row r="121" spans="1:16" x14ac:dyDescent="0.25">
      <c r="A121" s="254" t="str">
        <f>IF(A120="~","~","")</f>
        <v/>
      </c>
      <c r="B121" s="369" t="s">
        <v>298</v>
      </c>
      <c r="C121" s="268"/>
      <c r="D121" s="14">
        <f>SUM(E121:P121)</f>
        <v>31963716.521255195</v>
      </c>
      <c r="E121" s="14">
        <v>0</v>
      </c>
      <c r="F121" s="14">
        <v>0</v>
      </c>
      <c r="G121" s="14">
        <v>0</v>
      </c>
      <c r="H121" s="14">
        <v>0</v>
      </c>
      <c r="I121" s="14">
        <f>+'Dist Plant (360-368)'!$D$11</f>
        <v>775891.62600000005</v>
      </c>
      <c r="J121" s="14">
        <v>0</v>
      </c>
      <c r="K121" s="14">
        <f>+'Dist Plant (360-368)'!$E$11</f>
        <v>0</v>
      </c>
      <c r="L121" s="14">
        <f>+'Dist Plant (360-368)'!$G$11</f>
        <v>10309974.6572004</v>
      </c>
      <c r="M121" s="14">
        <f>+'Dist Plant (360-368)'!$H$11</f>
        <v>14591388.153054798</v>
      </c>
      <c r="N121" s="14">
        <f>+'Dist Plant (360-368)'!$I$11</f>
        <v>6286462.084999999</v>
      </c>
      <c r="O121" s="14">
        <v>0</v>
      </c>
      <c r="P121" s="14">
        <f>+'Dist Plant (360-368)'!$F$11</f>
        <v>0</v>
      </c>
    </row>
    <row r="122" spans="1:16" x14ac:dyDescent="0.25">
      <c r="A122" s="230" t="str">
        <f>IF(A121="~","~","")</f>
        <v/>
      </c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</row>
    <row r="123" spans="1:16" x14ac:dyDescent="0.25">
      <c r="A123" s="14" t="s">
        <v>197</v>
      </c>
      <c r="B123" s="14" t="s">
        <v>198</v>
      </c>
      <c r="C123" s="14" t="s">
        <v>100</v>
      </c>
      <c r="D123" s="14"/>
      <c r="E123" s="15">
        <f t="shared" ref="E123:P123" si="42">IF($D124=0,0,E124/$D124)</f>
        <v>0</v>
      </c>
      <c r="F123" s="15">
        <f t="shared" si="42"/>
        <v>0</v>
      </c>
      <c r="G123" s="15">
        <f t="shared" si="42"/>
        <v>0</v>
      </c>
      <c r="H123" s="15">
        <f t="shared" si="42"/>
        <v>0</v>
      </c>
      <c r="I123" s="15">
        <f t="shared" si="42"/>
        <v>0</v>
      </c>
      <c r="J123" s="15">
        <f t="shared" si="42"/>
        <v>0</v>
      </c>
      <c r="K123" s="15">
        <f t="shared" si="42"/>
        <v>0</v>
      </c>
      <c r="L123" s="15">
        <f t="shared" si="42"/>
        <v>1</v>
      </c>
      <c r="M123" s="15">
        <f t="shared" si="42"/>
        <v>0</v>
      </c>
      <c r="N123" s="15">
        <f t="shared" si="42"/>
        <v>0</v>
      </c>
      <c r="O123" s="15">
        <f t="shared" si="42"/>
        <v>0</v>
      </c>
      <c r="P123" s="15">
        <f t="shared" si="42"/>
        <v>0</v>
      </c>
    </row>
    <row r="124" spans="1:16" x14ac:dyDescent="0.25">
      <c r="A124" s="254" t="str">
        <f>IF(A123="~","~","")</f>
        <v/>
      </c>
      <c r="B124" s="369" t="s">
        <v>298</v>
      </c>
      <c r="C124" s="268"/>
      <c r="D124" s="14">
        <f>SUM(E124:P124)</f>
        <v>67009.356344389787</v>
      </c>
      <c r="E124" s="14">
        <v>0</v>
      </c>
      <c r="F124" s="14">
        <v>0</v>
      </c>
      <c r="G124" s="14">
        <v>0</v>
      </c>
      <c r="H124" s="14">
        <v>0</v>
      </c>
      <c r="I124" s="14">
        <f>+'Dist Plant (360-368)'!$D$12</f>
        <v>0</v>
      </c>
      <c r="J124" s="14">
        <v>0</v>
      </c>
      <c r="K124" s="14">
        <f>+'Dist Plant (360-368)'!$E$12</f>
        <v>0</v>
      </c>
      <c r="L124" s="14">
        <f>+'Dist Plant (360-368)'!$G$12</f>
        <v>67009.356344389787</v>
      </c>
      <c r="M124" s="14">
        <f>+'Dist Plant (360-368)'!$H$12</f>
        <v>0</v>
      </c>
      <c r="N124" s="14">
        <f>+'Dist Plant (360-368)'!$I$12</f>
        <v>0</v>
      </c>
      <c r="O124" s="14">
        <v>0</v>
      </c>
      <c r="P124" s="14">
        <f>+'Dist Plant (360-368)'!$F$12</f>
        <v>0</v>
      </c>
    </row>
    <row r="125" spans="1:16" x14ac:dyDescent="0.25">
      <c r="A125" s="230" t="str">
        <f>IF(A124="~","~","")</f>
        <v/>
      </c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</row>
    <row r="126" spans="1:16" x14ac:dyDescent="0.25">
      <c r="A126" s="14" t="s">
        <v>199</v>
      </c>
      <c r="B126" s="14" t="s">
        <v>190</v>
      </c>
      <c r="C126" s="14" t="s">
        <v>100</v>
      </c>
      <c r="D126" s="14"/>
      <c r="E126" s="15">
        <f t="shared" ref="E126:P126" si="43">IF($D127=0,0,E127/$D127)</f>
        <v>0</v>
      </c>
      <c r="F126" s="15">
        <f t="shared" si="43"/>
        <v>0</v>
      </c>
      <c r="G126" s="15">
        <f t="shared" si="43"/>
        <v>0</v>
      </c>
      <c r="H126" s="15">
        <f t="shared" si="43"/>
        <v>0</v>
      </c>
      <c r="I126" s="15">
        <f t="shared" si="43"/>
        <v>0</v>
      </c>
      <c r="J126" s="15">
        <f t="shared" si="43"/>
        <v>0</v>
      </c>
      <c r="K126" s="15">
        <f t="shared" si="43"/>
        <v>0</v>
      </c>
      <c r="L126" s="15">
        <f t="shared" si="43"/>
        <v>0.75883966672163827</v>
      </c>
      <c r="M126" s="15">
        <f t="shared" si="43"/>
        <v>0.23971975414413829</v>
      </c>
      <c r="N126" s="15">
        <f t="shared" si="43"/>
        <v>1.4405791342233915E-3</v>
      </c>
      <c r="O126" s="15">
        <f t="shared" si="43"/>
        <v>0</v>
      </c>
      <c r="P126" s="15">
        <f t="shared" si="43"/>
        <v>0</v>
      </c>
    </row>
    <row r="127" spans="1:16" x14ac:dyDescent="0.25">
      <c r="A127" s="254" t="str">
        <f>IF(A126="~","~","")</f>
        <v/>
      </c>
      <c r="B127" s="369" t="s">
        <v>298</v>
      </c>
      <c r="C127" s="268"/>
      <c r="D127" s="14">
        <f>SUM(E127:P127)</f>
        <v>27766610.698247954</v>
      </c>
      <c r="E127" s="14">
        <v>0</v>
      </c>
      <c r="F127" s="14">
        <v>0</v>
      </c>
      <c r="G127" s="14">
        <v>0</v>
      </c>
      <c r="H127" s="14">
        <v>0</v>
      </c>
      <c r="I127" s="14">
        <f>+'Dist Plant (360-368)'!$D$13</f>
        <v>0</v>
      </c>
      <c r="J127" s="14">
        <v>0</v>
      </c>
      <c r="K127" s="14">
        <f>+'Dist Plant (360-368)'!$E$13</f>
        <v>0</v>
      </c>
      <c r="L127" s="14">
        <f>+'Dist Plant (360-368)'!$G$13</f>
        <v>21070405.608247954</v>
      </c>
      <c r="M127" s="14">
        <f>+'Dist Plant (360-368)'!$H$13</f>
        <v>6656205.0899999999</v>
      </c>
      <c r="N127" s="14">
        <f>+'Dist Plant (360-368)'!$I$13</f>
        <v>40000</v>
      </c>
      <c r="O127" s="14">
        <v>0</v>
      </c>
      <c r="P127" s="14">
        <f>+'Dist Plant (360-368)'!$F$13</f>
        <v>0</v>
      </c>
    </row>
    <row r="128" spans="1:16" x14ac:dyDescent="0.25">
      <c r="A128" s="230" t="str">
        <f>IF(A127="~","~","")</f>
        <v/>
      </c>
      <c r="B128" s="268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</row>
    <row r="129" spans="1:16" x14ac:dyDescent="0.25">
      <c r="A129" s="14" t="s">
        <v>200</v>
      </c>
      <c r="B129" s="14" t="s">
        <v>201</v>
      </c>
      <c r="C129" s="14" t="s">
        <v>100</v>
      </c>
      <c r="D129" s="14"/>
      <c r="E129" s="15">
        <f t="shared" ref="E129:P129" si="44">IF($D130=0,0,E130/$D130)</f>
        <v>0</v>
      </c>
      <c r="F129" s="15">
        <f t="shared" si="44"/>
        <v>0</v>
      </c>
      <c r="G129" s="15">
        <f t="shared" si="44"/>
        <v>0</v>
      </c>
      <c r="H129" s="15">
        <f t="shared" si="44"/>
        <v>0</v>
      </c>
      <c r="I129" s="15">
        <f t="shared" si="44"/>
        <v>0.35908484956782455</v>
      </c>
      <c r="J129" s="15">
        <f t="shared" si="44"/>
        <v>0</v>
      </c>
      <c r="K129" s="15">
        <f t="shared" si="44"/>
        <v>2.0579680622188106E-2</v>
      </c>
      <c r="L129" s="15">
        <f t="shared" si="44"/>
        <v>0.61188698089763194</v>
      </c>
      <c r="M129" s="15">
        <f t="shared" si="44"/>
        <v>0</v>
      </c>
      <c r="N129" s="15">
        <f t="shared" si="44"/>
        <v>0</v>
      </c>
      <c r="O129" s="15">
        <f t="shared" si="44"/>
        <v>0</v>
      </c>
      <c r="P129" s="15">
        <f t="shared" si="44"/>
        <v>8.4484889123555215E-3</v>
      </c>
    </row>
    <row r="130" spans="1:16" x14ac:dyDescent="0.25">
      <c r="A130" s="254" t="str">
        <f>IF(A129="~","~","")</f>
        <v/>
      </c>
      <c r="B130" s="369" t="s">
        <v>298</v>
      </c>
      <c r="C130" s="268"/>
      <c r="D130" s="14">
        <f>SUM(E130:P130)</f>
        <v>2295936.0190000972</v>
      </c>
      <c r="E130" s="14">
        <v>0</v>
      </c>
      <c r="F130" s="14">
        <v>0</v>
      </c>
      <c r="G130" s="14">
        <v>0</v>
      </c>
      <c r="H130" s="14">
        <v>0</v>
      </c>
      <c r="I130" s="14">
        <f>SUM('Dist Plant (360-368)'!D14:D15)</f>
        <v>824435.83999999985</v>
      </c>
      <c r="J130" s="14">
        <v>0</v>
      </c>
      <c r="K130" s="14">
        <f>SUM('Dist Plant (360-368)'!E14:E15)</f>
        <v>47249.630000000005</v>
      </c>
      <c r="L130" s="14">
        <f>SUM('Dist Plant (360-368)'!G14:G15)</f>
        <v>1404853.3590000975</v>
      </c>
      <c r="M130" s="14">
        <f>SUM('Dist Plant (360-368)'!H14:H15)</f>
        <v>0</v>
      </c>
      <c r="N130" s="14">
        <f>SUM('Dist Plant (360-368)'!I14:I15)</f>
        <v>0</v>
      </c>
      <c r="O130" s="14">
        <v>0</v>
      </c>
      <c r="P130" s="14">
        <f>SUM('Dist Plant (360-368)'!F14:F15)</f>
        <v>19397.189999999999</v>
      </c>
    </row>
    <row r="131" spans="1:16" x14ac:dyDescent="0.25">
      <c r="A131" s="230" t="str">
        <f>IF(A130="~","~","")</f>
        <v/>
      </c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</row>
    <row r="132" spans="1:16" x14ac:dyDescent="0.25">
      <c r="A132" s="14" t="s">
        <v>202</v>
      </c>
      <c r="B132" s="14" t="s">
        <v>203</v>
      </c>
      <c r="C132" s="14" t="s">
        <v>100</v>
      </c>
      <c r="D132" s="14"/>
      <c r="E132" s="15">
        <f t="shared" ref="E132:P132" si="45">IF($D133=0,0,E133/$D133)</f>
        <v>0.45386350191334318</v>
      </c>
      <c r="F132" s="15">
        <f t="shared" si="45"/>
        <v>0.14631471615253269</v>
      </c>
      <c r="G132" s="15">
        <f t="shared" si="45"/>
        <v>0.19036027100202718</v>
      </c>
      <c r="H132" s="15">
        <f t="shared" si="45"/>
        <v>0.11187630426084208</v>
      </c>
      <c r="I132" s="15">
        <f t="shared" si="45"/>
        <v>9.2148778025191558E-2</v>
      </c>
      <c r="J132" s="15">
        <f t="shared" si="45"/>
        <v>2.0171016944910678E-5</v>
      </c>
      <c r="K132" s="15">
        <f t="shared" si="45"/>
        <v>4.7108493210432298E-3</v>
      </c>
      <c r="L132" s="15">
        <f t="shared" si="45"/>
        <v>0</v>
      </c>
      <c r="M132" s="15">
        <f t="shared" si="45"/>
        <v>0</v>
      </c>
      <c r="N132" s="15">
        <f t="shared" si="45"/>
        <v>0</v>
      </c>
      <c r="O132" s="15">
        <f t="shared" si="45"/>
        <v>6.441821404797231E-4</v>
      </c>
      <c r="P132" s="15">
        <f t="shared" si="45"/>
        <v>6.1226167595410694E-5</v>
      </c>
    </row>
    <row r="133" spans="1:16" x14ac:dyDescent="0.25">
      <c r="A133" s="254" t="str">
        <f>IF(A132="~","~","")</f>
        <v/>
      </c>
      <c r="B133" s="369" t="s">
        <v>298</v>
      </c>
      <c r="C133" s="268"/>
      <c r="D133" s="14">
        <f>SUM(E133:P133)</f>
        <v>29448193</v>
      </c>
      <c r="E133" s="14">
        <f>+'NCP Dist Plant (360-362)'!$B$10</f>
        <v>13365460</v>
      </c>
      <c r="F133" s="14">
        <f>+'NCP Dist Plant (360-362)'!$B$11</f>
        <v>4308704</v>
      </c>
      <c r="G133" s="14">
        <f>+'NCP Dist Plant (360-362)'!$B$12+'NCP Dist Plant (360-362)'!$B$14</f>
        <v>5605766</v>
      </c>
      <c r="H133" s="14">
        <f>+'NCP Dist Plant (360-362)'!$B$13</f>
        <v>3294555</v>
      </c>
      <c r="I133" s="14">
        <f>+'NCP Dist Plant (360-362)'!$B$15</f>
        <v>2713615</v>
      </c>
      <c r="J133" s="14">
        <f>+'NCP Dist Plant (360-362)'!$B$16</f>
        <v>594</v>
      </c>
      <c r="K133" s="14">
        <f>+'NCP Dist Plant (360-362)'!$B$18</f>
        <v>138726</v>
      </c>
      <c r="L133" s="14">
        <v>0</v>
      </c>
      <c r="M133" s="14">
        <v>0</v>
      </c>
      <c r="N133" s="14">
        <v>0</v>
      </c>
      <c r="O133" s="14">
        <f>+'NCP Dist Plant (360-362)'!$B$19</f>
        <v>18970</v>
      </c>
      <c r="P133" s="14">
        <f>+'NCP Dist Plant (360-362)'!$B$20</f>
        <v>1803</v>
      </c>
    </row>
    <row r="134" spans="1:16" x14ac:dyDescent="0.25">
      <c r="A134" s="230" t="str">
        <f>IF(A133="~","~","")</f>
        <v/>
      </c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</row>
    <row r="135" spans="1:16" x14ac:dyDescent="0.25">
      <c r="A135" s="14" t="s">
        <v>204</v>
      </c>
      <c r="B135" s="14" t="s">
        <v>205</v>
      </c>
      <c r="C135" s="14" t="s">
        <v>100</v>
      </c>
      <c r="D135" s="14"/>
      <c r="E135" s="15">
        <f t="shared" ref="E135:P135" si="46">IF($D136=0,0,E136/$D136)</f>
        <v>0.50907264722268186</v>
      </c>
      <c r="F135" s="15">
        <f t="shared" si="46"/>
        <v>0.14013969146770699</v>
      </c>
      <c r="G135" s="15">
        <f t="shared" si="46"/>
        <v>0.17405056842692465</v>
      </c>
      <c r="H135" s="15">
        <f t="shared" si="46"/>
        <v>0.10122515458047397</v>
      </c>
      <c r="I135" s="15">
        <f t="shared" si="46"/>
        <v>6.6454320991222671E-2</v>
      </c>
      <c r="J135" s="15">
        <f t="shared" si="46"/>
        <v>1.4451838165425855E-7</v>
      </c>
      <c r="K135" s="15">
        <f t="shared" si="46"/>
        <v>8.1701299292510268E-3</v>
      </c>
      <c r="L135" s="15">
        <f t="shared" si="46"/>
        <v>0</v>
      </c>
      <c r="M135" s="15">
        <f t="shared" si="46"/>
        <v>0</v>
      </c>
      <c r="N135" s="15">
        <f t="shared" si="46"/>
        <v>0</v>
      </c>
      <c r="O135" s="15">
        <f t="shared" si="46"/>
        <v>7.7353463780441896E-4</v>
      </c>
      <c r="P135" s="15">
        <f t="shared" si="46"/>
        <v>1.1380822555272861E-4</v>
      </c>
    </row>
    <row r="136" spans="1:16" x14ac:dyDescent="0.25">
      <c r="A136" s="254" t="str">
        <f>IF(A135="~","~","")</f>
        <v/>
      </c>
      <c r="B136" s="369" t="s">
        <v>298</v>
      </c>
      <c r="C136" s="268"/>
      <c r="D136" s="14">
        <f>SUM(E136:P136)</f>
        <v>13839070</v>
      </c>
      <c r="E136" s="14">
        <f>+'NCP Dist Plant (360-362)'!$C$10</f>
        <v>7045092</v>
      </c>
      <c r="F136" s="14">
        <f>+'NCP Dist Plant (360-362)'!$C$11</f>
        <v>1939403</v>
      </c>
      <c r="G136" s="14">
        <f>+'NCP Dist Plant (360-362)'!$C$12+'NCP Dist Plant (360-362)'!$C$14</f>
        <v>2408698</v>
      </c>
      <c r="H136" s="14">
        <f>+'NCP Dist Plant (360-362)'!$C$13</f>
        <v>1400862</v>
      </c>
      <c r="I136" s="14">
        <f>+'NCP Dist Plant (360-362)'!$C$15</f>
        <v>919666</v>
      </c>
      <c r="J136" s="14">
        <f>+'NCP Dist Plant (360-362)'!$C$16</f>
        <v>2</v>
      </c>
      <c r="K136" s="14">
        <f>+'NCP Dist Plant (360-362)'!$C$18</f>
        <v>113067</v>
      </c>
      <c r="L136" s="14">
        <v>0</v>
      </c>
      <c r="M136" s="14">
        <v>0</v>
      </c>
      <c r="N136" s="14">
        <v>0</v>
      </c>
      <c r="O136" s="14">
        <f>++'NCP Dist Plant (360-362)'!$C$19</f>
        <v>10705</v>
      </c>
      <c r="P136" s="14">
        <f>+'NCP Dist Plant (360-362)'!$C$20</f>
        <v>1575</v>
      </c>
    </row>
    <row r="137" spans="1:16" x14ac:dyDescent="0.25">
      <c r="A137" s="230" t="str">
        <f>IF(A136="~","~","")</f>
        <v/>
      </c>
      <c r="B137" s="268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</row>
    <row r="138" spans="1:16" x14ac:dyDescent="0.25">
      <c r="A138" s="14" t="s">
        <v>206</v>
      </c>
      <c r="B138" s="14" t="s">
        <v>207</v>
      </c>
      <c r="C138" s="14" t="s">
        <v>100</v>
      </c>
      <c r="D138" s="14"/>
      <c r="E138" s="15">
        <f t="shared" ref="E138:P138" si="47">IF($D139=0,0,E139/$D139)</f>
        <v>0.55819575126506471</v>
      </c>
      <c r="F138" s="15">
        <f t="shared" si="47"/>
        <v>0.13495719173795892</v>
      </c>
      <c r="G138" s="15">
        <f t="shared" si="47"/>
        <v>0.14828956361989737</v>
      </c>
      <c r="H138" s="15">
        <f t="shared" si="47"/>
        <v>7.8903642153771686E-2</v>
      </c>
      <c r="I138" s="15">
        <f t="shared" si="47"/>
        <v>7.0246777035593982E-2</v>
      </c>
      <c r="J138" s="15">
        <f t="shared" si="47"/>
        <v>2.5829713162170485E-4</v>
      </c>
      <c r="K138" s="15">
        <f t="shared" si="47"/>
        <v>8.0670643143086491E-3</v>
      </c>
      <c r="L138" s="15">
        <f t="shared" si="47"/>
        <v>0</v>
      </c>
      <c r="M138" s="15">
        <f t="shared" si="47"/>
        <v>0</v>
      </c>
      <c r="N138" s="15">
        <f t="shared" si="47"/>
        <v>0</v>
      </c>
      <c r="O138" s="15">
        <f t="shared" si="47"/>
        <v>8.0672304033179495E-4</v>
      </c>
      <c r="P138" s="15">
        <f t="shared" si="47"/>
        <v>2.74989701451172E-4</v>
      </c>
    </row>
    <row r="139" spans="1:16" x14ac:dyDescent="0.25">
      <c r="A139" s="254" t="str">
        <f>IF(A138="~","~","")</f>
        <v/>
      </c>
      <c r="B139" s="369" t="s">
        <v>298</v>
      </c>
      <c r="C139" s="268"/>
      <c r="D139" s="14">
        <f>SUM(E139:P139)</f>
        <v>800775443</v>
      </c>
      <c r="E139" s="14">
        <f>+'NCP Dist Plant (360-362)'!$D$10</f>
        <v>446989450</v>
      </c>
      <c r="F139" s="14">
        <f>+'NCP Dist Plant (360-362)'!$D$11</f>
        <v>108070405</v>
      </c>
      <c r="G139" s="14">
        <f>+'NCP Dist Plant (360-362)'!$D$12+'NCP Dist Plant (360-362)'!$D$14</f>
        <v>118746641</v>
      </c>
      <c r="H139" s="14">
        <f>+'NCP Dist Plant (360-362)'!$D$13</f>
        <v>63184099</v>
      </c>
      <c r="I139" s="14">
        <f>+'NCP Dist Plant (360-362)'!$D$15</f>
        <v>56251894</v>
      </c>
      <c r="J139" s="14">
        <f>+'NCP Dist Plant (360-362)'!$D$16</f>
        <v>206838</v>
      </c>
      <c r="K139" s="14">
        <f>+'NCP Dist Plant (360-362)'!$D$18</f>
        <v>6459907</v>
      </c>
      <c r="L139" s="14">
        <v>0</v>
      </c>
      <c r="M139" s="14">
        <v>0</v>
      </c>
      <c r="N139" s="14">
        <v>0</v>
      </c>
      <c r="O139" s="14">
        <f>++'NCP Dist Plant (360-362)'!$D$19</f>
        <v>646004</v>
      </c>
      <c r="P139" s="14">
        <f>+'NCP Dist Plant (360-362)'!$D$20</f>
        <v>220205</v>
      </c>
    </row>
    <row r="140" spans="1:16" x14ac:dyDescent="0.25">
      <c r="A140" s="230" t="str">
        <f>IF(A139="~","~","")</f>
        <v/>
      </c>
      <c r="B140" s="268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</row>
    <row r="141" spans="1:16" x14ac:dyDescent="0.25">
      <c r="A141" s="14" t="s">
        <v>208</v>
      </c>
      <c r="B141" s="14" t="s">
        <v>209</v>
      </c>
      <c r="C141" s="14" t="s">
        <v>100</v>
      </c>
      <c r="D141" s="14"/>
      <c r="E141" s="15">
        <f t="shared" ref="E141:P141" si="48">IF($D142=0,0,E142/$D142)</f>
        <v>0.68921305112937814</v>
      </c>
      <c r="F141" s="15">
        <f t="shared" si="48"/>
        <v>0.1259311043077887</v>
      </c>
      <c r="G141" s="15">
        <f t="shared" si="48"/>
        <v>9.7902554460059923E-2</v>
      </c>
      <c r="H141" s="15">
        <f t="shared" si="48"/>
        <v>3.8728716180925514E-2</v>
      </c>
      <c r="I141" s="15">
        <f t="shared" si="48"/>
        <v>3.6251797925254514E-2</v>
      </c>
      <c r="J141" s="15">
        <f t="shared" si="48"/>
        <v>9.0800247490940042E-4</v>
      </c>
      <c r="K141" s="15">
        <f t="shared" si="48"/>
        <v>9.7690620254079971E-3</v>
      </c>
      <c r="L141" s="15">
        <f t="shared" si="48"/>
        <v>0</v>
      </c>
      <c r="M141" s="15">
        <f t="shared" si="48"/>
        <v>0</v>
      </c>
      <c r="N141" s="15">
        <f t="shared" si="48"/>
        <v>0</v>
      </c>
      <c r="O141" s="15">
        <f t="shared" si="48"/>
        <v>6.0566979244509791E-4</v>
      </c>
      <c r="P141" s="15">
        <f t="shared" si="48"/>
        <v>6.9004170383048463E-4</v>
      </c>
    </row>
    <row r="142" spans="1:16" x14ac:dyDescent="0.25">
      <c r="A142" s="254" t="str">
        <f>IF(A141="~","~","")</f>
        <v/>
      </c>
      <c r="B142" s="369" t="s">
        <v>298</v>
      </c>
      <c r="C142" s="268"/>
      <c r="D142" s="14">
        <f>SUM(E142:P142)</f>
        <v>9955.9200000000019</v>
      </c>
      <c r="E142" s="14">
        <f>+'NCP Dist OH-UG Plant (364-367)'!B9</f>
        <v>6861.75</v>
      </c>
      <c r="F142" s="14">
        <f>+'NCP Dist OH-UG Plant (364-367)'!B10</f>
        <v>1253.76</v>
      </c>
      <c r="G142" s="14">
        <f>+'NCP Dist OH-UG Plant (364-367)'!B11+'NCP Dist OH-UG Plant (364-367)'!B13</f>
        <v>974.70999999999992</v>
      </c>
      <c r="H142" s="14">
        <f>+'NCP Dist OH-UG Plant (364-367)'!B12</f>
        <v>385.58</v>
      </c>
      <c r="I142" s="14">
        <f>+'NCP Dist OH-UG Plant (364-367)'!B14</f>
        <v>360.91999999999996</v>
      </c>
      <c r="J142" s="14">
        <f>+'NCP Dist OH-UG Plant (364-367)'!B15</f>
        <v>9.0399999999999991</v>
      </c>
      <c r="K142" s="14">
        <f>+'NCP Dist OH-UG Plant (364-367)'!B16</f>
        <v>97.26</v>
      </c>
      <c r="L142" s="14">
        <v>0</v>
      </c>
      <c r="M142" s="14">
        <v>0</v>
      </c>
      <c r="N142" s="14">
        <v>0</v>
      </c>
      <c r="O142" s="14">
        <f>+'NCP Dist OH-UG Plant (364-367)'!B18</f>
        <v>6.03</v>
      </c>
      <c r="P142" s="14">
        <f>+'NCP Dist OH-UG Plant (364-367)'!B19</f>
        <v>6.87</v>
      </c>
    </row>
    <row r="143" spans="1:16" x14ac:dyDescent="0.25">
      <c r="A143" s="230" t="str">
        <f>IF(A142="~","~","")</f>
        <v/>
      </c>
      <c r="B143" s="268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</row>
    <row r="144" spans="1:16" x14ac:dyDescent="0.25">
      <c r="A144" s="14" t="s">
        <v>210</v>
      </c>
      <c r="B144" s="14" t="s">
        <v>164</v>
      </c>
      <c r="C144" s="14" t="s">
        <v>100</v>
      </c>
      <c r="D144" s="14"/>
      <c r="E144" s="15">
        <f t="shared" ref="E144:P144" si="49">IF($D145=0,0,E145/$D145)</f>
        <v>0.74665324496272123</v>
      </c>
      <c r="F144" s="15">
        <f t="shared" si="49"/>
        <v>0.12228655259406904</v>
      </c>
      <c r="G144" s="15">
        <f t="shared" si="49"/>
        <v>1.787760126859388E-2</v>
      </c>
      <c r="H144" s="15">
        <f t="shared" si="49"/>
        <v>2.0159471823135439E-4</v>
      </c>
      <c r="I144" s="15">
        <f t="shared" si="49"/>
        <v>0</v>
      </c>
      <c r="J144" s="15">
        <f t="shared" si="49"/>
        <v>0</v>
      </c>
      <c r="K144" s="15">
        <f t="shared" si="49"/>
        <v>0</v>
      </c>
      <c r="L144" s="15">
        <f t="shared" si="49"/>
        <v>0</v>
      </c>
      <c r="M144" s="15">
        <f t="shared" si="49"/>
        <v>0</v>
      </c>
      <c r="N144" s="15">
        <f t="shared" si="49"/>
        <v>0</v>
      </c>
      <c r="O144" s="15">
        <f t="shared" si="49"/>
        <v>0.11298100645638461</v>
      </c>
      <c r="P144" s="15">
        <f t="shared" si="49"/>
        <v>0</v>
      </c>
    </row>
    <row r="145" spans="1:16" x14ac:dyDescent="0.25">
      <c r="A145" s="254" t="str">
        <f>IF(A144="~","~","")</f>
        <v/>
      </c>
      <c r="B145" s="369" t="s">
        <v>298</v>
      </c>
      <c r="C145" s="268"/>
      <c r="D145" s="14">
        <f>SUM(E145:P145)</f>
        <v>448977328.08714169</v>
      </c>
      <c r="E145" s="14">
        <f>+'Dist Transformer Plant (368)'!B10</f>
        <v>335230378.93095666</v>
      </c>
      <c r="F145" s="14">
        <f>+'Dist Transformer Plant (368)'!B11</f>
        <v>54903889.644672841</v>
      </c>
      <c r="G145" s="14">
        <f>+'Dist Transformer Plant (368)'!B12+'Dist Transformer Plant (368)'!B14</f>
        <v>8026637.6501805745</v>
      </c>
      <c r="H145" s="14">
        <f>+'Dist Transformer Plant (368)'!B13</f>
        <v>90511.45794799368</v>
      </c>
      <c r="I145" s="14">
        <f t="shared" ref="I145:P145" si="50">+I68</f>
        <v>0</v>
      </c>
      <c r="J145" s="14">
        <f t="shared" si="50"/>
        <v>0</v>
      </c>
      <c r="K145" s="14">
        <f t="shared" si="50"/>
        <v>0</v>
      </c>
      <c r="L145" s="14">
        <f t="shared" si="50"/>
        <v>0</v>
      </c>
      <c r="M145" s="14">
        <f t="shared" si="50"/>
        <v>0</v>
      </c>
      <c r="N145" s="14">
        <f t="shared" si="50"/>
        <v>0</v>
      </c>
      <c r="O145" s="14">
        <f>+'Dist Transformer Plant (368)'!B18</f>
        <v>50725910.403383665</v>
      </c>
      <c r="P145" s="14">
        <f t="shared" si="50"/>
        <v>0</v>
      </c>
    </row>
    <row r="146" spans="1:16" x14ac:dyDescent="0.25">
      <c r="A146" s="230"/>
      <c r="B146" s="268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</row>
    <row r="147" spans="1:16" x14ac:dyDescent="0.25">
      <c r="A147" s="14" t="s">
        <v>211</v>
      </c>
      <c r="B147" s="14" t="s">
        <v>212</v>
      </c>
      <c r="C147" s="14" t="s">
        <v>100</v>
      </c>
      <c r="D147" s="14"/>
      <c r="E147" s="15">
        <f t="shared" ref="E147:P147" si="51">IF($D148=0,0,E148/$D148)</f>
        <v>0.67299453361154526</v>
      </c>
      <c r="F147" s="15">
        <f t="shared" si="51"/>
        <v>0.11991939258824369</v>
      </c>
      <c r="G147" s="15">
        <f t="shared" si="51"/>
        <v>0.11190625421483145</v>
      </c>
      <c r="H147" s="15">
        <f t="shared" si="51"/>
        <v>4.8586593464135255E-2</v>
      </c>
      <c r="I147" s="15">
        <f t="shared" si="51"/>
        <v>3.4655831739961764E-2</v>
      </c>
      <c r="J147" s="15">
        <f t="shared" si="51"/>
        <v>4.1156589417897069E-4</v>
      </c>
      <c r="K147" s="15">
        <f t="shared" si="51"/>
        <v>1.0790960227858746E-2</v>
      </c>
      <c r="L147" s="15">
        <f t="shared" si="51"/>
        <v>0</v>
      </c>
      <c r="M147" s="15">
        <f t="shared" si="51"/>
        <v>0</v>
      </c>
      <c r="N147" s="15">
        <f t="shared" si="51"/>
        <v>0</v>
      </c>
      <c r="O147" s="15">
        <f t="shared" si="51"/>
        <v>4.6115214648969005E-4</v>
      </c>
      <c r="P147" s="15">
        <f t="shared" si="51"/>
        <v>2.7371611275517083E-4</v>
      </c>
    </row>
    <row r="148" spans="1:16" x14ac:dyDescent="0.25">
      <c r="A148" s="254" t="str">
        <f>IF(A147="~","~","")</f>
        <v/>
      </c>
      <c r="B148" s="369" t="s">
        <v>298</v>
      </c>
      <c r="C148" s="268"/>
      <c r="D148" s="14">
        <f>SUM(E148:P148)</f>
        <v>10083.44</v>
      </c>
      <c r="E148" s="14">
        <f>+'NCP Dist OH-UG Plant (364-367)'!$C$9</f>
        <v>6786.1</v>
      </c>
      <c r="F148" s="14">
        <f>+'NCP Dist OH-UG Plant (364-367)'!C10</f>
        <v>1209.2</v>
      </c>
      <c r="G148" s="14">
        <f>+'NCP Dist OH-UG Plant (364-367)'!C11+'NCP Dist OH-UG Plant (364-367)'!C13</f>
        <v>1128.4000000000001</v>
      </c>
      <c r="H148" s="14">
        <f>+'NCP Dist OH-UG Plant (364-367)'!C12</f>
        <v>489.92</v>
      </c>
      <c r="I148" s="14">
        <f>+'NCP Dist OH-UG Plant (364-367)'!C14</f>
        <v>349.45000000000005</v>
      </c>
      <c r="J148" s="14">
        <f>+'NCP Dist OH-UG Plant (364-367)'!C15</f>
        <v>4.1500000000000004</v>
      </c>
      <c r="K148" s="14">
        <f>+'NCP Dist OH-UG Plant (364-367)'!C16</f>
        <v>108.81</v>
      </c>
      <c r="L148" s="14">
        <v>0</v>
      </c>
      <c r="M148" s="14">
        <v>0</v>
      </c>
      <c r="N148" s="14">
        <v>0</v>
      </c>
      <c r="O148" s="14">
        <f>+'NCP Dist OH-UG Plant (364-367)'!C18</f>
        <v>4.6500000000000004</v>
      </c>
      <c r="P148" s="14">
        <f>+'NCP Dist OH-UG Plant (364-367)'!C19</f>
        <v>2.76</v>
      </c>
    </row>
    <row r="149" spans="1:16" x14ac:dyDescent="0.25">
      <c r="A149" s="230" t="str">
        <f>IF(A148="~","~","")</f>
        <v/>
      </c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</row>
    <row r="150" spans="1:16" x14ac:dyDescent="0.25">
      <c r="A150" s="14" t="s">
        <v>213</v>
      </c>
      <c r="B150" s="14" t="s">
        <v>170</v>
      </c>
      <c r="C150" s="14" t="s">
        <v>100</v>
      </c>
      <c r="D150" s="14"/>
      <c r="E150" s="15">
        <f t="shared" ref="E150:P150" si="52">IF($D151=0,0,E151/$D151)</f>
        <v>0.79887754674390821</v>
      </c>
      <c r="F150" s="15">
        <f t="shared" si="52"/>
        <v>0.12350228902203479</v>
      </c>
      <c r="G150" s="15">
        <f t="shared" si="52"/>
        <v>5.8863543514252464E-2</v>
      </c>
      <c r="H150" s="15">
        <f t="shared" si="52"/>
        <v>1.6265272745806532E-2</v>
      </c>
      <c r="I150" s="15">
        <f t="shared" si="52"/>
        <v>0</v>
      </c>
      <c r="J150" s="15">
        <f t="shared" si="52"/>
        <v>0</v>
      </c>
      <c r="K150" s="15">
        <f t="shared" si="52"/>
        <v>0</v>
      </c>
      <c r="L150" s="15">
        <f t="shared" si="52"/>
        <v>0</v>
      </c>
      <c r="M150" s="15">
        <f t="shared" si="52"/>
        <v>0</v>
      </c>
      <c r="N150" s="15">
        <f t="shared" si="52"/>
        <v>0</v>
      </c>
      <c r="O150" s="15">
        <f t="shared" si="52"/>
        <v>2.4913479739980173E-3</v>
      </c>
      <c r="P150" s="15">
        <f t="shared" si="52"/>
        <v>0</v>
      </c>
    </row>
    <row r="151" spans="1:16" x14ac:dyDescent="0.25">
      <c r="A151" s="254" t="str">
        <f>IF(A150="~","~","")</f>
        <v/>
      </c>
      <c r="B151" s="369" t="s">
        <v>298</v>
      </c>
      <c r="C151" s="268"/>
      <c r="D151" s="14">
        <f>SUM(E151:P151)</f>
        <v>784299006.1578418</v>
      </c>
      <c r="E151" s="14">
        <f>+'Dist Transformer Plant (368)'!E10</f>
        <v>626558865.95306206</v>
      </c>
      <c r="F151" s="14">
        <f>+'Dist Transformer Plant (368)'!E11</f>
        <v>96862722.538200423</v>
      </c>
      <c r="G151" s="14">
        <f>+'Dist Transformer Plant (368)'!E12+'Dist Transformer Plant (368)'!E14</f>
        <v>46166618.677157082</v>
      </c>
      <c r="H151" s="14">
        <f>+'Dist Transformer Plant (368)'!E13</f>
        <v>12756837.249422293</v>
      </c>
      <c r="I151" s="14">
        <f t="shared" ref="I151:P151" si="53">+I80</f>
        <v>0</v>
      </c>
      <c r="J151" s="14">
        <f t="shared" si="53"/>
        <v>0</v>
      </c>
      <c r="K151" s="14">
        <f t="shared" si="53"/>
        <v>0</v>
      </c>
      <c r="L151" s="14">
        <f t="shared" si="53"/>
        <v>0</v>
      </c>
      <c r="M151" s="14">
        <f t="shared" si="53"/>
        <v>0</v>
      </c>
      <c r="N151" s="14">
        <f t="shared" si="53"/>
        <v>0</v>
      </c>
      <c r="O151" s="14">
        <f>+'Dist Transformer Plant (368)'!E18</f>
        <v>1953961.7399999977</v>
      </c>
      <c r="P151" s="14">
        <f t="shared" si="53"/>
        <v>0</v>
      </c>
    </row>
    <row r="152" spans="1:16" x14ac:dyDescent="0.25">
      <c r="A152" s="230" t="str">
        <f>IF(A151="~","~","")</f>
        <v/>
      </c>
      <c r="B152" s="268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</row>
    <row r="153" spans="1:16" x14ac:dyDescent="0.25">
      <c r="A153" s="14" t="s">
        <v>214</v>
      </c>
      <c r="B153" s="14" t="s">
        <v>215</v>
      </c>
      <c r="C153" s="14" t="s">
        <v>100</v>
      </c>
      <c r="D153" s="14"/>
      <c r="E153" s="15">
        <f t="shared" ref="E153:P153" si="54">IF($D154=0,0,E154/$D154)</f>
        <v>0</v>
      </c>
      <c r="F153" s="15">
        <f t="shared" si="54"/>
        <v>0</v>
      </c>
      <c r="G153" s="15">
        <f t="shared" si="54"/>
        <v>0</v>
      </c>
      <c r="H153" s="15">
        <f t="shared" si="54"/>
        <v>0</v>
      </c>
      <c r="I153" s="15">
        <f t="shared" si="54"/>
        <v>0.10144294625330887</v>
      </c>
      <c r="J153" s="15">
        <f t="shared" si="54"/>
        <v>0</v>
      </c>
      <c r="K153" s="15">
        <f t="shared" si="54"/>
        <v>2.799036703816662E-3</v>
      </c>
      <c r="L153" s="15">
        <f t="shared" si="54"/>
        <v>1.7590802956872518E-2</v>
      </c>
      <c r="M153" s="15">
        <f t="shared" si="54"/>
        <v>0.64840571020737992</v>
      </c>
      <c r="N153" s="15">
        <f t="shared" si="54"/>
        <v>0.22898862239199153</v>
      </c>
      <c r="O153" s="15">
        <f t="shared" si="54"/>
        <v>0</v>
      </c>
      <c r="P153" s="15">
        <f t="shared" si="54"/>
        <v>7.7288148663056267E-4</v>
      </c>
    </row>
    <row r="154" spans="1:16" x14ac:dyDescent="0.25">
      <c r="A154" s="254" t="str">
        <f>IF(A153="~","~","")</f>
        <v/>
      </c>
      <c r="B154" s="369" t="s">
        <v>298</v>
      </c>
      <c r="C154" s="268"/>
      <c r="D154" s="14">
        <f>SUM(E154:P154)</f>
        <v>4428880.83</v>
      </c>
      <c r="E154" s="14">
        <v>0</v>
      </c>
      <c r="F154" s="14">
        <v>0</v>
      </c>
      <c r="G154" s="14">
        <v>0</v>
      </c>
      <c r="H154" s="14">
        <v>0</v>
      </c>
      <c r="I154" s="14">
        <f>+'Other Op Rev Equip Rental (454)'!B8</f>
        <v>449278.71999999997</v>
      </c>
      <c r="J154" s="14">
        <v>0</v>
      </c>
      <c r="K154" s="14">
        <f>+'Other Op Rev Equip Rental (454)'!B9</f>
        <v>12396.600000000002</v>
      </c>
      <c r="L154" s="14">
        <f>+'Other Op Rev Equip Rental (454)'!B10</f>
        <v>77907.570000000007</v>
      </c>
      <c r="M154" s="14">
        <f>+'Other Op Rev Equip Rental (454)'!B11</f>
        <v>2871711.62</v>
      </c>
      <c r="N154" s="14">
        <f>+'Other Op Rev Equip Rental (454)'!B12</f>
        <v>1014163.3200000001</v>
      </c>
      <c r="O154" s="14">
        <v>0</v>
      </c>
      <c r="P154" s="14">
        <f>+'Other Op Rev Equip Rental (454)'!B13</f>
        <v>3423.0000000000005</v>
      </c>
    </row>
    <row r="155" spans="1:16" x14ac:dyDescent="0.25">
      <c r="A155" s="230" t="str">
        <f>IF(A154="~","~","")</f>
        <v/>
      </c>
      <c r="B155" s="268"/>
      <c r="C155" s="268"/>
      <c r="D155" s="268"/>
      <c r="E155" s="268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</row>
    <row r="156" spans="1:16" x14ac:dyDescent="0.25">
      <c r="A156" s="230"/>
      <c r="B156" s="268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</row>
    <row r="157" spans="1:16" x14ac:dyDescent="0.25">
      <c r="A157" s="230"/>
      <c r="B157" s="268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</row>
    <row r="158" spans="1:16" x14ac:dyDescent="0.25">
      <c r="A158" s="230"/>
      <c r="B158" s="268"/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</row>
    <row r="159" spans="1:16" x14ac:dyDescent="0.25">
      <c r="A159" s="230"/>
      <c r="B159" s="268"/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</row>
    <row r="160" spans="1:16" x14ac:dyDescent="0.25">
      <c r="A160" s="230"/>
      <c r="B160" s="268"/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</row>
    <row r="161" spans="1:16" x14ac:dyDescent="0.25">
      <c r="A161" s="230"/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</row>
    <row r="162" spans="1:16" x14ac:dyDescent="0.25">
      <c r="A162" s="230"/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</row>
    <row r="163" spans="1:16" x14ac:dyDescent="0.25">
      <c r="A163" s="258"/>
      <c r="B163" s="128" t="s">
        <v>216</v>
      </c>
      <c r="C163" s="258"/>
      <c r="D163" s="258"/>
      <c r="E163" s="368"/>
      <c r="F163" s="368"/>
      <c r="G163" s="368"/>
      <c r="H163" s="368"/>
      <c r="I163" s="368"/>
      <c r="J163" s="368"/>
      <c r="K163" s="368"/>
      <c r="L163" s="368"/>
      <c r="M163" s="368"/>
      <c r="N163" s="368"/>
      <c r="O163" s="368"/>
      <c r="P163" s="368"/>
    </row>
    <row r="164" spans="1:16" x14ac:dyDescent="0.25">
      <c r="A164" s="258"/>
      <c r="B164" s="255"/>
      <c r="C164" s="258"/>
      <c r="D164" s="258"/>
      <c r="E164" s="368"/>
      <c r="F164" s="368"/>
      <c r="G164" s="368"/>
      <c r="H164" s="368"/>
      <c r="I164" s="368"/>
      <c r="J164" s="368"/>
      <c r="K164" s="368"/>
      <c r="L164" s="368"/>
      <c r="M164" s="368"/>
      <c r="N164" s="368"/>
      <c r="O164" s="368"/>
      <c r="P164" s="368"/>
    </row>
    <row r="165" spans="1:16" x14ac:dyDescent="0.25">
      <c r="A165" s="14" t="s">
        <v>217</v>
      </c>
      <c r="B165" s="370" t="s">
        <v>369</v>
      </c>
      <c r="C165" s="14" t="s">
        <v>102</v>
      </c>
      <c r="D165" s="14"/>
      <c r="E165" s="15">
        <f t="shared" ref="E165:P165" si="55">IF($D166=0,0,E166/$D166)</f>
        <v>0.95739981183891798</v>
      </c>
      <c r="F165" s="15">
        <f t="shared" si="55"/>
        <v>2.2868341466137396E-2</v>
      </c>
      <c r="G165" s="15">
        <f t="shared" si="55"/>
        <v>1.4828277473490617E-2</v>
      </c>
      <c r="H165" s="15">
        <f t="shared" si="55"/>
        <v>1.53118061956057E-3</v>
      </c>
      <c r="I165" s="15">
        <f t="shared" si="55"/>
        <v>2.7939624691731232E-3</v>
      </c>
      <c r="J165" s="15">
        <f t="shared" si="55"/>
        <v>4.053721618877991E-4</v>
      </c>
      <c r="K165" s="15">
        <f t="shared" si="55"/>
        <v>0</v>
      </c>
      <c r="L165" s="15">
        <f t="shared" si="55"/>
        <v>0</v>
      </c>
      <c r="M165" s="15">
        <f t="shared" si="55"/>
        <v>0</v>
      </c>
      <c r="N165" s="15">
        <f t="shared" si="55"/>
        <v>0</v>
      </c>
      <c r="O165" s="15">
        <f t="shared" si="55"/>
        <v>1.730539708326799E-4</v>
      </c>
      <c r="P165" s="15">
        <f t="shared" si="55"/>
        <v>0</v>
      </c>
    </row>
    <row r="166" spans="1:16" x14ac:dyDescent="0.25">
      <c r="A166" s="254" t="str">
        <f>IF(A165="~","~","")</f>
        <v/>
      </c>
      <c r="B166" s="369" t="s">
        <v>298</v>
      </c>
      <c r="C166" s="268"/>
      <c r="D166" s="14">
        <f>SUM(E166:P166)</f>
        <v>10961926.885423223</v>
      </c>
      <c r="E166" s="14">
        <f>+'BPA Delivered MWh'!D7</f>
        <v>10494946.737496169</v>
      </c>
      <c r="F166" s="14">
        <f>+'BPA Delivered MWh'!D10</f>
        <v>250681.08714269023</v>
      </c>
      <c r="G166" s="14">
        <f>+'BPA Delivered MWh'!D11+'BPA Delivered MWh'!D13</f>
        <v>162546.49350117234</v>
      </c>
      <c r="H166" s="14">
        <f>+'BPA Delivered MWh'!D12</f>
        <v>16784.689999999999</v>
      </c>
      <c r="I166" s="14">
        <f>+'BPA Delivered MWh'!D16</f>
        <v>30627.212307692309</v>
      </c>
      <c r="J166" s="14">
        <f>+'BPA Delivered MWh'!D17</f>
        <v>4443.66</v>
      </c>
      <c r="K166" s="14">
        <v>0</v>
      </c>
      <c r="L166" s="14">
        <v>0</v>
      </c>
      <c r="M166" s="14">
        <v>0</v>
      </c>
      <c r="N166" s="14">
        <v>0</v>
      </c>
      <c r="O166" s="14">
        <v>1897.0049755</v>
      </c>
      <c r="P166" s="14">
        <v>0</v>
      </c>
    </row>
    <row r="167" spans="1:16" x14ac:dyDescent="0.25">
      <c r="A167" s="230"/>
      <c r="B167" s="268"/>
      <c r="C167" s="268"/>
      <c r="D167" s="268"/>
      <c r="E167" s="268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</row>
    <row r="168" spans="1:16" x14ac:dyDescent="0.25">
      <c r="A168" s="14" t="s">
        <v>77</v>
      </c>
      <c r="B168" s="14" t="s">
        <v>218</v>
      </c>
      <c r="C168" s="14" t="s">
        <v>102</v>
      </c>
      <c r="D168" s="14"/>
      <c r="E168" s="15">
        <f t="shared" ref="E168:P168" si="56">IF($D169=0,0,E169/$D169)</f>
        <v>0.46946948808579064</v>
      </c>
      <c r="F168" s="15">
        <f t="shared" si="56"/>
        <v>0.11928668823213764</v>
      </c>
      <c r="G168" s="15">
        <f t="shared" si="56"/>
        <v>0.13265593226868866</v>
      </c>
      <c r="H168" s="15">
        <f t="shared" si="56"/>
        <v>8.5611604249118026E-2</v>
      </c>
      <c r="I168" s="15">
        <f t="shared" si="56"/>
        <v>5.9563656321470794E-2</v>
      </c>
      <c r="J168" s="15">
        <f t="shared" si="56"/>
        <v>1.8807869934750154E-4</v>
      </c>
      <c r="K168" s="15">
        <f t="shared" si="56"/>
        <v>5.1908808400267454E-3</v>
      </c>
      <c r="L168" s="15">
        <f t="shared" si="56"/>
        <v>1.4321216171680274E-2</v>
      </c>
      <c r="M168" s="15">
        <f t="shared" si="56"/>
        <v>2.5781572231941885E-2</v>
      </c>
      <c r="N168" s="15">
        <f t="shared" si="56"/>
        <v>8.4522636161368028E-2</v>
      </c>
      <c r="O168" s="15">
        <f t="shared" si="56"/>
        <v>3.1044209190118507E-3</v>
      </c>
      <c r="P168" s="15">
        <f t="shared" si="56"/>
        <v>3.038258194181609E-4</v>
      </c>
    </row>
    <row r="169" spans="1:16" x14ac:dyDescent="0.25">
      <c r="A169" s="254" t="str">
        <f>IF(A168="~","~","")</f>
        <v/>
      </c>
      <c r="B169" s="369" t="s">
        <v>298</v>
      </c>
      <c r="C169" s="268"/>
      <c r="D169" s="14">
        <f>SUM(E169:P169)</f>
        <v>24444937399.34943</v>
      </c>
      <c r="E169" s="14">
        <f>+'Load Research Data - Summary'!C9</f>
        <v>11476152247.161776</v>
      </c>
      <c r="F169" s="14">
        <f>+'Load Research Data - Summary'!C10</f>
        <v>2915955626.4103169</v>
      </c>
      <c r="G169" s="14">
        <f>+'Load Research Data - Summary'!C11</f>
        <v>3242765959.9604325</v>
      </c>
      <c r="H169" s="14">
        <f>+'Load Research Data - Summary'!C12</f>
        <v>2092770306.5275679</v>
      </c>
      <c r="I169" s="14">
        <f>+'Load Research Data - Summary'!C13</f>
        <v>1456029850.0547175</v>
      </c>
      <c r="J169" s="14">
        <f>+'Load Research Data - Summary'!C14</f>
        <v>4597572.0317007378</v>
      </c>
      <c r="K169" s="14">
        <f>+'Load Research Data - Summary'!C15</f>
        <v>126890757.18193617</v>
      </c>
      <c r="L169" s="14">
        <f>+'Load Research Data - Summary'!C16</f>
        <v>350081232.79927498</v>
      </c>
      <c r="M169" s="14">
        <f>+'Load Research Data - Summary'!C17</f>
        <v>630228919.26662493</v>
      </c>
      <c r="N169" s="14">
        <f>+'Load Research Data - Summary'!C19</f>
        <v>2066150549.7926297</v>
      </c>
      <c r="O169" s="14">
        <f>+'Load Research Data - Summary'!C18</f>
        <v>75887375.026475519</v>
      </c>
      <c r="P169" s="14">
        <f>+'Load Research Data - Summary'!C20</f>
        <v>7427003.1359829875</v>
      </c>
    </row>
    <row r="170" spans="1:16" x14ac:dyDescent="0.25">
      <c r="A170" s="230"/>
      <c r="B170" s="268"/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</row>
    <row r="171" spans="1:16" x14ac:dyDescent="0.25">
      <c r="A171" s="14" t="s">
        <v>83</v>
      </c>
      <c r="B171" s="14" t="s">
        <v>219</v>
      </c>
      <c r="C171" s="14" t="s">
        <v>102</v>
      </c>
      <c r="D171" s="14"/>
      <c r="E171" s="15">
        <f t="shared" ref="E171:P171" si="57">IF($D172=0,0,E172/$D172)</f>
        <v>0.52096353035067644</v>
      </c>
      <c r="F171" s="15">
        <f t="shared" si="57"/>
        <v>0.13237072014762916</v>
      </c>
      <c r="G171" s="15">
        <f t="shared" si="57"/>
        <v>0.14720637773168196</v>
      </c>
      <c r="H171" s="15">
        <f t="shared" si="57"/>
        <v>9.5001964388482726E-2</v>
      </c>
      <c r="I171" s="15">
        <f t="shared" si="57"/>
        <v>6.6096931675690307E-2</v>
      </c>
      <c r="J171" s="15">
        <f t="shared" si="57"/>
        <v>2.0870822424551828E-4</v>
      </c>
      <c r="K171" s="15">
        <f t="shared" si="57"/>
        <v>5.760245717088738E-3</v>
      </c>
      <c r="L171" s="15">
        <f t="shared" si="57"/>
        <v>0</v>
      </c>
      <c r="M171" s="15">
        <f t="shared" si="57"/>
        <v>2.8609439439201616E-2</v>
      </c>
      <c r="N171" s="15">
        <f t="shared" si="57"/>
        <v>0</v>
      </c>
      <c r="O171" s="15">
        <f t="shared" si="57"/>
        <v>3.4449311887279929E-3</v>
      </c>
      <c r="P171" s="15">
        <f t="shared" si="57"/>
        <v>3.3715113657577629E-4</v>
      </c>
    </row>
    <row r="172" spans="1:16" x14ac:dyDescent="0.25">
      <c r="A172" s="254" t="str">
        <f>IF(A171="~","~","")</f>
        <v/>
      </c>
      <c r="B172" s="369" t="s">
        <v>298</v>
      </c>
      <c r="C172" s="268"/>
      <c r="D172" s="14">
        <f>SUM(E172:P172)</f>
        <v>22028705616.757526</v>
      </c>
      <c r="E172" s="14">
        <f>+'Load Research Data - Summary'!D9</f>
        <v>11476152247.161776</v>
      </c>
      <c r="F172" s="14">
        <f>+'Load Research Data - Summary'!D10</f>
        <v>2915955626.4103169</v>
      </c>
      <c r="G172" s="14">
        <f>+'Load Research Data - Summary'!D11</f>
        <v>3242765959.9604325</v>
      </c>
      <c r="H172" s="14">
        <f>+'Load Research Data - Summary'!D12</f>
        <v>2092770306.5275679</v>
      </c>
      <c r="I172" s="14">
        <f>+'Load Research Data - Summary'!D13</f>
        <v>1456029850.0547175</v>
      </c>
      <c r="J172" s="14">
        <f>+'Load Research Data - Summary'!D14</f>
        <v>4597572.0317007378</v>
      </c>
      <c r="K172" s="14">
        <f>+'Load Research Data - Summary'!D15</f>
        <v>126890757.18193617</v>
      </c>
      <c r="L172" s="14">
        <f>+'Load Research Data - Summary'!D16</f>
        <v>0</v>
      </c>
      <c r="M172" s="14">
        <f>+'Load Research Data - Summary'!D17</f>
        <v>630228919.26662493</v>
      </c>
      <c r="N172" s="14">
        <f>+'Load Research Data - Summary'!D19</f>
        <v>0</v>
      </c>
      <c r="O172" s="14">
        <f>+'Load Research Data - Summary'!D18</f>
        <v>75887375.026475519</v>
      </c>
      <c r="P172" s="14">
        <f>+'Load Research Data - Summary'!D20</f>
        <v>7427003.1359829875</v>
      </c>
    </row>
    <row r="173" spans="1:16" x14ac:dyDescent="0.25">
      <c r="A173" s="230"/>
      <c r="B173" s="268"/>
      <c r="C173" s="268"/>
      <c r="D173" s="268"/>
      <c r="E173" s="268"/>
      <c r="F173" s="268"/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</row>
  </sheetData>
  <mergeCells count="1">
    <mergeCell ref="A1:B1"/>
  </mergeCells>
  <printOptions horizontalCentered="1"/>
  <pageMargins left="0.25" right="0.25" top="0.75" bottom="0.75" header="0.3" footer="0.3"/>
  <pageSetup scale="51" fitToHeight="3" orientation="landscape" r:id="rId1"/>
  <headerFooter>
    <oddHeader>&amp;CPuget Sound Energy</oddHead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G34" sqref="G34"/>
    </sheetView>
  </sheetViews>
  <sheetFormatPr defaultColWidth="8.85546875" defaultRowHeight="15" x14ac:dyDescent="0.25"/>
  <cols>
    <col min="1" max="1" width="2.7109375" style="256" bestFit="1" customWidth="1"/>
    <col min="2" max="2" width="19" style="256" bestFit="1" customWidth="1"/>
    <col min="3" max="3" width="17.28515625" style="256" bestFit="1" customWidth="1"/>
    <col min="4" max="4" width="8.85546875" style="256"/>
    <col min="5" max="5" width="7.7109375" style="256" bestFit="1" customWidth="1"/>
    <col min="6" max="6" width="7.42578125" style="256" bestFit="1" customWidth="1"/>
    <col min="7" max="7" width="9.5703125" style="256" bestFit="1" customWidth="1"/>
    <col min="8" max="16384" width="8.85546875" style="256"/>
  </cols>
  <sheetData>
    <row r="1" spans="1:9" x14ac:dyDescent="0.25">
      <c r="A1" s="375" t="s">
        <v>574</v>
      </c>
      <c r="B1" s="376"/>
      <c r="C1" s="376"/>
      <c r="D1" s="376"/>
      <c r="E1" s="376"/>
      <c r="F1" s="376"/>
      <c r="G1" s="376"/>
      <c r="H1" s="376"/>
      <c r="I1" s="376"/>
    </row>
    <row r="2" spans="1:9" x14ac:dyDescent="0.25">
      <c r="A2" s="375" t="s">
        <v>575</v>
      </c>
      <c r="B2" s="376"/>
      <c r="C2" s="376"/>
      <c r="D2" s="376"/>
      <c r="E2" s="376"/>
      <c r="F2" s="376"/>
      <c r="G2" s="376"/>
      <c r="H2" s="376"/>
      <c r="I2" s="376"/>
    </row>
    <row r="3" spans="1:9" x14ac:dyDescent="0.25">
      <c r="A3" s="376" t="s">
        <v>576</v>
      </c>
      <c r="B3" s="376"/>
      <c r="C3" s="376"/>
      <c r="D3" s="376"/>
      <c r="E3" s="376"/>
      <c r="F3" s="376"/>
      <c r="G3" s="376"/>
      <c r="H3" s="376"/>
      <c r="I3" s="376"/>
    </row>
    <row r="4" spans="1:9" x14ac:dyDescent="0.25">
      <c r="A4" s="231"/>
      <c r="B4" s="231"/>
      <c r="C4" s="231"/>
      <c r="D4" s="231"/>
      <c r="E4" s="231"/>
      <c r="F4" s="231"/>
      <c r="G4" s="231"/>
      <c r="H4" s="231"/>
      <c r="I4" s="231"/>
    </row>
    <row r="5" spans="1:9" ht="15.75" thickBot="1" x14ac:dyDescent="0.3">
      <c r="A5" s="231"/>
      <c r="B5" s="231"/>
      <c r="C5" s="231"/>
      <c r="D5" s="231"/>
      <c r="E5" s="231"/>
      <c r="F5" s="231"/>
      <c r="G5" s="231"/>
      <c r="H5" s="231"/>
      <c r="I5" s="231"/>
    </row>
    <row r="6" spans="1:9" ht="15.75" thickTop="1" x14ac:dyDescent="0.25">
      <c r="A6" s="232"/>
      <c r="B6" s="117"/>
      <c r="C6" s="233"/>
      <c r="D6" s="234"/>
      <c r="E6" s="235"/>
      <c r="F6" s="235"/>
      <c r="G6" s="236" t="s">
        <v>577</v>
      </c>
      <c r="H6" s="117"/>
      <c r="I6" s="117"/>
    </row>
    <row r="7" spans="1:9" ht="15.75" thickBot="1" x14ac:dyDescent="0.3">
      <c r="A7" s="232"/>
      <c r="B7" s="117"/>
      <c r="C7" s="237"/>
      <c r="D7" s="238"/>
      <c r="E7" s="239" t="s">
        <v>578</v>
      </c>
      <c r="F7" s="239" t="s">
        <v>579</v>
      </c>
      <c r="G7" s="240" t="s">
        <v>580</v>
      </c>
      <c r="H7" s="117"/>
      <c r="I7" s="117"/>
    </row>
    <row r="8" spans="1:9" x14ac:dyDescent="0.25">
      <c r="A8" s="232"/>
      <c r="B8" s="117"/>
      <c r="C8" s="241" t="s">
        <v>581</v>
      </c>
      <c r="D8" s="114"/>
      <c r="E8" s="242"/>
      <c r="F8" s="242">
        <v>121.17507049382952</v>
      </c>
      <c r="G8" s="243"/>
      <c r="H8" s="117"/>
      <c r="I8" s="117"/>
    </row>
    <row r="9" spans="1:9" ht="15.75" thickBot="1" x14ac:dyDescent="0.3">
      <c r="A9" s="232"/>
      <c r="B9" s="117"/>
      <c r="C9" s="244" t="s">
        <v>582</v>
      </c>
      <c r="D9" s="245"/>
      <c r="E9" s="246">
        <v>95.717736449770896</v>
      </c>
      <c r="F9" s="246">
        <v>849.19489402075726</v>
      </c>
      <c r="G9" s="247">
        <v>0.11271586431304098</v>
      </c>
      <c r="H9" s="117"/>
      <c r="I9" s="117"/>
    </row>
    <row r="10" spans="1:9" ht="15.75" thickTop="1" x14ac:dyDescent="0.25">
      <c r="A10" s="232"/>
      <c r="B10" s="232"/>
      <c r="C10" s="232"/>
      <c r="D10" s="232"/>
      <c r="E10" s="117"/>
      <c r="F10" s="117"/>
      <c r="G10" s="232"/>
      <c r="H10" s="232"/>
      <c r="I10" s="117"/>
    </row>
    <row r="11" spans="1:9" x14ac:dyDescent="0.25">
      <c r="A11" s="232"/>
      <c r="B11" s="232"/>
      <c r="C11" s="232"/>
      <c r="D11" s="232"/>
      <c r="E11" s="232"/>
      <c r="F11" s="232"/>
      <c r="G11" s="232"/>
      <c r="H11" s="232"/>
      <c r="I11" s="117"/>
    </row>
    <row r="12" spans="1:9" ht="15.75" thickBot="1" x14ac:dyDescent="0.3">
      <c r="A12" s="117"/>
      <c r="B12" s="238" t="s">
        <v>583</v>
      </c>
      <c r="C12" s="248"/>
      <c r="D12" s="248"/>
      <c r="E12" s="248"/>
      <c r="F12" s="248"/>
      <c r="G12" s="248"/>
      <c r="H12" s="248"/>
      <c r="I12" s="117"/>
    </row>
    <row r="13" spans="1:9" x14ac:dyDescent="0.25">
      <c r="A13" s="117"/>
      <c r="B13" s="249"/>
      <c r="C13" s="114"/>
      <c r="D13" s="114"/>
      <c r="E13" s="114"/>
      <c r="F13" s="114"/>
      <c r="G13" s="114"/>
      <c r="H13" s="114"/>
      <c r="I13" s="117"/>
    </row>
    <row r="14" spans="1:9" x14ac:dyDescent="0.25">
      <c r="A14" s="117"/>
      <c r="B14" s="249"/>
      <c r="C14" s="114"/>
      <c r="D14" s="114"/>
      <c r="E14" s="377" t="s">
        <v>584</v>
      </c>
      <c r="F14" s="377"/>
      <c r="G14" s="114"/>
      <c r="H14" s="114"/>
      <c r="I14" s="117"/>
    </row>
    <row r="15" spans="1:9" x14ac:dyDescent="0.25">
      <c r="A15" s="117"/>
      <c r="B15" s="117"/>
      <c r="C15" s="114"/>
      <c r="D15" s="114"/>
      <c r="E15" s="250" t="s">
        <v>578</v>
      </c>
      <c r="F15" s="250" t="s">
        <v>579</v>
      </c>
      <c r="G15" s="250" t="s">
        <v>585</v>
      </c>
      <c r="H15" s="114"/>
      <c r="I15" s="117"/>
    </row>
    <row r="16" spans="1:9" x14ac:dyDescent="0.25">
      <c r="A16" s="232">
        <v>1</v>
      </c>
      <c r="B16" s="114" t="s">
        <v>593</v>
      </c>
      <c r="C16" s="114"/>
      <c r="D16" s="114"/>
      <c r="E16" s="107">
        <v>671.35418410041837</v>
      </c>
      <c r="F16" s="107">
        <v>1341.9466238664293</v>
      </c>
      <c r="G16" s="114" t="s">
        <v>586</v>
      </c>
      <c r="H16" s="114"/>
      <c r="I16" s="117"/>
    </row>
    <row r="17" spans="1:9" x14ac:dyDescent="0.25">
      <c r="A17" s="232">
        <v>2</v>
      </c>
      <c r="B17" s="114" t="s">
        <v>594</v>
      </c>
      <c r="C17" s="114"/>
      <c r="D17" s="114"/>
      <c r="E17" s="108">
        <v>9.5399999999999999E-2</v>
      </c>
      <c r="F17" s="108">
        <v>9.5399999999999999E-2</v>
      </c>
      <c r="G17" s="117"/>
      <c r="H17" s="114"/>
      <c r="I17" s="117"/>
    </row>
    <row r="18" spans="1:9" x14ac:dyDescent="0.25">
      <c r="A18" s="232">
        <v>3</v>
      </c>
      <c r="B18" s="114" t="s">
        <v>595</v>
      </c>
      <c r="C18" s="114"/>
      <c r="D18" s="114"/>
      <c r="E18" s="109">
        <v>12.63762523552567</v>
      </c>
      <c r="F18" s="109">
        <v>56.702377644525825</v>
      </c>
      <c r="G18" s="114" t="s">
        <v>586</v>
      </c>
      <c r="H18" s="249"/>
      <c r="I18" s="117"/>
    </row>
    <row r="19" spans="1:9" x14ac:dyDescent="0.25">
      <c r="A19" s="232">
        <v>4</v>
      </c>
      <c r="B19" s="114" t="s">
        <v>596</v>
      </c>
      <c r="C19" s="114"/>
      <c r="D19" s="114"/>
      <c r="E19" s="109">
        <v>24.359299999999998</v>
      </c>
      <c r="F19" s="109">
        <v>2.6477499999999998</v>
      </c>
      <c r="G19" s="114" t="s">
        <v>586</v>
      </c>
      <c r="H19" s="114"/>
      <c r="I19" s="117"/>
    </row>
    <row r="20" spans="1:9" x14ac:dyDescent="0.25">
      <c r="A20" s="232">
        <v>5</v>
      </c>
      <c r="B20" s="114" t="s">
        <v>597</v>
      </c>
      <c r="C20" s="114"/>
      <c r="D20" s="114"/>
      <c r="E20" s="110">
        <v>9822.6</v>
      </c>
      <c r="F20" s="110">
        <v>6650.4000000000005</v>
      </c>
      <c r="G20" s="117"/>
      <c r="H20" s="114"/>
      <c r="I20" s="117"/>
    </row>
    <row r="21" spans="1:9" x14ac:dyDescent="0.25">
      <c r="A21" s="232">
        <v>6</v>
      </c>
      <c r="B21" s="114" t="s">
        <v>587</v>
      </c>
      <c r="C21" s="114"/>
      <c r="D21" s="114"/>
      <c r="E21" s="108">
        <v>7.4399999999999994E-2</v>
      </c>
      <c r="F21" s="108">
        <v>7.4399999999999994E-2</v>
      </c>
      <c r="G21" s="117"/>
      <c r="H21" s="114"/>
      <c r="I21" s="117"/>
    </row>
    <row r="22" spans="1:9" x14ac:dyDescent="0.25">
      <c r="A22" s="232">
        <v>7</v>
      </c>
      <c r="B22" s="114" t="s">
        <v>598</v>
      </c>
      <c r="C22" s="114"/>
      <c r="D22" s="114"/>
      <c r="E22" s="111">
        <v>0</v>
      </c>
      <c r="F22" s="111">
        <v>0.8</v>
      </c>
      <c r="G22" s="117"/>
      <c r="H22" s="114"/>
      <c r="I22" s="117"/>
    </row>
    <row r="23" spans="1:9" x14ac:dyDescent="0.25">
      <c r="A23" s="232">
        <v>8</v>
      </c>
      <c r="B23" s="114" t="s">
        <v>599</v>
      </c>
      <c r="C23" s="114"/>
      <c r="D23" s="114"/>
      <c r="E23" s="112">
        <v>0.03</v>
      </c>
      <c r="F23" s="112">
        <v>0.03</v>
      </c>
      <c r="G23" s="111"/>
      <c r="H23" s="111"/>
      <c r="I23" s="117"/>
    </row>
    <row r="24" spans="1:9" x14ac:dyDescent="0.25">
      <c r="A24" s="113">
        <v>9</v>
      </c>
      <c r="B24" s="114" t="s">
        <v>600</v>
      </c>
      <c r="C24" s="114"/>
      <c r="D24" s="114"/>
      <c r="E24" s="112">
        <v>0.13500000000000001</v>
      </c>
      <c r="F24" s="112">
        <v>0.13500000000000001</v>
      </c>
      <c r="G24" s="111"/>
      <c r="H24" s="111"/>
      <c r="I24" s="117"/>
    </row>
    <row r="25" spans="1:9" x14ac:dyDescent="0.25">
      <c r="A25" s="232">
        <v>10</v>
      </c>
      <c r="B25" s="232" t="s">
        <v>601</v>
      </c>
      <c r="C25" s="114"/>
      <c r="D25" s="114"/>
      <c r="E25" s="115">
        <v>574.62210000000005</v>
      </c>
      <c r="F25" s="115">
        <v>389.04840000000007</v>
      </c>
      <c r="G25" s="117"/>
      <c r="H25" s="114"/>
      <c r="I25" s="117"/>
    </row>
    <row r="26" spans="1:9" x14ac:dyDescent="0.25">
      <c r="A26" s="232"/>
      <c r="B26" s="232"/>
      <c r="C26" s="114"/>
      <c r="D26" s="114"/>
      <c r="E26" s="116"/>
      <c r="F26" s="116"/>
      <c r="G26" s="117"/>
      <c r="H26" s="114"/>
      <c r="I26" s="117"/>
    </row>
    <row r="27" spans="1:9" x14ac:dyDescent="0.25">
      <c r="A27" s="117"/>
      <c r="B27" s="249"/>
      <c r="C27" s="114"/>
      <c r="D27" s="114"/>
      <c r="E27" s="114"/>
      <c r="F27" s="114"/>
      <c r="G27" s="114"/>
      <c r="H27" s="114"/>
      <c r="I27" s="117"/>
    </row>
    <row r="28" spans="1:9" x14ac:dyDescent="0.25">
      <c r="A28" s="117"/>
      <c r="B28" s="117"/>
      <c r="C28" s="117"/>
      <c r="D28" s="117"/>
      <c r="E28" s="378" t="s">
        <v>587</v>
      </c>
      <c r="F28" s="378"/>
      <c r="G28" s="378"/>
      <c r="H28" s="117"/>
      <c r="I28" s="117"/>
    </row>
    <row r="29" spans="1:9" x14ac:dyDescent="0.25">
      <c r="A29" s="117"/>
      <c r="B29" s="117"/>
      <c r="C29" s="117"/>
      <c r="D29" s="117"/>
      <c r="E29" s="118" t="s">
        <v>588</v>
      </c>
      <c r="F29" s="118"/>
      <c r="G29" s="118" t="s">
        <v>589</v>
      </c>
      <c r="H29" s="117"/>
      <c r="I29" s="117"/>
    </row>
    <row r="30" spans="1:9" x14ac:dyDescent="0.25">
      <c r="A30" s="117"/>
      <c r="B30" s="117"/>
      <c r="C30" s="117"/>
      <c r="D30" s="117"/>
      <c r="E30" s="125" t="s">
        <v>590</v>
      </c>
      <c r="F30" s="125" t="s">
        <v>591</v>
      </c>
      <c r="G30" s="125" t="s">
        <v>592</v>
      </c>
      <c r="H30" s="117"/>
      <c r="I30" s="117"/>
    </row>
    <row r="31" spans="1:9" x14ac:dyDescent="0.25">
      <c r="A31" s="232">
        <v>11</v>
      </c>
      <c r="B31" s="119" t="s">
        <v>32</v>
      </c>
      <c r="C31" s="120"/>
      <c r="D31" s="117"/>
      <c r="E31" s="121"/>
      <c r="F31" s="121"/>
      <c r="G31" s="121"/>
      <c r="H31" s="117"/>
      <c r="I31" s="251"/>
    </row>
    <row r="32" spans="1:9" x14ac:dyDescent="0.25">
      <c r="A32" s="232">
        <v>12</v>
      </c>
      <c r="B32" s="119" t="s">
        <v>602</v>
      </c>
      <c r="C32" s="120"/>
      <c r="D32" s="117"/>
      <c r="E32" s="121">
        <v>0.51500000000000001</v>
      </c>
      <c r="F32" s="121">
        <v>5.5E-2</v>
      </c>
      <c r="G32" s="121">
        <v>2.8299999999999999E-2</v>
      </c>
      <c r="H32" s="117"/>
      <c r="I32" s="251"/>
    </row>
    <row r="33" spans="1:9" x14ac:dyDescent="0.25">
      <c r="A33" s="232">
        <v>13</v>
      </c>
      <c r="B33" s="120" t="s">
        <v>603</v>
      </c>
      <c r="C33" s="120"/>
      <c r="D33" s="117"/>
      <c r="E33" s="122">
        <v>0.48499999999999999</v>
      </c>
      <c r="F33" s="122">
        <v>9.5000000000000001E-2</v>
      </c>
      <c r="G33" s="122">
        <v>4.6100000000000002E-2</v>
      </c>
      <c r="H33" s="117"/>
      <c r="I33" s="251"/>
    </row>
    <row r="34" spans="1:9" x14ac:dyDescent="0.25">
      <c r="A34" s="232">
        <v>14</v>
      </c>
      <c r="B34" s="120" t="s">
        <v>563</v>
      </c>
      <c r="C34" s="120"/>
      <c r="D34" s="117"/>
      <c r="E34" s="123">
        <v>1</v>
      </c>
      <c r="F34" s="124"/>
      <c r="G34" s="123">
        <v>7.4399999999999994E-2</v>
      </c>
      <c r="H34" s="117"/>
      <c r="I34" s="251"/>
    </row>
    <row r="35" spans="1:9" ht="15.75" thickBot="1" x14ac:dyDescent="0.3">
      <c r="A35" s="232"/>
      <c r="B35" s="252"/>
      <c r="C35" s="252"/>
      <c r="D35" s="252"/>
      <c r="E35" s="252"/>
      <c r="F35" s="252"/>
      <c r="G35" s="252"/>
      <c r="H35" s="252"/>
      <c r="I35" s="231"/>
    </row>
  </sheetData>
  <mergeCells count="5">
    <mergeCell ref="A1:I1"/>
    <mergeCell ref="A2:I2"/>
    <mergeCell ref="A3:I3"/>
    <mergeCell ref="E14:F14"/>
    <mergeCell ref="E28:G28"/>
  </mergeCells>
  <printOptions horizontalCentered="1"/>
  <pageMargins left="0.25" right="0.25" top="0.75" bottom="0.75" header="0.3" footer="0.3"/>
  <pageSetup scale="97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D11" sqref="D11"/>
    </sheetView>
  </sheetViews>
  <sheetFormatPr defaultColWidth="11.42578125" defaultRowHeight="15" x14ac:dyDescent="0.25"/>
  <cols>
    <col min="1" max="1" width="5" style="256" bestFit="1" customWidth="1"/>
    <col min="2" max="2" width="41.7109375" style="256" bestFit="1" customWidth="1"/>
    <col min="3" max="3" width="11.5703125" style="256" bestFit="1" customWidth="1"/>
    <col min="4" max="4" width="6" style="256" bestFit="1" customWidth="1"/>
    <col min="5" max="5" width="10.42578125" style="256" bestFit="1" customWidth="1"/>
    <col min="6" max="16384" width="11.42578125" style="256"/>
  </cols>
  <sheetData>
    <row r="1" spans="1:5" x14ac:dyDescent="0.25">
      <c r="A1" s="360" t="s">
        <v>550</v>
      </c>
      <c r="B1" s="360"/>
      <c r="C1" s="360"/>
      <c r="D1" s="360"/>
      <c r="E1" s="360"/>
    </row>
    <row r="2" spans="1:5" x14ac:dyDescent="0.25">
      <c r="A2" s="360" t="s">
        <v>551</v>
      </c>
      <c r="B2" s="360"/>
      <c r="C2" s="360"/>
      <c r="D2" s="360"/>
      <c r="E2" s="360"/>
    </row>
    <row r="3" spans="1:5" x14ac:dyDescent="0.25">
      <c r="A3" s="360" t="s">
        <v>552</v>
      </c>
      <c r="B3" s="360"/>
      <c r="C3" s="360"/>
      <c r="D3" s="360"/>
      <c r="E3" s="360"/>
    </row>
    <row r="4" spans="1:5" x14ac:dyDescent="0.25">
      <c r="A4" s="360" t="s">
        <v>439</v>
      </c>
      <c r="B4" s="360"/>
      <c r="C4" s="360"/>
      <c r="D4" s="360"/>
      <c r="E4" s="360"/>
    </row>
    <row r="5" spans="1:5" x14ac:dyDescent="0.25">
      <c r="A5" s="360" t="s">
        <v>553</v>
      </c>
      <c r="B5" s="360"/>
      <c r="C5" s="360"/>
      <c r="D5" s="360"/>
      <c r="E5" s="360"/>
    </row>
    <row r="6" spans="1:5" x14ac:dyDescent="0.25">
      <c r="A6" s="362"/>
      <c r="B6" s="361"/>
      <c r="C6" s="361"/>
      <c r="D6" s="361"/>
      <c r="E6" s="361"/>
    </row>
    <row r="7" spans="1:5" x14ac:dyDescent="0.25">
      <c r="A7" s="362"/>
      <c r="B7" s="362"/>
      <c r="C7" s="362"/>
      <c r="D7" s="362"/>
      <c r="E7" s="362"/>
    </row>
    <row r="8" spans="1:5" x14ac:dyDescent="0.25">
      <c r="A8" s="60" t="s">
        <v>554</v>
      </c>
      <c r="B8" s="60"/>
      <c r="C8" s="363" t="s">
        <v>555</v>
      </c>
      <c r="D8" s="362"/>
      <c r="E8" s="363" t="s">
        <v>556</v>
      </c>
    </row>
    <row r="9" spans="1:5" x14ac:dyDescent="0.25">
      <c r="A9" s="2" t="s">
        <v>557</v>
      </c>
      <c r="B9" s="2" t="s">
        <v>558</v>
      </c>
      <c r="C9" s="2" t="s">
        <v>559</v>
      </c>
      <c r="D9" s="2" t="s">
        <v>560</v>
      </c>
      <c r="E9" s="2" t="s">
        <v>560</v>
      </c>
    </row>
    <row r="10" spans="1:5" x14ac:dyDescent="0.25">
      <c r="A10" s="362"/>
      <c r="B10" s="362"/>
      <c r="C10" s="362"/>
      <c r="D10" s="362"/>
      <c r="E10" s="362"/>
    </row>
    <row r="11" spans="1:5" x14ac:dyDescent="0.25">
      <c r="A11" s="3">
        <v>1</v>
      </c>
      <c r="B11" s="1" t="s">
        <v>561</v>
      </c>
      <c r="C11" s="364">
        <v>0.51500000000000001</v>
      </c>
      <c r="D11" s="364">
        <v>5.4951456310679617E-2</v>
      </c>
      <c r="E11" s="364">
        <v>2.8299999999999999E-2</v>
      </c>
    </row>
    <row r="12" spans="1:5" x14ac:dyDescent="0.25">
      <c r="A12" s="3">
        <v>2</v>
      </c>
      <c r="B12" s="1" t="s">
        <v>562</v>
      </c>
      <c r="C12" s="364">
        <v>0.48499999999999999</v>
      </c>
      <c r="D12" s="364">
        <v>9.5000000000000001E-2</v>
      </c>
      <c r="E12" s="364">
        <v>4.6100000000000002E-2</v>
      </c>
    </row>
    <row r="13" spans="1:5" x14ac:dyDescent="0.25">
      <c r="A13" s="3">
        <v>3</v>
      </c>
      <c r="B13" s="1" t="s">
        <v>563</v>
      </c>
      <c r="C13" s="365">
        <v>1</v>
      </c>
      <c r="D13" s="366"/>
      <c r="E13" s="367">
        <v>7.4399999999999994E-2</v>
      </c>
    </row>
    <row r="14" spans="1:5" x14ac:dyDescent="0.25">
      <c r="A14" s="3">
        <v>4</v>
      </c>
      <c r="B14" s="1"/>
      <c r="C14" s="362"/>
      <c r="D14" s="362"/>
      <c r="E14" s="362"/>
    </row>
    <row r="15" spans="1:5" x14ac:dyDescent="0.25">
      <c r="A15" s="3">
        <v>5</v>
      </c>
      <c r="B15" s="1" t="s">
        <v>564</v>
      </c>
      <c r="C15" s="364">
        <v>0.51500000000000001</v>
      </c>
      <c r="D15" s="364">
        <v>4.3411650485436902E-2</v>
      </c>
      <c r="E15" s="364">
        <v>2.24E-2</v>
      </c>
    </row>
    <row r="16" spans="1:5" x14ac:dyDescent="0.25">
      <c r="A16" s="3">
        <v>6</v>
      </c>
      <c r="B16" s="1" t="s">
        <v>562</v>
      </c>
      <c r="C16" s="364">
        <v>0.48499999999999999</v>
      </c>
      <c r="D16" s="364">
        <v>9.5000000000000001E-2</v>
      </c>
      <c r="E16" s="364">
        <v>4.6100000000000002E-2</v>
      </c>
    </row>
    <row r="17" spans="1:5" x14ac:dyDescent="0.25">
      <c r="A17" s="3">
        <v>7</v>
      </c>
      <c r="B17" s="1" t="s">
        <v>565</v>
      </c>
      <c r="C17" s="365">
        <v>1</v>
      </c>
      <c r="D17" s="366"/>
      <c r="E17" s="367">
        <v>6.8500000000000005E-2</v>
      </c>
    </row>
  </sheetData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/>
  </sheetViews>
  <sheetFormatPr defaultRowHeight="15" x14ac:dyDescent="0.25"/>
  <cols>
    <col min="1" max="1" width="5" style="256" bestFit="1" customWidth="1"/>
    <col min="2" max="2" width="61.7109375" style="256" bestFit="1" customWidth="1"/>
    <col min="3" max="3" width="9.140625" style="256"/>
    <col min="4" max="4" width="7.28515625" style="256" bestFit="1" customWidth="1"/>
    <col min="5" max="5" width="8.42578125" style="256" bestFit="1" customWidth="1"/>
    <col min="6" max="16384" width="9.140625" style="256"/>
  </cols>
  <sheetData>
    <row r="1" spans="1:5" x14ac:dyDescent="0.25">
      <c r="A1" s="360"/>
      <c r="B1" s="360" t="s">
        <v>550</v>
      </c>
      <c r="C1" s="361"/>
      <c r="D1" s="361"/>
      <c r="E1" s="361"/>
    </row>
    <row r="2" spans="1:5" x14ac:dyDescent="0.25">
      <c r="A2" s="360"/>
      <c r="B2" s="360" t="s">
        <v>551</v>
      </c>
      <c r="C2" s="361"/>
      <c r="D2" s="361"/>
      <c r="E2" s="361"/>
    </row>
    <row r="3" spans="1:5" x14ac:dyDescent="0.25">
      <c r="A3" s="360"/>
      <c r="B3" s="360" t="s">
        <v>552</v>
      </c>
      <c r="C3" s="361"/>
      <c r="D3" s="361"/>
      <c r="E3" s="361"/>
    </row>
    <row r="4" spans="1:5" x14ac:dyDescent="0.25">
      <c r="A4" s="360"/>
      <c r="B4" s="360" t="s">
        <v>439</v>
      </c>
      <c r="C4" s="361"/>
      <c r="D4" s="361"/>
      <c r="E4" s="361"/>
    </row>
    <row r="5" spans="1:5" x14ac:dyDescent="0.25">
      <c r="A5" s="360"/>
      <c r="B5" s="360" t="s">
        <v>566</v>
      </c>
      <c r="C5" s="360"/>
      <c r="D5" s="360"/>
      <c r="E5" s="360"/>
    </row>
    <row r="6" spans="1:5" x14ac:dyDescent="0.25">
      <c r="A6" s="361"/>
      <c r="B6" s="361"/>
      <c r="C6" s="361"/>
      <c r="D6" s="361"/>
      <c r="E6" s="361"/>
    </row>
    <row r="7" spans="1:5" x14ac:dyDescent="0.25">
      <c r="A7" s="361"/>
      <c r="B7" s="361"/>
      <c r="C7" s="361"/>
      <c r="D7" s="361"/>
      <c r="E7" s="362"/>
    </row>
    <row r="8" spans="1:5" x14ac:dyDescent="0.25">
      <c r="A8" s="60" t="s">
        <v>554</v>
      </c>
      <c r="B8" s="60"/>
      <c r="C8" s="60"/>
      <c r="D8" s="362"/>
      <c r="E8" s="362"/>
    </row>
    <row r="9" spans="1:5" x14ac:dyDescent="0.25">
      <c r="A9" s="2" t="s">
        <v>557</v>
      </c>
      <c r="B9" s="2" t="s">
        <v>558</v>
      </c>
      <c r="C9" s="2"/>
      <c r="D9" s="2"/>
      <c r="E9" s="2"/>
    </row>
    <row r="10" spans="1:5" x14ac:dyDescent="0.25">
      <c r="A10" s="362"/>
      <c r="B10" s="362"/>
      <c r="C10" s="362"/>
      <c r="D10" s="362"/>
      <c r="E10" s="362"/>
    </row>
    <row r="11" spans="1:5" x14ac:dyDescent="0.25">
      <c r="A11" s="3">
        <v>1</v>
      </c>
      <c r="B11" s="4" t="s">
        <v>567</v>
      </c>
      <c r="C11" s="1"/>
      <c r="D11" s="1"/>
      <c r="E11" s="5">
        <v>8.4790000000000004E-3</v>
      </c>
    </row>
    <row r="12" spans="1:5" x14ac:dyDescent="0.25">
      <c r="A12" s="3">
        <v>2</v>
      </c>
      <c r="B12" s="4" t="s">
        <v>568</v>
      </c>
      <c r="C12" s="1"/>
      <c r="D12" s="1"/>
      <c r="E12" s="5">
        <v>2E-3</v>
      </c>
    </row>
    <row r="13" spans="1:5" x14ac:dyDescent="0.25">
      <c r="A13" s="3">
        <v>3</v>
      </c>
      <c r="B13" s="4" t="s">
        <v>569</v>
      </c>
      <c r="C13" s="362"/>
      <c r="D13" s="6">
        <v>3.8733999999999998E-2</v>
      </c>
      <c r="E13" s="7">
        <v>3.8406000000000003E-2</v>
      </c>
    </row>
    <row r="14" spans="1:5" x14ac:dyDescent="0.25">
      <c r="A14" s="3">
        <v>4</v>
      </c>
      <c r="B14" s="4">
        <v>0</v>
      </c>
      <c r="C14" s="1"/>
      <c r="D14" s="1"/>
      <c r="E14" s="8"/>
    </row>
    <row r="15" spans="1:5" x14ac:dyDescent="0.25">
      <c r="A15" s="3">
        <v>5</v>
      </c>
      <c r="B15" s="4" t="s">
        <v>570</v>
      </c>
      <c r="C15" s="1"/>
      <c r="D15" s="1"/>
      <c r="E15" s="5">
        <v>4.8884999999999998E-2</v>
      </c>
    </row>
    <row r="16" spans="1:5" x14ac:dyDescent="0.25">
      <c r="A16" s="3">
        <v>6</v>
      </c>
      <c r="B16" s="1"/>
      <c r="C16" s="1"/>
      <c r="D16" s="1"/>
      <c r="E16" s="5"/>
    </row>
    <row r="17" spans="1:5" x14ac:dyDescent="0.25">
      <c r="A17" s="3">
        <v>7</v>
      </c>
      <c r="B17" s="1" t="s">
        <v>571</v>
      </c>
      <c r="C17" s="1"/>
      <c r="D17" s="1"/>
      <c r="E17" s="5">
        <v>0.95111500000000004</v>
      </c>
    </row>
    <row r="18" spans="1:5" x14ac:dyDescent="0.25">
      <c r="A18" s="3">
        <v>8</v>
      </c>
      <c r="B18" s="4" t="s">
        <v>572</v>
      </c>
      <c r="C18" s="1"/>
      <c r="D18" s="9">
        <v>0.21</v>
      </c>
      <c r="E18" s="5">
        <v>0.19973399999999999</v>
      </c>
    </row>
    <row r="19" spans="1:5" ht="15.75" thickBot="1" x14ac:dyDescent="0.3">
      <c r="A19" s="3">
        <v>9</v>
      </c>
      <c r="B19" s="4" t="s">
        <v>573</v>
      </c>
      <c r="C19" s="1"/>
      <c r="D19" s="1"/>
      <c r="E19" s="61">
        <v>0.75138099999999997</v>
      </c>
    </row>
    <row r="20" spans="1:5" ht="15.75" thickTop="1" x14ac:dyDescent="0.25"/>
  </sheetData>
  <printOptions horizontalCentered="1"/>
  <pageMargins left="0.25" right="0.25" top="0.75" bottom="0.75" header="0.3" footer="0.3"/>
  <pageSetup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zoomScale="90" zoomScaleNormal="90" workbookViewId="0"/>
  </sheetViews>
  <sheetFormatPr defaultColWidth="8.85546875" defaultRowHeight="12" x14ac:dyDescent="0.2"/>
  <cols>
    <col min="1" max="1" width="7.5703125" style="39" bestFit="1" customWidth="1"/>
    <col min="2" max="2" width="33.5703125" style="39" bestFit="1" customWidth="1"/>
    <col min="3" max="3" width="12.85546875" style="39" bestFit="1" customWidth="1"/>
    <col min="4" max="5" width="11" style="39" bestFit="1" customWidth="1"/>
    <col min="6" max="6" width="12.85546875" style="39" bestFit="1" customWidth="1"/>
    <col min="7" max="7" width="11.28515625" style="39" bestFit="1" customWidth="1"/>
    <col min="8" max="8" width="8.85546875" style="39" bestFit="1" customWidth="1"/>
    <col min="9" max="9" width="11.5703125" style="39" bestFit="1" customWidth="1"/>
    <col min="10" max="10" width="9.5703125" style="39" bestFit="1" customWidth="1"/>
    <col min="11" max="11" width="11" style="39" bestFit="1" customWidth="1"/>
    <col min="12" max="12" width="3.85546875" style="39" customWidth="1"/>
    <col min="13" max="13" width="12.85546875" style="39" bestFit="1" customWidth="1"/>
    <col min="14" max="14" width="11.140625" style="39" bestFit="1" customWidth="1"/>
    <col min="15" max="15" width="12.28515625" style="39" bestFit="1" customWidth="1"/>
    <col min="16" max="16384" width="8.85546875" style="39"/>
  </cols>
  <sheetData>
    <row r="1" spans="1:13" x14ac:dyDescent="0.2">
      <c r="A1" s="379" t="s">
        <v>33</v>
      </c>
      <c r="B1" s="380" t="s">
        <v>294</v>
      </c>
      <c r="C1" s="380"/>
      <c r="D1" s="380"/>
      <c r="E1" s="380"/>
      <c r="F1" s="380"/>
      <c r="G1" s="380"/>
      <c r="H1" s="380"/>
      <c r="I1" s="380"/>
      <c r="J1" s="380"/>
      <c r="K1" s="380"/>
    </row>
    <row r="2" spans="1:13" x14ac:dyDescent="0.2">
      <c r="A2" s="379" t="s">
        <v>320</v>
      </c>
      <c r="B2" s="380" t="s">
        <v>294</v>
      </c>
      <c r="C2" s="380"/>
      <c r="D2" s="380"/>
      <c r="E2" s="380"/>
      <c r="F2" s="380"/>
      <c r="G2" s="380"/>
      <c r="H2" s="380"/>
      <c r="I2" s="380"/>
      <c r="J2" s="380"/>
      <c r="K2" s="380"/>
    </row>
    <row r="3" spans="1:13" x14ac:dyDescent="0.2">
      <c r="A3" s="380" t="s">
        <v>295</v>
      </c>
      <c r="B3" s="380" t="s">
        <v>295</v>
      </c>
      <c r="C3" s="380"/>
      <c r="D3" s="380"/>
      <c r="E3" s="380"/>
      <c r="F3" s="380"/>
      <c r="G3" s="380"/>
      <c r="H3" s="380"/>
      <c r="I3" s="380"/>
      <c r="J3" s="380"/>
      <c r="K3" s="380"/>
    </row>
    <row r="4" spans="1:13" x14ac:dyDescent="0.2"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ht="60" x14ac:dyDescent="0.2">
      <c r="A5" s="30" t="s">
        <v>110</v>
      </c>
      <c r="B5" s="30" t="s">
        <v>496</v>
      </c>
      <c r="C5" s="30" t="s">
        <v>645</v>
      </c>
      <c r="D5" s="31" t="s">
        <v>646</v>
      </c>
      <c r="E5" s="31" t="s">
        <v>647</v>
      </c>
      <c r="F5" s="31" t="s">
        <v>648</v>
      </c>
      <c r="G5" s="31" t="s">
        <v>649</v>
      </c>
      <c r="H5" s="31" t="s">
        <v>650</v>
      </c>
      <c r="I5" s="31" t="s">
        <v>651</v>
      </c>
      <c r="J5" s="31" t="s">
        <v>652</v>
      </c>
      <c r="K5" s="31" t="s">
        <v>653</v>
      </c>
      <c r="M5" s="31" t="s">
        <v>654</v>
      </c>
    </row>
    <row r="6" spans="1:13" x14ac:dyDescent="0.2">
      <c r="A6" s="32">
        <v>0</v>
      </c>
      <c r="B6" s="33"/>
      <c r="C6" s="34"/>
      <c r="D6" s="34" t="s">
        <v>655</v>
      </c>
      <c r="E6" s="34" t="s">
        <v>656</v>
      </c>
      <c r="F6" s="32" t="s">
        <v>657</v>
      </c>
      <c r="G6" s="34" t="s">
        <v>658</v>
      </c>
      <c r="H6" s="32" t="s">
        <v>659</v>
      </c>
      <c r="I6" s="32" t="s">
        <v>660</v>
      </c>
      <c r="J6" s="35" t="s">
        <v>661</v>
      </c>
      <c r="K6" s="35" t="s">
        <v>662</v>
      </c>
    </row>
    <row r="7" spans="1:13" x14ac:dyDescent="0.2">
      <c r="A7" s="32">
        <v>0</v>
      </c>
      <c r="B7" s="33"/>
      <c r="C7" s="34"/>
      <c r="D7" s="34"/>
      <c r="E7" s="34"/>
      <c r="F7" s="32"/>
      <c r="G7" s="34"/>
      <c r="H7" s="32"/>
      <c r="I7" s="32"/>
      <c r="J7" s="32"/>
      <c r="K7" s="32"/>
    </row>
    <row r="8" spans="1:13" x14ac:dyDescent="0.2">
      <c r="A8" s="36">
        <v>1</v>
      </c>
      <c r="B8" s="37" t="s">
        <v>99</v>
      </c>
      <c r="C8" s="127">
        <v>7</v>
      </c>
      <c r="D8" s="38">
        <v>10658082.710537091</v>
      </c>
      <c r="E8" s="41">
        <v>1109622.487</v>
      </c>
      <c r="G8" s="54">
        <v>0.55910252816635797</v>
      </c>
      <c r="H8" s="40">
        <v>1</v>
      </c>
      <c r="I8" s="48">
        <v>7.6673286866076745E-2</v>
      </c>
      <c r="J8" s="41">
        <v>85078.403258800507</v>
      </c>
      <c r="K8" s="41">
        <v>1194700.8902588005</v>
      </c>
      <c r="M8" s="55">
        <v>85078403.258800507</v>
      </c>
    </row>
    <row r="9" spans="1:13" x14ac:dyDescent="0.2">
      <c r="A9" s="36">
        <v>2</v>
      </c>
      <c r="B9" s="33"/>
      <c r="C9" s="34"/>
      <c r="D9" s="34"/>
      <c r="E9" s="34"/>
      <c r="F9" s="32"/>
      <c r="G9" s="34"/>
      <c r="H9" s="32"/>
      <c r="I9" s="32"/>
      <c r="J9" s="32"/>
      <c r="K9" s="32"/>
    </row>
    <row r="10" spans="1:13" x14ac:dyDescent="0.2">
      <c r="A10" s="36">
        <v>3</v>
      </c>
      <c r="B10" s="39" t="s">
        <v>663</v>
      </c>
      <c r="C10" s="127"/>
      <c r="D10" s="42"/>
      <c r="E10" s="43"/>
      <c r="G10" s="54"/>
      <c r="J10" s="43"/>
      <c r="K10" s="43"/>
      <c r="M10" s="55"/>
    </row>
    <row r="11" spans="1:13" x14ac:dyDescent="0.2">
      <c r="A11" s="36">
        <v>4</v>
      </c>
      <c r="B11" s="44" t="s">
        <v>664</v>
      </c>
      <c r="C11" s="126" t="s">
        <v>625</v>
      </c>
      <c r="D11" s="46">
        <v>2700716.8408001168</v>
      </c>
      <c r="E11" s="43">
        <v>263446.49300000002</v>
      </c>
      <c r="G11" s="54">
        <v>0.13274208300436213</v>
      </c>
      <c r="H11" s="40">
        <v>1</v>
      </c>
      <c r="I11" s="48">
        <v>7.6673286866076745E-2</v>
      </c>
      <c r="J11" s="43">
        <v>20199.30853165088</v>
      </c>
      <c r="K11" s="43">
        <v>283645.80153165088</v>
      </c>
      <c r="M11" s="55">
        <v>20199308.531650882</v>
      </c>
    </row>
    <row r="12" spans="1:13" x14ac:dyDescent="0.2">
      <c r="A12" s="36">
        <v>5</v>
      </c>
      <c r="B12" s="44" t="s">
        <v>665</v>
      </c>
      <c r="C12" s="126" t="s">
        <v>666</v>
      </c>
      <c r="D12" s="46">
        <v>3004525.0864655981</v>
      </c>
      <c r="E12" s="43">
        <v>270592.842</v>
      </c>
      <c r="G12" s="54">
        <v>0.13634289484791223</v>
      </c>
      <c r="H12" s="40">
        <v>0.75</v>
      </c>
      <c r="I12" s="48">
        <v>5.7504965149557559E-2</v>
      </c>
      <c r="J12" s="43">
        <v>15560.431948929736</v>
      </c>
      <c r="K12" s="43">
        <v>286153.27394892974</v>
      </c>
      <c r="M12" s="55">
        <v>15560431.948929736</v>
      </c>
    </row>
    <row r="13" spans="1:13" x14ac:dyDescent="0.2">
      <c r="A13" s="36">
        <v>6</v>
      </c>
      <c r="B13" s="44" t="s">
        <v>667</v>
      </c>
      <c r="C13" s="126" t="s">
        <v>668</v>
      </c>
      <c r="D13" s="46">
        <v>1939505.2731896485</v>
      </c>
      <c r="E13" s="43">
        <v>160178.13800000001</v>
      </c>
      <c r="G13" s="54">
        <v>8.0708531921433374E-2</v>
      </c>
      <c r="H13" s="40">
        <v>0.75</v>
      </c>
      <c r="I13" s="48">
        <v>5.7504965149557559E-2</v>
      </c>
      <c r="J13" s="43">
        <v>9211.0382434110215</v>
      </c>
      <c r="K13" s="43">
        <v>169389.17624341103</v>
      </c>
      <c r="M13" s="55">
        <v>9211038.2434110213</v>
      </c>
    </row>
    <row r="14" spans="1:13" x14ac:dyDescent="0.2">
      <c r="A14" s="36">
        <v>7</v>
      </c>
      <c r="B14" s="45" t="s">
        <v>111</v>
      </c>
      <c r="C14" s="127"/>
      <c r="D14" s="49">
        <v>7644747.2004553638</v>
      </c>
      <c r="E14" s="41">
        <v>694217.473</v>
      </c>
      <c r="G14" s="54"/>
      <c r="I14" s="39">
        <v>0</v>
      </c>
      <c r="J14" s="41">
        <v>44970.778723991636</v>
      </c>
      <c r="K14" s="41">
        <v>739188.25172399159</v>
      </c>
      <c r="M14" s="55">
        <v>44970778.723991632</v>
      </c>
    </row>
    <row r="15" spans="1:13" x14ac:dyDescent="0.2">
      <c r="A15" s="36">
        <v>8</v>
      </c>
      <c r="B15" s="93" t="s">
        <v>405</v>
      </c>
      <c r="C15" s="34"/>
      <c r="D15" s="34"/>
      <c r="E15" s="34"/>
      <c r="F15" s="32"/>
      <c r="G15" s="34"/>
      <c r="H15" s="32"/>
      <c r="I15" s="32"/>
      <c r="J15" s="32"/>
      <c r="K15" s="32"/>
    </row>
    <row r="16" spans="1:13" x14ac:dyDescent="0.2">
      <c r="A16" s="36">
        <v>9</v>
      </c>
      <c r="B16" s="39" t="s">
        <v>669</v>
      </c>
      <c r="C16" s="127"/>
      <c r="D16" s="34"/>
      <c r="E16" s="34"/>
      <c r="F16" s="32"/>
      <c r="G16" s="34"/>
      <c r="H16" s="32"/>
      <c r="I16" s="32"/>
      <c r="J16" s="32"/>
      <c r="K16" s="32"/>
    </row>
    <row r="17" spans="1:15" x14ac:dyDescent="0.2">
      <c r="A17" s="36">
        <v>10</v>
      </c>
      <c r="B17" s="44" t="s">
        <v>635</v>
      </c>
      <c r="C17" s="126" t="s">
        <v>634</v>
      </c>
      <c r="D17" s="46">
        <v>1407595.3481703061</v>
      </c>
      <c r="E17" s="43">
        <v>113234.14599999999</v>
      </c>
      <c r="G17" s="54">
        <v>5.7054987660283864E-2</v>
      </c>
      <c r="H17" s="40">
        <v>1</v>
      </c>
      <c r="I17" s="48">
        <v>7.6673286866076745E-2</v>
      </c>
      <c r="J17" s="43">
        <v>8682.0341592932164</v>
      </c>
      <c r="K17" s="43">
        <v>121916.1801592932</v>
      </c>
      <c r="M17" s="55">
        <v>8682034.1592932157</v>
      </c>
      <c r="N17" s="55"/>
    </row>
    <row r="18" spans="1:15" x14ac:dyDescent="0.2">
      <c r="A18" s="36">
        <v>11</v>
      </c>
      <c r="B18" s="44" t="s">
        <v>670</v>
      </c>
      <c r="C18" s="126">
        <v>35</v>
      </c>
      <c r="D18" s="46">
        <v>4443.66</v>
      </c>
      <c r="E18" s="43">
        <v>268.01499999999999</v>
      </c>
      <c r="G18" s="54">
        <v>1.3504400446284976E-4</v>
      </c>
      <c r="H18" s="40">
        <v>1.5</v>
      </c>
      <c r="I18" s="48">
        <v>0.11500993029911512</v>
      </c>
      <c r="J18" s="43">
        <v>30.824386469117336</v>
      </c>
      <c r="K18" s="43">
        <v>298.8393864691173</v>
      </c>
      <c r="M18" s="55">
        <v>30824.386469117337</v>
      </c>
      <c r="N18" s="55"/>
    </row>
    <row r="19" spans="1:15" x14ac:dyDescent="0.2">
      <c r="A19" s="36">
        <v>12</v>
      </c>
      <c r="B19" s="47" t="s">
        <v>671</v>
      </c>
      <c r="C19" s="127">
        <v>43</v>
      </c>
      <c r="D19" s="46">
        <v>123102.08801083639</v>
      </c>
      <c r="E19" s="43">
        <v>10721.509</v>
      </c>
      <c r="G19" s="54">
        <v>5.402218193923787E-3</v>
      </c>
      <c r="H19" s="40">
        <v>1.25</v>
      </c>
      <c r="I19" s="48">
        <v>9.5841608582595939E-2</v>
      </c>
      <c r="J19" s="43">
        <v>1027.5666689927796</v>
      </c>
      <c r="K19" s="43">
        <v>11749.07566899278</v>
      </c>
      <c r="M19" s="55">
        <v>1027566.6689927796</v>
      </c>
    </row>
    <row r="20" spans="1:15" x14ac:dyDescent="0.2">
      <c r="A20" s="36">
        <v>13</v>
      </c>
      <c r="B20" s="37" t="s">
        <v>112</v>
      </c>
      <c r="C20" s="127"/>
      <c r="D20" s="49">
        <v>1535141.0961811424</v>
      </c>
      <c r="E20" s="41">
        <v>124223.67</v>
      </c>
      <c r="G20" s="54"/>
      <c r="I20" s="39">
        <v>0</v>
      </c>
      <c r="J20" s="41">
        <v>9740.4252147551142</v>
      </c>
      <c r="K20" s="41">
        <v>133964.0952147551</v>
      </c>
      <c r="M20" s="55">
        <v>9740425.2147551142</v>
      </c>
    </row>
    <row r="21" spans="1:15" x14ac:dyDescent="0.2">
      <c r="A21" s="36">
        <v>14</v>
      </c>
      <c r="B21" s="93" t="s">
        <v>405</v>
      </c>
      <c r="C21" s="34"/>
      <c r="D21" s="34"/>
      <c r="E21" s="34"/>
      <c r="F21" s="32"/>
      <c r="G21" s="34"/>
      <c r="H21" s="32"/>
      <c r="I21" s="32"/>
      <c r="J21" s="32"/>
      <c r="K21" s="32"/>
    </row>
    <row r="22" spans="1:15" x14ac:dyDescent="0.2">
      <c r="A22" s="36">
        <v>15</v>
      </c>
      <c r="B22" s="45" t="s">
        <v>639</v>
      </c>
      <c r="C22" s="127" t="s">
        <v>248</v>
      </c>
      <c r="D22" s="49">
        <v>620610.81340199988</v>
      </c>
      <c r="E22" s="41">
        <v>40128.248</v>
      </c>
      <c r="G22" s="54">
        <v>2.0219313478717017E-2</v>
      </c>
      <c r="H22" s="40">
        <v>0.75</v>
      </c>
      <c r="I22" s="48">
        <v>5.7504965149557559E-2</v>
      </c>
      <c r="J22" s="41">
        <v>2307.5735027528026</v>
      </c>
      <c r="K22" s="41">
        <v>42435.821502752806</v>
      </c>
      <c r="M22" s="55">
        <v>2307573.5027528028</v>
      </c>
    </row>
    <row r="23" spans="1:15" x14ac:dyDescent="0.2">
      <c r="A23" s="36">
        <v>16</v>
      </c>
      <c r="B23" s="93" t="s">
        <v>405</v>
      </c>
      <c r="C23" s="34"/>
      <c r="D23" s="34"/>
      <c r="E23" s="34"/>
      <c r="F23" s="32"/>
      <c r="G23" s="34"/>
      <c r="H23" s="32"/>
      <c r="I23" s="32"/>
      <c r="J23" s="32"/>
      <c r="K23" s="32"/>
    </row>
    <row r="24" spans="1:15" x14ac:dyDescent="0.2">
      <c r="A24" s="36">
        <v>17</v>
      </c>
      <c r="B24" s="45" t="s">
        <v>672</v>
      </c>
      <c r="C24" s="126" t="s">
        <v>640</v>
      </c>
      <c r="D24" s="49">
        <v>2364714.7701700004</v>
      </c>
      <c r="E24" s="41">
        <v>15608.262999999999</v>
      </c>
      <c r="G24" s="54"/>
      <c r="H24" s="40"/>
      <c r="I24" s="48">
        <v>-6.6394078572356227E-2</v>
      </c>
      <c r="J24" s="41">
        <v>-1036.2962400000004</v>
      </c>
      <c r="K24" s="41">
        <v>14571.966759999999</v>
      </c>
      <c r="M24" s="55">
        <v>-1036296.2400000003</v>
      </c>
    </row>
    <row r="25" spans="1:15" x14ac:dyDescent="0.2">
      <c r="A25" s="36">
        <v>18</v>
      </c>
      <c r="B25" s="93" t="s">
        <v>405</v>
      </c>
      <c r="C25" s="34"/>
      <c r="D25" s="34"/>
      <c r="E25" s="34"/>
      <c r="F25" s="32"/>
      <c r="G25" s="34"/>
      <c r="H25" s="32"/>
      <c r="I25" s="32"/>
      <c r="J25" s="32"/>
      <c r="K25" s="32"/>
    </row>
    <row r="26" spans="1:15" x14ac:dyDescent="0.2">
      <c r="A26" s="36">
        <v>19</v>
      </c>
      <c r="B26" s="39" t="s">
        <v>673</v>
      </c>
      <c r="C26" s="127" t="s">
        <v>113</v>
      </c>
      <c r="D26" s="49">
        <v>69969.105296000009</v>
      </c>
      <c r="E26" s="41">
        <v>16457.504000000001</v>
      </c>
      <c r="G26" s="54">
        <v>8.2923987225467528E-3</v>
      </c>
      <c r="H26" s="40">
        <v>1.25</v>
      </c>
      <c r="I26" s="48">
        <v>9.5841608582595939E-2</v>
      </c>
      <c r="J26" s="41">
        <v>1577.313656614507</v>
      </c>
      <c r="K26" s="41">
        <v>18034.817656614508</v>
      </c>
      <c r="M26" s="55">
        <v>1577313.6566145069</v>
      </c>
    </row>
    <row r="27" spans="1:15" x14ac:dyDescent="0.2">
      <c r="A27" s="36">
        <v>20</v>
      </c>
      <c r="B27" s="93" t="s">
        <v>405</v>
      </c>
      <c r="C27" s="34"/>
      <c r="D27" s="34"/>
      <c r="E27" s="34"/>
      <c r="F27" s="32"/>
      <c r="G27" s="34"/>
      <c r="H27" s="32"/>
      <c r="I27" s="32"/>
      <c r="J27" s="32"/>
      <c r="K27" s="32"/>
    </row>
    <row r="28" spans="1:15" ht="12.75" thickBot="1" x14ac:dyDescent="0.25">
      <c r="A28" s="36">
        <v>21</v>
      </c>
      <c r="B28" s="45" t="s">
        <v>674</v>
      </c>
      <c r="C28" s="127"/>
      <c r="D28" s="51">
        <v>22893265.696041599</v>
      </c>
      <c r="E28" s="52">
        <v>2000257.645</v>
      </c>
      <c r="I28" s="48">
        <v>7.1309912737223688E-2</v>
      </c>
      <c r="J28" s="52">
        <v>142638.19811691457</v>
      </c>
      <c r="K28" s="52">
        <v>2142895.8431169144</v>
      </c>
      <c r="M28" s="55">
        <v>142638198.11691457</v>
      </c>
      <c r="N28" s="55"/>
      <c r="O28" s="55"/>
    </row>
    <row r="29" spans="1:15" ht="12.75" thickTop="1" x14ac:dyDescent="0.2">
      <c r="A29" s="36">
        <v>22</v>
      </c>
      <c r="B29" s="93" t="s">
        <v>405</v>
      </c>
      <c r="C29" s="34"/>
      <c r="D29" s="34"/>
      <c r="E29" s="34"/>
      <c r="F29" s="32"/>
      <c r="G29" s="34"/>
      <c r="H29" s="32"/>
      <c r="I29" s="32"/>
      <c r="J29" s="32"/>
      <c r="K29" s="32"/>
    </row>
    <row r="30" spans="1:15" x14ac:dyDescent="0.2">
      <c r="A30" s="36">
        <v>23</v>
      </c>
      <c r="B30" s="45" t="s">
        <v>6</v>
      </c>
      <c r="C30" s="126"/>
      <c r="D30" s="49">
        <v>7197.5754843382783</v>
      </c>
      <c r="E30" s="41">
        <v>328.327</v>
      </c>
      <c r="G30" s="54"/>
      <c r="H30" s="48"/>
      <c r="I30" s="48">
        <v>1.1019559252982214</v>
      </c>
      <c r="J30" s="41">
        <v>361.80188308538914</v>
      </c>
      <c r="K30" s="41">
        <v>690.12888308538913</v>
      </c>
      <c r="M30" s="55">
        <v>361801.88308538916</v>
      </c>
    </row>
    <row r="31" spans="1:15" x14ac:dyDescent="0.2">
      <c r="A31" s="36">
        <v>24</v>
      </c>
      <c r="B31" s="93" t="s">
        <v>405</v>
      </c>
      <c r="C31" s="34"/>
      <c r="D31" s="34"/>
      <c r="E31" s="34"/>
      <c r="F31" s="32"/>
      <c r="G31" s="34"/>
      <c r="H31" s="32"/>
      <c r="I31" s="32"/>
      <c r="J31" s="32"/>
      <c r="K31" s="32"/>
    </row>
    <row r="32" spans="1:15" ht="12.75" thickBot="1" x14ac:dyDescent="0.25">
      <c r="A32" s="36">
        <v>25</v>
      </c>
      <c r="B32" s="39" t="s">
        <v>675</v>
      </c>
      <c r="C32" s="127"/>
      <c r="D32" s="51">
        <v>22900463.271525938</v>
      </c>
      <c r="E32" s="52">
        <v>2000585.9720000001</v>
      </c>
      <c r="F32" s="52">
        <v>143000000</v>
      </c>
      <c r="G32" s="53">
        <v>0.99999999999999989</v>
      </c>
      <c r="I32" s="53">
        <v>7.1479057636819221E-2</v>
      </c>
      <c r="J32" s="52">
        <v>142999.99999999997</v>
      </c>
      <c r="K32" s="52">
        <v>2143585.9719999996</v>
      </c>
      <c r="M32" s="55">
        <v>142999999.99999997</v>
      </c>
    </row>
    <row r="33" spans="1:11" ht="12.75" thickTop="1" x14ac:dyDescent="0.2">
      <c r="A33" s="36">
        <v>26</v>
      </c>
      <c r="B33" s="93" t="s">
        <v>405</v>
      </c>
      <c r="C33" s="34"/>
      <c r="D33" s="34"/>
      <c r="E33" s="34"/>
      <c r="F33" s="32"/>
      <c r="G33" s="34"/>
      <c r="H33" s="32"/>
      <c r="I33" s="32"/>
      <c r="J33" s="32"/>
      <c r="K33" s="32"/>
    </row>
    <row r="34" spans="1:11" ht="12.75" thickBot="1" x14ac:dyDescent="0.25">
      <c r="A34" s="36">
        <v>27</v>
      </c>
      <c r="B34" s="33">
        <v>0</v>
      </c>
      <c r="C34" s="34"/>
      <c r="D34" s="34"/>
      <c r="E34" s="34"/>
      <c r="F34" s="32"/>
      <c r="G34" s="34"/>
      <c r="H34" s="32"/>
      <c r="I34" s="32"/>
      <c r="J34" s="32"/>
      <c r="K34" s="32"/>
    </row>
    <row r="35" spans="1:11" x14ac:dyDescent="0.2">
      <c r="A35" s="36">
        <v>28</v>
      </c>
      <c r="B35" s="385" t="s">
        <v>676</v>
      </c>
      <c r="C35" s="386"/>
      <c r="D35" s="386"/>
      <c r="E35" s="386"/>
      <c r="F35" s="56"/>
      <c r="G35" s="90"/>
      <c r="H35" s="56"/>
      <c r="I35" s="57">
        <v>7.1479057636819221E-2</v>
      </c>
    </row>
    <row r="36" spans="1:11" x14ac:dyDescent="0.2">
      <c r="A36" s="36">
        <v>29</v>
      </c>
      <c r="B36" s="387" t="s">
        <v>677</v>
      </c>
      <c r="C36" s="388"/>
      <c r="D36" s="388"/>
      <c r="E36" s="388"/>
      <c r="F36" s="50"/>
      <c r="G36" s="50"/>
      <c r="H36" s="50"/>
      <c r="I36" s="58">
        <v>7.2392884939771487E-2</v>
      </c>
      <c r="K36" s="55"/>
    </row>
    <row r="37" spans="1:11" x14ac:dyDescent="0.2">
      <c r="A37" s="36">
        <v>30</v>
      </c>
      <c r="B37" s="381" t="s">
        <v>678</v>
      </c>
      <c r="C37" s="382"/>
      <c r="D37" s="382"/>
      <c r="E37" s="382"/>
      <c r="F37" s="50"/>
      <c r="G37" s="50"/>
      <c r="H37" s="50"/>
      <c r="I37" s="91">
        <v>1.0591273842707942</v>
      </c>
      <c r="K37" s="55"/>
    </row>
    <row r="38" spans="1:11" ht="12.75" thickBot="1" x14ac:dyDescent="0.25">
      <c r="A38" s="36">
        <v>31</v>
      </c>
      <c r="B38" s="383" t="s">
        <v>679</v>
      </c>
      <c r="C38" s="384"/>
      <c r="D38" s="384"/>
      <c r="E38" s="384"/>
      <c r="F38" s="92"/>
      <c r="G38" s="92"/>
      <c r="H38" s="92"/>
      <c r="I38" s="59">
        <v>7.6673286866076745E-2</v>
      </c>
      <c r="K38" s="55"/>
    </row>
  </sheetData>
  <mergeCells count="7">
    <mergeCell ref="A1:K1"/>
    <mergeCell ref="A2:K2"/>
    <mergeCell ref="A3:K3"/>
    <mergeCell ref="B37:E37"/>
    <mergeCell ref="B38:E38"/>
    <mergeCell ref="B35:E35"/>
    <mergeCell ref="B36:E36"/>
  </mergeCells>
  <printOptions horizontalCentered="1"/>
  <pageMargins left="0.25" right="0.25" top="0.75" bottom="0.75" header="0.3" footer="0.3"/>
  <pageSetup scale="59" orientation="landscape" r:id="rId1"/>
  <headerFooter>
    <oddFooter>&amp;L&amp;"Times New Roman,Regular"&amp;F
&amp;A&amp;R&amp;"Times New Roman,Regular"Page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="70" zoomScaleNormal="70" workbookViewId="0"/>
  </sheetViews>
  <sheetFormatPr defaultRowHeight="15" x14ac:dyDescent="0.25"/>
  <cols>
    <col min="1" max="1" width="33" style="256" bestFit="1" customWidth="1"/>
    <col min="2" max="2" width="9.140625" style="256"/>
    <col min="3" max="3" width="16.28515625" style="256" bestFit="1" customWidth="1"/>
    <col min="4" max="4" width="13.42578125" style="256" bestFit="1" customWidth="1"/>
    <col min="5" max="5" width="9.140625" style="256"/>
    <col min="6" max="6" width="14.42578125" style="256" bestFit="1" customWidth="1"/>
    <col min="7" max="7" width="13.42578125" style="256" bestFit="1" customWidth="1"/>
    <col min="8" max="8" width="9.140625" style="256"/>
    <col min="9" max="9" width="14.42578125" style="256" bestFit="1" customWidth="1"/>
    <col min="10" max="10" width="12.42578125" style="256" bestFit="1" customWidth="1"/>
    <col min="11" max="16384" width="9.140625" style="256"/>
  </cols>
  <sheetData>
    <row r="1" spans="1:9" ht="18" x14ac:dyDescent="0.25">
      <c r="A1" s="389" t="s">
        <v>574</v>
      </c>
      <c r="B1" s="389"/>
      <c r="C1" s="389"/>
      <c r="D1" s="389"/>
      <c r="E1" s="389"/>
      <c r="F1" s="389"/>
      <c r="G1" s="389"/>
      <c r="H1" s="389"/>
      <c r="I1" s="389"/>
    </row>
    <row r="2" spans="1:9" ht="18" x14ac:dyDescent="0.25">
      <c r="A2" s="389" t="s">
        <v>680</v>
      </c>
      <c r="B2" s="389"/>
      <c r="C2" s="389"/>
      <c r="D2" s="389"/>
      <c r="E2" s="389"/>
      <c r="F2" s="389"/>
      <c r="G2" s="389"/>
      <c r="H2" s="389"/>
      <c r="I2" s="389"/>
    </row>
    <row r="3" spans="1:9" x14ac:dyDescent="0.25">
      <c r="A3" s="390" t="s">
        <v>681</v>
      </c>
      <c r="B3" s="390"/>
      <c r="C3" s="390"/>
      <c r="D3" s="390"/>
      <c r="E3" s="390"/>
      <c r="F3" s="390"/>
      <c r="G3" s="390"/>
      <c r="H3" s="390"/>
      <c r="I3" s="390"/>
    </row>
    <row r="4" spans="1:9" x14ac:dyDescent="0.25">
      <c r="A4" s="391" t="s">
        <v>682</v>
      </c>
      <c r="B4" s="391"/>
      <c r="C4" s="391"/>
      <c r="D4" s="391"/>
      <c r="E4" s="391"/>
      <c r="F4" s="391"/>
      <c r="G4" s="391"/>
      <c r="H4" s="391"/>
      <c r="I4" s="391"/>
    </row>
    <row r="5" spans="1:9" x14ac:dyDescent="0.25">
      <c r="A5" s="94" t="s">
        <v>683</v>
      </c>
      <c r="B5" s="95"/>
      <c r="C5" s="95"/>
      <c r="D5" s="96"/>
      <c r="E5" s="96"/>
      <c r="F5" s="95"/>
      <c r="G5" s="96"/>
      <c r="H5" s="95"/>
      <c r="I5" s="95"/>
    </row>
    <row r="6" spans="1:9" x14ac:dyDescent="0.25">
      <c r="A6" s="94"/>
      <c r="B6" s="95"/>
      <c r="C6" s="95"/>
      <c r="D6" s="96"/>
      <c r="E6" s="96"/>
      <c r="F6" s="95"/>
      <c r="G6" s="96"/>
      <c r="H6" s="95"/>
      <c r="I6" s="95"/>
    </row>
    <row r="7" spans="1:9" x14ac:dyDescent="0.25">
      <c r="A7" s="95"/>
      <c r="B7" s="95"/>
      <c r="C7" s="95"/>
      <c r="D7" s="96"/>
      <c r="E7" s="96"/>
      <c r="F7" s="95"/>
      <c r="G7" s="96"/>
      <c r="H7" s="95"/>
      <c r="I7" s="95"/>
    </row>
    <row r="8" spans="1:9" x14ac:dyDescent="0.25">
      <c r="A8" s="97"/>
      <c r="B8" s="97"/>
      <c r="C8" s="98"/>
      <c r="D8" s="99"/>
      <c r="E8" s="99"/>
      <c r="G8" s="99"/>
      <c r="H8" s="100"/>
      <c r="I8" s="100"/>
    </row>
    <row r="9" spans="1:9" x14ac:dyDescent="0.25">
      <c r="A9" s="97"/>
      <c r="B9" s="97"/>
      <c r="C9" s="98" t="s">
        <v>684</v>
      </c>
      <c r="D9" s="392" t="s">
        <v>685</v>
      </c>
      <c r="E9" s="393"/>
      <c r="F9" s="394"/>
      <c r="G9" s="395" t="s">
        <v>686</v>
      </c>
      <c r="H9" s="393"/>
      <c r="I9" s="394"/>
    </row>
    <row r="10" spans="1:9" x14ac:dyDescent="0.25">
      <c r="A10" s="97"/>
      <c r="B10" s="97"/>
      <c r="C10" s="101" t="s">
        <v>687</v>
      </c>
      <c r="D10" s="102" t="s">
        <v>688</v>
      </c>
      <c r="E10" s="103"/>
      <c r="F10" s="100" t="s">
        <v>689</v>
      </c>
      <c r="G10" s="102" t="s">
        <v>688</v>
      </c>
      <c r="H10" s="102"/>
      <c r="I10" s="102" t="s">
        <v>689</v>
      </c>
    </row>
    <row r="11" spans="1:9" ht="15.75" x14ac:dyDescent="0.25">
      <c r="C11" s="336"/>
      <c r="D11" s="337"/>
      <c r="E11" s="336"/>
      <c r="F11" s="338"/>
      <c r="G11" s="339"/>
      <c r="H11" s="336"/>
      <c r="I11" s="340"/>
    </row>
    <row r="12" spans="1:9" ht="15.75" x14ac:dyDescent="0.25">
      <c r="A12" s="341" t="s">
        <v>690</v>
      </c>
      <c r="B12" s="339"/>
      <c r="C12" s="339"/>
      <c r="D12" s="340"/>
      <c r="E12" s="339"/>
      <c r="F12" s="339"/>
      <c r="G12" s="340"/>
      <c r="H12" s="339"/>
      <c r="I12" s="339"/>
    </row>
    <row r="13" spans="1:9" ht="15.75" x14ac:dyDescent="0.25">
      <c r="A13" s="341" t="s">
        <v>691</v>
      </c>
      <c r="B13" s="339"/>
      <c r="C13" s="339"/>
      <c r="D13" s="340"/>
      <c r="E13" s="339"/>
      <c r="F13" s="339"/>
      <c r="G13" s="340"/>
      <c r="H13" s="339"/>
      <c r="I13" s="339"/>
    </row>
    <row r="14" spans="1:9" ht="15.75" x14ac:dyDescent="0.25">
      <c r="A14" s="341" t="s">
        <v>692</v>
      </c>
      <c r="B14" s="339"/>
      <c r="C14" s="336">
        <v>240</v>
      </c>
      <c r="D14" s="342">
        <v>2120</v>
      </c>
      <c r="E14" s="337"/>
      <c r="F14" s="340">
        <v>508800</v>
      </c>
      <c r="G14" s="342">
        <v>2440</v>
      </c>
      <c r="H14" s="337"/>
      <c r="I14" s="340">
        <v>585600</v>
      </c>
    </row>
    <row r="15" spans="1:9" ht="15.75" x14ac:dyDescent="0.25">
      <c r="A15" s="339" t="s">
        <v>693</v>
      </c>
      <c r="B15" s="339"/>
      <c r="C15" s="336"/>
      <c r="D15" s="343"/>
      <c r="E15" s="337"/>
      <c r="F15" s="340"/>
      <c r="G15" s="343"/>
      <c r="H15" s="337"/>
      <c r="I15" s="340"/>
    </row>
    <row r="16" spans="1:9" ht="15.75" x14ac:dyDescent="0.25">
      <c r="A16" s="344" t="s">
        <v>694</v>
      </c>
      <c r="B16" s="339"/>
      <c r="C16" s="336">
        <v>2027109354</v>
      </c>
      <c r="D16" s="343"/>
      <c r="E16" s="337"/>
      <c r="F16" s="340">
        <v>0</v>
      </c>
      <c r="G16" s="343"/>
      <c r="H16" s="337"/>
      <c r="I16" s="340">
        <v>0</v>
      </c>
    </row>
    <row r="17" spans="1:10" ht="15.75" x14ac:dyDescent="0.25">
      <c r="A17" s="344" t="s">
        <v>695</v>
      </c>
      <c r="B17" s="345"/>
      <c r="C17" s="336">
        <v>0</v>
      </c>
      <c r="D17" s="343"/>
      <c r="E17" s="343"/>
      <c r="F17" s="340">
        <v>0</v>
      </c>
      <c r="G17" s="343"/>
      <c r="H17" s="337"/>
      <c r="I17" s="340">
        <v>0</v>
      </c>
    </row>
    <row r="18" spans="1:10" ht="15.75" x14ac:dyDescent="0.25">
      <c r="A18" s="346" t="s">
        <v>696</v>
      </c>
      <c r="B18" s="347"/>
      <c r="C18" s="348">
        <v>1617652.1700000241</v>
      </c>
      <c r="D18" s="343">
        <v>1.7340999999999999E-2</v>
      </c>
      <c r="E18" s="337"/>
      <c r="F18" s="349">
        <v>28051</v>
      </c>
      <c r="G18" s="343">
        <v>1.7340999999999999E-2</v>
      </c>
      <c r="H18" s="337"/>
      <c r="I18" s="349">
        <v>28052</v>
      </c>
    </row>
    <row r="19" spans="1:10" ht="15.75" x14ac:dyDescent="0.25">
      <c r="A19" s="350" t="s">
        <v>363</v>
      </c>
      <c r="B19" s="347"/>
      <c r="C19" s="351">
        <v>2028727006.1700001</v>
      </c>
      <c r="D19" s="343"/>
      <c r="E19" s="337"/>
      <c r="F19" s="340">
        <v>28051</v>
      </c>
      <c r="G19" s="343"/>
      <c r="H19" s="337"/>
      <c r="I19" s="340">
        <v>28052</v>
      </c>
    </row>
    <row r="20" spans="1:10" ht="15.75" x14ac:dyDescent="0.25">
      <c r="A20" s="350"/>
      <c r="B20" s="347"/>
      <c r="C20" s="351"/>
      <c r="D20" s="343"/>
      <c r="E20" s="337"/>
      <c r="F20" s="340"/>
      <c r="G20" s="343"/>
      <c r="H20" s="337"/>
      <c r="I20" s="340"/>
    </row>
    <row r="21" spans="1:10" ht="15.75" x14ac:dyDescent="0.25">
      <c r="A21" s="339" t="s">
        <v>697</v>
      </c>
      <c r="B21" s="339"/>
      <c r="C21" s="351">
        <v>3557525</v>
      </c>
      <c r="D21" s="352"/>
      <c r="E21" s="353"/>
      <c r="F21" s="340">
        <v>0</v>
      </c>
      <c r="G21" s="343"/>
      <c r="H21" s="337"/>
      <c r="I21" s="340">
        <v>0</v>
      </c>
    </row>
    <row r="22" spans="1:10" ht="15.75" x14ac:dyDescent="0.25">
      <c r="A22" s="339"/>
      <c r="B22" s="339"/>
      <c r="C22" s="351"/>
      <c r="D22" s="352"/>
      <c r="E22" s="353"/>
      <c r="F22" s="354"/>
      <c r="G22" s="104"/>
      <c r="H22" s="353"/>
      <c r="I22" s="354"/>
    </row>
    <row r="23" spans="1:10" ht="15.75" x14ac:dyDescent="0.25">
      <c r="A23" s="341" t="s">
        <v>698</v>
      </c>
      <c r="B23" s="339"/>
      <c r="C23" s="336"/>
      <c r="D23" s="355"/>
      <c r="E23" s="337"/>
      <c r="F23" s="340">
        <v>9577505</v>
      </c>
      <c r="G23" s="343"/>
      <c r="H23" s="337"/>
      <c r="I23" s="340">
        <v>9577505</v>
      </c>
    </row>
    <row r="24" spans="1:10" ht="15.75" x14ac:dyDescent="0.25">
      <c r="A24" s="346"/>
      <c r="B24" s="347"/>
      <c r="C24" s="351"/>
      <c r="D24" s="343"/>
      <c r="E24" s="337"/>
      <c r="F24" s="340"/>
      <c r="G24" s="343"/>
      <c r="H24" s="337"/>
      <c r="I24" s="340"/>
    </row>
    <row r="25" spans="1:10" ht="16.5" thickBot="1" x14ac:dyDescent="0.3">
      <c r="A25" s="339" t="s">
        <v>699</v>
      </c>
      <c r="B25" s="339"/>
      <c r="C25" s="351"/>
      <c r="D25" s="352"/>
      <c r="E25" s="353"/>
      <c r="F25" s="356">
        <v>10114356</v>
      </c>
      <c r="G25" s="352"/>
      <c r="H25" s="353"/>
      <c r="I25" s="356">
        <v>10191157</v>
      </c>
      <c r="J25" s="357">
        <f>+I25-F25</f>
        <v>76801</v>
      </c>
    </row>
    <row r="26" spans="1:10" ht="16.5" thickTop="1" x14ac:dyDescent="0.25">
      <c r="A26" s="337"/>
      <c r="B26" s="339"/>
      <c r="C26" s="336"/>
      <c r="D26" s="358"/>
      <c r="E26" s="337"/>
      <c r="F26" s="338"/>
      <c r="G26" s="358"/>
      <c r="H26" s="337"/>
      <c r="I26" s="338"/>
    </row>
    <row r="27" spans="1:10" ht="15.75" x14ac:dyDescent="0.25">
      <c r="A27" s="344"/>
      <c r="B27" s="339"/>
      <c r="C27" s="336"/>
      <c r="D27" s="342"/>
      <c r="E27" s="337"/>
      <c r="F27" s="338"/>
      <c r="G27" s="342"/>
      <c r="H27" s="337"/>
      <c r="I27" s="338"/>
    </row>
    <row r="28" spans="1:10" ht="15.75" x14ac:dyDescent="0.25">
      <c r="A28" s="344"/>
      <c r="B28" s="339"/>
      <c r="C28" s="336"/>
      <c r="D28" s="342"/>
      <c r="E28" s="337"/>
      <c r="F28" s="338"/>
      <c r="G28" s="342"/>
      <c r="H28" s="337"/>
      <c r="I28" s="338"/>
    </row>
    <row r="29" spans="1:10" ht="15.75" x14ac:dyDescent="0.25">
      <c r="A29" s="341" t="s">
        <v>330</v>
      </c>
      <c r="B29" s="339"/>
      <c r="C29" s="336"/>
      <c r="D29" s="342"/>
      <c r="E29" s="337"/>
      <c r="F29" s="338"/>
      <c r="G29" s="342"/>
      <c r="H29" s="337"/>
      <c r="I29" s="338"/>
    </row>
    <row r="30" spans="1:10" ht="15.75" x14ac:dyDescent="0.25">
      <c r="A30" s="350" t="s">
        <v>692</v>
      </c>
      <c r="B30" s="339"/>
      <c r="C30" s="336">
        <v>1180</v>
      </c>
      <c r="D30" s="342">
        <v>2120</v>
      </c>
      <c r="E30" s="337"/>
      <c r="F30" s="340">
        <v>2501600</v>
      </c>
      <c r="G30" s="342">
        <v>260</v>
      </c>
      <c r="H30" s="337"/>
      <c r="I30" s="340">
        <v>306800</v>
      </c>
    </row>
    <row r="31" spans="1:10" ht="15.75" x14ac:dyDescent="0.25">
      <c r="A31" s="350"/>
      <c r="B31" s="339"/>
      <c r="C31" s="336"/>
      <c r="D31" s="342"/>
      <c r="E31" s="337"/>
      <c r="F31" s="338"/>
      <c r="G31" s="342"/>
      <c r="H31" s="337"/>
      <c r="I31" s="338"/>
    </row>
    <row r="32" spans="1:10" ht="15.75" x14ac:dyDescent="0.25">
      <c r="A32" s="350" t="s">
        <v>700</v>
      </c>
      <c r="B32" s="339"/>
      <c r="C32" s="336"/>
      <c r="D32" s="342"/>
      <c r="E32" s="337"/>
      <c r="F32" s="338"/>
      <c r="G32" s="342"/>
      <c r="H32" s="337"/>
      <c r="I32" s="338"/>
    </row>
    <row r="33" spans="1:10" ht="15.75" x14ac:dyDescent="0.25">
      <c r="A33" s="350"/>
      <c r="B33" s="339"/>
      <c r="C33" s="351"/>
      <c r="D33" s="342"/>
      <c r="E33" s="337"/>
      <c r="F33" s="340"/>
      <c r="G33" s="342"/>
      <c r="H33" s="337"/>
      <c r="I33" s="340"/>
    </row>
    <row r="34" spans="1:10" ht="15.75" x14ac:dyDescent="0.25">
      <c r="A34" s="350"/>
      <c r="B34" s="339"/>
      <c r="C34" s="336"/>
      <c r="D34" s="342"/>
      <c r="E34" s="337"/>
      <c r="F34" s="338"/>
      <c r="G34" s="342"/>
      <c r="H34" s="337"/>
      <c r="I34" s="338"/>
    </row>
    <row r="35" spans="1:10" ht="15.75" x14ac:dyDescent="0.25">
      <c r="A35" s="339" t="s">
        <v>693</v>
      </c>
      <c r="B35" s="339"/>
      <c r="C35" s="336"/>
      <c r="D35" s="343"/>
      <c r="E35" s="337"/>
      <c r="F35" s="340"/>
      <c r="G35" s="343"/>
      <c r="H35" s="337"/>
      <c r="I35" s="340"/>
    </row>
    <row r="36" spans="1:10" ht="15.75" x14ac:dyDescent="0.25">
      <c r="A36" s="344" t="s">
        <v>694</v>
      </c>
      <c r="B36" s="339"/>
      <c r="C36" s="336">
        <v>351393396</v>
      </c>
      <c r="D36" s="343">
        <v>0</v>
      </c>
      <c r="E36" s="337"/>
      <c r="F36" s="340">
        <v>0</v>
      </c>
      <c r="G36" s="343">
        <v>0</v>
      </c>
      <c r="H36" s="337"/>
      <c r="I36" s="340">
        <v>0</v>
      </c>
    </row>
    <row r="37" spans="1:10" ht="15.75" x14ac:dyDescent="0.25">
      <c r="A37" s="344" t="s">
        <v>695</v>
      </c>
      <c r="B37" s="345"/>
      <c r="C37" s="336">
        <v>-685392</v>
      </c>
      <c r="D37" s="343">
        <v>0</v>
      </c>
      <c r="E37" s="343"/>
      <c r="F37" s="340">
        <v>0</v>
      </c>
      <c r="G37" s="343">
        <v>0</v>
      </c>
      <c r="H37" s="337"/>
      <c r="I37" s="340">
        <v>0</v>
      </c>
    </row>
    <row r="38" spans="1:10" ht="15.75" x14ac:dyDescent="0.25">
      <c r="A38" s="346" t="s">
        <v>696</v>
      </c>
      <c r="B38" s="347"/>
      <c r="C38" s="348">
        <v>-14720240</v>
      </c>
      <c r="D38" s="343">
        <v>1.332E-2</v>
      </c>
      <c r="E38" s="337"/>
      <c r="F38" s="349">
        <v>-196073</v>
      </c>
      <c r="G38" s="343">
        <v>1.332E-2</v>
      </c>
      <c r="H38" s="337"/>
      <c r="I38" s="349">
        <v>-196074</v>
      </c>
    </row>
    <row r="39" spans="1:10" ht="15.75" x14ac:dyDescent="0.25">
      <c r="A39" s="350" t="s">
        <v>363</v>
      </c>
      <c r="B39" s="347"/>
      <c r="C39" s="351">
        <v>335987764</v>
      </c>
      <c r="D39" s="343"/>
      <c r="E39" s="337"/>
      <c r="F39" s="340">
        <v>-196073</v>
      </c>
      <c r="G39" s="343"/>
      <c r="H39" s="337"/>
      <c r="I39" s="340">
        <v>-196074</v>
      </c>
    </row>
    <row r="40" spans="1:10" ht="15.75" x14ac:dyDescent="0.25">
      <c r="A40" s="350"/>
      <c r="B40" s="339"/>
      <c r="C40" s="336"/>
      <c r="D40" s="342"/>
      <c r="E40" s="337"/>
      <c r="F40" s="338"/>
      <c r="G40" s="342"/>
      <c r="H40" s="337"/>
      <c r="I40" s="338"/>
    </row>
    <row r="41" spans="1:10" ht="16.5" thickBot="1" x14ac:dyDescent="0.3">
      <c r="A41" s="339" t="s">
        <v>699</v>
      </c>
      <c r="B41" s="339"/>
      <c r="C41" s="351"/>
      <c r="D41" s="352"/>
      <c r="E41" s="353"/>
      <c r="F41" s="356">
        <v>5493907</v>
      </c>
      <c r="G41" s="352"/>
      <c r="H41" s="353"/>
      <c r="I41" s="356">
        <v>4380809.76</v>
      </c>
      <c r="J41" s="357">
        <f>+I41-F41</f>
        <v>-1113097.2400000002</v>
      </c>
    </row>
    <row r="42" spans="1:10" ht="16.5" thickTop="1" x14ac:dyDescent="0.25">
      <c r="A42" s="350"/>
      <c r="B42" s="339"/>
      <c r="C42" s="336"/>
      <c r="D42" s="342"/>
      <c r="E42" s="337"/>
      <c r="F42" s="338"/>
      <c r="G42" s="342"/>
      <c r="H42" s="337"/>
      <c r="I42" s="338"/>
    </row>
    <row r="43" spans="1:10" ht="15.75" x14ac:dyDescent="0.25">
      <c r="A43" s="341" t="s">
        <v>701</v>
      </c>
      <c r="B43" s="339"/>
      <c r="C43" s="339"/>
      <c r="D43" s="340"/>
      <c r="E43" s="339"/>
      <c r="F43" s="339"/>
      <c r="G43" s="340"/>
      <c r="H43" s="339"/>
      <c r="I43" s="339"/>
    </row>
    <row r="44" spans="1:10" ht="15.75" x14ac:dyDescent="0.25">
      <c r="A44" s="341" t="s">
        <v>702</v>
      </c>
      <c r="B44" s="339"/>
      <c r="C44" s="339"/>
      <c r="D44" s="340"/>
      <c r="E44" s="339"/>
      <c r="F44" s="339"/>
      <c r="G44" s="340"/>
      <c r="H44" s="339"/>
      <c r="I44" s="339"/>
    </row>
    <row r="45" spans="1:10" ht="15.75" x14ac:dyDescent="0.25">
      <c r="A45" s="341" t="s">
        <v>703</v>
      </c>
      <c r="B45" s="339"/>
      <c r="C45" s="336">
        <v>96</v>
      </c>
      <c r="D45" s="342"/>
      <c r="E45" s="337"/>
      <c r="F45" s="340"/>
      <c r="G45" s="342"/>
      <c r="H45" s="337"/>
      <c r="I45" s="340"/>
    </row>
    <row r="46" spans="1:10" ht="15.75" x14ac:dyDescent="0.25">
      <c r="A46" s="339" t="s">
        <v>693</v>
      </c>
      <c r="B46" s="339"/>
      <c r="C46" s="336"/>
      <c r="D46" s="343"/>
      <c r="E46" s="337"/>
      <c r="F46" s="340"/>
      <c r="G46" s="343"/>
      <c r="H46" s="337"/>
      <c r="I46" s="340"/>
    </row>
    <row r="47" spans="1:10" ht="15.75" x14ac:dyDescent="0.25">
      <c r="A47" s="344" t="s">
        <v>694</v>
      </c>
      <c r="B47" s="339"/>
      <c r="C47" s="336">
        <v>7130880</v>
      </c>
      <c r="D47" s="343">
        <v>3.5139999999999998E-2</v>
      </c>
      <c r="E47" s="337"/>
      <c r="F47" s="340">
        <v>250579</v>
      </c>
      <c r="G47" s="343">
        <v>3.5139999999999998E-2</v>
      </c>
      <c r="H47" s="337"/>
      <c r="I47" s="340">
        <v>250579</v>
      </c>
    </row>
    <row r="48" spans="1:10" ht="15.75" x14ac:dyDescent="0.25">
      <c r="A48" s="344" t="s">
        <v>695</v>
      </c>
      <c r="B48" s="345"/>
      <c r="C48" s="336">
        <v>113425.48433827792</v>
      </c>
      <c r="D48" s="343">
        <v>3.5139999999999998E-2</v>
      </c>
      <c r="E48" s="343"/>
      <c r="F48" s="340">
        <v>3986</v>
      </c>
      <c r="G48" s="343">
        <v>3.5139999999999998E-2</v>
      </c>
      <c r="H48" s="337"/>
      <c r="I48" s="340">
        <v>3986</v>
      </c>
      <c r="J48" s="357"/>
    </row>
    <row r="49" spans="1:9" ht="15.75" x14ac:dyDescent="0.25">
      <c r="A49" s="346" t="s">
        <v>696</v>
      </c>
      <c r="B49" s="347"/>
      <c r="C49" s="348">
        <v>-46730</v>
      </c>
      <c r="D49" s="343">
        <v>3.2848000000000002E-2</v>
      </c>
      <c r="E49" s="337"/>
      <c r="F49" s="349">
        <v>-1535</v>
      </c>
      <c r="G49" s="343">
        <v>3.2848000000000002E-2</v>
      </c>
      <c r="H49" s="337"/>
      <c r="I49" s="349">
        <v>-1535</v>
      </c>
    </row>
    <row r="50" spans="1:9" ht="15.75" x14ac:dyDescent="0.25">
      <c r="A50" s="350" t="s">
        <v>363</v>
      </c>
      <c r="B50" s="347"/>
      <c r="C50" s="351">
        <v>7197575.484338278</v>
      </c>
      <c r="D50" s="343"/>
      <c r="E50" s="337"/>
      <c r="F50" s="340">
        <v>253030</v>
      </c>
      <c r="G50" s="343"/>
      <c r="H50" s="337"/>
      <c r="I50" s="340">
        <v>253030</v>
      </c>
    </row>
    <row r="51" spans="1:9" ht="15.75" x14ac:dyDescent="0.25">
      <c r="A51" s="350"/>
      <c r="B51" s="347"/>
      <c r="C51" s="351"/>
      <c r="D51" s="343"/>
      <c r="E51" s="337"/>
      <c r="F51" s="340"/>
      <c r="G51" s="343"/>
      <c r="H51" s="337"/>
      <c r="I51" s="340"/>
    </row>
    <row r="52" spans="1:9" ht="15.75" x14ac:dyDescent="0.25">
      <c r="A52" s="339" t="s">
        <v>704</v>
      </c>
      <c r="B52" s="339"/>
      <c r="C52" s="336">
        <v>14252</v>
      </c>
      <c r="D52" s="355">
        <v>5.25</v>
      </c>
      <c r="E52" s="337"/>
      <c r="F52" s="340">
        <v>74823</v>
      </c>
      <c r="G52" s="355">
        <v>5.25</v>
      </c>
      <c r="H52" s="337"/>
      <c r="I52" s="340">
        <v>74823</v>
      </c>
    </row>
    <row r="53" spans="1:9" ht="15.75" x14ac:dyDescent="0.25">
      <c r="A53" s="339"/>
      <c r="B53" s="339"/>
      <c r="C53" s="351"/>
      <c r="D53" s="352"/>
      <c r="E53" s="353"/>
      <c r="F53" s="354"/>
      <c r="G53" s="352"/>
      <c r="H53" s="353"/>
      <c r="I53" s="354"/>
    </row>
    <row r="54" spans="1:9" ht="15.75" x14ac:dyDescent="0.25">
      <c r="A54" s="341" t="s">
        <v>705</v>
      </c>
      <c r="B54" s="339"/>
      <c r="C54" s="336">
        <v>1895520</v>
      </c>
      <c r="D54" s="359">
        <v>2.5000000000000001E-4</v>
      </c>
      <c r="E54" s="337"/>
      <c r="F54" s="340">
        <v>474</v>
      </c>
      <c r="G54" s="359">
        <v>2.5000000000000001E-4</v>
      </c>
      <c r="H54" s="337"/>
      <c r="I54" s="340">
        <v>474</v>
      </c>
    </row>
    <row r="55" spans="1:9" ht="15.75" x14ac:dyDescent="0.25">
      <c r="A55" s="341"/>
      <c r="B55" s="339"/>
      <c r="C55" s="336"/>
      <c r="D55" s="359"/>
      <c r="E55" s="337"/>
      <c r="F55" s="340"/>
      <c r="G55" s="359"/>
      <c r="H55" s="337"/>
      <c r="I55" s="340"/>
    </row>
    <row r="56" spans="1:9" ht="15.75" x14ac:dyDescent="0.25">
      <c r="A56" s="341" t="s">
        <v>706</v>
      </c>
      <c r="B56" s="339"/>
      <c r="C56" s="336"/>
      <c r="D56" s="359"/>
      <c r="E56" s="337"/>
      <c r="F56" s="340"/>
      <c r="G56" s="359"/>
      <c r="H56" s="337"/>
      <c r="I56" s="340">
        <v>361801.88308538916</v>
      </c>
    </row>
    <row r="57" spans="1:9" ht="15.75" x14ac:dyDescent="0.25">
      <c r="A57" s="346"/>
      <c r="B57" s="347"/>
      <c r="C57" s="351"/>
      <c r="D57" s="343"/>
      <c r="E57" s="337"/>
      <c r="F57" s="340"/>
      <c r="G57" s="343"/>
      <c r="H57" s="337"/>
      <c r="I57" s="340"/>
    </row>
    <row r="58" spans="1:9" ht="16.5" thickBot="1" x14ac:dyDescent="0.3">
      <c r="A58" s="339" t="s">
        <v>699</v>
      </c>
      <c r="B58" s="339"/>
      <c r="C58" s="351"/>
      <c r="D58" s="352"/>
      <c r="E58" s="353"/>
      <c r="F58" s="356">
        <v>328327</v>
      </c>
      <c r="G58" s="352"/>
      <c r="H58" s="353"/>
      <c r="I58" s="356">
        <v>690128.88308538916</v>
      </c>
    </row>
    <row r="59" spans="1:9" ht="16.5" thickTop="1" x14ac:dyDescent="0.25">
      <c r="A59" s="350"/>
      <c r="B59" s="339"/>
      <c r="C59" s="336"/>
      <c r="D59" s="342"/>
      <c r="E59" s="337"/>
      <c r="F59" s="340"/>
      <c r="G59" s="342"/>
      <c r="H59" s="337"/>
      <c r="I59" s="340"/>
    </row>
    <row r="60" spans="1:9" ht="15.75" x14ac:dyDescent="0.25">
      <c r="A60" s="350"/>
      <c r="B60" s="339"/>
      <c r="C60" s="336"/>
      <c r="D60" s="342"/>
      <c r="E60" s="337"/>
      <c r="F60" s="340"/>
      <c r="G60" s="342"/>
      <c r="H60" s="337"/>
      <c r="I60" s="340"/>
    </row>
    <row r="61" spans="1:9" ht="15.75" x14ac:dyDescent="0.25">
      <c r="A61" s="350"/>
      <c r="B61" s="339"/>
      <c r="C61" s="336"/>
      <c r="D61" s="342"/>
      <c r="E61" s="337"/>
      <c r="F61" s="340"/>
      <c r="G61" s="342"/>
      <c r="H61" s="337"/>
      <c r="I61" s="340"/>
    </row>
    <row r="62" spans="1:9" ht="15.75" x14ac:dyDescent="0.25">
      <c r="A62" s="350"/>
      <c r="B62" s="339"/>
      <c r="C62" s="336"/>
      <c r="D62" s="342"/>
      <c r="E62" s="337"/>
      <c r="F62" s="340"/>
      <c r="G62" s="342"/>
      <c r="H62" s="337"/>
      <c r="I62" s="340"/>
    </row>
    <row r="63" spans="1:9" ht="15.75" x14ac:dyDescent="0.25">
      <c r="A63" s="350"/>
      <c r="B63" s="339"/>
      <c r="C63" s="336"/>
      <c r="D63" s="342"/>
      <c r="E63" s="337"/>
      <c r="F63" s="340"/>
      <c r="G63" s="342"/>
      <c r="H63" s="337"/>
      <c r="I63" s="340"/>
    </row>
  </sheetData>
  <mergeCells count="6"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5" header="0.3" footer="0.3"/>
  <pageSetup scale="55" fitToWidth="0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A97F7B-A3D8-40C2-BA65-58BDCC9F7198}"/>
</file>

<file path=customXml/itemProps2.xml><?xml version="1.0" encoding="utf-8"?>
<ds:datastoreItem xmlns:ds="http://schemas.openxmlformats.org/officeDocument/2006/customXml" ds:itemID="{74A67797-CDE9-4EB0-9343-290FA835CBBD}"/>
</file>

<file path=customXml/itemProps3.xml><?xml version="1.0" encoding="utf-8"?>
<ds:datastoreItem xmlns:ds="http://schemas.openxmlformats.org/officeDocument/2006/customXml" ds:itemID="{EADCA043-A2FD-4627-B358-37981A7D45B6}"/>
</file>

<file path=customXml/itemProps4.xml><?xml version="1.0" encoding="utf-8"?>
<ds:datastoreItem xmlns:ds="http://schemas.openxmlformats.org/officeDocument/2006/customXml" ds:itemID="{905A0C6A-60F4-450E-BAD6-17DD4A9D99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21</vt:i4>
      </vt:variant>
    </vt:vector>
  </HeadingPairs>
  <TitlesOfParts>
    <vt:vector size="49" baseType="lpstr">
      <vt:lpstr>Table of Contents</vt:lpstr>
      <vt:lpstr>ECOS - INPUTS</vt:lpstr>
      <vt:lpstr>ECOS - CLASSIFIERS</vt:lpstr>
      <vt:lpstr>ECOS - EXTERNAL (2019 GRC)</vt:lpstr>
      <vt:lpstr>Peak Credit</vt:lpstr>
      <vt:lpstr>ROR</vt:lpstr>
      <vt:lpstr>Revenue Sensitive Items</vt:lpstr>
      <vt:lpstr>Proposed Rev</vt:lpstr>
      <vt:lpstr>Prop RW &amp; Spec Cont Rev</vt:lpstr>
      <vt:lpstr>Customer Counts</vt:lpstr>
      <vt:lpstr>Customer Deposits (235)</vt:lpstr>
      <vt:lpstr>Customer Advances (252)</vt:lpstr>
      <vt:lpstr>Proforma Revenue</vt:lpstr>
      <vt:lpstr>Other Op Rev (450-451)</vt:lpstr>
      <vt:lpstr>Other Op Rev Equip Rental (454)</vt:lpstr>
      <vt:lpstr>Records &amp; Collec (903)</vt:lpstr>
      <vt:lpstr>Uncollectibles (904)</vt:lpstr>
      <vt:lpstr>Dist Plant (360-368)</vt:lpstr>
      <vt:lpstr>Dist Accum Depr (360-368)</vt:lpstr>
      <vt:lpstr>NCP Dist Plant (360-362)</vt:lpstr>
      <vt:lpstr>NCP Dist OH-UG Plant (364-367)</vt:lpstr>
      <vt:lpstr>Dist Transformer Plant (368)</vt:lpstr>
      <vt:lpstr>Distribution Service (369)</vt:lpstr>
      <vt:lpstr>Meter Costs (370)</vt:lpstr>
      <vt:lpstr>Load Research Data - Summary</vt:lpstr>
      <vt:lpstr>Load Research Data - Dem 4CP</vt:lpstr>
      <vt:lpstr>Load Research Data -Energy</vt:lpstr>
      <vt:lpstr>BPA Delivered MWh</vt:lpstr>
      <vt:lpstr>'Customer Counts'!Print_Area</vt:lpstr>
      <vt:lpstr>'Customer Deposits (235)'!Print_Area</vt:lpstr>
      <vt:lpstr>'Dist Accum Depr (360-368)'!Print_Area</vt:lpstr>
      <vt:lpstr>'Dist Plant (360-368)'!Print_Area</vt:lpstr>
      <vt:lpstr>'Dist Transformer Plant (368)'!Print_Area</vt:lpstr>
      <vt:lpstr>'Distribution Service (369)'!Print_Area</vt:lpstr>
      <vt:lpstr>'ECOS - CLASSIFIERS'!Print_Area</vt:lpstr>
      <vt:lpstr>'ECOS - EXTERNAL (2019 GRC)'!Print_Area</vt:lpstr>
      <vt:lpstr>'ECOS - INPUTS'!Print_Area</vt:lpstr>
      <vt:lpstr>'Load Research Data - Summary'!Print_Area</vt:lpstr>
      <vt:lpstr>'NCP Dist OH-UG Plant (364-367)'!Print_Area</vt:lpstr>
      <vt:lpstr>'NCP Dist Plant (360-362)'!Print_Area</vt:lpstr>
      <vt:lpstr>'Other Op Rev (450-451)'!Print_Area</vt:lpstr>
      <vt:lpstr>'Other Op Rev Equip Rental (454)'!Print_Area</vt:lpstr>
      <vt:lpstr>'Proforma Revenue'!Print_Area</vt:lpstr>
      <vt:lpstr>'Prop RW &amp; Spec Cont Rev'!Print_Area</vt:lpstr>
      <vt:lpstr>'Proposed Rev'!Print_Area</vt:lpstr>
      <vt:lpstr>'Records &amp; Collec (903)'!Print_Area</vt:lpstr>
      <vt:lpstr>'Table of Contents'!Print_Area</vt:lpstr>
      <vt:lpstr>'Uncollectibles (904)'!Print_Area</vt:lpstr>
      <vt:lpstr>'ECOS - EXTERNAL (2019 GRC)'!Print_Titles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Puget Sound Energy</cp:lastModifiedBy>
  <cp:lastPrinted>2019-06-10T16:20:55Z</cp:lastPrinted>
  <dcterms:created xsi:type="dcterms:W3CDTF">2016-02-06T20:26:48Z</dcterms:created>
  <dcterms:modified xsi:type="dcterms:W3CDTF">2020-02-28T20:21:01Z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