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3"/>
  </bookViews>
  <sheets>
    <sheet name="Natural Gas Deferral" sheetId="1" r:id="rId1"/>
    <sheet name="Appendix 5, Page 1" sheetId="2" r:id="rId2"/>
    <sheet name="Appendix 5, Page 2" sheetId="3" r:id="rId3"/>
    <sheet name="Appendix 5, Page 3" sheetId="4" r:id="rId4"/>
  </sheets>
  <externalReferences>
    <externalReference r:id="rId5"/>
    <externalReference r:id="rId6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[2]ConsolidatingPL!#REF!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'Appendix 5, Page 1'!$A$1:$I$29</definedName>
    <definedName name="_xlnm.Print_Area" localSheetId="2">'Appendix 5, Page 2'!$A$1:$E$21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52511" calcMode="manual"/>
</workbook>
</file>

<file path=xl/calcChain.xml><?xml version="1.0" encoding="utf-8"?>
<calcChain xmlns="http://schemas.openxmlformats.org/spreadsheetml/2006/main">
  <c r="O16" i="4" l="1"/>
  <c r="L16" i="4"/>
  <c r="K16" i="4"/>
  <c r="H16" i="4"/>
  <c r="G16" i="4"/>
  <c r="D16" i="4"/>
  <c r="P15" i="4"/>
  <c r="M16" i="4" s="1"/>
  <c r="M12" i="4"/>
  <c r="I12" i="4"/>
  <c r="E12" i="4"/>
  <c r="P11" i="4"/>
  <c r="O12" i="4" s="1"/>
  <c r="A9" i="4"/>
  <c r="A10" i="4" s="1"/>
  <c r="A11" i="4" s="1"/>
  <c r="A12" i="4" s="1"/>
  <c r="A2" i="4"/>
  <c r="D25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A15" i="3"/>
  <c r="A16" i="3" s="1"/>
  <c r="A17" i="3" s="1"/>
  <c r="A18" i="3" s="1"/>
  <c r="C13" i="3"/>
  <c r="D11" i="3"/>
  <c r="D28" i="2"/>
  <c r="D27" i="2"/>
  <c r="D24" i="3" s="1"/>
  <c r="D26" i="2"/>
  <c r="D25" i="2"/>
  <c r="E20" i="2"/>
  <c r="D20" i="2"/>
  <c r="L19" i="2"/>
  <c r="L20" i="2" s="1"/>
  <c r="K19" i="2"/>
  <c r="K20" i="2" s="1"/>
  <c r="G19" i="2"/>
  <c r="G20" i="2" s="1"/>
  <c r="I18" i="2"/>
  <c r="H18" i="2"/>
  <c r="G18" i="2"/>
  <c r="F18" i="2"/>
  <c r="C18" i="2" s="1"/>
  <c r="E18" i="2"/>
  <c r="E28" i="2" s="1"/>
  <c r="D14" i="2"/>
  <c r="M13" i="2"/>
  <c r="M14" i="2" s="1"/>
  <c r="M16" i="2" s="1"/>
  <c r="L13" i="2"/>
  <c r="L14" i="2" s="1"/>
  <c r="K13" i="2"/>
  <c r="L12" i="2"/>
  <c r="K12" i="2"/>
  <c r="K14" i="2" s="1"/>
  <c r="I12" i="2"/>
  <c r="G12" i="2"/>
  <c r="G14" i="2" s="1"/>
  <c r="F12" i="2"/>
  <c r="F14" i="2" s="1"/>
  <c r="E12" i="2"/>
  <c r="E14" i="2" s="1"/>
  <c r="M10" i="2"/>
  <c r="D10" i="2"/>
  <c r="D16" i="2" s="1"/>
  <c r="L9" i="2"/>
  <c r="H9" i="2" s="1"/>
  <c r="K9" i="2"/>
  <c r="G9" i="2"/>
  <c r="E9" i="2"/>
  <c r="L8" i="2"/>
  <c r="L10" i="2" s="1"/>
  <c r="K8" i="2"/>
  <c r="H8" i="2" s="1"/>
  <c r="I8" i="2"/>
  <c r="I10" i="2" s="1"/>
  <c r="G8" i="2"/>
  <c r="G10" i="2" s="1"/>
  <c r="G16" i="2" s="1"/>
  <c r="G22" i="2" s="1"/>
  <c r="F8" i="2"/>
  <c r="D22" i="2" l="1"/>
  <c r="L16" i="2"/>
  <c r="L22" i="2" s="1"/>
  <c r="A13" i="4"/>
  <c r="A14" i="4" s="1"/>
  <c r="A15" i="4" s="1"/>
  <c r="A16" i="4" s="1"/>
  <c r="H10" i="2"/>
  <c r="E25" i="3"/>
  <c r="C14" i="2"/>
  <c r="D29" i="2"/>
  <c r="E11" i="3"/>
  <c r="F12" i="4"/>
  <c r="N12" i="4"/>
  <c r="E8" i="2"/>
  <c r="H12" i="2"/>
  <c r="C12" i="2" s="1"/>
  <c r="M19" i="2"/>
  <c r="M20" i="2" s="1"/>
  <c r="M22" i="2" s="1"/>
  <c r="F20" i="2"/>
  <c r="E26" i="2"/>
  <c r="D12" i="4"/>
  <c r="H12" i="4"/>
  <c r="L12" i="4"/>
  <c r="F16" i="4"/>
  <c r="J16" i="4"/>
  <c r="N16" i="4"/>
  <c r="F9" i="2"/>
  <c r="C9" i="2" s="1"/>
  <c r="K10" i="2"/>
  <c r="K16" i="2" s="1"/>
  <c r="K22" i="2" s="1"/>
  <c r="E25" i="2"/>
  <c r="J12" i="4"/>
  <c r="G12" i="4"/>
  <c r="K12" i="4"/>
  <c r="E16" i="4"/>
  <c r="I16" i="4"/>
  <c r="P16" i="4" s="1"/>
  <c r="P12" i="4" l="1"/>
  <c r="D9" i="3"/>
  <c r="D13" i="3" s="1"/>
  <c r="E27" i="2"/>
  <c r="C20" i="2"/>
  <c r="C8" i="2"/>
  <c r="E10" i="2"/>
  <c r="F10" i="2"/>
  <c r="F16" i="2" s="1"/>
  <c r="F22" i="2" s="1"/>
  <c r="A17" i="4"/>
  <c r="A18" i="4" s="1"/>
  <c r="A19" i="4" s="1"/>
  <c r="A20" i="4" s="1"/>
  <c r="E16" i="2" l="1"/>
  <c r="C10" i="2"/>
  <c r="E29" i="2"/>
  <c r="E24" i="3"/>
  <c r="P20" i="4"/>
  <c r="D23" i="3"/>
  <c r="D26" i="3" s="1"/>
  <c r="A21" i="4"/>
  <c r="A22" i="4" s="1"/>
  <c r="A23" i="4" s="1"/>
  <c r="A24" i="4" s="1"/>
  <c r="C21" i="4"/>
  <c r="A25" i="4" l="1"/>
  <c r="A26" i="4" s="1"/>
  <c r="A27" i="4" s="1"/>
  <c r="C25" i="4"/>
  <c r="M21" i="4"/>
  <c r="I21" i="4"/>
  <c r="E21" i="4"/>
  <c r="H21" i="4"/>
  <c r="O21" i="4"/>
  <c r="K21" i="4"/>
  <c r="N21" i="4"/>
  <c r="J21" i="4"/>
  <c r="F21" i="4"/>
  <c r="L21" i="4"/>
  <c r="D21" i="4"/>
  <c r="G21" i="4"/>
  <c r="E22" i="2"/>
  <c r="C16" i="2"/>
  <c r="E9" i="3" l="1"/>
  <c r="E13" i="3" s="1"/>
  <c r="C22" i="2"/>
  <c r="P21" i="4"/>
  <c r="E23" i="3" l="1"/>
  <c r="E26" i="3" s="1"/>
  <c r="P24" i="4"/>
  <c r="N25" i="4" l="1"/>
  <c r="J25" i="4"/>
  <c r="F25" i="4"/>
  <c r="M25" i="4"/>
  <c r="H25" i="4"/>
  <c r="D25" i="4"/>
  <c r="O25" i="4"/>
  <c r="K25" i="4"/>
  <c r="G25" i="4"/>
  <c r="I25" i="4"/>
  <c r="E25" i="4"/>
  <c r="L25" i="4"/>
  <c r="P25" i="4" l="1"/>
  <c r="C44" i="1" l="1"/>
  <c r="C24" i="1"/>
  <c r="C46" i="1"/>
  <c r="G40" i="1"/>
  <c r="H40" i="1" s="1"/>
  <c r="I40" i="1" s="1"/>
  <c r="J40" i="1" s="1"/>
  <c r="K40" i="1" s="1"/>
  <c r="L40" i="1" s="1"/>
  <c r="M40" i="1" s="1"/>
  <c r="N40" i="1" s="1"/>
  <c r="O40" i="1" s="1"/>
  <c r="F40" i="1"/>
  <c r="E40" i="1"/>
  <c r="L38" i="1"/>
  <c r="H38" i="1"/>
  <c r="C38" i="1"/>
  <c r="N37" i="1"/>
  <c r="M37" i="1"/>
  <c r="J37" i="1"/>
  <c r="I37" i="1"/>
  <c r="O36" i="1"/>
  <c r="N36" i="1"/>
  <c r="M36" i="1"/>
  <c r="L36" i="1"/>
  <c r="L37" i="1" s="1"/>
  <c r="K36" i="1"/>
  <c r="J36" i="1"/>
  <c r="I36" i="1"/>
  <c r="H36" i="1"/>
  <c r="H37" i="1" s="1"/>
  <c r="G36" i="1"/>
  <c r="F36" i="1"/>
  <c r="F37" i="1" s="1"/>
  <c r="E36" i="1"/>
  <c r="E37" i="1" s="1"/>
  <c r="D36" i="1"/>
  <c r="D37" i="1" s="1"/>
  <c r="C36" i="1"/>
  <c r="O31" i="1"/>
  <c r="N31" i="1"/>
  <c r="N38" i="1" s="1"/>
  <c r="N39" i="1" s="1"/>
  <c r="M31" i="1"/>
  <c r="L31" i="1"/>
  <c r="K31" i="1"/>
  <c r="J31" i="1"/>
  <c r="I31" i="1"/>
  <c r="I38" i="1" s="1"/>
  <c r="H31" i="1"/>
  <c r="G31" i="1"/>
  <c r="F31" i="1"/>
  <c r="E31" i="1"/>
  <c r="E38" i="1" s="1"/>
  <c r="D31" i="1"/>
  <c r="D38" i="1" s="1"/>
  <c r="C31" i="1"/>
  <c r="T29" i="1"/>
  <c r="S29" i="1"/>
  <c r="R29" i="1"/>
  <c r="Q29" i="1"/>
  <c r="P29" i="1"/>
  <c r="G20" i="1"/>
  <c r="H20" i="1" s="1"/>
  <c r="I20" i="1" s="1"/>
  <c r="J20" i="1" s="1"/>
  <c r="K20" i="1" s="1"/>
  <c r="L20" i="1" s="1"/>
  <c r="M20" i="1" s="1"/>
  <c r="N20" i="1" s="1"/>
  <c r="O20" i="1" s="1"/>
  <c r="F20" i="1"/>
  <c r="E20" i="1"/>
  <c r="K19" i="1"/>
  <c r="L18" i="1"/>
  <c r="I18" i="1"/>
  <c r="N17" i="1"/>
  <c r="M17" i="1"/>
  <c r="J17" i="1"/>
  <c r="I17" i="1"/>
  <c r="G17" i="1"/>
  <c r="S16" i="1"/>
  <c r="S17" i="1" s="1"/>
  <c r="O16" i="1"/>
  <c r="O17" i="1" s="1"/>
  <c r="N16" i="1"/>
  <c r="M16" i="1"/>
  <c r="L16" i="1"/>
  <c r="L17" i="1" s="1"/>
  <c r="K16" i="1"/>
  <c r="K17" i="1" s="1"/>
  <c r="J16" i="1"/>
  <c r="R16" i="1" s="1"/>
  <c r="R17" i="1" s="1"/>
  <c r="I16" i="1"/>
  <c r="H16" i="1"/>
  <c r="H17" i="1" s="1"/>
  <c r="G16" i="1"/>
  <c r="Q16" i="1" s="1"/>
  <c r="Q17" i="1" s="1"/>
  <c r="F16" i="1"/>
  <c r="F17" i="1" s="1"/>
  <c r="E16" i="1"/>
  <c r="E17" i="1" s="1"/>
  <c r="D16" i="1"/>
  <c r="D17" i="1" s="1"/>
  <c r="C16" i="1"/>
  <c r="R11" i="1"/>
  <c r="Q11" i="1"/>
  <c r="Q10" i="1" s="1"/>
  <c r="O11" i="1"/>
  <c r="O18" i="1" s="1"/>
  <c r="O19" i="1" s="1"/>
  <c r="N11" i="1"/>
  <c r="N18" i="1" s="1"/>
  <c r="N19" i="1" s="1"/>
  <c r="M11" i="1"/>
  <c r="S11" i="1" s="1"/>
  <c r="S10" i="1" s="1"/>
  <c r="L11" i="1"/>
  <c r="K11" i="1"/>
  <c r="K18" i="1" s="1"/>
  <c r="J11" i="1"/>
  <c r="J18" i="1" s="1"/>
  <c r="I11" i="1"/>
  <c r="H11" i="1"/>
  <c r="G11" i="1"/>
  <c r="G18" i="1" s="1"/>
  <c r="G19" i="1" s="1"/>
  <c r="F11" i="1"/>
  <c r="E11" i="1"/>
  <c r="D11" i="1"/>
  <c r="T11" i="1" s="1"/>
  <c r="T10" i="1" s="1"/>
  <c r="A11" i="1"/>
  <c r="C18" i="1" s="1"/>
  <c r="A10" i="1"/>
  <c r="C11" i="1" s="1"/>
  <c r="T9" i="1"/>
  <c r="S9" i="1"/>
  <c r="R9" i="1"/>
  <c r="Q9" i="1"/>
  <c r="P9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F38" i="1" l="1"/>
  <c r="F39" i="1" s="1"/>
  <c r="D18" i="1"/>
  <c r="D19" i="1" s="1"/>
  <c r="F18" i="1"/>
  <c r="F19" i="1" s="1"/>
  <c r="T16" i="1"/>
  <c r="T17" i="1" s="1"/>
  <c r="E18" i="1"/>
  <c r="E19" i="1"/>
  <c r="I19" i="1"/>
  <c r="E39" i="1"/>
  <c r="S31" i="1"/>
  <c r="S30" i="1" s="1"/>
  <c r="M38" i="1"/>
  <c r="G38" i="1"/>
  <c r="Q36" i="1"/>
  <c r="Q37" i="1" s="1"/>
  <c r="G37" i="1"/>
  <c r="J19" i="1"/>
  <c r="R18" i="1"/>
  <c r="M18" i="1"/>
  <c r="L19" i="1"/>
  <c r="D39" i="1"/>
  <c r="D41" i="1" s="1"/>
  <c r="I39" i="1"/>
  <c r="K38" i="1"/>
  <c r="K37" i="1"/>
  <c r="O38" i="1"/>
  <c r="O37" i="1"/>
  <c r="L39" i="1"/>
  <c r="R10" i="1"/>
  <c r="J38" i="1"/>
  <c r="R31" i="1"/>
  <c r="R30" i="1" s="1"/>
  <c r="S36" i="1"/>
  <c r="S37" i="1" s="1"/>
  <c r="P16" i="1"/>
  <c r="P17" i="1" s="1"/>
  <c r="H18" i="1"/>
  <c r="T31" i="1"/>
  <c r="T30" i="1" s="1"/>
  <c r="Q31" i="1"/>
  <c r="Q30" i="1" s="1"/>
  <c r="R36" i="1"/>
  <c r="R37" i="1" s="1"/>
  <c r="H39" i="1"/>
  <c r="P36" i="1"/>
  <c r="P37" i="1" s="1"/>
  <c r="T36" i="1"/>
  <c r="T37" i="1" s="1"/>
  <c r="P11" i="1"/>
  <c r="P10" i="1" s="1"/>
  <c r="P31" i="1"/>
  <c r="P30" i="1" s="1"/>
  <c r="T38" i="1" l="1"/>
  <c r="P38" i="1"/>
  <c r="P18" i="1"/>
  <c r="T18" i="1"/>
  <c r="O39" i="1"/>
  <c r="K39" i="1"/>
  <c r="R19" i="1"/>
  <c r="Q38" i="1"/>
  <c r="G39" i="1"/>
  <c r="Q39" i="1" s="1"/>
  <c r="Q18" i="1"/>
  <c r="H19" i="1"/>
  <c r="Q19" i="1" s="1"/>
  <c r="S18" i="1"/>
  <c r="M19" i="1"/>
  <c r="S19" i="1" s="1"/>
  <c r="J39" i="1"/>
  <c r="R38" i="1"/>
  <c r="D42" i="1"/>
  <c r="P39" i="1"/>
  <c r="D44" i="1"/>
  <c r="P19" i="1"/>
  <c r="T19" i="1"/>
  <c r="S38" i="1"/>
  <c r="M39" i="1"/>
  <c r="S39" i="1" s="1"/>
  <c r="D21" i="1"/>
  <c r="E41" i="1" l="1"/>
  <c r="E44" i="1" s="1"/>
  <c r="R39" i="1"/>
  <c r="T39" i="1"/>
  <c r="D22" i="1"/>
  <c r="D24" i="1"/>
  <c r="E42" i="1" l="1"/>
  <c r="F41" i="1"/>
  <c r="F42" i="1" s="1"/>
  <c r="E21" i="1"/>
  <c r="E24" i="1" s="1"/>
  <c r="D46" i="1"/>
  <c r="E22" i="1" l="1"/>
  <c r="F21" i="1"/>
  <c r="F22" i="1" s="1"/>
  <c r="E46" i="1"/>
  <c r="P41" i="1"/>
  <c r="P42" i="1" s="1"/>
  <c r="F44" i="1"/>
  <c r="F24" i="1" l="1"/>
  <c r="G41" i="1"/>
  <c r="G44" i="1" s="1"/>
  <c r="P21" i="1"/>
  <c r="P22" i="1" s="1"/>
  <c r="H41" i="1" l="1"/>
  <c r="H42" i="1" s="1"/>
  <c r="G42" i="1"/>
  <c r="F46" i="1"/>
  <c r="G21" i="1"/>
  <c r="G24" i="1" s="1"/>
  <c r="H44" i="1" l="1"/>
  <c r="I41" i="1" s="1"/>
  <c r="G46" i="1"/>
  <c r="H21" i="1"/>
  <c r="H22" i="1" s="1"/>
  <c r="G22" i="1"/>
  <c r="I42" i="1" l="1"/>
  <c r="Q41" i="1"/>
  <c r="Q42" i="1" s="1"/>
  <c r="H24" i="1"/>
  <c r="I44" i="1"/>
  <c r="J41" i="1" l="1"/>
  <c r="J44" i="1" s="1"/>
  <c r="I21" i="1"/>
  <c r="H46" i="1"/>
  <c r="I22" i="1" l="1"/>
  <c r="Q21" i="1"/>
  <c r="Q22" i="1" s="1"/>
  <c r="K41" i="1"/>
  <c r="K42" i="1" s="1"/>
  <c r="I24" i="1"/>
  <c r="J42" i="1"/>
  <c r="K44" i="1" l="1"/>
  <c r="L41" i="1" s="1"/>
  <c r="J21" i="1"/>
  <c r="J24" i="1" s="1"/>
  <c r="I46" i="1"/>
  <c r="L42" i="1" l="1"/>
  <c r="R41" i="1"/>
  <c r="R42" i="1" s="1"/>
  <c r="J46" i="1"/>
  <c r="K21" i="1"/>
  <c r="K22" i="1" s="1"/>
  <c r="L44" i="1"/>
  <c r="J22" i="1"/>
  <c r="K24" i="1" l="1"/>
  <c r="K46" i="1" s="1"/>
  <c r="L21" i="1"/>
  <c r="M41" i="1"/>
  <c r="M42" i="1" l="1"/>
  <c r="L22" i="1"/>
  <c r="R21" i="1"/>
  <c r="R22" i="1" s="1"/>
  <c r="M44" i="1"/>
  <c r="L24" i="1"/>
  <c r="M21" i="1" l="1"/>
  <c r="M24" i="1" s="1"/>
  <c r="L46" i="1"/>
  <c r="N41" i="1"/>
  <c r="N42" i="1" l="1"/>
  <c r="N21" i="1"/>
  <c r="N22" i="1" s="1"/>
  <c r="M46" i="1"/>
  <c r="N44" i="1"/>
  <c r="M22" i="1"/>
  <c r="O41" i="1" l="1"/>
  <c r="N24" i="1"/>
  <c r="N46" i="1" l="1"/>
  <c r="O21" i="1"/>
  <c r="O42" i="1"/>
  <c r="T41" i="1"/>
  <c r="T42" i="1" s="1"/>
  <c r="S41" i="1"/>
  <c r="S42" i="1" s="1"/>
  <c r="O44" i="1"/>
  <c r="O22" i="1" l="1"/>
  <c r="T21" i="1"/>
  <c r="T22" i="1" s="1"/>
  <c r="S21" i="1"/>
  <c r="S22" i="1" s="1"/>
  <c r="O24" i="1"/>
  <c r="O46" i="1" s="1"/>
</calcChain>
</file>

<file path=xl/sharedStrings.xml><?xml version="1.0" encoding="utf-8"?>
<sst xmlns="http://schemas.openxmlformats.org/spreadsheetml/2006/main" count="191" uniqueCount="118">
  <si>
    <t>Avista Utilities</t>
  </si>
  <si>
    <t>Natural Gas Decoupling Mechanism</t>
  </si>
  <si>
    <t>Development of Natural Gas Deferrals (Calendar Year 2015)</t>
  </si>
  <si>
    <t>Revised</t>
  </si>
  <si>
    <t>1st Quarter 2015</t>
  </si>
  <si>
    <t>2nd Quarter 2015</t>
  </si>
  <si>
    <t>3rd Quarter 2015</t>
  </si>
  <si>
    <t>4th Quarter 2015</t>
  </si>
  <si>
    <t>2015 Annual</t>
  </si>
  <si>
    <t>Line No.</t>
  </si>
  <si>
    <t>Source</t>
  </si>
  <si>
    <t>Total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</si>
  <si>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</si>
  <si>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</si>
  <si>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</si>
  <si>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</si>
  <si>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</si>
  <si>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</si>
  <si>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</si>
  <si>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</si>
  <si>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</si>
  <si>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</si>
  <si>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</si>
  <si>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</si>
  <si>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</si>
  <si>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</si>
  <si>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</si>
  <si>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Residential Group</t>
  </si>
  <si>
    <t>Actual Customers</t>
  </si>
  <si>
    <t>Revenue System</t>
  </si>
  <si>
    <t>Monthly Decoupled Revenue per Customer</t>
  </si>
  <si>
    <t>Appendix 5, Page 3</t>
  </si>
  <si>
    <t>Decoupled Revenue</t>
  </si>
  <si>
    <t>Actual Usage</t>
  </si>
  <si>
    <t>Actual Base Rate Revenue (Excluding Gas Costs)</t>
  </si>
  <si>
    <t>Actual Fixed Charge Revenue</t>
  </si>
  <si>
    <t>Customer Decoupled Payments</t>
  </si>
  <si>
    <t>Residential Revenue Per Customer Received</t>
  </si>
  <si>
    <t>Deferral - Surcharge (Rebate)</t>
  </si>
  <si>
    <t>Deferral - Revenue Related Expenses</t>
  </si>
  <si>
    <t>Rev Conv Factor</t>
  </si>
  <si>
    <t>FERC Rate</t>
  </si>
  <si>
    <t>Interest on Deferral</t>
  </si>
  <si>
    <t>Avg Balance Calc</t>
  </si>
  <si>
    <t>Monthly Residential Deferral Totals</t>
  </si>
  <si>
    <t>Cumulative Residential Deferral (Rebate)/Surcharge</t>
  </si>
  <si>
    <t>Non-Residential Group</t>
  </si>
  <si>
    <t>Non-Residential Revenue Per Customer Received</t>
  </si>
  <si>
    <t>Monthly Non-Residential Deferral Totals</t>
  </si>
  <si>
    <t>Cumulative Non-Residential Deferral (Rebate)/Surcharge</t>
  </si>
  <si>
    <t>Total Cumulative Natural Gas Deferral</t>
  </si>
  <si>
    <t>Development of Decoupled Revenue by Rate Schedule - Natural Gas</t>
  </si>
  <si>
    <t xml:space="preserve"> </t>
  </si>
  <si>
    <t>RESIDENTIAL</t>
  </si>
  <si>
    <t xml:space="preserve">GENERAL SVC. </t>
  </si>
  <si>
    <t>LG. GEN. SVC.</t>
  </si>
  <si>
    <t>INTERRUPTIBLE</t>
  </si>
  <si>
    <t>SCHEDULES</t>
  </si>
  <si>
    <t>Schedule</t>
  </si>
  <si>
    <t>TOTAL</t>
  </si>
  <si>
    <t>SCHEDULE 101</t>
  </si>
  <si>
    <t>SCH. 111</t>
  </si>
  <si>
    <t>SCH. 121</t>
  </si>
  <si>
    <t>SCH 131</t>
  </si>
  <si>
    <t>112, 122, 132</t>
  </si>
  <si>
    <t>146 &amp; 148</t>
  </si>
  <si>
    <t>Total Normalized 2015 Revenue (Appendix 2)</t>
  </si>
  <si>
    <t>Settlement Revenue Increase (Appendix 2)</t>
  </si>
  <si>
    <t>Total Rate Revenue (January 1, 2015)</t>
  </si>
  <si>
    <t>Normalized Therms (2015 Rate Year)</t>
  </si>
  <si>
    <t>PGA Rates</t>
  </si>
  <si>
    <t>Variable Gas Supply Revenue</t>
  </si>
  <si>
    <t>Delivery Revenue  (Ln 3 - Ln 6)</t>
  </si>
  <si>
    <t>Customer Bills (2015 Rate Year)</t>
  </si>
  <si>
    <t>Settlement Basic Charges</t>
  </si>
  <si>
    <t>Basic Charge Revenue (Ln 8 * Ln 9)</t>
  </si>
  <si>
    <t>Excluded From Decoupling</t>
  </si>
  <si>
    <t>Residential</t>
  </si>
  <si>
    <t>Average Number of Customers (Line 8 / 12)</t>
  </si>
  <si>
    <t>Annual Therms</t>
  </si>
  <si>
    <t>Basic Charge Revenues</t>
  </si>
  <si>
    <t>Customer Bills</t>
  </si>
  <si>
    <t>Average Basic Charge</t>
  </si>
  <si>
    <t>Development of Decoupled Revenue Per Customer - Natural Gas</t>
  </si>
  <si>
    <t>Non-Residential Schedules*</t>
  </si>
  <si>
    <t>Decoupled Revenues</t>
  </si>
  <si>
    <t>Appendix 5, Page 1</t>
  </si>
  <si>
    <t>Rate Year # of Customers 2015</t>
  </si>
  <si>
    <t>Revenue Data</t>
  </si>
  <si>
    <t>Decoupled Revenue Per Customer</t>
  </si>
  <si>
    <t xml:space="preserve">*Sales Schedules 111, 121, 131.  </t>
  </si>
  <si>
    <t>Revenues</t>
  </si>
  <si>
    <t>From Revenue Per Customer</t>
  </si>
  <si>
    <t>From Basic Charges</t>
  </si>
  <si>
    <t>From Gas Supply</t>
  </si>
  <si>
    <t>'Development of Monthly Decoupled Revenue Per Customer - Natural Gas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</si>
  <si>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</si>
  <si>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</si>
  <si>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</si>
  <si>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</si>
  <si>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</si>
  <si>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</si>
  <si>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</si>
  <si>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</si>
  <si>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</si>
  <si>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</si>
  <si>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</si>
  <si>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</si>
  <si>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Natural Gas Delivery Volume</t>
  </si>
  <si>
    <t xml:space="preserve"> - Weather-Normalized Therm Delivery Volume</t>
  </si>
  <si>
    <t>Monthly Rate Year</t>
  </si>
  <si>
    <t xml:space="preserve">  - % of Annual Total</t>
  </si>
  <si>
    <t>% of Total</t>
  </si>
  <si>
    <t>Non-Residential Sales*</t>
  </si>
  <si>
    <t>Monthly Decoupled Revenue Per Customer ("RPC")</t>
  </si>
  <si>
    <t xml:space="preserve">  - 2015 Decoupled RPC</t>
  </si>
  <si>
    <t>Appendix 5, P. 2 L. 3</t>
  </si>
  <si>
    <t xml:space="preserve">  - 2015 Monthly Decoupled RPC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</si>
</sst>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name val="Times New Roman"/>
      <family val="1"/>
    </font>
    <font>
      <sz val="10"/>
      <color rgb="FF0000FF"/>
      <name val="Times New Roman"/>
      <family val="1"/>
    </font>
    <font>
      <sz val="10"/>
      <color rgb="FF0000CC"/>
      <name val="Times New Roman"/>
      <family val="1"/>
    </font>
    <font>
      <sz val="10"/>
      <color rgb="FF3333CC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i/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theme="0"/>
      </patternFill>
    </fill>
    <fill>
      <patternFill patternType="gray06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3" borderId="1" applyNumberFormat="0">
      <alignment horizontal="center" vertical="center" wrapText="1"/>
    </xf>
    <xf numFmtId="44" fontId="17" fillId="0" borderId="0" applyFont="0" applyFill="0" applyBorder="0" applyAlignment="0" applyProtection="0"/>
    <xf numFmtId="0" fontId="16" fillId="3" borderId="1" applyNumberFormat="0">
      <alignment horizontal="center" vertical="center" wrapText="1"/>
    </xf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3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/>
    </xf>
    <xf numFmtId="0" fontId="3" fillId="2" borderId="0" xfId="4" quotePrefix="1" applyFont="1" applyFill="1" applyAlignment="1">
      <alignment horizontal="center"/>
    </xf>
    <xf numFmtId="0" fontId="3" fillId="2" borderId="0" xfId="4" quotePrefix="1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0" xfId="4" applyFont="1" applyFill="1" applyAlignment="1">
      <alignment horizontal="center" wrapText="1"/>
    </xf>
    <xf numFmtId="0" fontId="2" fillId="0" borderId="0" xfId="4"/>
    <xf numFmtId="0" fontId="5" fillId="2" borderId="0" xfId="4" applyFont="1" applyFill="1"/>
    <xf numFmtId="0" fontId="6" fillId="2" borderId="0" xfId="4" applyFont="1" applyFill="1" applyAlignment="1">
      <alignment horizontal="center"/>
    </xf>
    <xf numFmtId="0" fontId="7" fillId="0" borderId="0" xfId="4" applyFont="1" applyAlignment="1">
      <alignment horizontal="center" wrapText="1"/>
    </xf>
    <xf numFmtId="0" fontId="6" fillId="2" borderId="0" xfId="4" applyFont="1" applyFill="1" applyAlignment="1">
      <alignment horizont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vertical="center"/>
    </xf>
    <xf numFmtId="0" fontId="6" fillId="2" borderId="1" xfId="4" applyFont="1" applyFill="1" applyBorder="1" applyAlignment="1">
      <alignment horizontal="center" vertical="center"/>
    </xf>
    <xf numFmtId="164" fontId="6" fillId="2" borderId="1" xfId="4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horizontal="center"/>
    </xf>
    <xf numFmtId="165" fontId="8" fillId="2" borderId="0" xfId="5" applyNumberFormat="1" applyFont="1" applyFill="1"/>
    <xf numFmtId="165" fontId="9" fillId="2" borderId="0" xfId="5" applyNumberFormat="1" applyFont="1" applyFill="1"/>
    <xf numFmtId="165" fontId="10" fillId="2" borderId="0" xfId="5" applyNumberFormat="1" applyFont="1" applyFill="1"/>
    <xf numFmtId="0" fontId="5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vertical="center"/>
    </xf>
    <xf numFmtId="166" fontId="5" fillId="2" borderId="0" xfId="4" applyNumberFormat="1" applyFont="1" applyFill="1"/>
    <xf numFmtId="167" fontId="8" fillId="2" borderId="0" xfId="4" applyNumberFormat="1" applyFont="1" applyFill="1"/>
    <xf numFmtId="0" fontId="8" fillId="2" borderId="0" xfId="4" applyFont="1" applyFill="1"/>
    <xf numFmtId="165" fontId="11" fillId="2" borderId="0" xfId="5" applyNumberFormat="1" applyFont="1" applyFill="1"/>
    <xf numFmtId="0" fontId="5" fillId="2" borderId="0" xfId="4" applyFont="1" applyFill="1" applyAlignment="1">
      <alignment horizontal="left"/>
    </xf>
    <xf numFmtId="167" fontId="8" fillId="2" borderId="0" xfId="2" applyNumberFormat="1" applyFont="1" applyFill="1"/>
    <xf numFmtId="167" fontId="9" fillId="2" borderId="0" xfId="2" applyNumberFormat="1" applyFont="1" applyFill="1"/>
    <xf numFmtId="167" fontId="10" fillId="2" borderId="0" xfId="2" applyNumberFormat="1" applyFont="1" applyFill="1"/>
    <xf numFmtId="0" fontId="5" fillId="2" borderId="0" xfId="4" applyFont="1" applyFill="1" applyAlignment="1">
      <alignment horizontal="right"/>
    </xf>
    <xf numFmtId="0" fontId="5" fillId="0" borderId="0" xfId="4" applyFont="1" applyFill="1" applyAlignment="1">
      <alignment horizontal="center"/>
    </xf>
    <xf numFmtId="10" fontId="8" fillId="2" borderId="0" xfId="3" applyNumberFormat="1" applyFont="1" applyFill="1"/>
    <xf numFmtId="167" fontId="8" fillId="2" borderId="0" xfId="6" applyNumberFormat="1" applyFont="1" applyFill="1"/>
    <xf numFmtId="0" fontId="6" fillId="2" borderId="0" xfId="4" applyFont="1" applyFill="1"/>
    <xf numFmtId="167" fontId="12" fillId="2" borderId="2" xfId="6" applyNumberFormat="1" applyFont="1" applyFill="1" applyBorder="1"/>
    <xf numFmtId="0" fontId="5" fillId="2" borderId="0" xfId="4" applyFont="1" applyFill="1" applyAlignment="1">
      <alignment horizontal="center" vertical="center" wrapText="1"/>
    </xf>
    <xf numFmtId="167" fontId="8" fillId="2" borderId="0" xfId="4" applyNumberFormat="1" applyFont="1" applyFill="1" applyBorder="1"/>
    <xf numFmtId="166" fontId="8" fillId="2" borderId="0" xfId="4" applyNumberFormat="1" applyFont="1" applyFill="1" applyAlignment="1">
      <alignment vertical="center"/>
    </xf>
    <xf numFmtId="167" fontId="12" fillId="2" borderId="2" xfId="4" applyNumberFormat="1" applyFont="1" applyFill="1" applyBorder="1"/>
    <xf numFmtId="0" fontId="5" fillId="2" borderId="0" xfId="4" applyFont="1" applyFill="1" applyBorder="1"/>
    <xf numFmtId="0" fontId="13" fillId="2" borderId="0" xfId="4" applyFont="1" applyFill="1" applyAlignment="1">
      <alignment horizontal="center"/>
    </xf>
    <xf numFmtId="0" fontId="13" fillId="2" borderId="0" xfId="4" quotePrefix="1" applyFont="1" applyFill="1" applyAlignment="1">
      <alignment horizontal="center"/>
    </xf>
    <xf numFmtId="0" fontId="14" fillId="2" borderId="0" xfId="0" applyFont="1" applyFill="1"/>
    <xf numFmtId="0" fontId="0" fillId="2" borderId="0" xfId="0" applyFill="1"/>
    <xf numFmtId="0" fontId="15" fillId="2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67" fontId="14" fillId="2" borderId="0" xfId="2" applyNumberFormat="1" applyFont="1" applyFill="1"/>
    <xf numFmtId="167" fontId="14" fillId="0" borderId="0" xfId="2" applyNumberFormat="1" applyFont="1" applyFill="1"/>
    <xf numFmtId="167" fontId="0" fillId="0" borderId="0" xfId="2" applyNumberFormat="1" applyFont="1"/>
    <xf numFmtId="167" fontId="14" fillId="2" borderId="0" xfId="0" applyNumberFormat="1" applyFont="1" applyFill="1"/>
    <xf numFmtId="165" fontId="14" fillId="2" borderId="0" xfId="0" applyNumberFormat="1" applyFont="1" applyFill="1"/>
    <xf numFmtId="165" fontId="14" fillId="2" borderId="0" xfId="1" applyNumberFormat="1" applyFont="1" applyFill="1"/>
    <xf numFmtId="165" fontId="0" fillId="0" borderId="0" xfId="1" applyNumberFormat="1" applyFont="1"/>
    <xf numFmtId="168" fontId="14" fillId="2" borderId="0" xfId="2" applyNumberFormat="1" applyFont="1" applyFill="1"/>
    <xf numFmtId="168" fontId="0" fillId="0" borderId="0" xfId="0" applyNumberFormat="1"/>
    <xf numFmtId="167" fontId="0" fillId="0" borderId="0" xfId="0" applyNumberFormat="1"/>
    <xf numFmtId="37" fontId="14" fillId="2" borderId="0" xfId="0" applyNumberFormat="1" applyFont="1" applyFill="1"/>
    <xf numFmtId="7" fontId="14" fillId="2" borderId="0" xfId="2" applyNumberFormat="1" applyFont="1" applyFill="1"/>
    <xf numFmtId="7" fontId="14" fillId="2" borderId="0" xfId="2" applyNumberFormat="1" applyFont="1" applyFill="1" applyAlignment="1">
      <alignment horizontal="center"/>
    </xf>
    <xf numFmtId="167" fontId="14" fillId="2" borderId="0" xfId="2" applyNumberFormat="1" applyFont="1" applyFill="1" applyAlignment="1">
      <alignment horizontal="center"/>
    </xf>
    <xf numFmtId="44" fontId="0" fillId="0" borderId="0" xfId="0" applyNumberFormat="1"/>
    <xf numFmtId="0" fontId="0" fillId="2" borderId="0" xfId="0" applyFill="1" applyAlignment="1">
      <alignment horizontal="center" vertical="center"/>
    </xf>
    <xf numFmtId="0" fontId="14" fillId="0" borderId="0" xfId="0" applyFont="1"/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center"/>
    </xf>
    <xf numFmtId="0" fontId="13" fillId="2" borderId="0" xfId="4" applyFont="1" applyFill="1" applyAlignment="1"/>
    <xf numFmtId="0" fontId="13" fillId="2" borderId="0" xfId="4" quotePrefix="1" applyFont="1" applyFill="1" applyAlignment="1"/>
    <xf numFmtId="0" fontId="14" fillId="2" borderId="0" xfId="4" applyFont="1" applyFill="1"/>
    <xf numFmtId="41" fontId="13" fillId="2" borderId="1" xfId="7" applyNumberFormat="1" applyFont="1" applyFill="1" applyBorder="1">
      <alignment horizontal="center" vertical="center" wrapText="1"/>
    </xf>
    <xf numFmtId="0" fontId="14" fillId="2" borderId="1" xfId="4" applyFont="1" applyFill="1" applyBorder="1"/>
    <xf numFmtId="0" fontId="14" fillId="2" borderId="0" xfId="4" applyFont="1" applyFill="1" applyAlignment="1">
      <alignment horizontal="center"/>
    </xf>
    <xf numFmtId="0" fontId="14" fillId="2" borderId="0" xfId="4" applyFont="1" applyFill="1" applyAlignment="1">
      <alignment horizontal="left"/>
    </xf>
    <xf numFmtId="167" fontId="14" fillId="2" borderId="0" xfId="8" applyNumberFormat="1" applyFont="1" applyFill="1"/>
    <xf numFmtId="165" fontId="14" fillId="2" borderId="0" xfId="5" applyNumberFormat="1" applyFont="1" applyFill="1" applyBorder="1"/>
    <xf numFmtId="44" fontId="14" fillId="2" borderId="0" xfId="8" applyNumberFormat="1" applyFont="1" applyFill="1"/>
    <xf numFmtId="0" fontId="14" fillId="4" borderId="0" xfId="4" applyFont="1" applyFill="1" applyAlignment="1">
      <alignment horizontal="center"/>
    </xf>
    <xf numFmtId="0" fontId="14" fillId="4" borderId="0" xfId="4" quotePrefix="1" applyFont="1" applyFill="1" applyAlignment="1">
      <alignment horizontal="left"/>
    </xf>
    <xf numFmtId="44" fontId="14" fillId="4" borderId="0" xfId="8" applyNumberFormat="1" applyFont="1" applyFill="1"/>
    <xf numFmtId="0" fontId="0" fillId="5" borderId="0" xfId="0" applyFill="1"/>
    <xf numFmtId="167" fontId="14" fillId="2" borderId="0" xfId="4" applyNumberFormat="1" applyFont="1" applyFill="1"/>
    <xf numFmtId="0" fontId="14" fillId="2" borderId="0" xfId="4" quotePrefix="1" applyFont="1" applyFill="1" applyAlignment="1">
      <alignment horizontal="left"/>
    </xf>
    <xf numFmtId="0" fontId="14" fillId="0" borderId="0" xfId="0" applyFont="1" applyAlignment="1">
      <alignment horizontal="right"/>
    </xf>
    <xf numFmtId="167" fontId="14" fillId="0" borderId="0" xfId="2" applyNumberFormat="1" applyFont="1"/>
    <xf numFmtId="167" fontId="14" fillId="0" borderId="2" xfId="2" applyNumberFormat="1" applyFont="1" applyBorder="1"/>
    <xf numFmtId="0" fontId="18" fillId="2" borderId="0" xfId="4" applyFont="1" applyFill="1" applyAlignment="1">
      <alignment horizontal="center"/>
    </xf>
    <xf numFmtId="0" fontId="18" fillId="2" borderId="0" xfId="4" quotePrefix="1" applyFont="1" applyFill="1" applyAlignment="1">
      <alignment horizontal="center"/>
    </xf>
    <xf numFmtId="41" fontId="12" fillId="2" borderId="1" xfId="9" applyNumberFormat="1" applyFont="1" applyFill="1" applyBorder="1">
      <alignment horizontal="center" vertical="center" wrapText="1"/>
    </xf>
    <xf numFmtId="0" fontId="5" fillId="2" borderId="1" xfId="4" applyFont="1" applyFill="1" applyBorder="1"/>
    <xf numFmtId="41" fontId="12" fillId="2" borderId="1" xfId="9" applyNumberFormat="1" applyFont="1" applyFill="1" applyBorder="1" applyAlignment="1">
      <alignment horizontal="center" vertical="center" wrapText="1"/>
    </xf>
    <xf numFmtId="164" fontId="12" fillId="2" borderId="1" xfId="9" applyNumberFormat="1" applyFont="1" applyFill="1" applyBorder="1">
      <alignment horizontal="center" vertical="center" wrapText="1"/>
    </xf>
    <xf numFmtId="0" fontId="19" fillId="2" borderId="0" xfId="4" applyFont="1" applyFill="1" applyAlignment="1">
      <alignment horizontal="left"/>
    </xf>
    <xf numFmtId="0" fontId="20" fillId="2" borderId="0" xfId="4" applyFont="1" applyFill="1"/>
    <xf numFmtId="167" fontId="5" fillId="2" borderId="0" xfId="8" applyNumberFormat="1" applyFont="1" applyFill="1"/>
    <xf numFmtId="3" fontId="5" fillId="2" borderId="0" xfId="4" applyNumberFormat="1" applyFont="1" applyFill="1"/>
    <xf numFmtId="0" fontId="21" fillId="2" borderId="0" xfId="4" applyFont="1" applyFill="1"/>
    <xf numFmtId="0" fontId="5" fillId="2" borderId="0" xfId="4" quotePrefix="1" applyFont="1" applyFill="1" applyAlignment="1">
      <alignment horizontal="left"/>
    </xf>
    <xf numFmtId="165" fontId="22" fillId="0" borderId="0" xfId="0" applyNumberFormat="1" applyFont="1"/>
    <xf numFmtId="3" fontId="8" fillId="2" borderId="0" xfId="4" applyNumberFormat="1" applyFont="1" applyFill="1"/>
    <xf numFmtId="0" fontId="8" fillId="2" borderId="0" xfId="4" quotePrefix="1" applyFont="1" applyFill="1" applyAlignment="1">
      <alignment horizontal="center"/>
    </xf>
    <xf numFmtId="10" fontId="8" fillId="2" borderId="0" xfId="10" applyNumberFormat="1" applyFont="1" applyFill="1"/>
    <xf numFmtId="0" fontId="8" fillId="2" borderId="0" xfId="4" applyFont="1" applyFill="1" applyAlignment="1">
      <alignment horizontal="center"/>
    </xf>
    <xf numFmtId="10" fontId="5" fillId="2" borderId="0" xfId="10" applyNumberFormat="1" applyFont="1" applyFill="1"/>
    <xf numFmtId="44" fontId="5" fillId="2" borderId="0" xfId="6" applyFont="1" applyFill="1" applyAlignment="1">
      <alignment horizontal="center"/>
    </xf>
    <xf numFmtId="44" fontId="5" fillId="2" borderId="0" xfId="4" applyNumberFormat="1" applyFont="1" applyFill="1"/>
    <xf numFmtId="165" fontId="5" fillId="2" borderId="0" xfId="5" applyNumberFormat="1" applyFont="1" applyFill="1" applyAlignment="1">
      <alignment horizontal="center"/>
    </xf>
    <xf numFmtId="0" fontId="22" fillId="0" borderId="0" xfId="0" applyFont="1"/>
  </cellXfs>
  <cellStyles count="11">
    <cellStyle name="Comma" xfId="1" builtinId="3"/>
    <cellStyle name="Comma 2" xfId="5"/>
    <cellStyle name="Currency" xfId="2" builtinId="4"/>
    <cellStyle name="Currency 2" xfId="6"/>
    <cellStyle name="Currency 2 2" xfId="8"/>
    <cellStyle name="Normal" xfId="0" builtinId="0"/>
    <cellStyle name="Normal 2" xfId="4"/>
    <cellStyle name="Percent" xfId="3" builtinId="5"/>
    <cellStyle name="Percent 2" xfId="10"/>
    <cellStyle name="Report Heading 2" xfId="7"/>
    <cellStyle name="Report Heading 3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coupling%20Mechanisms\Tariff%20Filings\12.2015%20Nat%20Gas%20Decoupling%20Defer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Billing Determinants by Mo"/>
      <sheetName val="Appendix 5, Page 1"/>
      <sheetName val="Appendix 5, Page 2"/>
      <sheetName val="Appendix 5, Page 3"/>
      <sheetName val="Deferral Calc"/>
      <sheetName val="Dec Base Rate Revenue"/>
      <sheetName val="Nov Base Rate Revenue"/>
      <sheetName val="Oct Base Rate Revenue"/>
      <sheetName val="Sep Base Rate Revenue"/>
      <sheetName val="Aug Base Rate Revenue"/>
      <sheetName val="July Base Rate Revenue by BD"/>
      <sheetName val="July Base Rate Revenue"/>
      <sheetName val="June Base Rate Revenue"/>
      <sheetName val="May Base Rate Revenue"/>
      <sheetName val="Apr Base Rate Revenue"/>
      <sheetName val="Mar Base Rate Revenue"/>
      <sheetName val="Revised Feb Base Rate Revenue"/>
      <sheetName val="Revised Jan Base Rate Revenu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topLeftCell="A16" workbookViewId="0">
      <selection activeCell="D34" sqref="D34:F35"/>
    </sheetView>
  </sheetViews>
  <sheetFormatPr defaultRowHeight="14.4" x14ac:dyDescent="0.3"/>
  <cols>
    <col min="1" max="1" width="7.5546875" customWidth="1"/>
    <col min="2" max="2" width="36.21875" customWidth="1"/>
    <col min="3" max="3" width="15.109375" customWidth="1"/>
    <col min="4" max="9" width="11.21875" bestFit="1" customWidth="1"/>
    <col min="10" max="10" width="11" customWidth="1"/>
    <col min="11" max="11" width="12" customWidth="1"/>
    <col min="12" max="15" width="11.21875" bestFit="1" customWidth="1"/>
    <col min="16" max="16" width="12.21875" hidden="1" customWidth="1"/>
    <col min="17" max="18" width="11.21875" hidden="1" customWidth="1"/>
    <col min="19" max="19" width="12.21875" hidden="1" customWidth="1"/>
    <col min="20" max="20" width="12.21875" bestFit="1" customWidth="1"/>
  </cols>
  <sheetData>
    <row r="1" spans="1:20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6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5.6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5"/>
      <c r="S4" s="5"/>
      <c r="T4" s="7"/>
    </row>
    <row r="5" spans="1:20" ht="41.4" x14ac:dyDescent="0.3">
      <c r="A5" s="8"/>
      <c r="B5" s="8"/>
      <c r="C5" s="8"/>
      <c r="D5" s="9" t="s">
        <v>3</v>
      </c>
      <c r="E5" s="9" t="s">
        <v>3</v>
      </c>
      <c r="F5" s="8"/>
      <c r="G5" s="8"/>
      <c r="H5" s="8"/>
      <c r="I5" s="8"/>
      <c r="J5" s="8"/>
      <c r="K5" s="8"/>
      <c r="L5" s="8"/>
      <c r="M5" s="8"/>
      <c r="N5" s="8"/>
      <c r="O5" s="8"/>
      <c r="P5" s="10" t="s">
        <v>4</v>
      </c>
      <c r="Q5" s="10" t="s">
        <v>5</v>
      </c>
      <c r="R5" s="10" t="s">
        <v>6</v>
      </c>
      <c r="S5" s="10" t="s">
        <v>7</v>
      </c>
      <c r="T5" s="11" t="s">
        <v>8</v>
      </c>
    </row>
    <row r="6" spans="1:20" x14ac:dyDescent="0.3">
      <c r="A6" s="12" t="s">
        <v>9</v>
      </c>
      <c r="B6" s="13"/>
      <c r="C6" s="14" t="s">
        <v>10</v>
      </c>
      <c r="D6" s="15">
        <v>42005</v>
      </c>
      <c r="E6" s="15">
        <f t="shared" ref="E6:O6" si="0">EDATE(D6,1)</f>
        <v>42036</v>
      </c>
      <c r="F6" s="15">
        <f t="shared" si="0"/>
        <v>42064</v>
      </c>
      <c r="G6" s="15">
        <f t="shared" si="0"/>
        <v>42095</v>
      </c>
      <c r="H6" s="15">
        <f t="shared" si="0"/>
        <v>42125</v>
      </c>
      <c r="I6" s="15">
        <f t="shared" si="0"/>
        <v>42156</v>
      </c>
      <c r="J6" s="15">
        <f t="shared" si="0"/>
        <v>42186</v>
      </c>
      <c r="K6" s="15">
        <f t="shared" si="0"/>
        <v>42217</v>
      </c>
      <c r="L6" s="15">
        <f t="shared" si="0"/>
        <v>42248</v>
      </c>
      <c r="M6" s="15">
        <f t="shared" si="0"/>
        <v>42278</v>
      </c>
      <c r="N6" s="15">
        <f t="shared" si="0"/>
        <v>42309</v>
      </c>
      <c r="O6" s="15">
        <f t="shared" si="0"/>
        <v>42339</v>
      </c>
      <c r="P6" s="15" t="s">
        <v>11</v>
      </c>
      <c r="Q6" s="15" t="s">
        <v>11</v>
      </c>
      <c r="R6" s="15" t="s">
        <v>11</v>
      </c>
      <c r="S6" s="15" t="s">
        <v>11</v>
      </c>
      <c r="T6" s="15" t="s">
        <v>11</v>
      </c>
    </row>
    <row r="7" spans="1:20" x14ac:dyDescent="0.3">
      <c r="A7" s="16"/>
      <c r="B7" s="16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6" t="s">
        <v>17</v>
      </c>
      <c r="H7" s="16" t="s">
        <v>18</v>
      </c>
      <c r="I7" s="16" t="s">
        <v>19</v>
      </c>
      <c r="J7" s="16" t="s">
        <v>20</v>
      </c>
      <c r="K7" s="16" t="s">
        <v>21</v>
      </c>
      <c r="L7" s="16" t="s">
        <v>22</v>
      </c>
      <c r="M7" s="16" t="s">
        <v>23</v>
      </c>
      <c r="N7" s="16" t="s">
        <v>24</v>
      </c>
      <c r="O7" s="16" t="s">
        <v>25</v>
      </c>
      <c r="P7" s="16"/>
      <c r="Q7" s="16"/>
      <c r="R7" s="16"/>
      <c r="S7" s="16"/>
      <c r="T7" s="16" t="s">
        <v>26</v>
      </c>
    </row>
    <row r="8" spans="1:20" x14ac:dyDescent="0.3">
      <c r="A8" s="16"/>
      <c r="B8" s="9" t="s">
        <v>27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7"/>
    </row>
    <row r="9" spans="1:20" x14ac:dyDescent="0.3">
      <c r="A9" s="16">
        <v>1</v>
      </c>
      <c r="B9" s="8" t="s">
        <v>28</v>
      </c>
      <c r="C9" s="16" t="s">
        <v>29</v>
      </c>
      <c r="D9" s="18">
        <v>150806</v>
      </c>
      <c r="E9" s="18">
        <v>150842</v>
      </c>
      <c r="F9" s="18">
        <v>150516</v>
      </c>
      <c r="G9" s="18">
        <v>150480</v>
      </c>
      <c r="H9" s="19">
        <v>150641</v>
      </c>
      <c r="I9" s="19">
        <v>150509</v>
      </c>
      <c r="J9" s="19">
        <v>150813</v>
      </c>
      <c r="K9" s="19">
        <v>150779</v>
      </c>
      <c r="L9" s="19">
        <v>151278</v>
      </c>
      <c r="M9" s="19">
        <v>152195</v>
      </c>
      <c r="N9" s="19">
        <v>152484</v>
      </c>
      <c r="O9" s="19">
        <v>153235</v>
      </c>
      <c r="P9" s="17">
        <f>SUM(D9:F9)</f>
        <v>452164</v>
      </c>
      <c r="Q9" s="17">
        <f>SUM(G9:I9)</f>
        <v>451630</v>
      </c>
      <c r="R9" s="17">
        <f>SUM(J9:L9)</f>
        <v>452870</v>
      </c>
      <c r="S9" s="17">
        <f>SUM(M9:O9)</f>
        <v>457914</v>
      </c>
      <c r="T9" s="17">
        <f>SUM(D9:O9)</f>
        <v>1814578</v>
      </c>
    </row>
    <row r="10" spans="1:20" x14ac:dyDescent="0.3">
      <c r="A10" s="20">
        <f t="shared" ref="A10:A11" si="1">A9+1</f>
        <v>2</v>
      </c>
      <c r="B10" s="21" t="s">
        <v>30</v>
      </c>
      <c r="C10" s="16" t="s">
        <v>31</v>
      </c>
      <c r="D10" s="22">
        <v>48.137706084246098</v>
      </c>
      <c r="E10" s="22">
        <v>40.073388678350121</v>
      </c>
      <c r="F10" s="22">
        <v>34.218369443102773</v>
      </c>
      <c r="G10" s="22">
        <v>22.042735795876393</v>
      </c>
      <c r="H10" s="22">
        <v>12.281032305897392</v>
      </c>
      <c r="I10" s="22">
        <v>8.0888741834433677</v>
      </c>
      <c r="J10" s="22">
        <v>5.8833305156034115</v>
      </c>
      <c r="K10" s="22">
        <v>5.3354769369810153</v>
      </c>
      <c r="L10" s="22">
        <v>6.9655167030544396</v>
      </c>
      <c r="M10" s="22">
        <v>16.602087047119149</v>
      </c>
      <c r="N10" s="22">
        <v>33.14327239241473</v>
      </c>
      <c r="O10" s="22">
        <v>47.508209913911003</v>
      </c>
      <c r="P10" s="22">
        <f>P11/P9</f>
        <v>40.813990264281458</v>
      </c>
      <c r="Q10" s="22">
        <f>Q11/Q9</f>
        <v>14.136497209290894</v>
      </c>
      <c r="R10" s="22">
        <f>R11/R9</f>
        <v>6.0624241789816669</v>
      </c>
      <c r="S10" s="22">
        <f>S11/S9</f>
        <v>32.45258701804142</v>
      </c>
      <c r="T10" s="22">
        <f>T11/T9</f>
        <v>23.391150613644303</v>
      </c>
    </row>
    <row r="11" spans="1:20" x14ac:dyDescent="0.3">
      <c r="A11" s="16">
        <f t="shared" si="1"/>
        <v>3</v>
      </c>
      <c r="B11" s="8" t="s">
        <v>32</v>
      </c>
      <c r="C11" s="16" t="str">
        <f>"("&amp;A9&amp;") x ("&amp;A10&amp;")"</f>
        <v>(1) x (2)</v>
      </c>
      <c r="D11" s="23">
        <f t="shared" ref="D11:O11" si="2">D9*D10</f>
        <v>7259454.9037408167</v>
      </c>
      <c r="E11" s="23">
        <f t="shared" si="2"/>
        <v>6044750.0950196888</v>
      </c>
      <c r="F11" s="23">
        <f t="shared" si="2"/>
        <v>5150412.0950980568</v>
      </c>
      <c r="G11" s="23">
        <f t="shared" si="2"/>
        <v>3316990.8825634797</v>
      </c>
      <c r="H11" s="23">
        <f t="shared" si="2"/>
        <v>1850026.987592689</v>
      </c>
      <c r="I11" s="23">
        <f t="shared" si="2"/>
        <v>1217448.3644758777</v>
      </c>
      <c r="J11" s="23">
        <f t="shared" si="2"/>
        <v>887282.72504969733</v>
      </c>
      <c r="K11" s="23">
        <f t="shared" si="2"/>
        <v>804477.87708106055</v>
      </c>
      <c r="L11" s="23">
        <f t="shared" si="2"/>
        <v>1053729.4358046695</v>
      </c>
      <c r="M11" s="23">
        <f t="shared" si="2"/>
        <v>2526754.6381362989</v>
      </c>
      <c r="N11" s="23">
        <f t="shared" si="2"/>
        <v>5053818.747484968</v>
      </c>
      <c r="O11" s="23">
        <f t="shared" si="2"/>
        <v>7279920.5461581526</v>
      </c>
      <c r="P11" s="23">
        <f>SUM(D11:F11)</f>
        <v>18454617.093858562</v>
      </c>
      <c r="Q11" s="23">
        <f>SUM(G11:I11)</f>
        <v>6384466.2346320469</v>
      </c>
      <c r="R11" s="23">
        <f>SUM(J11:L11)</f>
        <v>2745490.0379354274</v>
      </c>
      <c r="S11" s="23">
        <f>SUM(M11:O11)</f>
        <v>14860493.931779418</v>
      </c>
      <c r="T11" s="23">
        <f>SUM(D11:O11)</f>
        <v>42445067.29820545</v>
      </c>
    </row>
    <row r="12" spans="1:20" x14ac:dyDescent="0.3">
      <c r="A12" s="16"/>
      <c r="B12" s="8"/>
      <c r="C12" s="1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x14ac:dyDescent="0.3">
      <c r="A13" s="16"/>
      <c r="B13" s="8" t="s">
        <v>33</v>
      </c>
      <c r="C13" s="16" t="s">
        <v>29</v>
      </c>
      <c r="D13" s="25">
        <v>20316016.342799999</v>
      </c>
      <c r="E13" s="25">
        <v>13011547</v>
      </c>
      <c r="F13" s="25">
        <v>10479005</v>
      </c>
      <c r="G13" s="25">
        <v>7714477.6798500009</v>
      </c>
      <c r="H13" s="25">
        <v>3297360</v>
      </c>
      <c r="I13" s="25">
        <v>1968489</v>
      </c>
      <c r="J13" s="25">
        <v>2145139</v>
      </c>
      <c r="K13" s="25">
        <v>1956853</v>
      </c>
      <c r="L13" s="25">
        <v>3273458</v>
      </c>
      <c r="M13" s="25">
        <v>4833943</v>
      </c>
      <c r="N13" s="25">
        <v>15378531</v>
      </c>
      <c r="O13" s="25">
        <v>19467743</v>
      </c>
      <c r="P13" s="24"/>
      <c r="Q13" s="24"/>
      <c r="R13" s="24"/>
      <c r="S13" s="24"/>
      <c r="T13" s="24"/>
    </row>
    <row r="14" spans="1:20" x14ac:dyDescent="0.3">
      <c r="A14" s="16">
        <v>4</v>
      </c>
      <c r="B14" s="26" t="s">
        <v>34</v>
      </c>
      <c r="C14" s="16" t="s">
        <v>29</v>
      </c>
      <c r="D14" s="28">
        <v>9163508.7650715783</v>
      </c>
      <c r="E14" s="28">
        <v>5564097.0273399986</v>
      </c>
      <c r="F14" s="28">
        <v>5529315.9960999992</v>
      </c>
      <c r="G14" s="28">
        <v>3919938.9588519176</v>
      </c>
      <c r="H14" s="29">
        <v>2352552.9991999995</v>
      </c>
      <c r="I14" s="29">
        <v>2000136.6165800001</v>
      </c>
      <c r="J14" s="29">
        <v>2133780.8979799999</v>
      </c>
      <c r="K14" s="29">
        <v>2054596.4539000001</v>
      </c>
      <c r="L14" s="29">
        <v>2453089.5638000001</v>
      </c>
      <c r="M14" s="29">
        <v>3015263.5350200003</v>
      </c>
      <c r="N14" s="29">
        <v>6697839.977620001</v>
      </c>
      <c r="O14" s="29">
        <v>8586501.7863699999</v>
      </c>
      <c r="P14" s="27"/>
      <c r="Q14" s="27"/>
      <c r="R14" s="27"/>
      <c r="S14" s="27"/>
      <c r="T14" s="27"/>
    </row>
    <row r="15" spans="1:20" x14ac:dyDescent="0.3">
      <c r="A15" s="16">
        <v>5</v>
      </c>
      <c r="B15" s="8" t="s">
        <v>35</v>
      </c>
      <c r="C15" s="16" t="s">
        <v>29</v>
      </c>
      <c r="D15" s="28">
        <v>1357254</v>
      </c>
      <c r="E15" s="28">
        <v>1357578</v>
      </c>
      <c r="F15" s="28">
        <v>1354644</v>
      </c>
      <c r="G15" s="28">
        <v>1354320</v>
      </c>
      <c r="H15" s="29">
        <v>1355769</v>
      </c>
      <c r="I15" s="29">
        <v>1354581</v>
      </c>
      <c r="J15" s="29">
        <v>1386104</v>
      </c>
      <c r="K15" s="29">
        <v>1384612</v>
      </c>
      <c r="L15" s="29">
        <v>1386467</v>
      </c>
      <c r="M15" s="29">
        <v>1392529</v>
      </c>
      <c r="N15" s="29">
        <v>1390608</v>
      </c>
      <c r="O15" s="29">
        <v>1396726</v>
      </c>
      <c r="P15" s="27"/>
      <c r="Q15" s="27"/>
      <c r="R15" s="27"/>
      <c r="S15" s="27"/>
      <c r="T15" s="27"/>
    </row>
    <row r="16" spans="1:20" x14ac:dyDescent="0.3">
      <c r="A16" s="16">
        <v>6</v>
      </c>
      <c r="B16" s="8" t="s">
        <v>36</v>
      </c>
      <c r="C16" s="16" t="str">
        <f>"("&amp;A14&amp;") - ("&amp;A15&amp;")"</f>
        <v>(4) - (5)</v>
      </c>
      <c r="D16" s="23">
        <f>D14-D15</f>
        <v>7806254.7650715783</v>
      </c>
      <c r="E16" s="23">
        <f t="shared" ref="E16:O16" si="3">E14-E15</f>
        <v>4206519.0273399986</v>
      </c>
      <c r="F16" s="23">
        <f t="shared" si="3"/>
        <v>4174671.9960999992</v>
      </c>
      <c r="G16" s="23">
        <f t="shared" si="3"/>
        <v>2565618.9588519176</v>
      </c>
      <c r="H16" s="23">
        <f t="shared" si="3"/>
        <v>996783.9991999995</v>
      </c>
      <c r="I16" s="23">
        <f t="shared" si="3"/>
        <v>645555.61658000015</v>
      </c>
      <c r="J16" s="23">
        <f t="shared" si="3"/>
        <v>747676.89797999989</v>
      </c>
      <c r="K16" s="23">
        <f t="shared" si="3"/>
        <v>669984.45390000008</v>
      </c>
      <c r="L16" s="23">
        <f t="shared" si="3"/>
        <v>1066622.5638000001</v>
      </c>
      <c r="M16" s="23">
        <f t="shared" si="3"/>
        <v>1622734.5350200003</v>
      </c>
      <c r="N16" s="23">
        <f t="shared" si="3"/>
        <v>5307231.977620001</v>
      </c>
      <c r="O16" s="23">
        <f t="shared" si="3"/>
        <v>7189775.7863699999</v>
      </c>
      <c r="P16" s="23">
        <f>SUM(D16:F16)</f>
        <v>16187445.788511576</v>
      </c>
      <c r="Q16" s="23">
        <f>SUM(G16:I16)</f>
        <v>4207958.5746319173</v>
      </c>
      <c r="R16" s="23">
        <f>SUM(J16:L16)</f>
        <v>2484283.9156800001</v>
      </c>
      <c r="S16" s="23">
        <f>SUM(M16:O16)</f>
        <v>14119742.299010001</v>
      </c>
      <c r="T16" s="23">
        <f>SUM(D16:O16)</f>
        <v>36999430.577833496</v>
      </c>
    </row>
    <row r="17" spans="1:20" x14ac:dyDescent="0.3">
      <c r="A17" s="16"/>
      <c r="B17" s="30" t="s">
        <v>37</v>
      </c>
      <c r="C17" s="16"/>
      <c r="D17" s="22">
        <f>D16/D9</f>
        <v>51.76355559507963</v>
      </c>
      <c r="E17" s="22">
        <f>E16/E9</f>
        <v>27.88692159570941</v>
      </c>
      <c r="F17" s="22">
        <f>F16/F9</f>
        <v>27.735735709824862</v>
      </c>
      <c r="G17" s="22">
        <f t="shared" ref="G17:O17" si="4">G16/G9</f>
        <v>17.049567775464631</v>
      </c>
      <c r="H17" s="22">
        <f t="shared" si="4"/>
        <v>6.6169502273617375</v>
      </c>
      <c r="I17" s="22">
        <f t="shared" si="4"/>
        <v>4.2891495962367712</v>
      </c>
      <c r="J17" s="22">
        <f t="shared" si="4"/>
        <v>4.9576422323009286</v>
      </c>
      <c r="K17" s="22">
        <f t="shared" si="4"/>
        <v>4.4434865193428799</v>
      </c>
      <c r="L17" s="22">
        <f t="shared" si="4"/>
        <v>7.0507447467576254</v>
      </c>
      <c r="M17" s="22">
        <f t="shared" si="4"/>
        <v>10.662206610072607</v>
      </c>
      <c r="N17" s="22">
        <f t="shared" si="4"/>
        <v>34.805172854988072</v>
      </c>
      <c r="O17" s="22">
        <f t="shared" si="4"/>
        <v>46.919932041439615</v>
      </c>
      <c r="P17" s="22">
        <f>P16/P9</f>
        <v>35.799943800283913</v>
      </c>
      <c r="Q17" s="22">
        <f>Q16/Q9</f>
        <v>9.3172698328984289</v>
      </c>
      <c r="R17" s="22">
        <f>R16/R9</f>
        <v>5.4856447008633831</v>
      </c>
      <c r="S17" s="22">
        <f>S16/S9</f>
        <v>30.834921620675502</v>
      </c>
      <c r="T17" s="22">
        <f>T16/T9</f>
        <v>20.390102039060043</v>
      </c>
    </row>
    <row r="18" spans="1:20" x14ac:dyDescent="0.3">
      <c r="A18" s="16">
        <v>7</v>
      </c>
      <c r="B18" s="8" t="s">
        <v>38</v>
      </c>
      <c r="C18" s="16" t="str">
        <f>"("&amp;A$11&amp;") - ("&amp;A16&amp;")"</f>
        <v>(3) - (6)</v>
      </c>
      <c r="D18" s="23">
        <f t="shared" ref="D18:O18" si="5">D11-D16</f>
        <v>-546799.86133076157</v>
      </c>
      <c r="E18" s="23">
        <f t="shared" si="5"/>
        <v>1838231.0676796902</v>
      </c>
      <c r="F18" s="23">
        <f t="shared" si="5"/>
        <v>975740.09899805766</v>
      </c>
      <c r="G18" s="23">
        <f t="shared" si="5"/>
        <v>751371.92371156206</v>
      </c>
      <c r="H18" s="23">
        <f t="shared" si="5"/>
        <v>853242.9883926895</v>
      </c>
      <c r="I18" s="23">
        <f t="shared" si="5"/>
        <v>571892.74789587758</v>
      </c>
      <c r="J18" s="23">
        <f t="shared" si="5"/>
        <v>139605.82706969744</v>
      </c>
      <c r="K18" s="23">
        <f t="shared" si="5"/>
        <v>134493.42318106047</v>
      </c>
      <c r="L18" s="23">
        <f t="shared" si="5"/>
        <v>-12893.127995330608</v>
      </c>
      <c r="M18" s="23">
        <f t="shared" si="5"/>
        <v>904020.10311629856</v>
      </c>
      <c r="N18" s="23">
        <f t="shared" si="5"/>
        <v>-253413.23013503291</v>
      </c>
      <c r="O18" s="23">
        <f t="shared" si="5"/>
        <v>90144.759788152762</v>
      </c>
      <c r="P18" s="23">
        <f>SUM(D18:F18)</f>
        <v>2267171.3053469863</v>
      </c>
      <c r="Q18" s="23">
        <f>SUM(G18:I18)</f>
        <v>2176507.6600001291</v>
      </c>
      <c r="R18" s="23">
        <f>SUM(J18:L18)</f>
        <v>261206.1222554273</v>
      </c>
      <c r="S18" s="23">
        <f>SUM(M18:O18)</f>
        <v>740751.63276941841</v>
      </c>
      <c r="T18" s="23">
        <f t="shared" ref="T18:T21" si="6">SUM(D18:O18)</f>
        <v>5445636.7203719607</v>
      </c>
    </row>
    <row r="19" spans="1:20" x14ac:dyDescent="0.3">
      <c r="A19" s="16">
        <v>8</v>
      </c>
      <c r="B19" s="8" t="s">
        <v>39</v>
      </c>
      <c r="C19" s="16" t="s">
        <v>40</v>
      </c>
      <c r="D19" s="23">
        <f>D18*-0.044797</f>
        <v>24494.993388034123</v>
      </c>
      <c r="E19" s="23">
        <f t="shared" ref="E19:O19" si="7">E18*-0.044797</f>
        <v>-82347.237138847078</v>
      </c>
      <c r="F19" s="23">
        <f t="shared" si="7"/>
        <v>-43710.229214815983</v>
      </c>
      <c r="G19" s="23">
        <f t="shared" si="7"/>
        <v>-33659.208066506842</v>
      </c>
      <c r="H19" s="23">
        <f t="shared" si="7"/>
        <v>-38222.726151027309</v>
      </c>
      <c r="I19" s="23">
        <f t="shared" si="7"/>
        <v>-25619.079427491626</v>
      </c>
      <c r="J19" s="23">
        <f t="shared" si="7"/>
        <v>-6253.9222352412353</v>
      </c>
      <c r="K19" s="23">
        <f t="shared" si="7"/>
        <v>-6024.9018782419653</v>
      </c>
      <c r="L19" s="23">
        <f t="shared" si="7"/>
        <v>577.57345480682523</v>
      </c>
      <c r="M19" s="23">
        <f t="shared" si="7"/>
        <v>-40497.388559300824</v>
      </c>
      <c r="N19" s="23">
        <f t="shared" si="7"/>
        <v>11352.152470359068</v>
      </c>
      <c r="O19" s="23">
        <f t="shared" si="7"/>
        <v>-4038.2148042298791</v>
      </c>
      <c r="P19" s="23">
        <f>SUM(D19:F19)</f>
        <v>-101562.47296562893</v>
      </c>
      <c r="Q19" s="23">
        <f>SUM(G19:I19)</f>
        <v>-97501.013645025771</v>
      </c>
      <c r="R19" s="23">
        <f>SUM(J19:L19)</f>
        <v>-11701.250658676376</v>
      </c>
      <c r="S19" s="23">
        <f>SUM(M19:O19)</f>
        <v>-33183.450893171634</v>
      </c>
      <c r="T19" s="23">
        <f t="shared" si="6"/>
        <v>-243948.18816250275</v>
      </c>
    </row>
    <row r="20" spans="1:20" x14ac:dyDescent="0.3">
      <c r="A20" s="16"/>
      <c r="B20" s="8"/>
      <c r="C20" s="31" t="s">
        <v>41</v>
      </c>
      <c r="D20" s="32">
        <v>3.2500000000000001E-2</v>
      </c>
      <c r="E20" s="32">
        <f>D20</f>
        <v>3.2500000000000001E-2</v>
      </c>
      <c r="F20" s="32">
        <f>E20</f>
        <v>3.2500000000000001E-2</v>
      </c>
      <c r="G20" s="32">
        <f>F20</f>
        <v>3.2500000000000001E-2</v>
      </c>
      <c r="H20" s="32">
        <f>G20</f>
        <v>3.2500000000000001E-2</v>
      </c>
      <c r="I20" s="32">
        <f t="shared" ref="I20:O20" si="8">H20</f>
        <v>3.2500000000000001E-2</v>
      </c>
      <c r="J20" s="32">
        <f t="shared" si="8"/>
        <v>3.2500000000000001E-2</v>
      </c>
      <c r="K20" s="32">
        <f t="shared" si="8"/>
        <v>3.2500000000000001E-2</v>
      </c>
      <c r="L20" s="32">
        <f t="shared" si="8"/>
        <v>3.2500000000000001E-2</v>
      </c>
      <c r="M20" s="32">
        <f>L20</f>
        <v>3.2500000000000001E-2</v>
      </c>
      <c r="N20" s="32">
        <f t="shared" si="8"/>
        <v>3.2500000000000001E-2</v>
      </c>
      <c r="O20" s="32">
        <f t="shared" si="8"/>
        <v>3.2500000000000001E-2</v>
      </c>
      <c r="P20" s="32"/>
      <c r="Q20" s="32"/>
      <c r="R20" s="32"/>
      <c r="S20" s="32"/>
      <c r="T20" s="32"/>
    </row>
    <row r="21" spans="1:20" x14ac:dyDescent="0.3">
      <c r="A21" s="16">
        <v>9</v>
      </c>
      <c r="B21" s="8" t="s">
        <v>42</v>
      </c>
      <c r="C21" s="16" t="s">
        <v>43</v>
      </c>
      <c r="D21" s="33">
        <f>(D18+D19)/2*D20/12</f>
        <v>-707.28784200577684</v>
      </c>
      <c r="E21" s="33">
        <f>(D24+(E18+E19)/2)*E20/12</f>
        <v>961.2680986070726</v>
      </c>
      <c r="F21" s="33">
        <f>(E24+(F18+F19)/2)*F20/12</f>
        <v>4603.7546688963312</v>
      </c>
      <c r="G21" s="33">
        <f t="shared" ref="G21:O21" si="9">(F24+(G18+G19)/2)*G20/12</f>
        <v>6850.2495888920785</v>
      </c>
      <c r="H21" s="33">
        <f t="shared" si="9"/>
        <v>8944.3782557502582</v>
      </c>
      <c r="I21" s="33">
        <f t="shared" si="9"/>
        <v>10812.021478029439</v>
      </c>
      <c r="J21" s="33">
        <f t="shared" si="9"/>
        <v>11761.630333380033</v>
      </c>
      <c r="K21" s="33">
        <f t="shared" si="9"/>
        <v>12148.03324259383</v>
      </c>
      <c r="L21" s="33">
        <f t="shared" si="9"/>
        <v>12338.224641783127</v>
      </c>
      <c r="M21" s="33">
        <f t="shared" si="9"/>
        <v>13524.317029376929</v>
      </c>
      <c r="N21" s="33">
        <f t="shared" si="9"/>
        <v>14402.508021289848</v>
      </c>
      <c r="O21" s="33">
        <f t="shared" si="9"/>
        <v>14230.326384175658</v>
      </c>
      <c r="P21" s="23">
        <f>SUM(D21:F21)</f>
        <v>4857.734925497627</v>
      </c>
      <c r="Q21" s="23">
        <f>SUM(G21:I21)</f>
        <v>26606.649322671776</v>
      </c>
      <c r="R21" s="23">
        <f>SUM(J21:L21)</f>
        <v>36247.88821775699</v>
      </c>
      <c r="S21" s="23">
        <f>SUM(M21:O21)</f>
        <v>42157.151434842432</v>
      </c>
      <c r="T21" s="33">
        <f t="shared" si="6"/>
        <v>109869.42390076882</v>
      </c>
    </row>
    <row r="22" spans="1:20" x14ac:dyDescent="0.3">
      <c r="A22" s="16"/>
      <c r="B22" s="34" t="s">
        <v>44</v>
      </c>
      <c r="C22" s="31"/>
      <c r="D22" s="35">
        <f>D18+D19+D21</f>
        <v>-523012.15578473324</v>
      </c>
      <c r="E22" s="35">
        <f t="shared" ref="E22:T22" si="10">E18+E19+E21</f>
        <v>1756845.09863945</v>
      </c>
      <c r="F22" s="35">
        <f t="shared" si="10"/>
        <v>936633.62445213797</v>
      </c>
      <c r="G22" s="35">
        <f t="shared" si="10"/>
        <v>724562.96523394727</v>
      </c>
      <c r="H22" s="35">
        <f t="shared" si="10"/>
        <v>823964.64049741253</v>
      </c>
      <c r="I22" s="35">
        <f t="shared" si="10"/>
        <v>557085.68994641537</v>
      </c>
      <c r="J22" s="35">
        <f t="shared" si="10"/>
        <v>145113.53516783623</v>
      </c>
      <c r="K22" s="35">
        <f t="shared" si="10"/>
        <v>140616.55454541233</v>
      </c>
      <c r="L22" s="35">
        <f t="shared" si="10"/>
        <v>22.670101259343937</v>
      </c>
      <c r="M22" s="35">
        <f t="shared" si="10"/>
        <v>877047.03158637474</v>
      </c>
      <c r="N22" s="35">
        <f t="shared" si="10"/>
        <v>-227658.56964338399</v>
      </c>
      <c r="O22" s="35">
        <f t="shared" si="10"/>
        <v>100336.87136809854</v>
      </c>
      <c r="P22" s="35">
        <f>P18+P19+P21</f>
        <v>2170466.5673068552</v>
      </c>
      <c r="Q22" s="35">
        <f>Q18+Q19+Q21</f>
        <v>2105613.2956777751</v>
      </c>
      <c r="R22" s="35">
        <f>R18+R19+R21</f>
        <v>285752.75981450791</v>
      </c>
      <c r="S22" s="35">
        <f>S18+S19+S21</f>
        <v>749725.3333110892</v>
      </c>
      <c r="T22" s="35">
        <f t="shared" si="10"/>
        <v>5311557.9561102269</v>
      </c>
    </row>
    <row r="23" spans="1:20" x14ac:dyDescent="0.3">
      <c r="A23" s="16"/>
      <c r="B23" s="36" t="s">
        <v>45</v>
      </c>
      <c r="C23" s="1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7"/>
    </row>
    <row r="24" spans="1:20" x14ac:dyDescent="0.3">
      <c r="A24" s="16">
        <v>10</v>
      </c>
      <c r="B24" s="36"/>
      <c r="C24" s="16" t="str">
        <f>"Σ(("&amp;A$18&amp;") ~ ("&amp;A21&amp;"))"</f>
        <v>Σ((7) ~ (9))</v>
      </c>
      <c r="D24" s="23">
        <f>D18+D19+D21</f>
        <v>-523012.15578473324</v>
      </c>
      <c r="E24" s="23">
        <f>D24+E18+E19+E21</f>
        <v>1233832.9428547169</v>
      </c>
      <c r="F24" s="23">
        <f t="shared" ref="F24:N24" si="11">E24+F18+F19+F21</f>
        <v>2170466.5673068552</v>
      </c>
      <c r="G24" s="23">
        <f t="shared" si="11"/>
        <v>2895029.5325408024</v>
      </c>
      <c r="H24" s="23">
        <f t="shared" si="11"/>
        <v>3718994.1730382149</v>
      </c>
      <c r="I24" s="23">
        <f t="shared" si="11"/>
        <v>4276079.8629846303</v>
      </c>
      <c r="J24" s="23">
        <f t="shared" si="11"/>
        <v>4421193.3981524659</v>
      </c>
      <c r="K24" s="23">
        <f t="shared" si="11"/>
        <v>4561809.9526978778</v>
      </c>
      <c r="L24" s="23">
        <f t="shared" si="11"/>
        <v>4561832.6227991367</v>
      </c>
      <c r="M24" s="23">
        <f t="shared" si="11"/>
        <v>5438879.6543855118</v>
      </c>
      <c r="N24" s="23">
        <f t="shared" si="11"/>
        <v>5211221.084742127</v>
      </c>
      <c r="O24" s="37">
        <f>N24+O18+O19+O21</f>
        <v>5311557.9561102251</v>
      </c>
      <c r="P24" s="37"/>
      <c r="Q24" s="37"/>
      <c r="R24" s="37"/>
      <c r="S24" s="37"/>
      <c r="T24" s="7"/>
    </row>
    <row r="25" spans="1:20" x14ac:dyDescent="0.3">
      <c r="A25" s="16"/>
      <c r="B25" s="36"/>
      <c r="C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7"/>
    </row>
    <row r="26" spans="1:20" x14ac:dyDescent="0.3">
      <c r="A26" s="16"/>
      <c r="B26" s="8"/>
      <c r="C26" s="16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7"/>
    </row>
    <row r="27" spans="1:20" x14ac:dyDescent="0.3">
      <c r="A27" s="16"/>
      <c r="B27" s="8"/>
      <c r="C27" s="16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7"/>
    </row>
    <row r="28" spans="1:20" x14ac:dyDescent="0.3">
      <c r="A28" s="16"/>
      <c r="B28" s="9" t="s">
        <v>46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7"/>
    </row>
    <row r="29" spans="1:20" x14ac:dyDescent="0.3">
      <c r="A29" s="16">
        <v>11</v>
      </c>
      <c r="B29" s="8" t="s">
        <v>28</v>
      </c>
      <c r="C29" s="16" t="s">
        <v>29</v>
      </c>
      <c r="D29" s="18">
        <v>2622</v>
      </c>
      <c r="E29" s="18">
        <v>2634</v>
      </c>
      <c r="F29" s="18">
        <v>2688</v>
      </c>
      <c r="G29" s="18">
        <v>2640</v>
      </c>
      <c r="H29" s="19">
        <v>2654</v>
      </c>
      <c r="I29" s="19">
        <v>2647</v>
      </c>
      <c r="J29" s="19">
        <v>2647</v>
      </c>
      <c r="K29" s="19">
        <v>2642</v>
      </c>
      <c r="L29" s="19">
        <v>2653</v>
      </c>
      <c r="M29" s="19">
        <v>2650</v>
      </c>
      <c r="N29" s="19">
        <v>2644</v>
      </c>
      <c r="O29" s="19">
        <v>2687</v>
      </c>
      <c r="P29" s="17">
        <f>SUM(D29:F29)</f>
        <v>7944</v>
      </c>
      <c r="Q29" s="17">
        <f>SUM(G29:I29)</f>
        <v>7941</v>
      </c>
      <c r="R29" s="17">
        <f>SUM(J29:L29)</f>
        <v>7942</v>
      </c>
      <c r="S29" s="17">
        <f>SUM(M29:O29)</f>
        <v>7981</v>
      </c>
      <c r="T29" s="17">
        <f>SUM(D29:O29)</f>
        <v>31808</v>
      </c>
    </row>
    <row r="30" spans="1:20" x14ac:dyDescent="0.3">
      <c r="A30" s="20">
        <v>12</v>
      </c>
      <c r="B30" s="21" t="s">
        <v>30</v>
      </c>
      <c r="C30" s="16" t="s">
        <v>31</v>
      </c>
      <c r="D30" s="38">
        <v>642.23525919067015</v>
      </c>
      <c r="E30" s="38">
        <v>547.49948301856114</v>
      </c>
      <c r="F30" s="38">
        <v>491.15466582936881</v>
      </c>
      <c r="G30" s="38">
        <v>334.58697461438828</v>
      </c>
      <c r="H30" s="38">
        <v>208.08129936813936</v>
      </c>
      <c r="I30" s="38">
        <v>166.52662349562945</v>
      </c>
      <c r="J30" s="38">
        <v>142.14700255957811</v>
      </c>
      <c r="K30" s="38">
        <v>156.16362568722522</v>
      </c>
      <c r="L30" s="38">
        <v>211.98631991522504</v>
      </c>
      <c r="M30" s="38">
        <v>390.54187068635031</v>
      </c>
      <c r="N30" s="38">
        <v>557.50859652134125</v>
      </c>
      <c r="O30" s="38">
        <v>660.89827911352268</v>
      </c>
      <c r="P30" s="22">
        <f>P31/P29</f>
        <v>559.70269758536904</v>
      </c>
      <c r="Q30" s="22">
        <f>Q31/Q29</f>
        <v>236.28678427124518</v>
      </c>
      <c r="R30" s="22">
        <f>R31/R29</f>
        <v>170.13940085317859</v>
      </c>
      <c r="S30" s="22">
        <f>S31/S29</f>
        <v>536.87788027807164</v>
      </c>
      <c r="T30" s="22">
        <f>T31/T29</f>
        <v>375.96519955958769</v>
      </c>
    </row>
    <row r="31" spans="1:20" x14ac:dyDescent="0.3">
      <c r="A31" s="16">
        <v>13</v>
      </c>
      <c r="B31" s="8" t="s">
        <v>32</v>
      </c>
      <c r="C31" s="16" t="str">
        <f>"("&amp;A29&amp;") x ("&amp;A30&amp;")"</f>
        <v>(11) x (12)</v>
      </c>
      <c r="D31" s="23">
        <f t="shared" ref="D31:O31" si="12">D29*D30</f>
        <v>1683940.8495979372</v>
      </c>
      <c r="E31" s="23">
        <f t="shared" si="12"/>
        <v>1442113.6382708901</v>
      </c>
      <c r="F31" s="23">
        <f t="shared" si="12"/>
        <v>1320223.7417493435</v>
      </c>
      <c r="G31" s="23">
        <f t="shared" si="12"/>
        <v>883309.61298198509</v>
      </c>
      <c r="H31" s="23">
        <f t="shared" si="12"/>
        <v>552247.76852304186</v>
      </c>
      <c r="I31" s="23">
        <f t="shared" si="12"/>
        <v>440795.97239293117</v>
      </c>
      <c r="J31" s="23">
        <f t="shared" si="12"/>
        <v>376263.11577520327</v>
      </c>
      <c r="K31" s="23">
        <f t="shared" si="12"/>
        <v>412584.29906564904</v>
      </c>
      <c r="L31" s="23">
        <f t="shared" si="12"/>
        <v>562399.70673509198</v>
      </c>
      <c r="M31" s="23">
        <f t="shared" si="12"/>
        <v>1034935.9573188283</v>
      </c>
      <c r="N31" s="23">
        <f t="shared" si="12"/>
        <v>1474052.7292024263</v>
      </c>
      <c r="O31" s="23">
        <f t="shared" si="12"/>
        <v>1775833.6759780354</v>
      </c>
      <c r="P31" s="23">
        <f>SUM(D31:F31)</f>
        <v>4446278.2296181712</v>
      </c>
      <c r="Q31" s="23">
        <f>SUM(G31:I31)</f>
        <v>1876353.3538979581</v>
      </c>
      <c r="R31" s="23">
        <f>SUM(J31:L31)</f>
        <v>1351247.1215759444</v>
      </c>
      <c r="S31" s="23">
        <f>SUM(M31:O31)</f>
        <v>4284822.3624992901</v>
      </c>
      <c r="T31" s="23">
        <f>SUM(D31:O31)</f>
        <v>11958701.067591365</v>
      </c>
    </row>
    <row r="32" spans="1:20" x14ac:dyDescent="0.3">
      <c r="A32" s="16"/>
      <c r="B32" s="8"/>
      <c r="C32" s="16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x14ac:dyDescent="0.3">
      <c r="A33" s="16"/>
      <c r="B33" s="8" t="s">
        <v>33</v>
      </c>
      <c r="C33" s="16" t="s">
        <v>29</v>
      </c>
      <c r="D33" s="25">
        <v>6976301.3523000004</v>
      </c>
      <c r="E33" s="25">
        <v>6062129</v>
      </c>
      <c r="F33" s="25">
        <v>4366524</v>
      </c>
      <c r="G33" s="25">
        <v>3881255.713</v>
      </c>
      <c r="H33" s="25">
        <v>2151394</v>
      </c>
      <c r="I33" s="25">
        <v>1884766</v>
      </c>
      <c r="J33" s="25">
        <v>1570309</v>
      </c>
      <c r="K33" s="25">
        <v>1559112</v>
      </c>
      <c r="L33" s="25">
        <v>2190921</v>
      </c>
      <c r="M33" s="25">
        <v>2990095</v>
      </c>
      <c r="N33" s="25">
        <v>6044897</v>
      </c>
      <c r="O33" s="25">
        <v>6497733</v>
      </c>
      <c r="P33" s="24"/>
      <c r="Q33" s="24"/>
      <c r="R33" s="24"/>
      <c r="S33" s="24"/>
      <c r="T33" s="24"/>
    </row>
    <row r="34" spans="1:20" x14ac:dyDescent="0.3">
      <c r="A34" s="16">
        <v>14</v>
      </c>
      <c r="B34" s="26" t="s">
        <v>34</v>
      </c>
      <c r="C34" s="16" t="s">
        <v>29</v>
      </c>
      <c r="D34" s="28">
        <v>1739453.4398748712</v>
      </c>
      <c r="E34" s="28">
        <v>1533381.22603</v>
      </c>
      <c r="F34" s="28">
        <v>1343015.4651600004</v>
      </c>
      <c r="G34" s="28">
        <v>1101125.7798617501</v>
      </c>
      <c r="H34" s="29">
        <v>700532.59237999981</v>
      </c>
      <c r="I34" s="29">
        <v>616648.19738000014</v>
      </c>
      <c r="J34" s="29">
        <v>549118.65526999999</v>
      </c>
      <c r="K34" s="29">
        <v>547598.22138999996</v>
      </c>
      <c r="L34" s="29">
        <v>686636.99804000009</v>
      </c>
      <c r="M34" s="29">
        <v>862125.90353000001</v>
      </c>
      <c r="N34" s="29">
        <v>1566029.1900700005</v>
      </c>
      <c r="O34" s="29">
        <v>1733268.2038799999</v>
      </c>
      <c r="P34" s="27"/>
      <c r="Q34" s="27"/>
      <c r="R34" s="27"/>
      <c r="S34" s="27"/>
      <c r="T34" s="17"/>
    </row>
    <row r="35" spans="1:20" x14ac:dyDescent="0.3">
      <c r="A35" s="16">
        <v>15</v>
      </c>
      <c r="B35" s="8" t="s">
        <v>35</v>
      </c>
      <c r="C35" s="16" t="s">
        <v>29</v>
      </c>
      <c r="D35" s="28">
        <v>231552.08000000002</v>
      </c>
      <c r="E35" s="28">
        <v>232468.36000000002</v>
      </c>
      <c r="F35" s="28">
        <v>237296.72</v>
      </c>
      <c r="G35" s="28">
        <v>233118.80000000002</v>
      </c>
      <c r="H35" s="29">
        <v>234209.16</v>
      </c>
      <c r="I35" s="29">
        <v>233599.88</v>
      </c>
      <c r="J35" s="29">
        <v>234359.71</v>
      </c>
      <c r="K35" s="29">
        <v>233812</v>
      </c>
      <c r="L35" s="29">
        <v>235201.2</v>
      </c>
      <c r="M35" s="29">
        <v>235529.44</v>
      </c>
      <c r="N35" s="29">
        <v>234163.62</v>
      </c>
      <c r="O35" s="29">
        <v>237838.19000000003</v>
      </c>
      <c r="P35" s="27"/>
      <c r="Q35" s="27"/>
      <c r="R35" s="27"/>
      <c r="S35" s="27"/>
      <c r="T35" s="22"/>
    </row>
    <row r="36" spans="1:20" x14ac:dyDescent="0.3">
      <c r="A36" s="16">
        <v>16</v>
      </c>
      <c r="B36" s="8" t="s">
        <v>36</v>
      </c>
      <c r="C36" s="16" t="str">
        <f>"("&amp;A34&amp;") - ("&amp;A35&amp;")"</f>
        <v>(14) - (15)</v>
      </c>
      <c r="D36" s="23">
        <f t="shared" ref="D36:O36" si="13">D34-D35</f>
        <v>1507901.3598748711</v>
      </c>
      <c r="E36" s="23">
        <f t="shared" si="13"/>
        <v>1300912.8660299999</v>
      </c>
      <c r="F36" s="23">
        <f t="shared" si="13"/>
        <v>1105718.7451600004</v>
      </c>
      <c r="G36" s="23">
        <f t="shared" si="13"/>
        <v>868006.97986175003</v>
      </c>
      <c r="H36" s="23">
        <f t="shared" si="13"/>
        <v>466323.43237999978</v>
      </c>
      <c r="I36" s="23">
        <f t="shared" si="13"/>
        <v>383048.31738000014</v>
      </c>
      <c r="J36" s="23">
        <f t="shared" si="13"/>
        <v>314758.94527000003</v>
      </c>
      <c r="K36" s="23">
        <f t="shared" si="13"/>
        <v>313786.22138999996</v>
      </c>
      <c r="L36" s="23">
        <f t="shared" si="13"/>
        <v>451435.79804000008</v>
      </c>
      <c r="M36" s="23">
        <f t="shared" si="13"/>
        <v>626596.46353000007</v>
      </c>
      <c r="N36" s="23">
        <f t="shared" si="13"/>
        <v>1331865.5700700004</v>
      </c>
      <c r="O36" s="23">
        <f t="shared" si="13"/>
        <v>1495430.01388</v>
      </c>
      <c r="P36" s="23">
        <f>SUM(D36:F36)</f>
        <v>3914532.9710648712</v>
      </c>
      <c r="Q36" s="23">
        <f>SUM(G36:I36)</f>
        <v>1717378.7296217501</v>
      </c>
      <c r="R36" s="23">
        <f>SUM(J36:L36)</f>
        <v>1079980.9647000001</v>
      </c>
      <c r="S36" s="23">
        <f>SUM(M36:O36)</f>
        <v>3453892.0474800002</v>
      </c>
      <c r="T36" s="23">
        <f>SUM(D36:O36)</f>
        <v>10165784.712866621</v>
      </c>
    </row>
    <row r="37" spans="1:20" x14ac:dyDescent="0.3">
      <c r="A37" s="16"/>
      <c r="B37" s="30" t="s">
        <v>47</v>
      </c>
      <c r="C37" s="16"/>
      <c r="D37" s="38">
        <f>D36/D29</f>
        <v>575.09586570361216</v>
      </c>
      <c r="E37" s="38">
        <f>E36/E29</f>
        <v>493.89250798405465</v>
      </c>
      <c r="F37" s="38">
        <f>F36/F29</f>
        <v>411.35369983630966</v>
      </c>
      <c r="G37" s="38">
        <f t="shared" ref="G37:O37" si="14">G36/G29</f>
        <v>328.79052267490533</v>
      </c>
      <c r="H37" s="38">
        <f t="shared" si="14"/>
        <v>175.70589012057263</v>
      </c>
      <c r="I37" s="38">
        <f t="shared" si="14"/>
        <v>144.71035790706466</v>
      </c>
      <c r="J37" s="38">
        <f t="shared" si="14"/>
        <v>118.91157735927466</v>
      </c>
      <c r="K37" s="38">
        <f t="shared" si="14"/>
        <v>118.76844110143828</v>
      </c>
      <c r="L37" s="38">
        <f t="shared" si="14"/>
        <v>170.1604968111572</v>
      </c>
      <c r="M37" s="38">
        <f t="shared" si="14"/>
        <v>236.45149567169813</v>
      </c>
      <c r="N37" s="38">
        <f t="shared" si="14"/>
        <v>503.73130486762494</v>
      </c>
      <c r="O37" s="38">
        <f t="shared" si="14"/>
        <v>556.54261774469671</v>
      </c>
      <c r="P37" s="22">
        <f>P36/P29</f>
        <v>492.7659832659707</v>
      </c>
      <c r="Q37" s="22">
        <f>Q36/Q29</f>
        <v>216.26731263339002</v>
      </c>
      <c r="R37" s="22">
        <f>R36/R29</f>
        <v>135.9835009695291</v>
      </c>
      <c r="S37" s="22">
        <f>S36/S29</f>
        <v>432.76432119784488</v>
      </c>
      <c r="T37" s="38">
        <f>T36/T29</f>
        <v>319.59836245179264</v>
      </c>
    </row>
    <row r="38" spans="1:20" x14ac:dyDescent="0.3">
      <c r="A38" s="16">
        <v>17</v>
      </c>
      <c r="B38" s="8" t="s">
        <v>38</v>
      </c>
      <c r="C38" s="16" t="str">
        <f>"("&amp;A31&amp;") - ("&amp;A36&amp;")"</f>
        <v>(13) - (16)</v>
      </c>
      <c r="D38" s="23">
        <f t="shared" ref="D38:O38" si="15">D31-D36</f>
        <v>176039.4897230661</v>
      </c>
      <c r="E38" s="23">
        <f t="shared" si="15"/>
        <v>141200.77224089019</v>
      </c>
      <c r="F38" s="23">
        <f t="shared" si="15"/>
        <v>214504.99658934306</v>
      </c>
      <c r="G38" s="23">
        <f t="shared" si="15"/>
        <v>15302.633120235056</v>
      </c>
      <c r="H38" s="23">
        <f t="shared" si="15"/>
        <v>85924.336143042077</v>
      </c>
      <c r="I38" s="23">
        <f t="shared" si="15"/>
        <v>57747.655012931034</v>
      </c>
      <c r="J38" s="23">
        <f t="shared" si="15"/>
        <v>61504.170505203248</v>
      </c>
      <c r="K38" s="23">
        <f t="shared" si="15"/>
        <v>98798.077675649081</v>
      </c>
      <c r="L38" s="23">
        <f t="shared" si="15"/>
        <v>110963.9086950919</v>
      </c>
      <c r="M38" s="23">
        <f t="shared" si="15"/>
        <v>408339.49378882826</v>
      </c>
      <c r="N38" s="23">
        <f t="shared" si="15"/>
        <v>142187.15913242591</v>
      </c>
      <c r="O38" s="23">
        <f t="shared" si="15"/>
        <v>280403.66209803545</v>
      </c>
      <c r="P38" s="23">
        <f>SUM(D38:F38)</f>
        <v>531745.25855329935</v>
      </c>
      <c r="Q38" s="23">
        <f>SUM(G38:I38)</f>
        <v>158974.62427620817</v>
      </c>
      <c r="R38" s="23">
        <f>SUM(J38:L38)</f>
        <v>271266.15687594423</v>
      </c>
      <c r="S38" s="23">
        <f>SUM(M38:O38)</f>
        <v>830930.31501928961</v>
      </c>
      <c r="T38" s="23">
        <f t="shared" ref="T38:T41" si="16">SUM(D38:O38)</f>
        <v>1792916.3547247415</v>
      </c>
    </row>
    <row r="39" spans="1:20" x14ac:dyDescent="0.3">
      <c r="A39" s="16">
        <v>18</v>
      </c>
      <c r="B39" s="8" t="s">
        <v>39</v>
      </c>
      <c r="C39" s="16" t="s">
        <v>40</v>
      </c>
      <c r="D39" s="23">
        <f>D38*-0.044797</f>
        <v>-7886.0410211241915</v>
      </c>
      <c r="E39" s="23">
        <f t="shared" ref="E39:O39" si="17">E38*-0.044797</f>
        <v>-6325.3709940751578</v>
      </c>
      <c r="F39" s="23">
        <f t="shared" si="17"/>
        <v>-9609.1803322127998</v>
      </c>
      <c r="G39" s="23">
        <f t="shared" si="17"/>
        <v>-685.51205588716971</v>
      </c>
      <c r="H39" s="23">
        <f t="shared" si="17"/>
        <v>-3849.1524861998555</v>
      </c>
      <c r="I39" s="23">
        <f t="shared" si="17"/>
        <v>-2586.9217016142716</v>
      </c>
      <c r="J39" s="23">
        <f t="shared" si="17"/>
        <v>-2755.2023261215895</v>
      </c>
      <c r="K39" s="23">
        <f t="shared" si="17"/>
        <v>-4425.8574856360519</v>
      </c>
      <c r="L39" s="23">
        <f t="shared" si="17"/>
        <v>-4970.8502178140316</v>
      </c>
      <c r="M39" s="23">
        <f t="shared" si="17"/>
        <v>-18292.384303258139</v>
      </c>
      <c r="N39" s="23">
        <f t="shared" si="17"/>
        <v>-6369.5581676552829</v>
      </c>
      <c r="O39" s="23">
        <f t="shared" si="17"/>
        <v>-12561.242851005693</v>
      </c>
      <c r="P39" s="23">
        <f>SUM(D39:F39)</f>
        <v>-23820.592347412148</v>
      </c>
      <c r="Q39" s="23">
        <f>SUM(G39:I39)</f>
        <v>-7121.5862437012966</v>
      </c>
      <c r="R39" s="23">
        <f>SUM(J39:L39)</f>
        <v>-12151.910029571673</v>
      </c>
      <c r="S39" s="23">
        <f>SUM(M39:O39)</f>
        <v>-37223.185321919111</v>
      </c>
      <c r="T39" s="23">
        <f t="shared" si="16"/>
        <v>-80317.273942604239</v>
      </c>
    </row>
    <row r="40" spans="1:20" x14ac:dyDescent="0.3">
      <c r="A40" s="16"/>
      <c r="B40" s="8"/>
      <c r="C40" s="16" t="s">
        <v>41</v>
      </c>
      <c r="D40" s="32">
        <v>3.2500000000000001E-2</v>
      </c>
      <c r="E40" s="32">
        <f>D40</f>
        <v>3.2500000000000001E-2</v>
      </c>
      <c r="F40" s="32">
        <f>E40</f>
        <v>3.2500000000000001E-2</v>
      </c>
      <c r="G40" s="32">
        <f>F40</f>
        <v>3.2500000000000001E-2</v>
      </c>
      <c r="H40" s="32">
        <f>G40</f>
        <v>3.2500000000000001E-2</v>
      </c>
      <c r="I40" s="32">
        <f t="shared" ref="I40:O40" si="18">H40</f>
        <v>3.2500000000000001E-2</v>
      </c>
      <c r="J40" s="32">
        <f t="shared" si="18"/>
        <v>3.2500000000000001E-2</v>
      </c>
      <c r="K40" s="32">
        <f t="shared" si="18"/>
        <v>3.2500000000000001E-2</v>
      </c>
      <c r="L40" s="32">
        <f t="shared" si="18"/>
        <v>3.2500000000000001E-2</v>
      </c>
      <c r="M40" s="32">
        <f>L40</f>
        <v>3.2500000000000001E-2</v>
      </c>
      <c r="N40" s="32">
        <f t="shared" si="18"/>
        <v>3.2500000000000001E-2</v>
      </c>
      <c r="O40" s="32">
        <f t="shared" si="18"/>
        <v>3.2500000000000001E-2</v>
      </c>
      <c r="P40" s="32"/>
      <c r="Q40" s="32"/>
      <c r="R40" s="32"/>
      <c r="S40" s="32"/>
      <c r="T40" s="32"/>
    </row>
    <row r="41" spans="1:20" x14ac:dyDescent="0.3">
      <c r="A41" s="16">
        <v>19</v>
      </c>
      <c r="B41" s="8" t="s">
        <v>42</v>
      </c>
      <c r="C41" s="16" t="s">
        <v>43</v>
      </c>
      <c r="D41" s="33">
        <f>(D38+D39)/2*D40/12</f>
        <v>227.70779511721301</v>
      </c>
      <c r="E41" s="33">
        <f>(D44+(E38+E39)/2)*E40/12</f>
        <v>638.6760713679306</v>
      </c>
      <c r="F41" s="33">
        <f>(E44+(F38+F39)/2)*F40/12</f>
        <v>1100.5126760978112</v>
      </c>
      <c r="G41" s="33">
        <f t="shared" ref="G41:O41" si="19">(F44+(G38+G39)/2)*G40/12</f>
        <v>1400.7503338850777</v>
      </c>
      <c r="H41" s="33">
        <f t="shared" si="19"/>
        <v>1535.4815286826281</v>
      </c>
      <c r="I41" s="33">
        <f t="shared" si="19"/>
        <v>1725.4804287171921</v>
      </c>
      <c r="J41" s="33">
        <f t="shared" si="19"/>
        <v>1884.406325646549</v>
      </c>
      <c r="K41" s="33">
        <f t="shared" si="19"/>
        <v>2096.8615353616574</v>
      </c>
      <c r="L41" s="33">
        <f t="shared" si="19"/>
        <v>2373.8685168818852</v>
      </c>
      <c r="M41" s="33">
        <f t="shared" si="19"/>
        <v>3052.0188048981295</v>
      </c>
      <c r="N41" s="33">
        <f t="shared" si="19"/>
        <v>3772.3931512295658</v>
      </c>
      <c r="O41" s="33">
        <f t="shared" si="19"/>
        <v>4329.2329933842921</v>
      </c>
      <c r="P41" s="23">
        <f>SUM(D41:F41)</f>
        <v>1966.8965425829547</v>
      </c>
      <c r="Q41" s="23">
        <f>SUM(G41:I41)</f>
        <v>4661.7122912848981</v>
      </c>
      <c r="R41" s="23">
        <f>SUM(J41:L41)</f>
        <v>6355.1363778900923</v>
      </c>
      <c r="S41" s="23">
        <f>SUM(M41:O41)</f>
        <v>11153.644949511987</v>
      </c>
      <c r="T41" s="33">
        <f t="shared" si="16"/>
        <v>24137.39016126993</v>
      </c>
    </row>
    <row r="42" spans="1:20" x14ac:dyDescent="0.3">
      <c r="A42" s="16"/>
      <c r="B42" s="34" t="s">
        <v>48</v>
      </c>
      <c r="C42" s="16"/>
      <c r="D42" s="39">
        <f>D38+D39+D41</f>
        <v>168381.15649705913</v>
      </c>
      <c r="E42" s="39">
        <f t="shared" ref="E42:T42" si="20">E38+E39+E41</f>
        <v>135514.07731818297</v>
      </c>
      <c r="F42" s="39">
        <f t="shared" si="20"/>
        <v>205996.32893322807</v>
      </c>
      <c r="G42" s="39">
        <f t="shared" si="20"/>
        <v>16017.871398232965</v>
      </c>
      <c r="H42" s="39">
        <f t="shared" si="20"/>
        <v>83610.665185524849</v>
      </c>
      <c r="I42" s="39">
        <f t="shared" si="20"/>
        <v>56886.213740033956</v>
      </c>
      <c r="J42" s="39">
        <f t="shared" si="20"/>
        <v>60633.374504728214</v>
      </c>
      <c r="K42" s="39">
        <f t="shared" si="20"/>
        <v>96469.081725374694</v>
      </c>
      <c r="L42" s="39">
        <f t="shared" si="20"/>
        <v>108366.92699415976</v>
      </c>
      <c r="M42" s="39">
        <f t="shared" si="20"/>
        <v>393099.12829046824</v>
      </c>
      <c r="N42" s="39">
        <f t="shared" si="20"/>
        <v>139589.99411600019</v>
      </c>
      <c r="O42" s="39">
        <f t="shared" si="20"/>
        <v>272171.65224041406</v>
      </c>
      <c r="P42" s="35">
        <f>P38+P39+P41</f>
        <v>509891.56274847017</v>
      </c>
      <c r="Q42" s="35">
        <f>Q38+Q39+Q41</f>
        <v>156514.75032379178</v>
      </c>
      <c r="R42" s="35">
        <f>R38+R39+R41</f>
        <v>265469.38322426262</v>
      </c>
      <c r="S42" s="35">
        <f>S38+S39+S41</f>
        <v>804860.77464688243</v>
      </c>
      <c r="T42" s="39">
        <f t="shared" si="20"/>
        <v>1736736.4709434074</v>
      </c>
    </row>
    <row r="43" spans="1:20" x14ac:dyDescent="0.3">
      <c r="A43" s="16"/>
      <c r="B43" s="36" t="s">
        <v>49</v>
      </c>
      <c r="C43" s="16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7"/>
    </row>
    <row r="44" spans="1:20" x14ac:dyDescent="0.3">
      <c r="A44" s="16">
        <v>20</v>
      </c>
      <c r="B44" s="36"/>
      <c r="C44" s="16" t="str">
        <f>"Σ(("&amp;A38&amp;") ~ ("&amp;A41&amp;"))"</f>
        <v>Σ((17) ~ (19))</v>
      </c>
      <c r="D44" s="23">
        <f>D38+D39+D41</f>
        <v>168381.15649705913</v>
      </c>
      <c r="E44" s="23">
        <f>D44+E38+E39+E41</f>
        <v>303895.23381524213</v>
      </c>
      <c r="F44" s="23">
        <f t="shared" ref="F44:O44" si="21">E44+F38+F39+F41</f>
        <v>509891.56274847017</v>
      </c>
      <c r="G44" s="23">
        <f t="shared" si="21"/>
        <v>525909.4341467031</v>
      </c>
      <c r="H44" s="23">
        <f t="shared" si="21"/>
        <v>609520.09933222795</v>
      </c>
      <c r="I44" s="23">
        <f t="shared" si="21"/>
        <v>666406.31307226198</v>
      </c>
      <c r="J44" s="23">
        <f t="shared" si="21"/>
        <v>727039.68757699011</v>
      </c>
      <c r="K44" s="23">
        <f t="shared" si="21"/>
        <v>823508.76930236479</v>
      </c>
      <c r="L44" s="23">
        <f t="shared" si="21"/>
        <v>931875.69629652449</v>
      </c>
      <c r="M44" s="23">
        <f t="shared" si="21"/>
        <v>1324974.8245869929</v>
      </c>
      <c r="N44" s="23">
        <f t="shared" si="21"/>
        <v>1464564.818702993</v>
      </c>
      <c r="O44" s="37">
        <f t="shared" si="21"/>
        <v>1736736.4709434072</v>
      </c>
      <c r="P44" s="37"/>
      <c r="Q44" s="37"/>
      <c r="R44" s="37"/>
      <c r="S44" s="37"/>
      <c r="T44" s="7"/>
    </row>
    <row r="45" spans="1:20" x14ac:dyDescent="0.3">
      <c r="A45" s="16"/>
      <c r="B45" s="36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40"/>
      <c r="P45" s="40"/>
      <c r="Q45" s="40"/>
      <c r="R45" s="40"/>
      <c r="S45" s="40"/>
    </row>
    <row r="46" spans="1:20" x14ac:dyDescent="0.3">
      <c r="A46" s="16">
        <v>21</v>
      </c>
      <c r="B46" s="8" t="s">
        <v>50</v>
      </c>
      <c r="C46" s="16" t="str">
        <f>"("&amp;A24&amp;") + ("&amp;A44&amp;")"</f>
        <v>(10) + (20)</v>
      </c>
      <c r="D46" s="23">
        <f>D24+D44</f>
        <v>-354630.99928767409</v>
      </c>
      <c r="E46" s="23">
        <f t="shared" ref="E46:O46" si="22">E24+E44</f>
        <v>1537728.176669959</v>
      </c>
      <c r="F46" s="23">
        <f t="shared" si="22"/>
        <v>2680358.1300553256</v>
      </c>
      <c r="G46" s="23">
        <f t="shared" si="22"/>
        <v>3420938.9666875056</v>
      </c>
      <c r="H46" s="23">
        <f t="shared" si="22"/>
        <v>4328514.2723704427</v>
      </c>
      <c r="I46" s="23">
        <f t="shared" si="22"/>
        <v>4942486.1760568926</v>
      </c>
      <c r="J46" s="23">
        <f t="shared" si="22"/>
        <v>5148233.0857294556</v>
      </c>
      <c r="K46" s="23">
        <f t="shared" si="22"/>
        <v>5385318.7220002422</v>
      </c>
      <c r="L46" s="23">
        <f t="shared" si="22"/>
        <v>5493708.3190956609</v>
      </c>
      <c r="M46" s="23">
        <f t="shared" si="22"/>
        <v>6763854.4789725048</v>
      </c>
      <c r="N46" s="23">
        <f t="shared" si="22"/>
        <v>6675785.90344512</v>
      </c>
      <c r="O46" s="37">
        <f t="shared" si="22"/>
        <v>7048294.4270536322</v>
      </c>
      <c r="P46" s="37"/>
      <c r="Q46" s="37"/>
      <c r="R46" s="37"/>
      <c r="S46" s="37"/>
    </row>
  </sheetData>
  <mergeCells count="5">
    <mergeCell ref="A1:T1"/>
    <mergeCell ref="A2:T2"/>
    <mergeCell ref="A3:T3"/>
    <mergeCell ref="B23:B25"/>
    <mergeCell ref="B43:B45"/>
  </mergeCells>
  <printOptions horizontalCentered="1"/>
  <pageMargins left="0.45" right="0.45" top="0.75" bottom="0.75" header="0.3" footer="0.55000000000000004"/>
  <pageSetup scale="60" orientation="landscape" r:id="rId1"/>
  <headerFooter scaleWithDoc="0">
    <oddFooter>&amp;CATTACHMENT B&amp;RPage &amp;P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8"/>
  <sheetViews>
    <sheetView tabSelected="1" topLeftCell="A12" workbookViewId="0">
      <selection activeCell="D34" sqref="D34:F35"/>
    </sheetView>
  </sheetViews>
  <sheetFormatPr defaultRowHeight="14.4" x14ac:dyDescent="0.3"/>
  <cols>
    <col min="1" max="1" width="4.5546875" customWidth="1"/>
    <col min="2" max="2" width="41.33203125" customWidth="1"/>
    <col min="3" max="3" width="19.44140625" customWidth="1"/>
    <col min="4" max="4" width="16.88671875" customWidth="1"/>
    <col min="5" max="5" width="19.44140625" customWidth="1"/>
    <col min="6" max="6" width="18.109375" customWidth="1"/>
    <col min="7" max="7" width="16.44140625" customWidth="1"/>
    <col min="8" max="9" width="17.33203125" customWidth="1"/>
    <col min="11" max="11" width="12.88671875" customWidth="1"/>
    <col min="12" max="12" width="11.6640625" customWidth="1"/>
    <col min="13" max="13" width="13.109375" customWidth="1"/>
  </cols>
  <sheetData>
    <row r="1" spans="1:13" ht="15.6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3" ht="15.6" x14ac:dyDescent="0.3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13" ht="15.6" x14ac:dyDescent="0.3">
      <c r="A3" s="42" t="s">
        <v>51</v>
      </c>
      <c r="B3" s="42"/>
      <c r="C3" s="42"/>
      <c r="D3" s="42"/>
      <c r="E3" s="42"/>
      <c r="F3" s="42"/>
      <c r="G3" s="42"/>
      <c r="H3" s="42"/>
      <c r="I3" s="42"/>
    </row>
    <row r="4" spans="1:13" ht="15.6" x14ac:dyDescent="0.3">
      <c r="A4" s="43"/>
      <c r="B4" s="43"/>
      <c r="C4" s="43"/>
      <c r="D4" s="43"/>
      <c r="E4" s="43"/>
      <c r="F4" s="43"/>
      <c r="G4" s="43"/>
      <c r="H4" s="43"/>
      <c r="I4" s="44"/>
    </row>
    <row r="5" spans="1:13" ht="15.6" x14ac:dyDescent="0.3">
      <c r="A5" s="43"/>
      <c r="B5" s="43"/>
      <c r="C5" s="45" t="s">
        <v>52</v>
      </c>
      <c r="D5" s="45" t="s">
        <v>53</v>
      </c>
      <c r="E5" s="45" t="s">
        <v>54</v>
      </c>
      <c r="F5" s="45" t="s">
        <v>55</v>
      </c>
      <c r="G5" s="45" t="s">
        <v>56</v>
      </c>
      <c r="H5" s="45" t="s">
        <v>57</v>
      </c>
      <c r="I5" s="45" t="s">
        <v>57</v>
      </c>
      <c r="K5" s="45" t="s">
        <v>58</v>
      </c>
      <c r="L5" s="45" t="s">
        <v>58</v>
      </c>
      <c r="M5" s="45" t="s">
        <v>58</v>
      </c>
    </row>
    <row r="6" spans="1:13" ht="15.6" x14ac:dyDescent="0.3">
      <c r="A6" s="43"/>
      <c r="B6" s="43"/>
      <c r="C6" s="46" t="s">
        <v>59</v>
      </c>
      <c r="D6" s="46" t="s">
        <v>60</v>
      </c>
      <c r="E6" s="46" t="s">
        <v>61</v>
      </c>
      <c r="F6" s="46" t="s">
        <v>62</v>
      </c>
      <c r="G6" s="46" t="s">
        <v>63</v>
      </c>
      <c r="H6" s="46" t="s">
        <v>64</v>
      </c>
      <c r="I6" s="46" t="s">
        <v>65</v>
      </c>
      <c r="K6" s="45">
        <v>112</v>
      </c>
      <c r="L6" s="45">
        <v>122</v>
      </c>
      <c r="M6" s="45">
        <v>132</v>
      </c>
    </row>
    <row r="7" spans="1:13" ht="15.6" x14ac:dyDescent="0.3">
      <c r="A7" s="43"/>
      <c r="B7" s="43"/>
      <c r="C7" s="43"/>
      <c r="D7" s="43"/>
      <c r="E7" s="43"/>
      <c r="F7" s="43"/>
      <c r="G7" s="43"/>
      <c r="H7" s="43"/>
      <c r="I7" s="44"/>
    </row>
    <row r="8" spans="1:13" ht="15.6" x14ac:dyDescent="0.3">
      <c r="A8" s="43">
        <v>1</v>
      </c>
      <c r="B8" s="43" t="s">
        <v>66</v>
      </c>
      <c r="C8" s="47">
        <f>SUM(D8:I8)</f>
        <v>153075000</v>
      </c>
      <c r="D8" s="48">
        <v>110008000</v>
      </c>
      <c r="E8" s="48">
        <f>34391000-K8</f>
        <v>34391000</v>
      </c>
      <c r="F8" s="48">
        <f>3932000-L8</f>
        <v>3645000</v>
      </c>
      <c r="G8" s="48">
        <f>768000-M8</f>
        <v>0</v>
      </c>
      <c r="H8" s="48">
        <f>K8+L8+M8</f>
        <v>1055000</v>
      </c>
      <c r="I8" s="48">
        <f>2434000+1542000</f>
        <v>3976000</v>
      </c>
      <c r="K8" s="49">
        <f>ROUND(34391207/30276*K18,0)</f>
        <v>0</v>
      </c>
      <c r="L8" s="49">
        <f>ROUND(3932000/329*L18,-3)</f>
        <v>287000</v>
      </c>
      <c r="M8" s="49">
        <v>768000</v>
      </c>
    </row>
    <row r="9" spans="1:13" ht="15.6" x14ac:dyDescent="0.3">
      <c r="A9" s="43">
        <v>2</v>
      </c>
      <c r="B9" s="43" t="s">
        <v>67</v>
      </c>
      <c r="C9" s="47">
        <f>SUM(D9:I9)</f>
        <v>8500000</v>
      </c>
      <c r="D9" s="48">
        <v>6581000</v>
      </c>
      <c r="E9" s="48">
        <f>1515000-K9</f>
        <v>1515000</v>
      </c>
      <c r="F9" s="48">
        <f>181000-L9</f>
        <v>168000</v>
      </c>
      <c r="G9" s="48">
        <f>43000-M9</f>
        <v>0</v>
      </c>
      <c r="H9" s="48">
        <f>K9+L9+M9</f>
        <v>56000</v>
      </c>
      <c r="I9" s="48">
        <v>180000</v>
      </c>
      <c r="K9" s="49">
        <f>ROUND(1515124/30276*K18,0)</f>
        <v>0</v>
      </c>
      <c r="L9" s="49">
        <f>ROUND(181000/329*L18,-3)</f>
        <v>13000</v>
      </c>
      <c r="M9" s="49">
        <v>43000</v>
      </c>
    </row>
    <row r="10" spans="1:13" ht="15.6" x14ac:dyDescent="0.3">
      <c r="A10" s="43">
        <v>3</v>
      </c>
      <c r="B10" s="43" t="s">
        <v>68</v>
      </c>
      <c r="C10" s="47">
        <f>SUM(D10:I10)</f>
        <v>161575000</v>
      </c>
      <c r="D10" s="50">
        <f t="shared" ref="D10:I10" si="0">D8+D9</f>
        <v>116589000</v>
      </c>
      <c r="E10" s="50">
        <f t="shared" si="0"/>
        <v>35906000</v>
      </c>
      <c r="F10" s="50">
        <f t="shared" si="0"/>
        <v>3813000</v>
      </c>
      <c r="G10" s="50">
        <f t="shared" si="0"/>
        <v>0</v>
      </c>
      <c r="H10" s="50">
        <f t="shared" si="0"/>
        <v>1111000</v>
      </c>
      <c r="I10" s="50">
        <f t="shared" si="0"/>
        <v>4156000</v>
      </c>
      <c r="K10" s="49">
        <f>K8+K9</f>
        <v>0</v>
      </c>
      <c r="L10" s="49">
        <f>L8+L9</f>
        <v>300000</v>
      </c>
      <c r="M10" s="49">
        <f>M8+M9</f>
        <v>811000</v>
      </c>
    </row>
    <row r="11" spans="1:13" ht="15.6" x14ac:dyDescent="0.3">
      <c r="A11" s="43"/>
      <c r="B11" s="43"/>
      <c r="C11" s="43"/>
      <c r="D11" s="43"/>
      <c r="E11" s="43"/>
      <c r="F11" s="43"/>
      <c r="G11" s="43"/>
      <c r="H11" s="43"/>
      <c r="I11" s="44"/>
    </row>
    <row r="12" spans="1:13" ht="15.6" x14ac:dyDescent="0.3">
      <c r="A12" s="43">
        <v>4</v>
      </c>
      <c r="B12" s="43" t="s">
        <v>69</v>
      </c>
      <c r="C12" s="51">
        <f>SUM(D12:I12)</f>
        <v>247662972</v>
      </c>
      <c r="D12" s="52">
        <v>117011207</v>
      </c>
      <c r="E12" s="52">
        <f>46256893-K12</f>
        <v>46256893</v>
      </c>
      <c r="F12" s="52">
        <f>5940558-L12</f>
        <v>5507204</v>
      </c>
      <c r="G12" s="52">
        <f>1288220-M12</f>
        <v>0</v>
      </c>
      <c r="H12" s="52">
        <f>K12+L12+M12</f>
        <v>1721574</v>
      </c>
      <c r="I12" s="52">
        <f>31023878+36271255+9870961</f>
        <v>77166094</v>
      </c>
      <c r="K12" s="53">
        <f>ROUND(46256893/29797*K18,0)</f>
        <v>0</v>
      </c>
      <c r="L12" s="53">
        <f>ROUND(5940558/329*24,0)</f>
        <v>433354</v>
      </c>
      <c r="M12" s="53">
        <v>1288220</v>
      </c>
    </row>
    <row r="13" spans="1:13" ht="15.6" x14ac:dyDescent="0.3">
      <c r="A13" s="43">
        <v>5</v>
      </c>
      <c r="B13" s="43" t="s">
        <v>70</v>
      </c>
      <c r="C13" s="43"/>
      <c r="D13" s="54">
        <v>0.49802999999999997</v>
      </c>
      <c r="E13" s="54">
        <v>0.49535000000000001</v>
      </c>
      <c r="F13" s="54">
        <v>0.47449000000000002</v>
      </c>
      <c r="G13" s="54">
        <v>0.44955000000000001</v>
      </c>
      <c r="K13" s="55">
        <f>E13</f>
        <v>0.49535000000000001</v>
      </c>
      <c r="L13" s="55">
        <f>F13</f>
        <v>0.47449000000000002</v>
      </c>
      <c r="M13" s="55">
        <f>G13</f>
        <v>0.44955000000000001</v>
      </c>
    </row>
    <row r="14" spans="1:13" ht="15.6" x14ac:dyDescent="0.3">
      <c r="A14" s="43">
        <v>6</v>
      </c>
      <c r="B14" s="43" t="s">
        <v>71</v>
      </c>
      <c r="C14" s="47">
        <f>SUM(D14:G14)</f>
        <v>83801556.595720008</v>
      </c>
      <c r="D14" s="47">
        <f>D12*D13</f>
        <v>58275091.42221</v>
      </c>
      <c r="E14" s="47">
        <f>E12*E13</f>
        <v>22913351.947549999</v>
      </c>
      <c r="F14" s="47">
        <f>F12*F13</f>
        <v>2613113.22596</v>
      </c>
      <c r="G14" s="47">
        <f>G12*G13</f>
        <v>0</v>
      </c>
      <c r="K14" s="49">
        <f>K12*K13</f>
        <v>0</v>
      </c>
      <c r="L14" s="49">
        <f>L12*L13</f>
        <v>205622.13946000001</v>
      </c>
      <c r="M14" s="49">
        <f>M12*M13</f>
        <v>579119.30099999998</v>
      </c>
    </row>
    <row r="15" spans="1:13" ht="15.6" x14ac:dyDescent="0.3">
      <c r="A15" s="43"/>
      <c r="B15" s="43"/>
      <c r="C15" s="43"/>
      <c r="D15" s="43"/>
      <c r="E15" s="43"/>
      <c r="F15" s="43"/>
      <c r="G15" s="43"/>
    </row>
    <row r="16" spans="1:13" ht="15.6" x14ac:dyDescent="0.3">
      <c r="A16" s="43">
        <v>7</v>
      </c>
      <c r="B16" s="43" t="s">
        <v>72</v>
      </c>
      <c r="C16" s="47">
        <f>SUM(D16:G16)</f>
        <v>72506443.404279992</v>
      </c>
      <c r="D16" s="50">
        <f>D10-D14</f>
        <v>58313908.57779</v>
      </c>
      <c r="E16" s="50">
        <f>E10-E14</f>
        <v>12992648.052450001</v>
      </c>
      <c r="F16" s="50">
        <f>F10-F14</f>
        <v>1199886.77404</v>
      </c>
      <c r="G16" s="50">
        <f>G10-G14</f>
        <v>0</v>
      </c>
      <c r="H16" s="50"/>
      <c r="I16" s="44"/>
      <c r="K16" s="56">
        <f>K10-K14</f>
        <v>0</v>
      </c>
      <c r="L16" s="56">
        <f>L10-L14</f>
        <v>94377.860539999994</v>
      </c>
      <c r="M16" s="56">
        <f>M10-M14</f>
        <v>231880.69900000002</v>
      </c>
    </row>
    <row r="17" spans="1:13" ht="15.6" x14ac:dyDescent="0.3">
      <c r="A17" s="43"/>
      <c r="B17" s="43"/>
      <c r="C17" s="43"/>
      <c r="D17" s="43"/>
      <c r="E17" s="43"/>
      <c r="F17" s="43"/>
      <c r="G17" s="43"/>
      <c r="H17" s="43"/>
      <c r="I17" s="44"/>
    </row>
    <row r="18" spans="1:13" ht="15.6" x14ac:dyDescent="0.3">
      <c r="A18" s="43">
        <v>8</v>
      </c>
      <c r="B18" s="43" t="s">
        <v>73</v>
      </c>
      <c r="C18" s="51">
        <f>SUM(D18:I18)</f>
        <v>1833425</v>
      </c>
      <c r="D18" s="57">
        <v>1802235</v>
      </c>
      <c r="E18" s="57">
        <f>30276-K18</f>
        <v>30276</v>
      </c>
      <c r="F18" s="57">
        <f>329-L18</f>
        <v>305</v>
      </c>
      <c r="G18" s="57">
        <f>24-M18</f>
        <v>0</v>
      </c>
      <c r="H18" s="52">
        <f>K18+L18+M18</f>
        <v>48</v>
      </c>
      <c r="I18" s="52">
        <f>501+48+12</f>
        <v>561</v>
      </c>
      <c r="K18">
        <v>0</v>
      </c>
      <c r="L18">
        <v>24</v>
      </c>
      <c r="M18">
        <v>24</v>
      </c>
    </row>
    <row r="19" spans="1:13" ht="15.6" x14ac:dyDescent="0.3">
      <c r="A19" s="43">
        <v>9</v>
      </c>
      <c r="B19" s="43" t="s">
        <v>74</v>
      </c>
      <c r="C19" s="47"/>
      <c r="D19" s="58">
        <v>9</v>
      </c>
      <c r="E19" s="58">
        <v>87.04</v>
      </c>
      <c r="F19" s="58">
        <v>215.24</v>
      </c>
      <c r="G19" s="59">
        <f>G18*G17</f>
        <v>0</v>
      </c>
      <c r="H19" s="60"/>
      <c r="I19" s="44"/>
      <c r="K19" s="61">
        <f>E19</f>
        <v>87.04</v>
      </c>
      <c r="L19" s="61">
        <f>F19</f>
        <v>215.24</v>
      </c>
      <c r="M19" s="61">
        <f>G19</f>
        <v>0</v>
      </c>
    </row>
    <row r="20" spans="1:13" ht="15.6" x14ac:dyDescent="0.3">
      <c r="A20" s="43">
        <v>10</v>
      </c>
      <c r="B20" s="43" t="s">
        <v>75</v>
      </c>
      <c r="C20" s="47">
        <f>SUM(D20:G20)</f>
        <v>18920986.239999998</v>
      </c>
      <c r="D20" s="60">
        <f>D19*D18</f>
        <v>16220115</v>
      </c>
      <c r="E20" s="60">
        <f>E19*E18</f>
        <v>2635223.04</v>
      </c>
      <c r="F20" s="60">
        <f>F19*F18</f>
        <v>65648.2</v>
      </c>
      <c r="G20" s="60">
        <f>G19*G18</f>
        <v>0</v>
      </c>
      <c r="H20" s="60"/>
      <c r="I20" s="44"/>
      <c r="K20" s="56">
        <f>K18*K19</f>
        <v>0</v>
      </c>
      <c r="L20" s="56">
        <f>L18*L19</f>
        <v>5165.76</v>
      </c>
      <c r="M20" s="56">
        <f>M18*M19</f>
        <v>0</v>
      </c>
    </row>
    <row r="21" spans="1:13" ht="15.6" x14ac:dyDescent="0.3">
      <c r="A21" s="43"/>
      <c r="B21" s="43"/>
      <c r="C21" s="47"/>
      <c r="D21" s="60"/>
      <c r="E21" s="60"/>
      <c r="F21" s="60"/>
      <c r="G21" s="60"/>
      <c r="H21" s="62" t="s">
        <v>76</v>
      </c>
      <c r="I21" s="62"/>
      <c r="K21" s="56"/>
      <c r="L21" s="56"/>
      <c r="M21" s="56"/>
    </row>
    <row r="22" spans="1:13" ht="15.6" x14ac:dyDescent="0.3">
      <c r="A22" s="43">
        <v>11</v>
      </c>
      <c r="B22" s="43" t="s">
        <v>32</v>
      </c>
      <c r="C22" s="47">
        <f>SUM(D22:G22)</f>
        <v>53585457.164280005</v>
      </c>
      <c r="D22" s="60">
        <f>D16-D20</f>
        <v>42093793.57779</v>
      </c>
      <c r="E22" s="60">
        <f>E16-E20</f>
        <v>10357425.012450002</v>
      </c>
      <c r="F22" s="60">
        <f>F16-F20</f>
        <v>1134238.5740400001</v>
      </c>
      <c r="G22" s="60">
        <f>G16-G20</f>
        <v>0</v>
      </c>
      <c r="H22" s="62"/>
      <c r="I22" s="62"/>
      <c r="K22" s="56">
        <f>K16-K20</f>
        <v>0</v>
      </c>
      <c r="L22" s="56">
        <f>L16-L20</f>
        <v>89212.100539999999</v>
      </c>
      <c r="M22" s="56">
        <f>M16-M20</f>
        <v>231880.69900000002</v>
      </c>
    </row>
    <row r="23" spans="1:13" ht="15.6" x14ac:dyDescent="0.3">
      <c r="A23" s="63"/>
      <c r="B23" s="63"/>
      <c r="C23" s="63"/>
      <c r="D23" s="63"/>
      <c r="E23" s="63"/>
      <c r="F23" s="63"/>
      <c r="G23" s="63"/>
      <c r="H23" s="64"/>
      <c r="I23" s="64"/>
    </row>
    <row r="24" spans="1:13" ht="15.6" x14ac:dyDescent="0.3">
      <c r="C24" s="43"/>
      <c r="D24" s="65" t="s">
        <v>77</v>
      </c>
      <c r="E24" s="43" t="s">
        <v>46</v>
      </c>
    </row>
    <row r="25" spans="1:13" ht="15.6" x14ac:dyDescent="0.3">
      <c r="A25" s="43">
        <v>12</v>
      </c>
      <c r="B25" s="43" t="s">
        <v>78</v>
      </c>
      <c r="C25" s="51"/>
      <c r="D25" s="51">
        <f>D18/12</f>
        <v>150186.25</v>
      </c>
      <c r="E25" s="51">
        <f>(E18+F18+G18)/12</f>
        <v>2548.4166666666665</v>
      </c>
    </row>
    <row r="26" spans="1:13" ht="15.6" x14ac:dyDescent="0.3">
      <c r="A26" s="43">
        <v>13</v>
      </c>
      <c r="B26" s="43" t="s">
        <v>79</v>
      </c>
      <c r="C26" s="51"/>
      <c r="D26" s="51">
        <f>D12</f>
        <v>117011207</v>
      </c>
      <c r="E26" s="51">
        <f>E12+F12+G12</f>
        <v>51764097</v>
      </c>
    </row>
    <row r="27" spans="1:13" ht="15.6" x14ac:dyDescent="0.3">
      <c r="A27" s="43">
        <v>14</v>
      </c>
      <c r="B27" s="43" t="s">
        <v>80</v>
      </c>
      <c r="C27" s="47"/>
      <c r="D27" s="47">
        <f>D20</f>
        <v>16220115</v>
      </c>
      <c r="E27" s="47">
        <f>E20+F20+G20</f>
        <v>2700871.24</v>
      </c>
      <c r="F27" s="61"/>
    </row>
    <row r="28" spans="1:13" ht="15.6" x14ac:dyDescent="0.3">
      <c r="A28" s="43">
        <v>15</v>
      </c>
      <c r="B28" s="43" t="s">
        <v>81</v>
      </c>
      <c r="C28" s="51"/>
      <c r="D28" s="51">
        <f>D18</f>
        <v>1802235</v>
      </c>
      <c r="E28" s="51">
        <f>E18+F18+G18</f>
        <v>30581</v>
      </c>
      <c r="F28" s="61"/>
    </row>
    <row r="29" spans="1:13" ht="15.6" x14ac:dyDescent="0.3">
      <c r="A29" s="43">
        <v>16</v>
      </c>
      <c r="B29" s="43" t="s">
        <v>82</v>
      </c>
      <c r="C29" s="47"/>
      <c r="D29" s="58">
        <f>D27/D28</f>
        <v>9</v>
      </c>
      <c r="E29" s="58">
        <f>E27/E28</f>
        <v>88.318604362185681</v>
      </c>
      <c r="F29" s="61"/>
    </row>
    <row r="30" spans="1:13" x14ac:dyDescent="0.3">
      <c r="D30" s="61"/>
    </row>
    <row r="31" spans="1:13" x14ac:dyDescent="0.3">
      <c r="D31" s="56"/>
      <c r="F31" s="56"/>
    </row>
    <row r="32" spans="1:13" x14ac:dyDescent="0.3">
      <c r="D32" s="61"/>
      <c r="F32" s="56"/>
    </row>
    <row r="33" spans="4:6" x14ac:dyDescent="0.3">
      <c r="D33" s="61"/>
      <c r="F33" s="61"/>
    </row>
    <row r="36" spans="4:6" x14ac:dyDescent="0.3">
      <c r="D36" s="61"/>
      <c r="F36" s="61"/>
    </row>
    <row r="37" spans="4:6" x14ac:dyDescent="0.3">
      <c r="D37" s="61"/>
      <c r="F37" s="61"/>
    </row>
    <row r="38" spans="4:6" x14ac:dyDescent="0.3">
      <c r="D38" s="61"/>
      <c r="F38" s="61"/>
    </row>
  </sheetData>
  <mergeCells count="4">
    <mergeCell ref="A1:I1"/>
    <mergeCell ref="A2:I2"/>
    <mergeCell ref="A3:I3"/>
    <mergeCell ref="H21:I22"/>
  </mergeCells>
  <pageMargins left="0.6" right="0.6" top="0.9" bottom="0.75" header="0.6" footer="0.75"/>
  <pageSetup scale="73" firstPageNumber="2" orientation="landscape" useFirstPageNumber="1" r:id="rId1"/>
  <headerFooter scaleWithDoc="0">
    <oddHeader>&amp;CUG-140189 Authorized Decoupling Base</oddHeader>
    <oddFooter>&amp;C&amp;14APPENDIX 5, Page 1
ATTACHMENT B&amp;R&amp;14
Page &amp;P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6"/>
  <sheetViews>
    <sheetView tabSelected="1" workbookViewId="0">
      <selection activeCell="D34" sqref="D34:F35"/>
    </sheetView>
  </sheetViews>
  <sheetFormatPr defaultRowHeight="14.4" x14ac:dyDescent="0.3"/>
  <cols>
    <col min="1" max="1" width="6.44140625" customWidth="1"/>
    <col min="2" max="2" width="38.5546875" customWidth="1"/>
    <col min="3" max="3" width="22.6640625" customWidth="1"/>
    <col min="4" max="5" width="16.44140625" customWidth="1"/>
    <col min="7" max="7" width="13.109375" bestFit="1" customWidth="1"/>
    <col min="8" max="8" width="12" bestFit="1" customWidth="1"/>
  </cols>
  <sheetData>
    <row r="1" spans="1:6" ht="15.6" x14ac:dyDescent="0.3">
      <c r="A1" s="41" t="s">
        <v>0</v>
      </c>
      <c r="B1" s="41"/>
      <c r="C1" s="41"/>
      <c r="D1" s="41"/>
      <c r="E1" s="41"/>
      <c r="F1" s="66"/>
    </row>
    <row r="2" spans="1:6" ht="15.6" x14ac:dyDescent="0.3">
      <c r="A2" s="41" t="s">
        <v>1</v>
      </c>
      <c r="B2" s="41"/>
      <c r="C2" s="41"/>
      <c r="D2" s="41"/>
      <c r="E2" s="41"/>
      <c r="F2" s="66"/>
    </row>
    <row r="3" spans="1:6" ht="15.6" x14ac:dyDescent="0.3">
      <c r="A3" s="42" t="s">
        <v>83</v>
      </c>
      <c r="B3" s="42"/>
      <c r="C3" s="42"/>
      <c r="D3" s="42"/>
      <c r="E3" s="42"/>
      <c r="F3" s="67"/>
    </row>
    <row r="4" spans="1:6" ht="15.6" x14ac:dyDescent="0.3">
      <c r="A4" s="68"/>
      <c r="B4" s="68"/>
      <c r="C4" s="68"/>
      <c r="D4" s="68"/>
      <c r="E4" s="68"/>
    </row>
    <row r="5" spans="1:6" ht="15.6" x14ac:dyDescent="0.3">
      <c r="A5" s="68"/>
      <c r="B5" s="68"/>
      <c r="C5" s="68"/>
      <c r="D5" s="68"/>
      <c r="E5" s="68"/>
    </row>
    <row r="6" spans="1:6" ht="46.8" x14ac:dyDescent="0.3">
      <c r="A6" s="69" t="s">
        <v>9</v>
      </c>
      <c r="B6" s="70"/>
      <c r="C6" s="69" t="s">
        <v>10</v>
      </c>
      <c r="D6" s="69" t="s">
        <v>77</v>
      </c>
      <c r="E6" s="69" t="s">
        <v>84</v>
      </c>
    </row>
    <row r="7" spans="1:6" ht="15.6" x14ac:dyDescent="0.3">
      <c r="A7" s="68"/>
      <c r="B7" s="71" t="s">
        <v>12</v>
      </c>
      <c r="C7" s="71" t="s">
        <v>13</v>
      </c>
      <c r="D7" s="71" t="s">
        <v>14</v>
      </c>
      <c r="E7" s="71" t="s">
        <v>15</v>
      </c>
    </row>
    <row r="8" spans="1:6" ht="15.6" x14ac:dyDescent="0.3">
      <c r="A8" s="71"/>
      <c r="B8" s="72"/>
      <c r="C8" s="71"/>
      <c r="D8" s="71"/>
      <c r="E8" s="71"/>
    </row>
    <row r="9" spans="1:6" ht="15.6" x14ac:dyDescent="0.3">
      <c r="A9" s="71">
        <v>1</v>
      </c>
      <c r="B9" s="72" t="s">
        <v>85</v>
      </c>
      <c r="C9" s="71" t="s">
        <v>86</v>
      </c>
      <c r="D9" s="73">
        <f>'Appendix 5, Page 1'!D22</f>
        <v>42093793.57779</v>
      </c>
      <c r="E9" s="73">
        <f>'Appendix 5, Page 1'!E22+'Appendix 5, Page 1'!F22+'Appendix 5, Page 1'!G22</f>
        <v>11491663.586490002</v>
      </c>
    </row>
    <row r="10" spans="1:6" ht="15.6" x14ac:dyDescent="0.3">
      <c r="A10" s="71"/>
      <c r="B10" s="72"/>
      <c r="C10" s="71"/>
      <c r="D10" s="71"/>
      <c r="E10" s="71"/>
    </row>
    <row r="11" spans="1:6" ht="15.6" x14ac:dyDescent="0.3">
      <c r="A11" s="71">
        <v>2</v>
      </c>
      <c r="B11" s="68" t="s">
        <v>87</v>
      </c>
      <c r="C11" s="71" t="s">
        <v>88</v>
      </c>
      <c r="D11" s="74">
        <f>'Appendix 5, Page 1'!D18/12</f>
        <v>150186.25</v>
      </c>
      <c r="E11" s="74">
        <f>SUM('Appendix 5, Page 1'!E18:G18)/12</f>
        <v>2548.4166666666665</v>
      </c>
    </row>
    <row r="12" spans="1:6" ht="15.6" x14ac:dyDescent="0.3">
      <c r="A12" s="71"/>
      <c r="B12" s="72"/>
      <c r="C12" s="71"/>
      <c r="D12" s="71"/>
      <c r="E12" s="71"/>
    </row>
    <row r="13" spans="1:6" ht="15.6" x14ac:dyDescent="0.3">
      <c r="A13" s="71">
        <v>3</v>
      </c>
      <c r="B13" s="72" t="s">
        <v>89</v>
      </c>
      <c r="C13" s="71" t="str">
        <f>"("&amp;A9&amp;") / ("&amp;A$11&amp;")"</f>
        <v>(1) / (2)</v>
      </c>
      <c r="D13" s="75">
        <f>ROUND(D9/D11,2)</f>
        <v>280.27999999999997</v>
      </c>
      <c r="E13" s="75">
        <f>ROUND(E9/E11,2)</f>
        <v>4509.33</v>
      </c>
    </row>
    <row r="14" spans="1:6" ht="15.6" x14ac:dyDescent="0.3">
      <c r="A14" s="71"/>
      <c r="B14" s="72"/>
      <c r="C14" s="71"/>
      <c r="D14" s="71"/>
      <c r="E14" s="71"/>
    </row>
    <row r="15" spans="1:6" s="79" customFormat="1" ht="15.6" hidden="1" x14ac:dyDescent="0.3">
      <c r="A15" s="76" t="e">
        <f>#REF!+1</f>
        <v>#REF!</v>
      </c>
      <c r="B15" s="77" t="e">
        <f>#REF!</f>
        <v>#REF!</v>
      </c>
      <c r="C15" s="76" t="e">
        <f>"("&amp;#REF!&amp;") - ("&amp;#REF!&amp;")"</f>
        <v>#REF!</v>
      </c>
      <c r="D15" s="78" t="e">
        <f>#REF!-#REF!</f>
        <v>#REF!</v>
      </c>
      <c r="E15" s="78" t="e">
        <f>#REF!-#REF!</f>
        <v>#REF!</v>
      </c>
    </row>
    <row r="16" spans="1:6" s="79" customFormat="1" ht="15.6" hidden="1" x14ac:dyDescent="0.3">
      <c r="A16" s="76" t="e">
        <f t="shared" ref="A16:A18" si="0">A15+1</f>
        <v>#REF!</v>
      </c>
      <c r="B16" s="77" t="e">
        <f>#REF!</f>
        <v>#REF!</v>
      </c>
      <c r="C16" s="76" t="e">
        <f>"("&amp;#REF!&amp;") - ("&amp;#REF!&amp;")"</f>
        <v>#REF!</v>
      </c>
      <c r="D16" s="78" t="e">
        <f>#REF!-#REF!</f>
        <v>#REF!</v>
      </c>
      <c r="E16" s="78" t="e">
        <f>#REF!-#REF!</f>
        <v>#REF!</v>
      </c>
    </row>
    <row r="17" spans="1:5" s="79" customFormat="1" ht="15.6" hidden="1" x14ac:dyDescent="0.3">
      <c r="A17" s="76" t="e">
        <f t="shared" si="0"/>
        <v>#REF!</v>
      </c>
      <c r="B17" s="77" t="e">
        <f>#REF!</f>
        <v>#REF!</v>
      </c>
      <c r="C17" s="76" t="e">
        <f>"("&amp;#REF!&amp;") - ("&amp;#REF!&amp;")"</f>
        <v>#REF!</v>
      </c>
      <c r="D17" s="78" t="e">
        <f>#REF!-#REF!</f>
        <v>#REF!</v>
      </c>
      <c r="E17" s="78" t="e">
        <f>#REF!-#REF!</f>
        <v>#REF!</v>
      </c>
    </row>
    <row r="18" spans="1:5" s="79" customFormat="1" ht="15.6" hidden="1" x14ac:dyDescent="0.3">
      <c r="A18" s="76" t="e">
        <f t="shared" si="0"/>
        <v>#REF!</v>
      </c>
      <c r="B18" s="77" t="e">
        <f>#REF!</f>
        <v>#REF!</v>
      </c>
      <c r="C18" s="76" t="e">
        <f>"("&amp;#REF!&amp;") - ("&amp;#REF!&amp;")"</f>
        <v>#REF!</v>
      </c>
      <c r="D18" s="78" t="e">
        <f>#REF!-#REF!</f>
        <v>#REF!</v>
      </c>
      <c r="E18" s="78" t="e">
        <f>#REF!-#REF!</f>
        <v>#REF!</v>
      </c>
    </row>
    <row r="19" spans="1:5" ht="15.6" x14ac:dyDescent="0.3">
      <c r="A19" s="71"/>
      <c r="B19" s="68"/>
      <c r="C19" s="68"/>
      <c r="D19" s="80"/>
      <c r="E19" s="80"/>
    </row>
    <row r="20" spans="1:5" ht="15.6" x14ac:dyDescent="0.3">
      <c r="A20" s="71"/>
      <c r="B20" s="81" t="s">
        <v>90</v>
      </c>
      <c r="C20" s="68"/>
      <c r="D20" s="68"/>
      <c r="E20" s="68"/>
    </row>
    <row r="21" spans="1:5" ht="15.6" x14ac:dyDescent="0.3">
      <c r="A21" s="63"/>
      <c r="B21" s="63"/>
      <c r="C21" s="63"/>
      <c r="D21" s="63"/>
      <c r="E21" s="63"/>
    </row>
    <row r="22" spans="1:5" ht="15.6" x14ac:dyDescent="0.3">
      <c r="A22" s="63"/>
      <c r="B22" s="63"/>
      <c r="C22" s="82" t="s">
        <v>91</v>
      </c>
      <c r="D22" s="63"/>
      <c r="E22" s="63"/>
    </row>
    <row r="23" spans="1:5" ht="15.6" x14ac:dyDescent="0.3">
      <c r="A23" s="63"/>
      <c r="B23" s="63"/>
      <c r="C23" s="82" t="s">
        <v>92</v>
      </c>
      <c r="D23" s="83">
        <f>D13*D11</f>
        <v>42094202.149999999</v>
      </c>
      <c r="E23" s="83">
        <f>E13*E11</f>
        <v>11491651.727499999</v>
      </c>
    </row>
    <row r="24" spans="1:5" ht="15.6" x14ac:dyDescent="0.3">
      <c r="A24" s="63"/>
      <c r="B24" s="63"/>
      <c r="C24" s="82" t="s">
        <v>93</v>
      </c>
      <c r="D24" s="83">
        <f>'Appendix 5, Page 1'!D27</f>
        <v>16220115</v>
      </c>
      <c r="E24" s="83">
        <f>'Appendix 5, Page 1'!E27</f>
        <v>2700871.24</v>
      </c>
    </row>
    <row r="25" spans="1:5" ht="15.6" x14ac:dyDescent="0.3">
      <c r="A25" s="63"/>
      <c r="B25" s="63"/>
      <c r="C25" s="82" t="s">
        <v>94</v>
      </c>
      <c r="D25" s="83">
        <f>'Appendix 5, Page 1'!D14</f>
        <v>58275091.42221</v>
      </c>
      <c r="E25" s="83">
        <f>SUM('Appendix 5, Page 1'!E14:G14)</f>
        <v>25526465.17351</v>
      </c>
    </row>
    <row r="26" spans="1:5" ht="15.6" x14ac:dyDescent="0.3">
      <c r="A26" s="63"/>
      <c r="B26" s="63"/>
      <c r="C26" s="82" t="s">
        <v>11</v>
      </c>
      <c r="D26" s="84">
        <f>SUM(D23:D25)</f>
        <v>116589408.57221</v>
      </c>
      <c r="E26" s="84">
        <f>SUM(E23:E25)</f>
        <v>39718988.141010001</v>
      </c>
    </row>
  </sheetData>
  <mergeCells count="3">
    <mergeCell ref="A1:E1"/>
    <mergeCell ref="A2:E2"/>
    <mergeCell ref="A3:E3"/>
  </mergeCells>
  <printOptions horizontalCentered="1"/>
  <pageMargins left="0.6" right="0.6" top="0.9" bottom="0.75" header="0.6" footer="0.74"/>
  <pageSetup scale="87" orientation="landscape" r:id="rId1"/>
  <headerFooter scaleWithDoc="0">
    <oddHeader>&amp;CUG-140189 Authorized Decoupling Base</oddHeader>
    <oddFooter>&amp;C&amp;14APPENDIX 5, Page 2
ATTACHMENT B&amp;R&amp;14
Page &amp;P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4"/>
  <sheetViews>
    <sheetView tabSelected="1" topLeftCell="A16" workbookViewId="0">
      <selection activeCell="D34" sqref="D34:F35"/>
    </sheetView>
  </sheetViews>
  <sheetFormatPr defaultRowHeight="14.4" x14ac:dyDescent="0.3"/>
  <cols>
    <col min="2" max="2" width="35.109375" customWidth="1"/>
    <col min="3" max="3" width="17.33203125" customWidth="1"/>
    <col min="4" max="5" width="12.33203125" customWidth="1"/>
    <col min="6" max="6" width="12.44140625" customWidth="1"/>
    <col min="7" max="13" width="11.44140625" customWidth="1"/>
    <col min="14" max="14" width="12.88671875" customWidth="1"/>
    <col min="15" max="15" width="13" customWidth="1"/>
    <col min="16" max="16" width="13.88671875" bestFit="1" customWidth="1"/>
  </cols>
  <sheetData>
    <row r="1" spans="1:16" ht="17.399999999999999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ht="17.399999999999999" x14ac:dyDescent="0.3">
      <c r="A2" s="85" t="str">
        <f>'Appendix 5, Page 2'!A2:E2</f>
        <v>Natural Gas Decoupling Mechanism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17.399999999999999" x14ac:dyDescent="0.3">
      <c r="A3" s="86" t="s">
        <v>95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x14ac:dyDescent="0.3">
      <c r="A4" s="8"/>
      <c r="B4" s="8"/>
      <c r="C4" s="16"/>
      <c r="D4" s="16"/>
      <c r="E4" s="16"/>
      <c r="F4" s="16"/>
      <c r="G4" s="16"/>
      <c r="H4" s="8"/>
      <c r="I4" s="8"/>
      <c r="J4" s="8"/>
      <c r="K4" s="8"/>
      <c r="L4" s="8"/>
      <c r="M4" s="8"/>
      <c r="N4" s="8"/>
      <c r="O4" s="8"/>
      <c r="P4" s="8"/>
    </row>
    <row r="5" spans="1:16" x14ac:dyDescent="0.3">
      <c r="A5" s="8"/>
      <c r="B5" s="8"/>
      <c r="C5" s="16"/>
      <c r="D5" s="16"/>
      <c r="E5" s="16"/>
      <c r="F5" s="16"/>
      <c r="G5" s="16"/>
      <c r="H5" s="8"/>
      <c r="I5" s="8"/>
      <c r="J5" s="8"/>
      <c r="K5" s="8"/>
      <c r="L5" s="8"/>
      <c r="M5" s="8"/>
      <c r="N5" s="8"/>
      <c r="O5" s="8"/>
      <c r="P5" s="8"/>
    </row>
    <row r="6" spans="1:16" ht="26.4" customHeight="1" x14ac:dyDescent="0.3">
      <c r="A6" s="87" t="s">
        <v>9</v>
      </c>
      <c r="B6" s="88"/>
      <c r="C6" s="89" t="s">
        <v>10</v>
      </c>
      <c r="D6" s="90" t="s">
        <v>96</v>
      </c>
      <c r="E6" s="90" t="s">
        <v>97</v>
      </c>
      <c r="F6" s="90" t="s">
        <v>98</v>
      </c>
      <c r="G6" s="90" t="s">
        <v>99</v>
      </c>
      <c r="H6" s="90" t="s">
        <v>100</v>
      </c>
      <c r="I6" s="90" t="s">
        <v>101</v>
      </c>
      <c r="J6" s="90" t="s">
        <v>102</v>
      </c>
      <c r="K6" s="90" t="s">
        <v>103</v>
      </c>
      <c r="L6" s="90" t="s">
        <v>104</v>
      </c>
      <c r="M6" s="90" t="s">
        <v>105</v>
      </c>
      <c r="N6" s="90" t="s">
        <v>106</v>
      </c>
      <c r="O6" s="90" t="s">
        <v>107</v>
      </c>
      <c r="P6" s="87" t="s">
        <v>59</v>
      </c>
    </row>
    <row r="7" spans="1:16" ht="15" customHeight="1" x14ac:dyDescent="0.3">
      <c r="A7" s="8"/>
      <c r="B7" s="16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6" t="s">
        <v>17</v>
      </c>
      <c r="H7" s="16" t="s">
        <v>18</v>
      </c>
      <c r="I7" s="16" t="s">
        <v>19</v>
      </c>
      <c r="J7" s="16" t="s">
        <v>20</v>
      </c>
      <c r="K7" s="16" t="s">
        <v>21</v>
      </c>
      <c r="L7" s="16" t="s">
        <v>22</v>
      </c>
      <c r="M7" s="16" t="s">
        <v>23</v>
      </c>
      <c r="N7" s="16" t="s">
        <v>24</v>
      </c>
      <c r="O7" s="16" t="s">
        <v>25</v>
      </c>
      <c r="P7" s="16" t="s">
        <v>26</v>
      </c>
    </row>
    <row r="8" spans="1:16" ht="15" customHeight="1" x14ac:dyDescent="0.3">
      <c r="A8" s="16">
        <v>1</v>
      </c>
      <c r="B8" s="91"/>
      <c r="C8" s="16"/>
      <c r="D8" s="16"/>
      <c r="E8" s="16"/>
      <c r="F8" s="16"/>
      <c r="G8" s="16"/>
      <c r="H8" s="16"/>
      <c r="I8" s="16"/>
      <c r="J8" s="8"/>
      <c r="K8" s="8"/>
      <c r="L8" s="8"/>
      <c r="M8" s="8"/>
      <c r="N8" s="8"/>
      <c r="O8" s="8"/>
      <c r="P8" s="8"/>
    </row>
    <row r="9" spans="1:16" ht="15" customHeight="1" x14ac:dyDescent="0.3">
      <c r="A9" s="16">
        <f t="shared" ref="A9:A27" si="0">A8+1</f>
        <v>2</v>
      </c>
      <c r="B9" s="92" t="s">
        <v>108</v>
      </c>
      <c r="C9" s="16"/>
      <c r="D9" s="8"/>
      <c r="E9" s="8"/>
      <c r="F9" s="8"/>
      <c r="G9" s="8"/>
      <c r="H9" s="93"/>
      <c r="I9" s="93"/>
      <c r="J9" s="8"/>
      <c r="K9" s="8"/>
      <c r="L9" s="8"/>
      <c r="M9" s="8"/>
      <c r="N9" s="8"/>
      <c r="O9" s="8"/>
      <c r="P9" s="94"/>
    </row>
    <row r="10" spans="1:16" ht="15" customHeight="1" x14ac:dyDescent="0.3">
      <c r="A10" s="16">
        <f t="shared" si="0"/>
        <v>3</v>
      </c>
      <c r="B10" s="95" t="s">
        <v>77</v>
      </c>
      <c r="C10" s="1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4"/>
    </row>
    <row r="11" spans="1:16" ht="15" customHeight="1" x14ac:dyDescent="0.3">
      <c r="A11" s="16">
        <f t="shared" si="0"/>
        <v>4</v>
      </c>
      <c r="B11" s="96" t="s">
        <v>109</v>
      </c>
      <c r="C11" s="16" t="s">
        <v>110</v>
      </c>
      <c r="D11" s="97">
        <v>20096514.542463232</v>
      </c>
      <c r="E11" s="97">
        <v>16729825.823665593</v>
      </c>
      <c r="F11" s="97">
        <v>14285474.217013976</v>
      </c>
      <c r="G11" s="97">
        <v>9202394.4743490461</v>
      </c>
      <c r="H11" s="97">
        <v>5127081.5418580826</v>
      </c>
      <c r="I11" s="97">
        <v>3376940.6746393559</v>
      </c>
      <c r="J11" s="97">
        <v>2456170.9911564719</v>
      </c>
      <c r="K11" s="97">
        <v>2227453.2497947016</v>
      </c>
      <c r="L11" s="97">
        <v>2907961.7436219263</v>
      </c>
      <c r="M11" s="97">
        <v>6931034.129332168</v>
      </c>
      <c r="N11" s="97">
        <v>13836643.035156259</v>
      </c>
      <c r="O11" s="97">
        <v>19833712.677342694</v>
      </c>
      <c r="P11" s="98">
        <f>SUM(D11:O11)</f>
        <v>117011207.10039353</v>
      </c>
    </row>
    <row r="12" spans="1:16" ht="15" customHeight="1" x14ac:dyDescent="0.3">
      <c r="A12" s="16">
        <f t="shared" si="0"/>
        <v>5</v>
      </c>
      <c r="B12" s="8" t="s">
        <v>111</v>
      </c>
      <c r="C12" s="99" t="s">
        <v>112</v>
      </c>
      <c r="D12" s="100">
        <f t="shared" ref="D12:O12" si="1">D11/$P11</f>
        <v>0.17174863024206544</v>
      </c>
      <c r="E12" s="100">
        <f t="shared" si="1"/>
        <v>0.14297626901081106</v>
      </c>
      <c r="F12" s="100">
        <f t="shared" si="1"/>
        <v>0.12208637592087476</v>
      </c>
      <c r="G12" s="100">
        <f t="shared" si="1"/>
        <v>7.864541100284142E-2</v>
      </c>
      <c r="H12" s="100">
        <f t="shared" si="1"/>
        <v>4.3817012651267993E-2</v>
      </c>
      <c r="I12" s="100">
        <f t="shared" si="1"/>
        <v>2.8859976393047555E-2</v>
      </c>
      <c r="J12" s="100">
        <f t="shared" si="1"/>
        <v>2.0990903794788827E-2</v>
      </c>
      <c r="K12" s="100">
        <f t="shared" si="1"/>
        <v>1.9036238536395803E-2</v>
      </c>
      <c r="L12" s="100">
        <f t="shared" si="1"/>
        <v>2.4851993374676896E-2</v>
      </c>
      <c r="M12" s="100">
        <f t="shared" si="1"/>
        <v>5.9233934091334206E-2</v>
      </c>
      <c r="N12" s="100">
        <f t="shared" si="1"/>
        <v>0.11825057939351626</v>
      </c>
      <c r="O12" s="100">
        <f t="shared" si="1"/>
        <v>0.1695026755883795</v>
      </c>
      <c r="P12" s="100">
        <f>SUM(D12:O12)</f>
        <v>0.99999999999999978</v>
      </c>
    </row>
    <row r="13" spans="1:16" ht="15" customHeight="1" x14ac:dyDescent="0.3">
      <c r="A13" s="16">
        <f t="shared" si="0"/>
        <v>6</v>
      </c>
      <c r="B13" s="8"/>
      <c r="C13" s="10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" customHeight="1" x14ac:dyDescent="0.3">
      <c r="A14" s="16">
        <f t="shared" si="0"/>
        <v>7</v>
      </c>
      <c r="B14" s="95" t="s">
        <v>113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ht="15" customHeight="1" x14ac:dyDescent="0.3">
      <c r="A15" s="16">
        <f t="shared" si="0"/>
        <v>8</v>
      </c>
      <c r="B15" s="96" t="s">
        <v>109</v>
      </c>
      <c r="C15" s="16" t="s">
        <v>110</v>
      </c>
      <c r="D15" s="97">
        <v>7372431.8376394054</v>
      </c>
      <c r="E15" s="97">
        <v>6284928.3995770253</v>
      </c>
      <c r="F15" s="97">
        <v>5638127.5299781673</v>
      </c>
      <c r="G15" s="97">
        <v>3840835.0036948542</v>
      </c>
      <c r="H15" s="97">
        <v>2388634.3428298216</v>
      </c>
      <c r="I15" s="97">
        <v>1911614.4174657979</v>
      </c>
      <c r="J15" s="97">
        <v>1631752.6518489029</v>
      </c>
      <c r="K15" s="97">
        <v>1792654.1238930894</v>
      </c>
      <c r="L15" s="97">
        <v>2433461.3706143918</v>
      </c>
      <c r="M15" s="97">
        <v>4483159.8392895078</v>
      </c>
      <c r="N15" s="97">
        <v>6399826.3376744026</v>
      </c>
      <c r="O15" s="97">
        <v>7586670.8416441465</v>
      </c>
      <c r="P15" s="98">
        <f>SUM(D15:O15)</f>
        <v>51764096.696149513</v>
      </c>
    </row>
    <row r="16" spans="1:16" ht="15" customHeight="1" x14ac:dyDescent="0.3">
      <c r="A16" s="16">
        <f t="shared" si="0"/>
        <v>9</v>
      </c>
      <c r="B16" s="8" t="s">
        <v>111</v>
      </c>
      <c r="C16" s="99" t="s">
        <v>112</v>
      </c>
      <c r="D16" s="102">
        <f t="shared" ref="D16:O16" si="2">D15/$P15</f>
        <v>0.14242365477591354</v>
      </c>
      <c r="E16" s="102">
        <f t="shared" si="2"/>
        <v>0.12141481839177021</v>
      </c>
      <c r="F16" s="102">
        <f t="shared" si="2"/>
        <v>0.10891965454499201</v>
      </c>
      <c r="G16" s="102">
        <f t="shared" si="2"/>
        <v>7.4198822134194722E-2</v>
      </c>
      <c r="H16" s="102">
        <f t="shared" si="2"/>
        <v>4.6144615578841947E-2</v>
      </c>
      <c r="I16" s="102">
        <f t="shared" si="2"/>
        <v>3.6929349481104608E-2</v>
      </c>
      <c r="J16" s="102">
        <f t="shared" si="2"/>
        <v>3.152286538345566E-2</v>
      </c>
      <c r="K16" s="102">
        <f t="shared" si="2"/>
        <v>3.4631225855553976E-2</v>
      </c>
      <c r="L16" s="102">
        <f t="shared" si="2"/>
        <v>4.701060244320665E-2</v>
      </c>
      <c r="M16" s="102">
        <f t="shared" si="2"/>
        <v>8.6607516124646081E-2</v>
      </c>
      <c r="N16" s="102">
        <f t="shared" si="2"/>
        <v>0.12363446377207729</v>
      </c>
      <c r="O16" s="102">
        <f t="shared" si="2"/>
        <v>0.14656241151424329</v>
      </c>
      <c r="P16" s="102">
        <f>SUM(D16:O16)</f>
        <v>1</v>
      </c>
    </row>
    <row r="17" spans="1:16" ht="15" customHeight="1" x14ac:dyDescent="0.3">
      <c r="A17" s="16">
        <f t="shared" si="0"/>
        <v>10</v>
      </c>
      <c r="B17" s="8"/>
      <c r="C17" s="16"/>
      <c r="D17" s="102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1:16" ht="15" customHeight="1" x14ac:dyDescent="0.3">
      <c r="A18" s="16">
        <f t="shared" si="0"/>
        <v>11</v>
      </c>
      <c r="B18" s="92" t="s">
        <v>114</v>
      </c>
      <c r="C18" s="16"/>
      <c r="D18" s="102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6" ht="15" customHeight="1" x14ac:dyDescent="0.3">
      <c r="A19" s="16">
        <f t="shared" si="0"/>
        <v>12</v>
      </c>
      <c r="B19" s="95" t="s">
        <v>77</v>
      </c>
      <c r="C19" s="16"/>
      <c r="D19" s="102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5" customHeight="1" x14ac:dyDescent="0.3">
      <c r="A20" s="16">
        <f t="shared" si="0"/>
        <v>13</v>
      </c>
      <c r="B20" s="8" t="s">
        <v>115</v>
      </c>
      <c r="C20" s="16" t="s">
        <v>116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03">
        <f>'Appendix 5, Page 2'!D13</f>
        <v>280.27999999999997</v>
      </c>
    </row>
    <row r="21" spans="1:16" ht="15" customHeight="1" x14ac:dyDescent="0.3">
      <c r="A21" s="16">
        <f t="shared" si="0"/>
        <v>14</v>
      </c>
      <c r="B21" s="8" t="s">
        <v>117</v>
      </c>
      <c r="C21" s="16" t="str">
        <f>"("&amp;A$12&amp;") x ("&amp;A20&amp;")"</f>
        <v>(5) x (13)</v>
      </c>
      <c r="D21" s="104">
        <f t="shared" ref="D21:O21" si="3">$P20*D$12</f>
        <v>48.137706084246098</v>
      </c>
      <c r="E21" s="104">
        <f t="shared" si="3"/>
        <v>40.073388678350121</v>
      </c>
      <c r="F21" s="104">
        <f t="shared" si="3"/>
        <v>34.218369443102773</v>
      </c>
      <c r="G21" s="104">
        <f t="shared" si="3"/>
        <v>22.042735795876393</v>
      </c>
      <c r="H21" s="104">
        <f t="shared" si="3"/>
        <v>12.281032305897392</v>
      </c>
      <c r="I21" s="104">
        <f t="shared" si="3"/>
        <v>8.0888741834433677</v>
      </c>
      <c r="J21" s="104">
        <f t="shared" si="3"/>
        <v>5.8833305156034115</v>
      </c>
      <c r="K21" s="104">
        <f t="shared" si="3"/>
        <v>5.3354769369810153</v>
      </c>
      <c r="L21" s="104">
        <f t="shared" si="3"/>
        <v>6.9655167030544396</v>
      </c>
      <c r="M21" s="104">
        <f t="shared" si="3"/>
        <v>16.602087047119149</v>
      </c>
      <c r="N21" s="104">
        <f t="shared" si="3"/>
        <v>33.14327239241473</v>
      </c>
      <c r="O21" s="104">
        <f t="shared" si="3"/>
        <v>47.508209913911003</v>
      </c>
      <c r="P21" s="103">
        <f>SUM(D21:O21)</f>
        <v>280.27999999999986</v>
      </c>
    </row>
    <row r="22" spans="1:16" ht="15" customHeight="1" x14ac:dyDescent="0.3">
      <c r="A22" s="16">
        <f t="shared" si="0"/>
        <v>15</v>
      </c>
      <c r="B22" s="8"/>
      <c r="C22" s="105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3"/>
    </row>
    <row r="23" spans="1:16" ht="15" customHeight="1" x14ac:dyDescent="0.3">
      <c r="A23" s="16">
        <f t="shared" si="0"/>
        <v>16</v>
      </c>
      <c r="B23" s="95" t="s">
        <v>113</v>
      </c>
      <c r="C23" s="105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3"/>
    </row>
    <row r="24" spans="1:16" ht="15" customHeight="1" x14ac:dyDescent="0.3">
      <c r="A24" s="16">
        <f t="shared" si="0"/>
        <v>17</v>
      </c>
      <c r="B24" s="8" t="s">
        <v>115</v>
      </c>
      <c r="C24" s="16" t="s">
        <v>116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3">
        <f>'Appendix 5, Page 2'!E13</f>
        <v>4509.33</v>
      </c>
    </row>
    <row r="25" spans="1:16" ht="15" customHeight="1" x14ac:dyDescent="0.3">
      <c r="A25" s="16">
        <f t="shared" si="0"/>
        <v>18</v>
      </c>
      <c r="B25" s="8" t="s">
        <v>117</v>
      </c>
      <c r="C25" s="16" t="str">
        <f>"("&amp;A$16&amp;") x ("&amp;A24&amp;")"</f>
        <v>(9) x (17)</v>
      </c>
      <c r="D25" s="104">
        <f t="shared" ref="D25:O25" si="4">$P24*D$16</f>
        <v>642.23525919067015</v>
      </c>
      <c r="E25" s="104">
        <f t="shared" si="4"/>
        <v>547.49948301856114</v>
      </c>
      <c r="F25" s="104">
        <f t="shared" si="4"/>
        <v>491.15466582936881</v>
      </c>
      <c r="G25" s="104">
        <f t="shared" si="4"/>
        <v>334.58697461438828</v>
      </c>
      <c r="H25" s="104">
        <f t="shared" si="4"/>
        <v>208.08129936813936</v>
      </c>
      <c r="I25" s="104">
        <f t="shared" si="4"/>
        <v>166.52662349562945</v>
      </c>
      <c r="J25" s="104">
        <f t="shared" si="4"/>
        <v>142.14700255957811</v>
      </c>
      <c r="K25" s="104">
        <f t="shared" si="4"/>
        <v>156.16362568722522</v>
      </c>
      <c r="L25" s="104">
        <f t="shared" si="4"/>
        <v>211.98631991522504</v>
      </c>
      <c r="M25" s="104">
        <f t="shared" si="4"/>
        <v>390.54187068635031</v>
      </c>
      <c r="N25" s="104">
        <f t="shared" si="4"/>
        <v>557.50859652134125</v>
      </c>
      <c r="O25" s="104">
        <f t="shared" si="4"/>
        <v>660.89827911352268</v>
      </c>
      <c r="P25" s="103">
        <f>SUM(D25:O25)</f>
        <v>4509.33</v>
      </c>
    </row>
    <row r="26" spans="1:16" ht="15" customHeight="1" x14ac:dyDescent="0.3">
      <c r="A26" s="16">
        <f t="shared" si="0"/>
        <v>19</v>
      </c>
      <c r="B26" s="8"/>
      <c r="C26" s="105"/>
      <c r="D26" s="16"/>
      <c r="E26" s="16"/>
      <c r="F26" s="16"/>
      <c r="G26" s="16"/>
      <c r="H26" s="8"/>
      <c r="I26" s="8"/>
      <c r="J26" s="8"/>
      <c r="K26" s="8"/>
      <c r="L26" s="8"/>
      <c r="M26" s="8"/>
      <c r="N26" s="8"/>
      <c r="O26" s="8"/>
      <c r="P26" s="103"/>
    </row>
    <row r="27" spans="1:16" ht="15" customHeight="1" x14ac:dyDescent="0.3">
      <c r="A27" s="16">
        <f t="shared" si="0"/>
        <v>20</v>
      </c>
      <c r="B27" s="96" t="s">
        <v>90</v>
      </c>
      <c r="C27" s="16"/>
      <c r="D27" s="16"/>
      <c r="E27" s="16"/>
      <c r="F27" s="16"/>
      <c r="G27" s="16"/>
      <c r="H27" s="8"/>
      <c r="I27" s="8"/>
      <c r="J27" s="8"/>
      <c r="K27" s="8"/>
      <c r="L27" s="8"/>
      <c r="M27" s="8"/>
      <c r="N27" s="8"/>
      <c r="O27" s="8"/>
      <c r="P27" s="8"/>
    </row>
    <row r="28" spans="1:16" ht="15" customHeight="1" x14ac:dyDescent="0.3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16" ht="15" customHeight="1" x14ac:dyDescent="0.3"/>
    <row r="30" spans="1:16" ht="15" customHeight="1" x14ac:dyDescent="0.3"/>
    <row r="31" spans="1:16" ht="15" customHeight="1" x14ac:dyDescent="0.3"/>
    <row r="32" spans="1:16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</sheetData>
  <mergeCells count="3">
    <mergeCell ref="A1:P1"/>
    <mergeCell ref="A2:P2"/>
    <mergeCell ref="A3:P3"/>
  </mergeCells>
  <printOptions horizontalCentered="1"/>
  <pageMargins left="0.18" right="0.19" top="0.9" bottom="0.75" header="0.6" footer="0.75"/>
  <pageSetup scale="62" orientation="landscape" r:id="rId1"/>
  <headerFooter scaleWithDoc="0">
    <oddHeader>&amp;CUG-140189  Authorized Decoupling Base</oddHeader>
    <oddFooter xml:space="preserve">&amp;C&amp;14APPENDIX 5, Page 3
ATTACHMENT B&amp;R&amp;14
Page &amp;P of 4          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155D1A13B81845BCDB9E0BC8A67242" ma:contentTypeVersion="175" ma:contentTypeDescription="" ma:contentTypeScope="" ma:versionID="497aa7b913c45b4e49d8e41b8d971f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2014-02-04T08:00:00+00:00</OpenedDate>
    <Date1 xmlns="dc463f71-b30c-4ab2-9473-d307f9d35888">2016-08-31T07:00:00+00:00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00556B0-6E59-4E39-A146-058E54B402A5}"/>
</file>

<file path=customXml/itemProps2.xml><?xml version="1.0" encoding="utf-8"?>
<ds:datastoreItem xmlns:ds="http://schemas.openxmlformats.org/officeDocument/2006/customXml" ds:itemID="{D151993A-AEEC-43F5-9C5C-E2CC391B5A9F}"/>
</file>

<file path=customXml/itemProps3.xml><?xml version="1.0" encoding="utf-8"?>
<ds:datastoreItem xmlns:ds="http://schemas.openxmlformats.org/officeDocument/2006/customXml" ds:itemID="{5B34943E-3164-4D5D-BF7A-EB6328E61377}"/>
</file>

<file path=customXml/itemProps4.xml><?xml version="1.0" encoding="utf-8"?>
<ds:datastoreItem xmlns:ds="http://schemas.openxmlformats.org/officeDocument/2006/customXml" ds:itemID="{65F6F3D0-89A4-4524-8506-5062517A5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Natural Gas Deferral</vt:lpstr>
      <vt:lpstr>Appendix 5, Page 1</vt:lpstr>
      <vt:lpstr>Appendix 5, Page 2</vt:lpstr>
      <vt:lpstr>Appendix 5, Page 3</vt:lpstr>
      <vt:lpstr>'Appendix 5, Page 1'!Print_Area</vt:lpstr>
      <vt:lpstr>'Appendix 5, Page 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2016-08-19T18:29:10Z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0x0101006E56B4D1795A2E4DB2F0B01679ED314A00B4155D1A13B81845BCDB9E0BC8A67242</vt:lpwstr>
  </property>
  <property fmtid="{D5CDD505-2E9C-101B-9397-08002B2CF9AE}" pid="3" name="_docset_NoMedatataSyncRequired">
    <vt:lpwstr>False</vt:lpwstr>
  </property>
</Properties>
</file>