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8800" windowHeight="11870"/>
  </bookViews>
  <sheets>
    <sheet name="Exh. JDT-14 Pg. 1 (BR-11)" sheetId="1" r:id="rId1"/>
    <sheet name="Exh. JDT-14 Pgs. 2-3 (BR-11)" sheetId="2" r:id="rId2"/>
    <sheet name="Exh. JDT-14 Pgs. 4-6 (BR-11)" sheetId="3" r:id="rId3"/>
    <sheet name="Exh. JDT-14 Pgs. 7-12 (BR-11)" sheetId="4" r:id="rId4"/>
    <sheet name="Exh. JDT-14 Pg. 13 (BR-11)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 localSheetId="0">0</definedName>
    <definedName name="_Order1">255</definedName>
    <definedName name="_Order2" localSheetId="0">0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.Avg">'[22]Avg Amts'!$A$5:$BP$34</definedName>
    <definedName name="Data.Qtrs.Avg">'[22]Avg Amts'!$A$5:$IV$5</definedName>
    <definedName name="data1">'[23]Mix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[24]Inputs!$D$11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'[25]Assumptions of Purchase'!$B$45</definedName>
    <definedName name="DisFac">'[7]Func Dist Factor Table'!$A$11:$G$25</definedName>
    <definedName name="DocketNumber">'[26]JHS-4'!$AP$2</definedName>
    <definedName name="DP.T">[4]INTERNAL!$A$46:$IV$48</definedName>
    <definedName name="EBFIT.T">[4]INTERNAL!$A$88:$IV$90</definedName>
    <definedName name="ee" hidden="1">{#N/A,#N/A,FALSE,"Month ";#N/A,#N/A,FALSE,"YTD";#N/A,#N/A,FALSE,"12 mo ended"}</definedName>
    <definedName name="EffTax">[18]INPUTS!$F$36</definedName>
    <definedName name="Electric_Prices">'[27]Monthly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[24]Inputs!$D$12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4AMA">[1]BS!$AE$7:$AE$3582</definedName>
    <definedName name="Feb09AMA">[2]BS!$AL$7:$AL$1725</definedName>
    <definedName name="Feb10AMA">[2]BS!$AX$7:$AX$1726</definedName>
    <definedName name="Fed_Cap_Tax">[28]Inputs!$E$112</definedName>
    <definedName name="FedTaxRate">[9]Assumptions!$C$33</definedName>
    <definedName name="FERC_Lookup">'[29]Map Table'!$E$2:$F$58</definedName>
    <definedName name="FIT">'[30]ROR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[31]Inputs!$N$18</definedName>
    <definedName name="JP_Bal">[32]ACCOUNTS!$AG$31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Docket_Number">'[19]KJB-12 Sum'!$AS$2</definedName>
    <definedName name="k_FITrate">'[19]KJB-3,11 Def'!$L$20</definedName>
    <definedName name="keep_Docket_Number">'[33]KJB-3 Sum'!$AQ$2</definedName>
    <definedName name="keep_FIT">'[33]KJB-7 Def'!$L$20</definedName>
    <definedName name="keep_KJB_3_Rate_Increase">'[33]KJB-7 Def'!$C$3</definedName>
    <definedName name="keep_KJB_4_Electric_Summary">'[33]KJB-3 Sum'!$AQ$3</definedName>
    <definedName name="keep_KJB_8_Common_Adjs">'[33]KJB-5 Cmn Adj'!$L$3</definedName>
    <definedName name="keep_KJB_9_Electric_Only">'[33]KJB-5 El Adj'!$E$3</definedName>
    <definedName name="keep_PSE">'[34]Gas Summary'!$I$5</definedName>
    <definedName name="keep_TESTYEAR">'[34]Gas Detail Pages'!$A$8</definedName>
    <definedName name="kp_DOCKET">'[34]Gas Detail Pages'!$A$9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[32]ACCOUNTS!$AG$167</definedName>
    <definedName name="LoadArray">'[35]Load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[36]M9100F4!$A$1:$V$99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[37]!menu1_Button5_Click</definedName>
    <definedName name="menu1_Button6_Click">[37]!menu1_Button6_Click</definedName>
    <definedName name="MERGER_COST">[38]Sheet1!$AF$3:$AJ$28</definedName>
    <definedName name="METER">[4]EXTERNAL!$A$34:$IV$36</definedName>
    <definedName name="Method">[10]Inputs!$C$6</definedName>
    <definedName name="monthlist">[39]Table!$R$2:$S$13</definedName>
    <definedName name="monthtotals">'[39]WA SBC'!$D$40:$O$40</definedName>
    <definedName name="MTD_Format">[40]Mthly!$B$11:$D$11,[40]Mthly!$B$32:$D$32</definedName>
    <definedName name="MTR_YR3">[41]Variables!$E$14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[42]Inputs!$N$18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'[43]Dist Misc'!$F$120</definedName>
    <definedName name="OthRCF">[44]INPUTS!$F$41</definedName>
    <definedName name="OthUnc">[4]INPUTS!$F$36</definedName>
    <definedName name="outlookdata">'[45]pivoted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ak_new_table">'[46]2008 Extreme Peaks - 080403'!$E$5:$AD$8</definedName>
    <definedName name="peak_table">'[46]Peaks-F01'!$C$5:$E$243</definedName>
    <definedName name="PeakMethod">[10]Inputs!$T$5</definedName>
    <definedName name="Percent_debt">[28]Inputs!$E$129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'[27]Monthly Price Summary'!$C$4:$H$63</definedName>
    <definedName name="_xlnm.Print_Area" localSheetId="0">'Exh. JDT-14 Pg. 1 (BR-11)'!$B$1:$W$43</definedName>
    <definedName name="_xlnm.Print_Area" localSheetId="4">'Exh. JDT-14 Pg. 13 (BR-11)'!$B$2:$N$29</definedName>
    <definedName name="_xlnm.Print_Area" localSheetId="1">'Exh. JDT-14 Pgs. 2-3 (BR-11)'!$B$2:$Q$50</definedName>
    <definedName name="_xlnm.Print_Area" localSheetId="2">'Exh. JDT-14 Pgs. 4-6 (BR-11)'!$B$2:$Q$126</definedName>
    <definedName name="_xlnm.Print_Area" localSheetId="3">'Exh. JDT-14 Pgs. 7-12 (BR-11)'!$B$2:$Q$221</definedName>
    <definedName name="_xlnm.Print_Titles" localSheetId="0">'Exh. JDT-14 Pg. 1 (BR-11)'!$B:$B,'Exh. JDT-14 Pg. 1 (BR-11)'!$1:$11</definedName>
    <definedName name="_xlnm.Print_Titles" localSheetId="1">'Exh. JDT-14 Pgs. 2-3 (BR-11)'!$2:$8</definedName>
    <definedName name="_xlnm.Print_Titles" localSheetId="2">'Exh. JDT-14 Pgs. 4-6 (BR-11)'!$1:$8</definedName>
    <definedName name="_xlnm.Print_Titles" localSheetId="3">'Exh. JDT-14 Pgs. 7-12 (BR-11)'!$1:$8</definedName>
    <definedName name="Prior_Month">[47]Sch_120!$I$21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[48]Sheet1!$A$1147:$B$1887</definedName>
    <definedName name="Prov_Cap_Tax">[28]Inputs!$E$111</definedName>
    <definedName name="PSE">'[49]4.04'!$A$6</definedName>
    <definedName name="PSE_Pre_Tax_Equity_Rate">'[25]Assumptions of Purchase'!$B$42</definedName>
    <definedName name="PTDGP.T">[4]INTERNAL!$A$64:$IV$66</definedName>
    <definedName name="PTDP.T">[4]INTERNAL!$A$67:$IV$69</definedName>
    <definedName name="QTD_Format">[50]QTD!$B$11:$D$11,[50]QTD!$B$35:$D$35</definedName>
    <definedName name="RATE2">'[20]Transp Data'!$A$8:$I$112</definedName>
    <definedName name="Rates">[51]Codes!$A$1:$C$500</definedName>
    <definedName name="RB.T">[4]INTERNAL!$A$70:$IV$72</definedName>
    <definedName name="RCF">[32]INPUTS!$F$48</definedName>
    <definedName name="Requlated_scenario">'[12]Assumptions (Input)'!$B$12</definedName>
    <definedName name="ResExchCrRate">[52]Sch_194!$M$31</definedName>
    <definedName name="RESID">[4]EXTERNAL!$A$88:$IV$90</definedName>
    <definedName name="resource_lookup">'[53]#REF'!$B$3:$C$112</definedName>
    <definedName name="ResourceSupplier">[11]Variables!$D$28</definedName>
    <definedName name="ResRCF">[18]INPUTS!$F$44</definedName>
    <definedName name="ResUnc">[18]INPUTS!$F$39</definedName>
    <definedName name="RevClass">[51]Codes!$F$2:$G$10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[44]INPUTS!$F$40</definedName>
    <definedName name="SbUnc">[4]INPUTS!$F$35</definedName>
    <definedName name="Sch194Rlfwd">'[54]Sch94 Rlfwd'!$B$11</definedName>
    <definedName name="Schedule">[42]Inputs!$N$14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'[26]JHS-6'!$A$7</definedName>
    <definedName name="TFR">[4]CLASSIFIERS!$A$11:$IV$11</definedName>
    <definedName name="ThermalBookLife">[9]Assumptions!$C$25</definedName>
    <definedName name="Title">[9]Assumptions!$A$1</definedName>
    <definedName name="Total_Payment">Scheduled_Payment+Extra_Payment</definedName>
    <definedName name="TotalRateBase">'[7]G+T+D+R+M'!$H$58</definedName>
    <definedName name="TP.T">[4]INTERNAL!$A$91:$IV$93</definedName>
    <definedName name="transdb">'[55]Transp Unbilled'!$A$8:$E$174</definedName>
    <definedName name="TRANSM_2">[56]Transm2!$A$1:$M$461:'[56]10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e" hidden="1">{#N/A,#N/A,FALSE,"Pg 6b CustCount_Gas";#N/A,#N/A,FALSE,"QA";#N/A,#N/A,FALSE,"Report";#N/A,#N/A,FALSE,"forecast"}</definedName>
    <definedName name="Winter">'[57]Input Tab'!$B$11</definedName>
    <definedName name="WinterPeak">'[58]Load Data'!$D$9:$H$12,'[58]Load Data'!$D$20:$H$22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UTC_Docket_No._UG_11____">'[6]MJS-6'!$F$2</definedName>
    <definedName name="WUTC_FILING_FEE">'[6]MJS-7'!$O$15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'[59]Revison Inputs'!$B$6</definedName>
    <definedName name="YEFactors">[8]Factors!$S$3:$AG$99</definedName>
    <definedName name="YTD_Format">[50]YTD!$B$13:$D$13,[50]YTD!$B$36:$D$36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5" l="1"/>
  <c r="N28" i="5"/>
  <c r="I28" i="5"/>
  <c r="H28" i="5"/>
  <c r="F28" i="5"/>
  <c r="J28" i="5" s="1"/>
  <c r="H27" i="5"/>
  <c r="I27" i="5" s="1"/>
  <c r="F27" i="5"/>
  <c r="I26" i="5"/>
  <c r="J26" i="5" s="1"/>
  <c r="H26" i="5"/>
  <c r="N26" i="5" s="1"/>
  <c r="F26" i="5"/>
  <c r="I25" i="5"/>
  <c r="J25" i="5" s="1"/>
  <c r="H25" i="5"/>
  <c r="N25" i="5" s="1"/>
  <c r="F25" i="5"/>
  <c r="N24" i="5"/>
  <c r="J24" i="5"/>
  <c r="I24" i="5"/>
  <c r="H24" i="5"/>
  <c r="F24" i="5"/>
  <c r="N23" i="5"/>
  <c r="H23" i="5"/>
  <c r="I23" i="5" s="1"/>
  <c r="F23" i="5"/>
  <c r="H22" i="5"/>
  <c r="N22" i="5" s="1"/>
  <c r="F22" i="5"/>
  <c r="I21" i="5"/>
  <c r="J21" i="5" s="1"/>
  <c r="H21" i="5"/>
  <c r="N21" i="5" s="1"/>
  <c r="F21" i="5"/>
  <c r="N20" i="5"/>
  <c r="J20" i="5"/>
  <c r="I20" i="5"/>
  <c r="H20" i="5"/>
  <c r="F20" i="5"/>
  <c r="H19" i="5"/>
  <c r="F19" i="5"/>
  <c r="H18" i="5"/>
  <c r="F18" i="5"/>
  <c r="I17" i="5"/>
  <c r="J17" i="5" s="1"/>
  <c r="H17" i="5"/>
  <c r="N17" i="5" s="1"/>
  <c r="F17" i="5"/>
  <c r="N16" i="5"/>
  <c r="J16" i="5"/>
  <c r="I16" i="5"/>
  <c r="H16" i="5"/>
  <c r="F16" i="5"/>
  <c r="H15" i="5"/>
  <c r="N15" i="5" s="1"/>
  <c r="F15" i="5"/>
  <c r="I14" i="5"/>
  <c r="J14" i="5" s="1"/>
  <c r="H14" i="5"/>
  <c r="N14" i="5" s="1"/>
  <c r="F14" i="5"/>
  <c r="H13" i="5"/>
  <c r="F13" i="5"/>
  <c r="H12" i="5"/>
  <c r="F12" i="5"/>
  <c r="B5" i="5"/>
  <c r="B3" i="5"/>
  <c r="F218" i="4"/>
  <c r="F217" i="4"/>
  <c r="D217" i="4"/>
  <c r="F199" i="4"/>
  <c r="D183" i="4"/>
  <c r="D182" i="4"/>
  <c r="D181" i="4"/>
  <c r="F180" i="4"/>
  <c r="D180" i="4"/>
  <c r="D179" i="4"/>
  <c r="D178" i="4"/>
  <c r="D184" i="4" s="1"/>
  <c r="D212" i="4" s="1"/>
  <c r="I175" i="4"/>
  <c r="F175" i="4"/>
  <c r="D173" i="4"/>
  <c r="D172" i="4"/>
  <c r="D166" i="4"/>
  <c r="D164" i="4"/>
  <c r="F163" i="4"/>
  <c r="F183" i="4" s="1"/>
  <c r="F162" i="4"/>
  <c r="F161" i="4"/>
  <c r="F181" i="4" s="1"/>
  <c r="H160" i="4"/>
  <c r="F160" i="4"/>
  <c r="H159" i="4"/>
  <c r="F159" i="4"/>
  <c r="F179" i="4" s="1"/>
  <c r="H158" i="4"/>
  <c r="F158" i="4"/>
  <c r="I155" i="4"/>
  <c r="H154" i="4"/>
  <c r="F154" i="4"/>
  <c r="Q153" i="4"/>
  <c r="I153" i="4"/>
  <c r="F153" i="4"/>
  <c r="F172" i="4" s="1"/>
  <c r="H145" i="4"/>
  <c r="D145" i="4"/>
  <c r="H144" i="4"/>
  <c r="I144" i="4" s="1"/>
  <c r="D141" i="4"/>
  <c r="D144" i="4" s="1"/>
  <c r="F144" i="4" s="1"/>
  <c r="H140" i="4"/>
  <c r="F140" i="4"/>
  <c r="H139" i="4"/>
  <c r="H162" i="4" s="1"/>
  <c r="F139" i="4"/>
  <c r="F182" i="4" s="1"/>
  <c r="H138" i="4"/>
  <c r="F138" i="4"/>
  <c r="Q137" i="4"/>
  <c r="I137" i="4"/>
  <c r="K137" i="4" s="1"/>
  <c r="H137" i="4"/>
  <c r="F137" i="4"/>
  <c r="Q136" i="4"/>
  <c r="K136" i="4"/>
  <c r="H136" i="4"/>
  <c r="I136" i="4" s="1"/>
  <c r="F136" i="4"/>
  <c r="Q135" i="4"/>
  <c r="I135" i="4"/>
  <c r="K135" i="4" s="1"/>
  <c r="H135" i="4"/>
  <c r="F135" i="4"/>
  <c r="F178" i="4" s="1"/>
  <c r="I132" i="4"/>
  <c r="K132" i="4" s="1"/>
  <c r="Q131" i="4"/>
  <c r="D131" i="4"/>
  <c r="I131" i="4" s="1"/>
  <c r="Q130" i="4"/>
  <c r="I130" i="4"/>
  <c r="F130" i="4"/>
  <c r="Q129" i="4"/>
  <c r="I129" i="4"/>
  <c r="F129" i="4"/>
  <c r="F118" i="4"/>
  <c r="D114" i="4"/>
  <c r="D115" i="4" s="1"/>
  <c r="D113" i="4"/>
  <c r="F110" i="4"/>
  <c r="I109" i="4"/>
  <c r="D108" i="4"/>
  <c r="D119" i="4" s="1"/>
  <c r="F107" i="4"/>
  <c r="D107" i="4"/>
  <c r="I101" i="4"/>
  <c r="D101" i="4"/>
  <c r="F101" i="4" s="1"/>
  <c r="F99" i="4"/>
  <c r="D99" i="4"/>
  <c r="I98" i="4"/>
  <c r="K98" i="4" s="1"/>
  <c r="H98" i="4"/>
  <c r="Q98" i="4" s="1"/>
  <c r="F98" i="4"/>
  <c r="F97" i="4"/>
  <c r="I94" i="4"/>
  <c r="K94" i="4" s="1"/>
  <c r="H93" i="4"/>
  <c r="Q93" i="4" s="1"/>
  <c r="F93" i="4"/>
  <c r="Q92" i="4"/>
  <c r="I92" i="4"/>
  <c r="K92" i="4" s="1"/>
  <c r="F92" i="4"/>
  <c r="I84" i="4"/>
  <c r="H84" i="4"/>
  <c r="D84" i="4"/>
  <c r="F84" i="4" s="1"/>
  <c r="F119" i="4" s="1"/>
  <c r="I83" i="4"/>
  <c r="H83" i="4"/>
  <c r="D80" i="4"/>
  <c r="D83" i="4" s="1"/>
  <c r="F83" i="4" s="1"/>
  <c r="F85" i="4" s="1"/>
  <c r="Q79" i="4"/>
  <c r="H79" i="4"/>
  <c r="I79" i="4" s="1"/>
  <c r="F79" i="4"/>
  <c r="F114" i="4" s="1"/>
  <c r="Q78" i="4"/>
  <c r="H78" i="4"/>
  <c r="F78" i="4"/>
  <c r="F113" i="4" s="1"/>
  <c r="I75" i="4"/>
  <c r="K75" i="4" s="1"/>
  <c r="Q74" i="4"/>
  <c r="I74" i="4"/>
  <c r="D74" i="4"/>
  <c r="D109" i="4" s="1"/>
  <c r="Q73" i="4"/>
  <c r="I73" i="4"/>
  <c r="F73" i="4"/>
  <c r="F108" i="4" s="1"/>
  <c r="Q72" i="4"/>
  <c r="I72" i="4"/>
  <c r="I107" i="4" s="1"/>
  <c r="F72" i="4"/>
  <c r="D58" i="4"/>
  <c r="D57" i="4"/>
  <c r="D56" i="4"/>
  <c r="D59" i="4" s="1"/>
  <c r="D210" i="4" s="1"/>
  <c r="F53" i="4"/>
  <c r="D51" i="4"/>
  <c r="D50" i="4"/>
  <c r="F44" i="4"/>
  <c r="D42" i="4"/>
  <c r="D44" i="4" s="1"/>
  <c r="D64" i="4" s="1"/>
  <c r="F41" i="4"/>
  <c r="H40" i="4"/>
  <c r="F40" i="4"/>
  <c r="F39" i="4"/>
  <c r="I35" i="4"/>
  <c r="H34" i="4"/>
  <c r="I34" i="4" s="1"/>
  <c r="F34" i="4"/>
  <c r="Q33" i="4"/>
  <c r="I33" i="4"/>
  <c r="F33" i="4"/>
  <c r="H25" i="4"/>
  <c r="F25" i="4"/>
  <c r="F63" i="4" s="1"/>
  <c r="D25" i="4"/>
  <c r="D63" i="4" s="1"/>
  <c r="H24" i="4"/>
  <c r="F24" i="4"/>
  <c r="D21" i="4"/>
  <c r="D24" i="4" s="1"/>
  <c r="H20" i="4"/>
  <c r="I20" i="4" s="1"/>
  <c r="F20" i="4"/>
  <c r="F58" i="4" s="1"/>
  <c r="Q19" i="4"/>
  <c r="I19" i="4"/>
  <c r="K19" i="4" s="1"/>
  <c r="H19" i="4"/>
  <c r="F19" i="4"/>
  <c r="Q18" i="4"/>
  <c r="H18" i="4"/>
  <c r="I18" i="4" s="1"/>
  <c r="F18" i="4"/>
  <c r="F56" i="4" s="1"/>
  <c r="K15" i="4"/>
  <c r="I15" i="4"/>
  <c r="Q14" i="4"/>
  <c r="D14" i="4"/>
  <c r="Q13" i="4"/>
  <c r="I13" i="4"/>
  <c r="F13" i="4"/>
  <c r="F51" i="4" s="1"/>
  <c r="Q12" i="4"/>
  <c r="I12" i="4"/>
  <c r="F12" i="4"/>
  <c r="B5" i="4"/>
  <c r="B3" i="4"/>
  <c r="D95" i="3"/>
  <c r="D123" i="3" s="1"/>
  <c r="D94" i="3"/>
  <c r="D93" i="3"/>
  <c r="D92" i="3"/>
  <c r="D89" i="3"/>
  <c r="F87" i="3"/>
  <c r="D87" i="3"/>
  <c r="D88" i="3" s="1"/>
  <c r="D77" i="3"/>
  <c r="Q76" i="3"/>
  <c r="H76" i="3"/>
  <c r="I76" i="3" s="1"/>
  <c r="I94" i="3" s="1"/>
  <c r="F76" i="3"/>
  <c r="F94" i="3" s="1"/>
  <c r="F75" i="3"/>
  <c r="F93" i="3" s="1"/>
  <c r="H71" i="3"/>
  <c r="I71" i="3" s="1"/>
  <c r="I89" i="3" s="1"/>
  <c r="F71" i="3"/>
  <c r="F89" i="3" s="1"/>
  <c r="F70" i="3"/>
  <c r="D70" i="3"/>
  <c r="Q69" i="3"/>
  <c r="I69" i="3"/>
  <c r="F69" i="3"/>
  <c r="H61" i="3"/>
  <c r="I61" i="3" s="1"/>
  <c r="I101" i="3" s="1"/>
  <c r="D61" i="3"/>
  <c r="F61" i="3" s="1"/>
  <c r="F101" i="3" s="1"/>
  <c r="H60" i="3"/>
  <c r="D60" i="3"/>
  <c r="Q56" i="3"/>
  <c r="D56" i="3"/>
  <c r="I56" i="3" s="1"/>
  <c r="D55" i="3"/>
  <c r="Q54" i="3"/>
  <c r="I54" i="3"/>
  <c r="K54" i="3" s="1"/>
  <c r="H54" i="3"/>
  <c r="F54" i="3"/>
  <c r="H53" i="3"/>
  <c r="F53" i="3"/>
  <c r="Q49" i="3"/>
  <c r="I49" i="3"/>
  <c r="F49" i="3"/>
  <c r="K49" i="3" s="1"/>
  <c r="D48" i="3"/>
  <c r="Q47" i="3"/>
  <c r="I47" i="3"/>
  <c r="F47" i="3"/>
  <c r="D40" i="3"/>
  <c r="D36" i="3"/>
  <c r="I35" i="3"/>
  <c r="D35" i="3"/>
  <c r="I29" i="3"/>
  <c r="F29" i="3"/>
  <c r="D29" i="3"/>
  <c r="D26" i="3"/>
  <c r="H25" i="3"/>
  <c r="F25" i="3"/>
  <c r="Q24" i="3"/>
  <c r="I24" i="3"/>
  <c r="F24" i="3"/>
  <c r="I17" i="3"/>
  <c r="H17" i="3"/>
  <c r="D17" i="3"/>
  <c r="F17" i="3" s="1"/>
  <c r="Q14" i="3"/>
  <c r="I14" i="3"/>
  <c r="F14" i="3"/>
  <c r="D14" i="3"/>
  <c r="D37" i="3" s="1"/>
  <c r="I13" i="3"/>
  <c r="K13" i="3" s="1"/>
  <c r="H13" i="3"/>
  <c r="Q13" i="3" s="1"/>
  <c r="F13" i="3"/>
  <c r="F36" i="3" s="1"/>
  <c r="Q12" i="3"/>
  <c r="I12" i="3"/>
  <c r="K12" i="3" s="1"/>
  <c r="F12" i="3"/>
  <c r="F35" i="3" s="1"/>
  <c r="B5" i="3"/>
  <c r="B3" i="3"/>
  <c r="D48" i="2"/>
  <c r="I39" i="2"/>
  <c r="K39" i="2" s="1"/>
  <c r="L39" i="2" s="1"/>
  <c r="H39" i="2"/>
  <c r="D39" i="2"/>
  <c r="F39" i="2" s="1"/>
  <c r="H35" i="2"/>
  <c r="Q35" i="2" s="1"/>
  <c r="F35" i="2"/>
  <c r="F41" i="2" s="1"/>
  <c r="L27" i="2"/>
  <c r="H27" i="2"/>
  <c r="F27" i="2"/>
  <c r="I27" i="2" s="1"/>
  <c r="K27" i="2" s="1"/>
  <c r="D27" i="2"/>
  <c r="I24" i="2"/>
  <c r="K24" i="2" s="1"/>
  <c r="F24" i="2"/>
  <c r="Q23" i="2"/>
  <c r="H23" i="2"/>
  <c r="I23" i="2" s="1"/>
  <c r="K23" i="2" s="1"/>
  <c r="K25" i="2" s="1"/>
  <c r="F23" i="2"/>
  <c r="F25" i="2" s="1"/>
  <c r="F29" i="2" s="1"/>
  <c r="H16" i="2"/>
  <c r="I16" i="2" s="1"/>
  <c r="K16" i="2" s="1"/>
  <c r="L16" i="2" s="1"/>
  <c r="F16" i="2"/>
  <c r="F46" i="2" s="1"/>
  <c r="D16" i="2"/>
  <c r="H13" i="2"/>
  <c r="H24" i="2" s="1"/>
  <c r="Q24" i="2" s="1"/>
  <c r="F13" i="2"/>
  <c r="Q12" i="2"/>
  <c r="K12" i="2"/>
  <c r="L12" i="2" s="1"/>
  <c r="I12" i="2"/>
  <c r="F12" i="2"/>
  <c r="F14" i="2" s="1"/>
  <c r="B5" i="2"/>
  <c r="B3" i="2"/>
  <c r="N28" i="1"/>
  <c r="D24" i="1"/>
  <c r="U23" i="1"/>
  <c r="Q23" i="1"/>
  <c r="S23" i="1" s="1"/>
  <c r="E23" i="1"/>
  <c r="K22" i="1"/>
  <c r="R21" i="1"/>
  <c r="R24" i="1" s="1"/>
  <c r="F21" i="1"/>
  <c r="F24" i="1" s="1"/>
  <c r="D21" i="1"/>
  <c r="C21" i="1"/>
  <c r="C24" i="1" s="1"/>
  <c r="R20" i="1"/>
  <c r="N20" i="1"/>
  <c r="L13" i="5" s="1"/>
  <c r="M20" i="1"/>
  <c r="E20" i="1"/>
  <c r="R19" i="1"/>
  <c r="S19" i="1" s="1"/>
  <c r="I217" i="4" s="1"/>
  <c r="K217" i="4" s="1"/>
  <c r="L217" i="4" s="1"/>
  <c r="K19" i="1"/>
  <c r="E19" i="1"/>
  <c r="T19" i="1" s="1"/>
  <c r="R18" i="1"/>
  <c r="E18" i="1"/>
  <c r="R17" i="1"/>
  <c r="K17" i="1"/>
  <c r="E17" i="1"/>
  <c r="R16" i="1"/>
  <c r="G16" i="1"/>
  <c r="E16" i="1"/>
  <c r="R15" i="1"/>
  <c r="E15" i="1"/>
  <c r="R14" i="1"/>
  <c r="E14" i="1"/>
  <c r="G13" i="1" s="1"/>
  <c r="R13" i="1"/>
  <c r="E13" i="1"/>
  <c r="K29" i="2" l="1"/>
  <c r="L29" i="2" s="1"/>
  <c r="L25" i="2"/>
  <c r="K47" i="3"/>
  <c r="I40" i="4"/>
  <c r="Q40" i="4"/>
  <c r="G18" i="1"/>
  <c r="G21" i="1" s="1"/>
  <c r="I25" i="2"/>
  <c r="I29" i="2" s="1"/>
  <c r="F40" i="3"/>
  <c r="F112" i="3"/>
  <c r="Q25" i="3"/>
  <c r="I25" i="3"/>
  <c r="K25" i="3" s="1"/>
  <c r="K35" i="3"/>
  <c r="I60" i="3"/>
  <c r="F60" i="3"/>
  <c r="K69" i="3"/>
  <c r="K18" i="4"/>
  <c r="G15" i="1"/>
  <c r="N29" i="1"/>
  <c r="V19" i="1"/>
  <c r="M19" i="1" s="1"/>
  <c r="U19" i="1"/>
  <c r="E21" i="1"/>
  <c r="E24" i="1" s="1"/>
  <c r="N27" i="1"/>
  <c r="F18" i="2"/>
  <c r="F47" i="2"/>
  <c r="I37" i="3"/>
  <c r="I27" i="3"/>
  <c r="I30" i="3" s="1"/>
  <c r="K24" i="3"/>
  <c r="I26" i="3"/>
  <c r="F26" i="3"/>
  <c r="F27" i="3" s="1"/>
  <c r="K29" i="3"/>
  <c r="F48" i="3"/>
  <c r="K61" i="3"/>
  <c r="K101" i="3" s="1"/>
  <c r="K20" i="4"/>
  <c r="F30" i="3"/>
  <c r="I53" i="3"/>
  <c r="K53" i="3" s="1"/>
  <c r="H52" i="3"/>
  <c r="H75" i="3"/>
  <c r="Q53" i="3"/>
  <c r="H48" i="3"/>
  <c r="G17" i="1"/>
  <c r="I14" i="2"/>
  <c r="F48" i="2"/>
  <c r="I46" i="2"/>
  <c r="I112" i="3"/>
  <c r="I40" i="3"/>
  <c r="K17" i="3"/>
  <c r="L17" i="3" s="1"/>
  <c r="I87" i="3"/>
  <c r="I50" i="4"/>
  <c r="K12" i="4"/>
  <c r="Q162" i="4"/>
  <c r="I162" i="4"/>
  <c r="K84" i="4"/>
  <c r="I119" i="4"/>
  <c r="K119" i="4" s="1"/>
  <c r="F211" i="4"/>
  <c r="F15" i="3"/>
  <c r="F117" i="3" s="1"/>
  <c r="D52" i="4"/>
  <c r="I14" i="4"/>
  <c r="F14" i="4"/>
  <c r="F52" i="4" s="1"/>
  <c r="F62" i="4"/>
  <c r="F65" i="4" s="1"/>
  <c r="F26" i="4"/>
  <c r="F198" i="4" s="1"/>
  <c r="K35" i="4"/>
  <c r="I53" i="4"/>
  <c r="K53" i="4" s="1"/>
  <c r="D213" i="4"/>
  <c r="F74" i="4"/>
  <c r="F109" i="4" s="1"/>
  <c r="F120" i="4"/>
  <c r="F121" i="4" s="1"/>
  <c r="F102" i="4"/>
  <c r="F164" i="4"/>
  <c r="I22" i="5"/>
  <c r="J22" i="5" s="1"/>
  <c r="G14" i="1"/>
  <c r="O20" i="1"/>
  <c r="I13" i="2"/>
  <c r="K13" i="2" s="1"/>
  <c r="L13" i="2" s="1"/>
  <c r="K14" i="3"/>
  <c r="K15" i="3" s="1"/>
  <c r="I15" i="3"/>
  <c r="D216" i="4"/>
  <c r="D219" i="4" s="1"/>
  <c r="D122" i="3"/>
  <c r="D124" i="3" s="1"/>
  <c r="F56" i="3"/>
  <c r="K71" i="3"/>
  <c r="K89" i="3" s="1"/>
  <c r="F64" i="4"/>
  <c r="F80" i="4"/>
  <c r="F205" i="4" s="1"/>
  <c r="K101" i="4"/>
  <c r="I120" i="4"/>
  <c r="K120" i="4" s="1"/>
  <c r="K109" i="4"/>
  <c r="D211" i="4"/>
  <c r="D118" i="4"/>
  <c r="D120" i="4" s="1"/>
  <c r="I174" i="4"/>
  <c r="D189" i="4"/>
  <c r="F166" i="4"/>
  <c r="I166" i="4"/>
  <c r="N12" i="5"/>
  <c r="I12" i="5"/>
  <c r="I15" i="5"/>
  <c r="J15" i="5" s="1"/>
  <c r="I19" i="5"/>
  <c r="J19" i="5" s="1"/>
  <c r="N19" i="5"/>
  <c r="F115" i="4"/>
  <c r="K153" i="4"/>
  <c r="I172" i="4"/>
  <c r="Q13" i="2"/>
  <c r="D81" i="3"/>
  <c r="D78" i="3"/>
  <c r="H41" i="4"/>
  <c r="Q20" i="4"/>
  <c r="I85" i="4"/>
  <c r="K83" i="4"/>
  <c r="I118" i="4"/>
  <c r="Q139" i="4"/>
  <c r="I139" i="4"/>
  <c r="K139" i="4" s="1"/>
  <c r="G20" i="1"/>
  <c r="I35" i="2"/>
  <c r="Q71" i="3"/>
  <c r="K76" i="3"/>
  <c r="K94" i="3" s="1"/>
  <c r="F50" i="4"/>
  <c r="K13" i="4"/>
  <c r="D62" i="4"/>
  <c r="I24" i="4"/>
  <c r="F87" i="4"/>
  <c r="F131" i="4"/>
  <c r="F174" i="4" s="1"/>
  <c r="I140" i="4"/>
  <c r="K140" i="4" s="1"/>
  <c r="Q140" i="4"/>
  <c r="H163" i="4"/>
  <c r="K144" i="4"/>
  <c r="I187" i="4"/>
  <c r="I146" i="4"/>
  <c r="I154" i="4"/>
  <c r="Q154" i="4"/>
  <c r="Q158" i="4"/>
  <c r="I158" i="4"/>
  <c r="I160" i="4"/>
  <c r="Q160" i="4"/>
  <c r="K175" i="4"/>
  <c r="F57" i="4"/>
  <c r="F42" i="4"/>
  <c r="F45" i="4" s="1"/>
  <c r="K34" i="4"/>
  <c r="H39" i="4"/>
  <c r="I44" i="4"/>
  <c r="I51" i="4"/>
  <c r="K51" i="4" s="1"/>
  <c r="K107" i="4"/>
  <c r="K73" i="4"/>
  <c r="K74" i="4"/>
  <c r="I114" i="4"/>
  <c r="K114" i="4" s="1"/>
  <c r="I110" i="4"/>
  <c r="K110" i="4" s="1"/>
  <c r="K130" i="4"/>
  <c r="H161" i="4"/>
  <c r="Q138" i="4"/>
  <c r="F187" i="4"/>
  <c r="F146" i="4"/>
  <c r="F200" i="4" s="1"/>
  <c r="Q159" i="4"/>
  <c r="I159" i="4"/>
  <c r="I13" i="5"/>
  <c r="J13" i="5" s="1"/>
  <c r="N13" i="5"/>
  <c r="K33" i="4"/>
  <c r="Q34" i="4"/>
  <c r="K72" i="4"/>
  <c r="H97" i="4"/>
  <c r="I78" i="4"/>
  <c r="K79" i="4"/>
  <c r="K129" i="4"/>
  <c r="I138" i="4"/>
  <c r="K138" i="4" s="1"/>
  <c r="F29" i="5"/>
  <c r="N18" i="5"/>
  <c r="I18" i="5"/>
  <c r="J18" i="5" s="1"/>
  <c r="I25" i="4"/>
  <c r="I145" i="4"/>
  <c r="J27" i="5"/>
  <c r="I93" i="4"/>
  <c r="F141" i="4"/>
  <c r="F145" i="4"/>
  <c r="F188" i="4" s="1"/>
  <c r="F173" i="4"/>
  <c r="F184" i="4" s="1"/>
  <c r="J23" i="5"/>
  <c r="N27" i="5"/>
  <c r="K19" i="3" l="1"/>
  <c r="L15" i="3"/>
  <c r="I99" i="4"/>
  <c r="I102" i="4" s="1"/>
  <c r="K93" i="4"/>
  <c r="I180" i="4"/>
  <c r="K180" i="4" s="1"/>
  <c r="K160" i="4"/>
  <c r="Q163" i="4"/>
  <c r="I163" i="4"/>
  <c r="I81" i="3"/>
  <c r="F81" i="3"/>
  <c r="F102" i="3" s="1"/>
  <c r="F189" i="4"/>
  <c r="F167" i="4"/>
  <c r="K50" i="4"/>
  <c r="F62" i="3"/>
  <c r="F100" i="3"/>
  <c r="F41" i="3"/>
  <c r="F190" i="4"/>
  <c r="F192" i="4" s="1"/>
  <c r="K44" i="4"/>
  <c r="I64" i="4"/>
  <c r="K64" i="4" s="1"/>
  <c r="K146" i="4"/>
  <c r="L146" i="4" s="1"/>
  <c r="I200" i="4"/>
  <c r="F123" i="4"/>
  <c r="I117" i="3"/>
  <c r="I19" i="3"/>
  <c r="I47" i="2"/>
  <c r="I18" i="2"/>
  <c r="K37" i="3"/>
  <c r="I188" i="4"/>
  <c r="K188" i="4" s="1"/>
  <c r="K145" i="4"/>
  <c r="I113" i="4"/>
  <c r="K113" i="4" s="1"/>
  <c r="K78" i="4"/>
  <c r="K159" i="4"/>
  <c r="I179" i="4"/>
  <c r="K179" i="4" s="1"/>
  <c r="I80" i="4"/>
  <c r="I205" i="4" s="1"/>
  <c r="K205" i="4" s="1"/>
  <c r="I108" i="4"/>
  <c r="Q39" i="4"/>
  <c r="I39" i="4"/>
  <c r="K187" i="4"/>
  <c r="K24" i="4"/>
  <c r="I26" i="4"/>
  <c r="I198" i="4" s="1"/>
  <c r="I62" i="4"/>
  <c r="F21" i="4"/>
  <c r="K35" i="2"/>
  <c r="I41" i="2"/>
  <c r="K118" i="4"/>
  <c r="K121" i="4" s="1"/>
  <c r="L121" i="4" s="1"/>
  <c r="I121" i="4"/>
  <c r="I41" i="4"/>
  <c r="Q41" i="4"/>
  <c r="K172" i="4"/>
  <c r="K131" i="4"/>
  <c r="I52" i="4"/>
  <c r="K52" i="4" s="1"/>
  <c r="K14" i="4"/>
  <c r="I21" i="4"/>
  <c r="K56" i="3"/>
  <c r="K112" i="3"/>
  <c r="I75" i="3"/>
  <c r="Q75" i="3"/>
  <c r="F37" i="3"/>
  <c r="F38" i="3" s="1"/>
  <c r="F57" i="3"/>
  <c r="K26" i="3"/>
  <c r="K87" i="3"/>
  <c r="F19" i="3"/>
  <c r="K40" i="4"/>
  <c r="I57" i="4"/>
  <c r="K57" i="4" s="1"/>
  <c r="K80" i="4"/>
  <c r="I173" i="4"/>
  <c r="K173" i="4" s="1"/>
  <c r="K154" i="4"/>
  <c r="I199" i="4"/>
  <c r="I141" i="4"/>
  <c r="H70" i="3"/>
  <c r="Q48" i="3"/>
  <c r="K158" i="4"/>
  <c r="I178" i="4"/>
  <c r="K178" i="4" s="1"/>
  <c r="F59" i="4"/>
  <c r="F67" i="4" s="1"/>
  <c r="J12" i="5"/>
  <c r="J29" i="5" s="1"/>
  <c r="I29" i="5"/>
  <c r="K162" i="4"/>
  <c r="I182" i="4"/>
  <c r="K182" i="4" s="1"/>
  <c r="K40" i="3"/>
  <c r="L40" i="3" s="1"/>
  <c r="J14" i="1"/>
  <c r="K14" i="1" s="1"/>
  <c r="J16" i="1"/>
  <c r="K16" i="1" s="1"/>
  <c r="J18" i="1"/>
  <c r="K18" i="1" s="1"/>
  <c r="J15" i="1"/>
  <c r="K15" i="1" s="1"/>
  <c r="J13" i="1"/>
  <c r="K13" i="1" s="1"/>
  <c r="I100" i="3"/>
  <c r="I62" i="3"/>
  <c r="K60" i="3"/>
  <c r="F206" i="4"/>
  <c r="F212" i="4" s="1"/>
  <c r="F148" i="4"/>
  <c r="K25" i="4"/>
  <c r="I63" i="4"/>
  <c r="K63" i="4" s="1"/>
  <c r="Q97" i="4"/>
  <c r="I97" i="4"/>
  <c r="K97" i="4" s="1"/>
  <c r="Q161" i="4"/>
  <c r="I161" i="4"/>
  <c r="K85" i="4"/>
  <c r="I78" i="3"/>
  <c r="F78" i="3"/>
  <c r="F79" i="3" s="1"/>
  <c r="F82" i="3" s="1"/>
  <c r="D96" i="3"/>
  <c r="I189" i="4"/>
  <c r="K189" i="4" s="1"/>
  <c r="K166" i="4"/>
  <c r="K174" i="4"/>
  <c r="F201" i="4"/>
  <c r="K21" i="4"/>
  <c r="I36" i="3"/>
  <c r="K46" i="2"/>
  <c r="I48" i="2"/>
  <c r="Q52" i="3"/>
  <c r="H74" i="3"/>
  <c r="Q74" i="3" s="1"/>
  <c r="I48" i="3"/>
  <c r="K27" i="3"/>
  <c r="K30" i="3" s="1"/>
  <c r="F122" i="3"/>
  <c r="K14" i="2"/>
  <c r="F88" i="3"/>
  <c r="K161" i="4" l="1"/>
  <c r="K164" i="4" s="1"/>
  <c r="I181" i="4"/>
  <c r="K21" i="1"/>
  <c r="I59" i="4"/>
  <c r="I67" i="4" s="1"/>
  <c r="K48" i="3"/>
  <c r="K57" i="3" s="1"/>
  <c r="I57" i="3"/>
  <c r="I96" i="3"/>
  <c r="K78" i="3"/>
  <c r="K96" i="3" s="1"/>
  <c r="K100" i="3"/>
  <c r="K62" i="3"/>
  <c r="F96" i="3"/>
  <c r="F97" i="3" s="1"/>
  <c r="F105" i="3" s="1"/>
  <c r="F216" i="4" s="1"/>
  <c r="F219" i="4" s="1"/>
  <c r="K198" i="4"/>
  <c r="K201" i="4" s="1"/>
  <c r="I201" i="4"/>
  <c r="Q14" i="1"/>
  <c r="K117" i="3"/>
  <c r="K81" i="3"/>
  <c r="K102" i="3" s="1"/>
  <c r="I102" i="3"/>
  <c r="I103" i="3" s="1"/>
  <c r="K36" i="3"/>
  <c r="K38" i="3" s="1"/>
  <c r="I38" i="3"/>
  <c r="I41" i="3" s="1"/>
  <c r="K87" i="4"/>
  <c r="L87" i="4" s="1"/>
  <c r="L85" i="4"/>
  <c r="I113" i="3"/>
  <c r="Q70" i="3"/>
  <c r="I70" i="3"/>
  <c r="I87" i="4"/>
  <c r="L80" i="4"/>
  <c r="F118" i="3"/>
  <c r="F119" i="3" s="1"/>
  <c r="I204" i="4"/>
  <c r="I28" i="4"/>
  <c r="Q16" i="1"/>
  <c r="K41" i="4"/>
  <c r="I58" i="4"/>
  <c r="K58" i="4" s="1"/>
  <c r="L35" i="2"/>
  <c r="K41" i="2"/>
  <c r="L41" i="2" s="1"/>
  <c r="K26" i="4"/>
  <c r="L26" i="4" s="1"/>
  <c r="Q13" i="1"/>
  <c r="K47" i="2"/>
  <c r="L47" i="2" s="1"/>
  <c r="F103" i="3"/>
  <c r="K163" i="4"/>
  <c r="I183" i="4"/>
  <c r="K183" i="4" s="1"/>
  <c r="L19" i="3"/>
  <c r="I148" i="4"/>
  <c r="I206" i="4"/>
  <c r="K206" i="4" s="1"/>
  <c r="K141" i="4"/>
  <c r="Q18" i="1"/>
  <c r="K62" i="4"/>
  <c r="K65" i="4" s="1"/>
  <c r="L65" i="4" s="1"/>
  <c r="I65" i="4"/>
  <c r="I190" i="4"/>
  <c r="K18" i="2"/>
  <c r="L18" i="2" s="1"/>
  <c r="L14" i="2"/>
  <c r="I164" i="4"/>
  <c r="I167" i="4" s="1"/>
  <c r="K75" i="3"/>
  <c r="K93" i="3" s="1"/>
  <c r="I93" i="3"/>
  <c r="K39" i="4"/>
  <c r="K42" i="4" s="1"/>
  <c r="L42" i="4" s="1"/>
  <c r="I42" i="4"/>
  <c r="I45" i="4" s="1"/>
  <c r="I56" i="4"/>
  <c r="K56" i="4" s="1"/>
  <c r="K59" i="4"/>
  <c r="K28" i="4"/>
  <c r="L28" i="4" s="1"/>
  <c r="L21" i="4"/>
  <c r="L15" i="5"/>
  <c r="Q20" i="1"/>
  <c r="K199" i="4"/>
  <c r="I211" i="4"/>
  <c r="K211" i="4" s="1"/>
  <c r="I122" i="3"/>
  <c r="F204" i="4"/>
  <c r="F28" i="4"/>
  <c r="K190" i="4"/>
  <c r="L190" i="4" s="1"/>
  <c r="K108" i="4"/>
  <c r="K115" i="4" s="1"/>
  <c r="I115" i="4"/>
  <c r="K200" i="4"/>
  <c r="F64" i="3"/>
  <c r="F113" i="3"/>
  <c r="K99" i="4"/>
  <c r="K102" i="4" s="1"/>
  <c r="L164" i="4" l="1"/>
  <c r="K167" i="4"/>
  <c r="L167" i="4" s="1"/>
  <c r="T16" i="1"/>
  <c r="S16" i="1"/>
  <c r="K113" i="3"/>
  <c r="K114" i="3" s="1"/>
  <c r="I114" i="3"/>
  <c r="S14" i="1"/>
  <c r="T14" i="1"/>
  <c r="K181" i="4"/>
  <c r="K184" i="4" s="1"/>
  <c r="I184" i="4"/>
  <c r="I192" i="4" s="1"/>
  <c r="L115" i="4"/>
  <c r="K123" i="4"/>
  <c r="L123" i="4" s="1"/>
  <c r="T13" i="1"/>
  <c r="S13" i="1"/>
  <c r="T20" i="1"/>
  <c r="S20" i="1"/>
  <c r="I218" i="4" s="1"/>
  <c r="K218" i="4" s="1"/>
  <c r="L218" i="4" s="1"/>
  <c r="K48" i="2"/>
  <c r="L48" i="2" s="1"/>
  <c r="I207" i="4"/>
  <c r="K204" i="4"/>
  <c r="K207" i="4" s="1"/>
  <c r="L62" i="3"/>
  <c r="K64" i="3"/>
  <c r="L64" i="3" s="1"/>
  <c r="I118" i="3"/>
  <c r="I123" i="4"/>
  <c r="Q17" i="1"/>
  <c r="F207" i="4"/>
  <c r="F210" i="4"/>
  <c r="F213" i="4" s="1"/>
  <c r="L59" i="4"/>
  <c r="K67" i="4"/>
  <c r="L67" i="4" s="1"/>
  <c r="L38" i="3"/>
  <c r="K41" i="3"/>
  <c r="L41" i="3" s="1"/>
  <c r="K45" i="4"/>
  <c r="L45" i="4" s="1"/>
  <c r="I212" i="4"/>
  <c r="K212" i="4" s="1"/>
  <c r="K122" i="3"/>
  <c r="T18" i="1"/>
  <c r="S18" i="1"/>
  <c r="F123" i="3"/>
  <c r="F124" i="3" s="1"/>
  <c r="F114" i="3"/>
  <c r="K148" i="4"/>
  <c r="L148" i="4" s="1"/>
  <c r="L141" i="4"/>
  <c r="K70" i="3"/>
  <c r="I88" i="3"/>
  <c r="I97" i="3" s="1"/>
  <c r="I105" i="3" s="1"/>
  <c r="I79" i="3"/>
  <c r="I82" i="3" s="1"/>
  <c r="I64" i="3"/>
  <c r="L117" i="3"/>
  <c r="I210" i="4"/>
  <c r="K103" i="3"/>
  <c r="L103" i="3" s="1"/>
  <c r="L57" i="3"/>
  <c r="K24" i="1"/>
  <c r="K118" i="3" l="1"/>
  <c r="Q15" i="1"/>
  <c r="I119" i="3"/>
  <c r="L17" i="1"/>
  <c r="N17" i="1" s="1"/>
  <c r="L16" i="1"/>
  <c r="N16" i="1" s="1"/>
  <c r="L15" i="1"/>
  <c r="N15" i="1" s="1"/>
  <c r="L13" i="1"/>
  <c r="L14" i="1"/>
  <c r="N14" i="1" s="1"/>
  <c r="L18" i="1"/>
  <c r="N18" i="1" s="1"/>
  <c r="V13" i="1"/>
  <c r="U13" i="1"/>
  <c r="S17" i="1"/>
  <c r="T17" i="1"/>
  <c r="L184" i="4"/>
  <c r="K192" i="4"/>
  <c r="L192" i="4" s="1"/>
  <c r="I123" i="3"/>
  <c r="K88" i="3"/>
  <c r="K97" i="3" s="1"/>
  <c r="K79" i="3"/>
  <c r="L122" i="3"/>
  <c r="U16" i="1"/>
  <c r="W16" i="1"/>
  <c r="V16" i="1"/>
  <c r="L19" i="1"/>
  <c r="N19" i="1" s="1"/>
  <c r="O19" i="1" s="1"/>
  <c r="I213" i="4"/>
  <c r="K210" i="4"/>
  <c r="K213" i="4" s="1"/>
  <c r="I216" i="4"/>
  <c r="W18" i="1"/>
  <c r="V18" i="1"/>
  <c r="U18" i="1"/>
  <c r="U20" i="1"/>
  <c r="W20" i="1"/>
  <c r="V20" i="1"/>
  <c r="V14" i="1"/>
  <c r="U14" i="1"/>
  <c r="L79" i="3" l="1"/>
  <c r="K82" i="3"/>
  <c r="L82" i="3" s="1"/>
  <c r="O72" i="4"/>
  <c r="O74" i="4" s="1"/>
  <c r="M17" i="1"/>
  <c r="O17" i="1"/>
  <c r="K105" i="3"/>
  <c r="L105" i="3" s="1"/>
  <c r="L97" i="3"/>
  <c r="L21" i="1"/>
  <c r="N13" i="1"/>
  <c r="O15" i="1"/>
  <c r="O47" i="3"/>
  <c r="O49" i="3" s="1"/>
  <c r="M15" i="1"/>
  <c r="T15" i="1"/>
  <c r="S15" i="1"/>
  <c r="S21" i="1" s="1"/>
  <c r="S24" i="1" s="1"/>
  <c r="Q21" i="1"/>
  <c r="Q24" i="1" s="1"/>
  <c r="M14" i="1"/>
  <c r="O12" i="3"/>
  <c r="O14" i="3" s="1"/>
  <c r="O14" i="1"/>
  <c r="W17" i="1"/>
  <c r="V17" i="1"/>
  <c r="U17" i="1"/>
  <c r="I219" i="4"/>
  <c r="K216" i="4"/>
  <c r="K123" i="3"/>
  <c r="I124" i="3"/>
  <c r="W14" i="1"/>
  <c r="O129" i="4"/>
  <c r="O131" i="4" s="1"/>
  <c r="O18" i="1"/>
  <c r="M18" i="1"/>
  <c r="O12" i="4"/>
  <c r="O14" i="4" s="1"/>
  <c r="O16" i="1"/>
  <c r="M16" i="1"/>
  <c r="L118" i="3"/>
  <c r="K119" i="3"/>
  <c r="L119" i="3" s="1"/>
  <c r="K219" i="4" l="1"/>
  <c r="L219" i="4" s="1"/>
  <c r="L216" i="4"/>
  <c r="W15" i="1"/>
  <c r="V15" i="1"/>
  <c r="U15" i="1"/>
  <c r="T21" i="1"/>
  <c r="M13" i="1"/>
  <c r="O13" i="1"/>
  <c r="O21" i="1" s="1"/>
  <c r="O12" i="2"/>
  <c r="O14" i="2" s="1"/>
  <c r="N21" i="1"/>
  <c r="N24" i="1" s="1"/>
  <c r="W13" i="1"/>
  <c r="W21" i="1" s="1"/>
  <c r="W24" i="1" s="1"/>
  <c r="T32" i="1" s="1"/>
  <c r="L123" i="3"/>
  <c r="K124" i="3"/>
  <c r="L124" i="3" s="1"/>
  <c r="U21" i="1" l="1"/>
  <c r="T24" i="1"/>
  <c r="V21" i="1"/>
  <c r="O35" i="2"/>
  <c r="O37" i="2" s="1"/>
  <c r="U24" i="1" l="1"/>
  <c r="V24" i="1"/>
</calcChain>
</file>

<file path=xl/comments1.xml><?xml version="1.0" encoding="utf-8"?>
<comments xmlns="http://schemas.openxmlformats.org/spreadsheetml/2006/main">
  <authors>
    <author>jphelp</author>
  </authors>
  <commentList>
    <comment ref="F52" authorId="0" shape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  <comment ref="F74" authorId="0" shape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  <comment ref="F92" authorId="0" shape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</commentList>
</comments>
</file>

<file path=xl/sharedStrings.xml><?xml version="1.0" encoding="utf-8"?>
<sst xmlns="http://schemas.openxmlformats.org/spreadsheetml/2006/main" count="656" uniqueCount="224">
  <si>
    <t>Puget Sound Energy</t>
  </si>
  <si>
    <t>2019 Gas General Rate Case Filing</t>
  </si>
  <si>
    <t>Allocation of Revenue Deficiency to Rate Classes</t>
  </si>
  <si>
    <t>Test Year Ended December 31, 2018</t>
  </si>
  <si>
    <t>Percent</t>
  </si>
  <si>
    <t>Pro forma</t>
  </si>
  <si>
    <t>of Total</t>
  </si>
  <si>
    <t>Initial</t>
  </si>
  <si>
    <t>Proposed</t>
  </si>
  <si>
    <t>Over</t>
  </si>
  <si>
    <t>Revenue at</t>
  </si>
  <si>
    <t>Gas Revenue</t>
  </si>
  <si>
    <t>Margin</t>
  </si>
  <si>
    <t>Allocation</t>
  </si>
  <si>
    <t>Total</t>
  </si>
  <si>
    <t>Parity</t>
  </si>
  <si>
    <t>Calculated</t>
  </si>
  <si>
    <t>(Under)</t>
  </si>
  <si>
    <t>Existing</t>
  </si>
  <si>
    <t>at Existing</t>
  </si>
  <si>
    <t>Volume</t>
  </si>
  <si>
    <t>Less</t>
  </si>
  <si>
    <t>Targeted</t>
  </si>
  <si>
    <t>Increase Less</t>
  </si>
  <si>
    <t>of</t>
  </si>
  <si>
    <t>Ratio After</t>
  </si>
  <si>
    <t>Change in</t>
  </si>
  <si>
    <t>Total (2)</t>
  </si>
  <si>
    <t>Margin (3)</t>
  </si>
  <si>
    <t>Target</t>
  </si>
  <si>
    <t>Rate Class</t>
  </si>
  <si>
    <t>Rates</t>
  </si>
  <si>
    <t>Rates (1)</t>
  </si>
  <si>
    <t>(Therms)</t>
  </si>
  <si>
    <t>Contracts</t>
  </si>
  <si>
    <t>Ratio</t>
  </si>
  <si>
    <t>Increase</t>
  </si>
  <si>
    <t>Delta</t>
  </si>
  <si>
    <t>Revenue</t>
  </si>
  <si>
    <t>Spread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</si>
  <si>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</si>
  <si>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</si>
  <si>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</si>
  <si>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</si>
  <si>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</si>
  <si>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</si>
  <si>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</si>
  <si>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</si>
  <si>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</si>
  <si>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</si>
  <si>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</si>
  <si>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</si>
  <si>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</si>
  <si>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</si>
  <si>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</si>
  <si>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</si>
  <si>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</si>
  <si>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</si>
  <si>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Residential (16,23,53)</t>
  </si>
  <si>
    <t>System</t>
  </si>
  <si>
    <t>Commercial &amp; industrial (31,31T)</t>
  </si>
  <si>
    <t>150x</t>
  </si>
  <si>
    <t>Large volume (41,41T)</t>
  </si>
  <si>
    <t>50x</t>
  </si>
  <si>
    <t>Interruptible (85, 85T)</t>
  </si>
  <si>
    <t>Limited interruptible (86, 86T)</t>
  </si>
  <si>
    <t>No Increase</t>
  </si>
  <si>
    <t>Non exclusive interruptible (87,87T)</t>
  </si>
  <si>
    <t>Rentals</t>
  </si>
  <si>
    <t>At Cost to Serve</t>
  </si>
  <si>
    <t>Subtotal revenue from rates</t>
  </si>
  <si>
    <t>Other revenue</t>
  </si>
  <si>
    <t>DELTA</t>
  </si>
  <si>
    <t>Proposed total increase</t>
  </si>
  <si>
    <t>Average increase on margin (includes rentals, excludes contracts)</t>
  </si>
  <si>
    <t>Average increase on total (includes rentals, excludes contracts)</t>
  </si>
  <si>
    <t>Average increase on margin after contracts</t>
  </si>
  <si>
    <t>Rounding error</t>
  </si>
  <si>
    <t>(1) Pro forma gas revenue at current Schedule 101 rates (effective 11-1-18) in effect at the time of filing.</t>
  </si>
  <si>
    <t>(2) Calculated margin increase (column O) divided by pro forma revenue at existing rates (column B).</t>
  </si>
  <si>
    <t>(3) Calculated margin increase (column O) divided by pro forma margin at existing rates (column D).</t>
  </si>
  <si>
    <t>Mitigation Strategy</t>
  </si>
  <si>
    <t>Apply the system average increase to those classes with parity percentages between 90 percent and 110 percent</t>
  </si>
  <si>
    <t>Apply 50 percent of the average increase to those classes between 110 and 150 percent of parity</t>
  </si>
  <si>
    <t>Apply no increase to those above 150 percent of parity</t>
  </si>
  <si>
    <t>Apply 150 percent of the average increase to those below 90 percent of parity</t>
  </si>
  <si>
    <t xml:space="preserve"> </t>
  </si>
  <si>
    <t>Current and Proposed Rates by Rate Schedule (Schedules 16, 23 &amp; 53)</t>
  </si>
  <si>
    <t xml:space="preserve">Billing </t>
  </si>
  <si>
    <t>Current</t>
  </si>
  <si>
    <t xml:space="preserve">Difference </t>
  </si>
  <si>
    <t>Resulting</t>
  </si>
  <si>
    <t>Description</t>
  </si>
  <si>
    <t>Units</t>
  </si>
  <si>
    <t>Determinants</t>
  </si>
  <si>
    <t>Revenues</t>
  </si>
  <si>
    <t>$</t>
  </si>
  <si>
    <t>%</t>
  </si>
  <si>
    <t>Schedule 23</t>
  </si>
  <si>
    <t>TARGET 23/53</t>
  </si>
  <si>
    <t>Basic Charge</t>
  </si>
  <si>
    <t>Bills</t>
  </si>
  <si>
    <t>Delivery Charge</t>
  </si>
  <si>
    <t>Therms</t>
  </si>
  <si>
    <t>over (under)</t>
  </si>
  <si>
    <t>Gas Revenue (Schedule 101) (1)</t>
  </si>
  <si>
    <t>Total Revenues</t>
  </si>
  <si>
    <t>Schedule 53</t>
  </si>
  <si>
    <t>Total Delivery Charges</t>
  </si>
  <si>
    <t>Gas Revenue (Schedule 101)</t>
  </si>
  <si>
    <t>Schedule 16</t>
  </si>
  <si>
    <t>TARGET 16</t>
  </si>
  <si>
    <t>Total Delivery Charge</t>
  </si>
  <si>
    <t>Mantles</t>
  </si>
  <si>
    <t>Calculated Total Therms</t>
  </si>
  <si>
    <t>Residential Summary</t>
  </si>
  <si>
    <t>Change</t>
  </si>
  <si>
    <t>Total Residential Gas (Schedule 101) Revenues</t>
  </si>
  <si>
    <t>Total Residential Margin Revenues</t>
  </si>
  <si>
    <t>Total Residential Revenues</t>
  </si>
  <si>
    <t>(1) Schedule 101 rates in effective November 1, 2018</t>
  </si>
  <si>
    <t>Current and Proposed Rates by Rate Schedule (Schedules 31, 31T, 41 &amp; 41T)</t>
  </si>
  <si>
    <t>Schedule 31 - Sales</t>
  </si>
  <si>
    <t>TARGET 31/31T</t>
  </si>
  <si>
    <t>Procurement Charge</t>
  </si>
  <si>
    <t>Schedule 31 - Transportation</t>
  </si>
  <si>
    <t>Gas Balancing Service Charge</t>
  </si>
  <si>
    <t>Schedule 31 - Total</t>
  </si>
  <si>
    <t>Schedule 41 - Sales</t>
  </si>
  <si>
    <t>TARGET 41/41T</t>
  </si>
  <si>
    <t>Minimum Bill</t>
  </si>
  <si>
    <t>Demand Charge</t>
  </si>
  <si>
    <t>Demand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</si>
  <si>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</si>
  <si>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</si>
  <si>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</si>
  <si>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</si>
  <si>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</si>
  <si>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</si>
  <si>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Volumetric Charge</t>
  </si>
  <si>
    <t>Total Gas Revenue</t>
  </si>
  <si>
    <t>Schedule 41 - Transportation</t>
  </si>
  <si>
    <t>Schedule 41 - Total</t>
  </si>
  <si>
    <t>Commercial &amp; Industrial Summary</t>
  </si>
  <si>
    <t>Total Gas (Schedule 101) Revenues</t>
  </si>
  <si>
    <t>Schedules 31, 31T, 61</t>
  </si>
  <si>
    <t>Schedule 41, 41T</t>
  </si>
  <si>
    <t>Total Margin Revenues</t>
  </si>
  <si>
    <t>Schedules 31, 31T</t>
  </si>
  <si>
    <t>Total Revenue</t>
  </si>
  <si>
    <t>Current and Proposed Rates by Rate Schedule (Schedules 85, 85T, 86, 86T, 87 &amp; 87T)</t>
  </si>
  <si>
    <t>Schedule 85 - Sales</t>
  </si>
  <si>
    <t>TARGET 85/85T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</si>
  <si>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</si>
  <si>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</si>
  <si>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</si>
  <si>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</si>
  <si>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</si>
  <si>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</si>
  <si>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85 - Total</t>
  </si>
  <si>
    <t>Schedule 86 - Sales</t>
  </si>
  <si>
    <t>TARGET 86/86T</t>
  </si>
  <si>
    <t>First 1,000 therms</t>
  </si>
  <si>
    <t>All over 1,000 therms</t>
  </si>
  <si>
    <t>Schedule 86 - Transportation</t>
  </si>
  <si>
    <t>Schedule 86 - Total</t>
  </si>
  <si>
    <t>Schedule 87 - Sales</t>
  </si>
  <si>
    <t>TARGET 87/87T</t>
  </si>
  <si>
    <t>Next 100,000 therms</t>
  </si>
  <si>
    <t>Next 300,000 therms</t>
  </si>
  <si>
    <t>All over 500,000 therms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</si>
  <si>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</si>
  <si>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</si>
  <si>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</si>
  <si>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</si>
  <si>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</si>
  <si>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</si>
  <si>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</si>
  <si>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</si>
  <si>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Plus Rentals</t>
  </si>
  <si>
    <t>Grand Total</t>
  </si>
  <si>
    <t>Current and Proposed Rates by Rate Schedule (Rental Schedules 71, 72 &amp; 74)</t>
  </si>
  <si>
    <t>Rate</t>
  </si>
  <si>
    <t>Annual</t>
  </si>
  <si>
    <t xml:space="preserve">Under </t>
  </si>
  <si>
    <t>Schedule</t>
  </si>
  <si>
    <t>Charges</t>
  </si>
  <si>
    <t>Existing Rates</t>
  </si>
  <si>
    <t>Proposed Rates</t>
  </si>
  <si>
    <t>71G-A</t>
  </si>
  <si>
    <t xml:space="preserve">Standard Models </t>
  </si>
  <si>
    <t>TARGET RENTALS</t>
  </si>
  <si>
    <t>71G-B</t>
  </si>
  <si>
    <t xml:space="preserve">Conservation Models </t>
  </si>
  <si>
    <t>71G-C</t>
  </si>
  <si>
    <t xml:space="preserve">Direct Vent Models </t>
  </si>
  <si>
    <t>71G-D</t>
  </si>
  <si>
    <t xml:space="preserve">High Recovery Models </t>
  </si>
  <si>
    <t>71G-E</t>
  </si>
  <si>
    <t xml:space="preserve">High Efficiency Standard (Energy Factor ≥.60)  </t>
  </si>
  <si>
    <t>71G-F</t>
  </si>
  <si>
    <t xml:space="preserve">High Efficiency Direct Vent (Energy Factor ≥.60) </t>
  </si>
  <si>
    <t>72G-F</t>
  </si>
  <si>
    <t xml:space="preserve">25 - 40 gallon storage 30,000 to 50,000 </t>
  </si>
  <si>
    <t>72G-G</t>
  </si>
  <si>
    <t xml:space="preserve">45 - 55 gallon storage 70,000 to 79,000 </t>
  </si>
  <si>
    <t>72G-H</t>
  </si>
  <si>
    <t xml:space="preserve">45 - 55 gallon storage 51,000 to 75,000 </t>
  </si>
  <si>
    <t>72G-I</t>
  </si>
  <si>
    <t xml:space="preserve">50 - 65 gallon storage 60,000 to 69,000 </t>
  </si>
  <si>
    <t>72G-J</t>
  </si>
  <si>
    <t xml:space="preserve">60 - 84 gallon storage 70,000 to 129,000 </t>
  </si>
  <si>
    <t>72G-K</t>
  </si>
  <si>
    <t xml:space="preserve">75 - 90 gallon storage 130,000 to 169,000 </t>
  </si>
  <si>
    <t>72G-L</t>
  </si>
  <si>
    <t xml:space="preserve">75 - 100 gallon storage 170,000 to 200,000 </t>
  </si>
  <si>
    <t>74G-A</t>
  </si>
  <si>
    <t xml:space="preserve">45,000 to 400,000 Standard Models </t>
  </si>
  <si>
    <t>74G-B</t>
  </si>
  <si>
    <t xml:space="preserve">401,000 to 700,000 Standard Models </t>
  </si>
  <si>
    <t>74G-C</t>
  </si>
  <si>
    <t xml:space="preserve">701,000 to 1,300,000 Standard Models </t>
  </si>
  <si>
    <t>74G-D</t>
  </si>
  <si>
    <t xml:space="preserve">45,000 to 400,000 Conservation Models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</si>
</sst>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  <numFmt numFmtId="168" formatCode="#,##0.000"/>
    <numFmt numFmtId="169" formatCode="&quot;$&quot;#,##0.00\ ;\(&quot;$&quot;#,##0.00\)"/>
    <numFmt numFmtId="170" formatCode="&quot;$&quot;#,##0\ ;\(&quot;$&quot;#,##0\)"/>
    <numFmt numFmtId="171" formatCode="&quot;$&quot;#,##0.00000"/>
    <numFmt numFmtId="172" formatCode="&quot;$&quot;#,##0.00000\ ;\(&quot;$&quot;#,##0.00000\)"/>
    <numFmt numFmtId="173" formatCode="0.0000%"/>
    <numFmt numFmtId="174" formatCode="#,##0.00000"/>
    <numFmt numFmtId="175" formatCode="&quot;$&quot;#,##0.0000\ ;\(&quot;$&quot;#,##0.0000\)"/>
    <numFmt numFmtId="176" formatCode="#,##0.0"/>
    <numFmt numFmtId="177" formatCode="_(&quot;$&quot;* #,##0.00000_);_(&quot;$&quot;* \(#,##0.00000\);_(&quot;$&quot;* &quot;-&quot;??_);_(@_)"/>
    <numFmt numFmtId="178" formatCode="&quot;$&quot;#,##0"/>
    <numFmt numFmtId="179" formatCode="&quot;$&quot;#,##0.000\ ;\(&quot;$&quot;#,##0.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0">
    <xf numFmtId="0" fontId="0" fillId="0" borderId="0" xfId="0"/>
    <xf numFmtId="3" fontId="2" fillId="0" borderId="0" xfId="0" applyNumberFormat="1" applyFont="1" applyAlignment="1">
      <alignment vertical="center"/>
    </xf>
    <xf numFmtId="42" fontId="2" fillId="0" borderId="0" xfId="0" applyNumberFormat="1" applyFont="1" applyFill="1"/>
    <xf numFmtId="10" fontId="2" fillId="0" borderId="0" xfId="0" applyNumberFormat="1" applyFont="1" applyFill="1"/>
    <xf numFmtId="0" fontId="3" fillId="0" borderId="0" xfId="0" applyFont="1" applyAlignment="1">
      <alignment horizontal="centerContinuous"/>
    </xf>
    <xf numFmtId="172" fontId="2" fillId="0" borderId="0" xfId="0" applyNumberFormat="1" applyFont="1" applyFill="1" applyBorder="1"/>
    <xf numFmtId="169" fontId="2" fillId="0" borderId="0" xfId="0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67" fontId="2" fillId="0" borderId="0" xfId="3" applyNumberFormat="1" applyFont="1" applyFill="1" applyBorder="1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2" fillId="0" borderId="0" xfId="0" applyFont="1" applyAlignment="1"/>
    <xf numFmtId="41" fontId="2" fillId="0" borderId="0" xfId="0" applyNumberFormat="1" applyFont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2" applyNumberFormat="1" applyFont="1" applyFill="1"/>
    <xf numFmtId="3" fontId="2" fillId="0" borderId="0" xfId="0" applyNumberFormat="1" applyFont="1"/>
    <xf numFmtId="165" fontId="2" fillId="0" borderId="0" xfId="0" applyNumberFormat="1" applyFont="1" applyFill="1" applyBorder="1" applyAlignment="1">
      <alignment horizontal="right"/>
    </xf>
    <xf numFmtId="43" fontId="2" fillId="0" borderId="0" xfId="0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/>
    <xf numFmtId="164" fontId="2" fillId="0" borderId="0" xfId="2" applyNumberFormat="1" applyFont="1"/>
    <xf numFmtId="165" fontId="2" fillId="0" borderId="0" xfId="0" applyNumberFormat="1" applyFont="1" applyFill="1"/>
    <xf numFmtId="10" fontId="2" fillId="0" borderId="0" xfId="0" applyNumberFormat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65" fontId="2" fillId="0" borderId="1" xfId="0" applyNumberFormat="1" applyFont="1" applyFill="1" applyBorder="1"/>
    <xf numFmtId="164" fontId="2" fillId="0" borderId="2" xfId="2" applyNumberFormat="1" applyFont="1" applyBorder="1"/>
    <xf numFmtId="166" fontId="2" fillId="0" borderId="2" xfId="1" applyNumberFormat="1" applyFont="1" applyBorder="1"/>
    <xf numFmtId="165" fontId="2" fillId="0" borderId="2" xfId="3" applyNumberFormat="1" applyFont="1" applyBorder="1"/>
    <xf numFmtId="9" fontId="2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Fill="1" applyBorder="1"/>
    <xf numFmtId="164" fontId="2" fillId="0" borderId="2" xfId="2" applyNumberFormat="1" applyFont="1" applyFill="1" applyBorder="1"/>
    <xf numFmtId="165" fontId="2" fillId="0" borderId="2" xfId="0" applyNumberFormat="1" applyFont="1" applyFill="1" applyBorder="1"/>
    <xf numFmtId="42" fontId="2" fillId="0" borderId="2" xfId="0" applyNumberFormat="1" applyFont="1" applyFill="1" applyBorder="1"/>
    <xf numFmtId="42" fontId="2" fillId="0" borderId="0" xfId="0" applyNumberFormat="1" applyFont="1"/>
    <xf numFmtId="167" fontId="2" fillId="0" borderId="0" xfId="0" applyNumberFormat="1" applyFont="1"/>
    <xf numFmtId="164" fontId="2" fillId="0" borderId="0" xfId="2" applyNumberFormat="1" applyFont="1" applyAlignment="1">
      <alignment vertical="center"/>
    </xf>
    <xf numFmtId="10" fontId="2" fillId="0" borderId="0" xfId="0" applyNumberFormat="1" applyFont="1" applyFill="1" applyBorder="1"/>
    <xf numFmtId="42" fontId="2" fillId="0" borderId="0" xfId="0" applyNumberFormat="1" applyFont="1" applyBorder="1"/>
    <xf numFmtId="0" fontId="2" fillId="0" borderId="0" xfId="0" applyFont="1" applyBorder="1"/>
    <xf numFmtId="167" fontId="2" fillId="0" borderId="0" xfId="0" applyNumberFormat="1" applyFont="1" applyBorder="1"/>
    <xf numFmtId="42" fontId="2" fillId="0" borderId="0" xfId="0" applyNumberFormat="1" applyFont="1" applyFill="1" applyBorder="1"/>
    <xf numFmtId="0" fontId="2" fillId="0" borderId="0" xfId="0" applyFont="1" applyFill="1" applyBorder="1"/>
    <xf numFmtId="166" fontId="2" fillId="0" borderId="0" xfId="0" applyNumberFormat="1" applyFont="1" applyFill="1"/>
    <xf numFmtId="168" fontId="2" fillId="0" borderId="0" xfId="0" applyNumberFormat="1" applyFont="1" applyFill="1"/>
    <xf numFmtId="9" fontId="2" fillId="0" borderId="0" xfId="0" applyNumberFormat="1" applyFont="1" applyFill="1"/>
    <xf numFmtId="0" fontId="2" fillId="0" borderId="0" xfId="0" applyFont="1" applyFill="1" applyAlignment="1">
      <alignment horizontal="centerContinuous"/>
    </xf>
    <xf numFmtId="3" fontId="2" fillId="0" borderId="0" xfId="0" applyNumberFormat="1" applyFont="1" applyBorder="1" applyAlignment="1">
      <alignment horizontal="centerContinuous"/>
    </xf>
    <xf numFmtId="169" fontId="2" fillId="0" borderId="0" xfId="0" applyNumberFormat="1" applyFont="1" applyAlignment="1">
      <alignment horizontal="centerContinuous"/>
    </xf>
    <xf numFmtId="169" fontId="2" fillId="0" borderId="0" xfId="0" applyNumberFormat="1" applyFont="1" applyBorder="1" applyAlignment="1">
      <alignment horizontal="centerContinuous"/>
    </xf>
    <xf numFmtId="170" fontId="2" fillId="0" borderId="0" xfId="0" applyNumberFormat="1" applyFont="1" applyAlignment="1">
      <alignment horizontal="centerContinuous"/>
    </xf>
    <xf numFmtId="171" fontId="2" fillId="0" borderId="0" xfId="0" applyNumberFormat="1" applyFont="1" applyAlignment="1">
      <alignment horizontal="centerContinuous"/>
    </xf>
    <xf numFmtId="0" fontId="3" fillId="0" borderId="0" xfId="0" applyFont="1" applyFill="1" applyAlignment="1">
      <alignment horizontal="centerContinuous"/>
    </xf>
    <xf numFmtId="170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3" fillId="0" borderId="0" xfId="0" applyFont="1"/>
    <xf numFmtId="3" fontId="2" fillId="0" borderId="0" xfId="0" applyNumberFormat="1" applyFont="1" applyBorder="1"/>
    <xf numFmtId="169" fontId="2" fillId="0" borderId="0" xfId="0" applyNumberFormat="1" applyFont="1"/>
    <xf numFmtId="169" fontId="2" fillId="0" borderId="0" xfId="0" applyNumberFormat="1" applyFont="1" applyBorder="1"/>
    <xf numFmtId="170" fontId="2" fillId="0" borderId="0" xfId="0" applyNumberFormat="1" applyFont="1" applyAlignment="1">
      <alignment horizontal="right"/>
    </xf>
    <xf numFmtId="170" fontId="2" fillId="0" borderId="0" xfId="0" applyNumberFormat="1" applyFont="1" applyBorder="1" applyAlignment="1">
      <alignment horizontal="right"/>
    </xf>
    <xf numFmtId="171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Continuous"/>
    </xf>
    <xf numFmtId="169" fontId="2" fillId="0" borderId="4" xfId="0" applyNumberFormat="1" applyFont="1" applyBorder="1" applyAlignment="1">
      <alignment horizontal="centerContinuous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169" fontId="2" fillId="0" borderId="2" xfId="0" applyNumberFormat="1" applyFont="1" applyBorder="1" applyAlignment="1">
      <alignment horizontal="left"/>
    </xf>
    <xf numFmtId="169" fontId="2" fillId="0" borderId="5" xfId="0" applyNumberFormat="1" applyFont="1" applyBorder="1" applyAlignment="1">
      <alignment horizontal="centerContinuous"/>
    </xf>
    <xf numFmtId="169" fontId="2" fillId="0" borderId="0" xfId="0" applyNumberFormat="1" applyFont="1" applyBorder="1" applyAlignment="1">
      <alignment horizontal="left"/>
    </xf>
    <xf numFmtId="171" fontId="2" fillId="0" borderId="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9" fontId="2" fillId="0" borderId="1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71" fontId="2" fillId="0" borderId="1" xfId="0" applyNumberFormat="1" applyFont="1" applyBorder="1" applyAlignment="1">
      <alignment horizontal="center"/>
    </xf>
    <xf numFmtId="0" fontId="3" fillId="0" borderId="8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2" fillId="0" borderId="2" xfId="0" applyFont="1" applyFill="1" applyBorder="1"/>
    <xf numFmtId="0" fontId="2" fillId="0" borderId="2" xfId="0" applyFont="1" applyBorder="1"/>
    <xf numFmtId="3" fontId="2" fillId="0" borderId="2" xfId="0" applyNumberFormat="1" applyFont="1" applyBorder="1"/>
    <xf numFmtId="170" fontId="2" fillId="0" borderId="2" xfId="0" applyNumberFormat="1" applyFont="1" applyBorder="1"/>
    <xf numFmtId="165" fontId="2" fillId="0" borderId="9" xfId="0" applyNumberFormat="1" applyFont="1" applyBorder="1" applyAlignment="1">
      <alignment horizontal="right"/>
    </xf>
    <xf numFmtId="0" fontId="2" fillId="0" borderId="10" xfId="0" applyFont="1" applyBorder="1"/>
    <xf numFmtId="3" fontId="2" fillId="0" borderId="0" xfId="0" applyNumberFormat="1" applyFont="1" applyBorder="1" applyProtection="1">
      <protection locked="0"/>
    </xf>
    <xf numFmtId="170" fontId="2" fillId="0" borderId="0" xfId="0" applyNumberFormat="1" applyFont="1" applyBorder="1"/>
    <xf numFmtId="165" fontId="2" fillId="0" borderId="11" xfId="0" applyNumberFormat="1" applyFont="1" applyBorder="1" applyAlignment="1">
      <alignment horizontal="right"/>
    </xf>
    <xf numFmtId="0" fontId="2" fillId="0" borderId="1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3" fontId="2" fillId="0" borderId="0" xfId="0" applyNumberFormat="1" applyFont="1" applyFill="1" applyBorder="1"/>
    <xf numFmtId="165" fontId="2" fillId="0" borderId="11" xfId="0" applyNumberFormat="1" applyFont="1" applyBorder="1"/>
    <xf numFmtId="170" fontId="2" fillId="0" borderId="13" xfId="0" applyNumberFormat="1" applyFont="1" applyFill="1" applyBorder="1" applyAlignment="1">
      <alignment horizontal="center"/>
    </xf>
    <xf numFmtId="170" fontId="2" fillId="0" borderId="13" xfId="0" applyNumberFormat="1" applyFont="1" applyBorder="1" applyAlignment="1">
      <alignment horizontal="center"/>
    </xf>
    <xf numFmtId="0" fontId="3" fillId="0" borderId="10" xfId="0" applyFont="1" applyBorder="1"/>
    <xf numFmtId="0" fontId="2" fillId="0" borderId="0" xfId="0" applyFont="1" applyBorder="1" applyProtection="1">
      <protection locked="0"/>
    </xf>
    <xf numFmtId="165" fontId="2" fillId="0" borderId="9" xfId="0" applyNumberFormat="1" applyFont="1" applyBorder="1"/>
    <xf numFmtId="170" fontId="2" fillId="0" borderId="14" xfId="0" applyNumberFormat="1" applyFont="1" applyBorder="1" applyAlignment="1">
      <alignment horizontal="center"/>
    </xf>
    <xf numFmtId="171" fontId="2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170" fontId="3" fillId="0" borderId="0" xfId="0" applyNumberFormat="1" applyFont="1" applyBorder="1"/>
    <xf numFmtId="9" fontId="2" fillId="0" borderId="0" xfId="0" applyNumberFormat="1" applyFont="1" applyBorder="1" applyAlignment="1">
      <alignment horizontal="center"/>
    </xf>
    <xf numFmtId="171" fontId="2" fillId="0" borderId="0" xfId="0" applyNumberFormat="1" applyFont="1" applyBorder="1"/>
    <xf numFmtId="173" fontId="2" fillId="0" borderId="15" xfId="0" applyNumberFormat="1" applyFont="1" applyFill="1" applyBorder="1" applyAlignment="1">
      <alignment horizontal="center"/>
    </xf>
    <xf numFmtId="173" fontId="2" fillId="0" borderId="0" xfId="0" applyNumberFormat="1" applyFont="1" applyFill="1" applyBorder="1" applyAlignment="1">
      <alignment horizontal="center"/>
    </xf>
    <xf numFmtId="174" fontId="2" fillId="0" borderId="0" xfId="0" applyNumberFormat="1" applyFont="1" applyFill="1" applyBorder="1"/>
    <xf numFmtId="0" fontId="2" fillId="0" borderId="10" xfId="0" applyFont="1" applyBorder="1" applyProtection="1">
      <protection locked="0"/>
    </xf>
    <xf numFmtId="172" fontId="2" fillId="0" borderId="0" xfId="0" applyNumberFormat="1" applyFont="1"/>
    <xf numFmtId="0" fontId="2" fillId="0" borderId="6" xfId="0" applyFont="1" applyFill="1" applyBorder="1"/>
    <xf numFmtId="0" fontId="2" fillId="0" borderId="1" xfId="0" applyFont="1" applyFill="1" applyBorder="1"/>
    <xf numFmtId="170" fontId="2" fillId="0" borderId="1" xfId="0" applyNumberFormat="1" applyFont="1" applyFill="1" applyBorder="1"/>
    <xf numFmtId="3" fontId="2" fillId="0" borderId="1" xfId="0" applyNumberFormat="1" applyFont="1" applyFill="1" applyBorder="1"/>
    <xf numFmtId="165" fontId="2" fillId="0" borderId="7" xfId="0" applyNumberFormat="1" applyFont="1" applyFill="1" applyBorder="1"/>
    <xf numFmtId="170" fontId="2" fillId="0" borderId="0" xfId="0" applyNumberFormat="1" applyFont="1" applyFill="1"/>
    <xf numFmtId="170" fontId="2" fillId="0" borderId="0" xfId="0" applyNumberFormat="1" applyFont="1" applyFill="1" applyBorder="1"/>
    <xf numFmtId="0" fontId="3" fillId="0" borderId="8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2" fillId="0" borderId="10" xfId="0" applyFont="1" applyFill="1" applyBorder="1"/>
    <xf numFmtId="3" fontId="2" fillId="0" borderId="0" xfId="0" applyNumberFormat="1" applyFont="1" applyFill="1" applyBorder="1" applyProtection="1">
      <protection locked="0"/>
    </xf>
    <xf numFmtId="165" fontId="2" fillId="0" borderId="11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Border="1"/>
    <xf numFmtId="170" fontId="2" fillId="0" borderId="0" xfId="0" applyNumberFormat="1" applyFont="1" applyFill="1" applyBorder="1" applyAlignment="1">
      <alignment horizontal="center"/>
    </xf>
    <xf numFmtId="165" fontId="2" fillId="0" borderId="11" xfId="0" applyNumberFormat="1" applyFont="1" applyFill="1" applyBorder="1"/>
    <xf numFmtId="170" fontId="2" fillId="0" borderId="0" xfId="0" applyNumberFormat="1" applyFont="1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Fill="1" applyBorder="1"/>
    <xf numFmtId="170" fontId="3" fillId="0" borderId="0" xfId="0" applyNumberFormat="1" applyFont="1" applyFill="1" applyBorder="1"/>
    <xf numFmtId="172" fontId="2" fillId="0" borderId="0" xfId="0" applyNumberFormat="1" applyFont="1" applyBorder="1" applyAlignment="1">
      <alignment horizontal="center"/>
    </xf>
    <xf numFmtId="167" fontId="2" fillId="0" borderId="0" xfId="0" applyNumberFormat="1" applyFont="1" applyFill="1" applyBorder="1"/>
    <xf numFmtId="172" fontId="2" fillId="0" borderId="0" xfId="0" applyNumberFormat="1" applyFont="1" applyFill="1" applyAlignment="1">
      <alignment horizontal="center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175" fontId="2" fillId="0" borderId="0" xfId="0" applyNumberFormat="1" applyFont="1" applyBorder="1" applyAlignment="1">
      <alignment horizontal="right"/>
    </xf>
    <xf numFmtId="176" fontId="2" fillId="0" borderId="0" xfId="0" applyNumberFormat="1" applyFont="1" applyBorder="1"/>
    <xf numFmtId="165" fontId="2" fillId="0" borderId="11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/>
    <xf numFmtId="170" fontId="3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169" fontId="2" fillId="0" borderId="1" xfId="0" applyNumberFormat="1" applyFont="1" applyBorder="1"/>
    <xf numFmtId="165" fontId="2" fillId="0" borderId="7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170" fontId="2" fillId="0" borderId="0" xfId="0" applyNumberFormat="1" applyFont="1"/>
    <xf numFmtId="3" fontId="2" fillId="0" borderId="0" xfId="0" applyNumberFormat="1" applyFont="1" applyFill="1"/>
    <xf numFmtId="44" fontId="2" fillId="0" borderId="0" xfId="0" applyNumberFormat="1" applyFont="1"/>
    <xf numFmtId="3" fontId="2" fillId="0" borderId="0" xfId="0" applyNumberFormat="1" applyFont="1" applyFill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167" fontId="2" fillId="0" borderId="0" xfId="0" applyNumberFormat="1" applyFont="1" applyAlignment="1">
      <alignment horizontal="centerContinuous"/>
    </xf>
    <xf numFmtId="167" fontId="2" fillId="0" borderId="0" xfId="0" applyNumberFormat="1" applyFont="1" applyBorder="1" applyAlignment="1">
      <alignment horizontal="centerContinuous"/>
    </xf>
    <xf numFmtId="169" fontId="2" fillId="0" borderId="0" xfId="0" applyNumberFormat="1" applyFont="1" applyAlignment="1"/>
    <xf numFmtId="3" fontId="2" fillId="0" borderId="1" xfId="0" applyNumberFormat="1" applyFont="1" applyFill="1" applyBorder="1" applyAlignment="1"/>
    <xf numFmtId="165" fontId="2" fillId="0" borderId="0" xfId="0" applyNumberFormat="1" applyFont="1" applyAlignment="1"/>
    <xf numFmtId="167" fontId="2" fillId="0" borderId="0" xfId="0" applyNumberFormat="1" applyFont="1" applyAlignment="1">
      <alignment horizontal="left"/>
    </xf>
    <xf numFmtId="169" fontId="2" fillId="0" borderId="4" xfId="0" applyNumberFormat="1" applyFont="1" applyBorder="1" applyAlignment="1">
      <alignment horizontal="center"/>
    </xf>
    <xf numFmtId="169" fontId="2" fillId="0" borderId="5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left"/>
    </xf>
    <xf numFmtId="169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2" xfId="0" applyFont="1" applyBorder="1" applyProtection="1">
      <protection locked="0"/>
    </xf>
    <xf numFmtId="3" fontId="2" fillId="0" borderId="2" xfId="0" applyNumberFormat="1" applyFont="1" applyFill="1" applyBorder="1"/>
    <xf numFmtId="165" fontId="2" fillId="0" borderId="0" xfId="0" applyNumberFormat="1" applyFont="1" applyBorder="1" applyAlignment="1">
      <alignment horizontal="left"/>
    </xf>
    <xf numFmtId="169" fontId="2" fillId="0" borderId="0" xfId="0" applyNumberFormat="1" applyFont="1" applyBorder="1" applyAlignment="1">
      <alignment horizontal="right"/>
    </xf>
    <xf numFmtId="170" fontId="2" fillId="0" borderId="14" xfId="0" applyNumberFormat="1" applyFont="1" applyFill="1" applyBorder="1" applyAlignment="1">
      <alignment horizontal="center"/>
    </xf>
    <xf numFmtId="170" fontId="2" fillId="0" borderId="2" xfId="0" applyNumberFormat="1" applyFont="1" applyFill="1" applyBorder="1"/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71" fontId="2" fillId="0" borderId="0" xfId="0" applyNumberFormat="1" applyFont="1" applyBorder="1" applyAlignment="1">
      <alignment horizontal="center" wrapText="1"/>
    </xf>
    <xf numFmtId="177" fontId="2" fillId="0" borderId="0" xfId="0" applyNumberFormat="1" applyFont="1" applyFill="1"/>
    <xf numFmtId="172" fontId="2" fillId="0" borderId="0" xfId="0" applyNumberFormat="1" applyFont="1" applyBorder="1"/>
    <xf numFmtId="176" fontId="2" fillId="0" borderId="0" xfId="0" applyNumberFormat="1" applyFont="1" applyFill="1" applyBorder="1"/>
    <xf numFmtId="42" fontId="2" fillId="0" borderId="0" xfId="0" applyNumberFormat="1" applyFont="1" applyBorder="1" applyAlignment="1">
      <alignment horizontal="right"/>
    </xf>
    <xf numFmtId="9" fontId="2" fillId="0" borderId="0" xfId="0" applyNumberFormat="1" applyFont="1" applyFill="1" applyBorder="1"/>
    <xf numFmtId="0" fontId="2" fillId="0" borderId="6" xfId="0" applyFont="1" applyBorder="1"/>
    <xf numFmtId="0" fontId="2" fillId="0" borderId="1" xfId="0" applyFont="1" applyBorder="1" applyProtection="1">
      <protection locked="0"/>
    </xf>
    <xf numFmtId="169" fontId="2" fillId="0" borderId="1" xfId="0" applyNumberFormat="1" applyFont="1" applyFill="1" applyBorder="1" applyAlignment="1">
      <alignment horizontal="center"/>
    </xf>
    <xf numFmtId="170" fontId="2" fillId="0" borderId="1" xfId="0" applyNumberFormat="1" applyFont="1" applyFill="1" applyBorder="1" applyAlignment="1">
      <alignment horizontal="center"/>
    </xf>
    <xf numFmtId="9" fontId="2" fillId="0" borderId="1" xfId="0" applyNumberFormat="1" applyFont="1" applyFill="1" applyBorder="1"/>
    <xf numFmtId="170" fontId="2" fillId="0" borderId="1" xfId="0" applyNumberFormat="1" applyFont="1" applyBorder="1"/>
    <xf numFmtId="165" fontId="2" fillId="0" borderId="7" xfId="0" applyNumberFormat="1" applyFont="1" applyBorder="1"/>
    <xf numFmtId="171" fontId="2" fillId="0" borderId="0" xfId="0" applyNumberFormat="1" applyFont="1" applyFill="1"/>
    <xf numFmtId="178" fontId="2" fillId="0" borderId="0" xfId="0" applyNumberFormat="1" applyFont="1"/>
    <xf numFmtId="172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left"/>
    </xf>
    <xf numFmtId="177" fontId="2" fillId="0" borderId="0" xfId="0" applyNumberFormat="1" applyFont="1" applyBorder="1"/>
    <xf numFmtId="170" fontId="2" fillId="0" borderId="2" xfId="0" applyNumberFormat="1" applyFont="1" applyBorder="1" applyAlignment="1">
      <alignment horizontal="right"/>
    </xf>
    <xf numFmtId="171" fontId="2" fillId="0" borderId="0" xfId="0" applyNumberFormat="1" applyFont="1" applyFill="1" applyAlignment="1">
      <alignment horizontal="center"/>
    </xf>
    <xf numFmtId="169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8" fontId="2" fillId="0" borderId="0" xfId="0" applyNumberFormat="1" applyFont="1" applyBorder="1"/>
    <xf numFmtId="172" fontId="2" fillId="0" borderId="0" xfId="0" applyNumberFormat="1" applyFont="1" applyAlignment="1">
      <alignment horizontal="center"/>
    </xf>
    <xf numFmtId="171" fontId="2" fillId="0" borderId="0" xfId="0" applyNumberFormat="1" applyFont="1" applyAlignment="1">
      <alignment horizontal="center"/>
    </xf>
    <xf numFmtId="170" fontId="2" fillId="0" borderId="1" xfId="0" applyNumberFormat="1" applyFont="1" applyBorder="1" applyAlignment="1">
      <alignment horizontal="center"/>
    </xf>
    <xf numFmtId="178" fontId="2" fillId="0" borderId="0" xfId="0" applyNumberFormat="1" applyFont="1" applyFill="1"/>
    <xf numFmtId="165" fontId="2" fillId="0" borderId="0" xfId="0" applyNumberFormat="1" applyFont="1" applyAlignment="1">
      <alignment horizontal="left"/>
    </xf>
    <xf numFmtId="178" fontId="2" fillId="0" borderId="0" xfId="0" applyNumberFormat="1" applyFont="1" applyBorder="1"/>
    <xf numFmtId="178" fontId="2" fillId="0" borderId="0" xfId="0" applyNumberFormat="1" applyFont="1" applyAlignment="1">
      <alignment horizontal="left"/>
    </xf>
    <xf numFmtId="178" fontId="2" fillId="0" borderId="2" xfId="0" applyNumberFormat="1" applyFont="1" applyBorder="1"/>
    <xf numFmtId="172" fontId="2" fillId="0" borderId="0" xfId="0" applyNumberFormat="1" applyFont="1" applyAlignment="1">
      <alignment horizontal="centerContinuous"/>
    </xf>
    <xf numFmtId="3" fontId="2" fillId="0" borderId="0" xfId="0" applyNumberFormat="1" applyFont="1" applyFill="1" applyBorder="1" applyAlignment="1">
      <alignment horizontal="centerContinuous"/>
    </xf>
    <xf numFmtId="169" fontId="2" fillId="0" borderId="0" xfId="0" applyNumberFormat="1" applyFont="1" applyFill="1" applyAlignment="1">
      <alignment horizontal="centerContinuous"/>
    </xf>
    <xf numFmtId="167" fontId="2" fillId="0" borderId="0" xfId="0" applyNumberFormat="1" applyFont="1" applyBorder="1" applyAlignment="1">
      <alignment horizontal="right"/>
    </xf>
    <xf numFmtId="3" fontId="2" fillId="0" borderId="2" xfId="0" applyNumberFormat="1" applyFont="1" applyFill="1" applyBorder="1" applyAlignment="1">
      <alignment horizontal="center"/>
    </xf>
    <xf numFmtId="169" fontId="2" fillId="0" borderId="4" xfId="0" applyNumberFormat="1" applyFont="1" applyFill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172" fontId="2" fillId="0" borderId="1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right"/>
    </xf>
    <xf numFmtId="172" fontId="2" fillId="0" borderId="2" xfId="0" applyNumberFormat="1" applyFont="1" applyBorder="1"/>
    <xf numFmtId="3" fontId="2" fillId="0" borderId="2" xfId="0" applyNumberFormat="1" applyFont="1" applyFill="1" applyBorder="1" applyProtection="1">
      <protection locked="0"/>
    </xf>
    <xf numFmtId="169" fontId="2" fillId="0" borderId="2" xfId="0" applyNumberFormat="1" applyFont="1" applyFill="1" applyBorder="1"/>
    <xf numFmtId="169" fontId="2" fillId="0" borderId="2" xfId="0" applyNumberFormat="1" applyFont="1" applyBorder="1" applyAlignment="1">
      <alignment horizontal="right"/>
    </xf>
    <xf numFmtId="10" fontId="2" fillId="0" borderId="0" xfId="0" applyNumberFormat="1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right"/>
    </xf>
    <xf numFmtId="169" fontId="2" fillId="0" borderId="0" xfId="0" applyNumberFormat="1" applyFont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center"/>
    </xf>
    <xf numFmtId="172" fontId="2" fillId="0" borderId="1" xfId="0" applyNumberFormat="1" applyFont="1" applyBorder="1"/>
    <xf numFmtId="169" fontId="2" fillId="0" borderId="1" xfId="0" applyNumberFormat="1" applyFont="1" applyFill="1" applyBorder="1"/>
    <xf numFmtId="169" fontId="2" fillId="0" borderId="1" xfId="0" applyNumberFormat="1" applyFont="1" applyBorder="1" applyAlignment="1">
      <alignment horizontal="right"/>
    </xf>
    <xf numFmtId="169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Protection="1">
      <protection locked="0"/>
    </xf>
    <xf numFmtId="170" fontId="2" fillId="0" borderId="0" xfId="0" applyNumberFormat="1" applyFont="1" applyFill="1" applyBorder="1" applyProtection="1">
      <protection locked="0"/>
    </xf>
    <xf numFmtId="170" fontId="2" fillId="0" borderId="1" xfId="0" applyNumberFormat="1" applyFont="1" applyBorder="1" applyAlignment="1">
      <alignment horizontal="right"/>
    </xf>
    <xf numFmtId="167" fontId="2" fillId="0" borderId="0" xfId="0" applyNumberFormat="1" applyFont="1" applyFill="1" applyBorder="1" applyAlignment="1">
      <alignment horizontal="left"/>
    </xf>
    <xf numFmtId="170" fontId="2" fillId="0" borderId="2" xfId="0" applyNumberFormat="1" applyFont="1" applyFill="1" applyBorder="1" applyAlignment="1">
      <alignment horizontal="right"/>
    </xf>
    <xf numFmtId="172" fontId="2" fillId="0" borderId="1" xfId="0" applyNumberFormat="1" applyFont="1" applyFill="1" applyBorder="1"/>
    <xf numFmtId="170" fontId="2" fillId="0" borderId="1" xfId="0" applyNumberFormat="1" applyFont="1" applyFill="1" applyBorder="1" applyAlignment="1">
      <alignment horizontal="right"/>
    </xf>
    <xf numFmtId="169" fontId="2" fillId="0" borderId="1" xfId="0" applyNumberFormat="1" applyFont="1" applyFill="1" applyBorder="1" applyAlignment="1">
      <alignment horizontal="right"/>
    </xf>
    <xf numFmtId="172" fontId="2" fillId="0" borderId="1" xfId="0" applyNumberFormat="1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179" fontId="2" fillId="0" borderId="0" xfId="0" applyNumberFormat="1" applyFont="1" applyFill="1" applyBorder="1" applyAlignment="1">
      <alignment horizontal="center"/>
    </xf>
    <xf numFmtId="173" fontId="2" fillId="0" borderId="0" xfId="0" applyNumberFormat="1" applyFont="1" applyFill="1" applyBorder="1"/>
    <xf numFmtId="170" fontId="2" fillId="0" borderId="11" xfId="0" applyNumberFormat="1" applyFont="1" applyBorder="1" applyAlignment="1">
      <alignment horizontal="right"/>
    </xf>
    <xf numFmtId="0" fontId="2" fillId="0" borderId="2" xfId="0" applyFont="1" applyFill="1" applyBorder="1" applyProtection="1">
      <protection locked="0"/>
    </xf>
    <xf numFmtId="172" fontId="2" fillId="0" borderId="2" xfId="0" applyNumberFormat="1" applyFont="1" applyFill="1" applyBorder="1"/>
    <xf numFmtId="169" fontId="2" fillId="0" borderId="2" xfId="0" applyNumberFormat="1" applyFont="1" applyFill="1" applyBorder="1" applyAlignment="1">
      <alignment horizontal="right"/>
    </xf>
    <xf numFmtId="165" fontId="2" fillId="0" borderId="11" xfId="0" applyNumberFormat="1" applyFont="1" applyFill="1" applyBorder="1" applyAlignment="1">
      <alignment horizontal="center"/>
    </xf>
    <xf numFmtId="165" fontId="2" fillId="0" borderId="9" xfId="0" applyNumberFormat="1" applyFont="1" applyFill="1" applyBorder="1"/>
    <xf numFmtId="5" fontId="2" fillId="0" borderId="0" xfId="0" applyNumberFormat="1" applyFont="1" applyBorder="1"/>
    <xf numFmtId="5" fontId="2" fillId="0" borderId="0" xfId="0" applyNumberFormat="1" applyFont="1" applyFill="1" applyBorder="1"/>
    <xf numFmtId="5" fontId="2" fillId="0" borderId="2" xfId="0" applyNumberFormat="1" applyFont="1" applyBorder="1"/>
    <xf numFmtId="5" fontId="2" fillId="0" borderId="0" xfId="0" applyNumberFormat="1" applyFont="1"/>
    <xf numFmtId="5" fontId="2" fillId="0" borderId="0" xfId="0" applyNumberFormat="1" applyFont="1" applyFill="1" applyBorder="1" applyAlignment="1">
      <alignment horizontal="center"/>
    </xf>
    <xf numFmtId="5" fontId="2" fillId="0" borderId="0" xfId="0" applyNumberFormat="1" applyFont="1" applyFill="1"/>
    <xf numFmtId="167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41" fontId="2" fillId="0" borderId="0" xfId="0" applyNumberFormat="1" applyFont="1"/>
    <xf numFmtId="169" fontId="2" fillId="0" borderId="0" xfId="0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 wrapText="1"/>
    </xf>
    <xf numFmtId="166" fontId="2" fillId="0" borderId="0" xfId="0" applyNumberFormat="1" applyFont="1" applyBorder="1"/>
    <xf numFmtId="164" fontId="2" fillId="0" borderId="0" xfId="0" applyNumberFormat="1" applyFont="1" applyFill="1"/>
    <xf numFmtId="44" fontId="2" fillId="0" borderId="0" xfId="0" applyNumberFormat="1" applyFont="1" applyFill="1" applyBorder="1"/>
    <xf numFmtId="44" fontId="2" fillId="0" borderId="12" xfId="0" applyNumberFormat="1" applyFont="1" applyFill="1" applyBorder="1" applyAlignment="1"/>
    <xf numFmtId="44" fontId="2" fillId="0" borderId="0" xfId="0" applyNumberFormat="1" applyFont="1" applyFill="1"/>
    <xf numFmtId="41" fontId="2" fillId="0" borderId="0" xfId="0" applyNumberFormat="1" applyFont="1" applyFill="1"/>
    <xf numFmtId="44" fontId="2" fillId="0" borderId="13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dmurra/Local%20Settings/Temporary%20Internet%20Files/OLK15/Power%20Cost%2050yr%206.15.06%20AURORA%20run%20with%205.23.06%20pri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/Gas%20GRC%202017/Compliance%20Filing/FINAL/COS%20WP%20(C)/Cost%20Of%20Service/2017%20Gas%20COSS%20September%20TY_Complianc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M1EXC/PSE_VER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apacity/CAP_WBook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peder/Local%20Settings/Temporary%20Internet%20Files/Content.Outlook/966INFBW/03-09%20Elec_Unb%20(93%203%25%208%20months)%20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ulas/vlooku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7%20GRC/4.04G%20Pass%20Throug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6/09-06%20Elec_Unb%20(93%203%25%202%20months)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  <sheetName val="#Gas Model 2017 GRC (SETTLEMENT"/>
    </sheetNames>
    <sheetDataSet>
      <sheetData sheetId="0">
        <row r="15">
          <cell r="J15">
            <v>2.9899999999999999E-2</v>
          </cell>
        </row>
      </sheetData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>
        <row r="42">
          <cell r="D42">
            <v>63131276.127215527</v>
          </cell>
        </row>
      </sheetData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 refreshError="1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 refreshError="1">
        <row r="11">
          <cell r="B11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2"/>
  <sheetViews>
    <sheetView tabSelected="1" zoomScale="90" zoomScaleNormal="90" workbookViewId="0">
      <pane xSplit="2" ySplit="12" topLeftCell="C13" activePane="bottomRight" state="frozen"/>
      <selection activeCell="R29" sqref="R29"/>
      <selection pane="topRight" activeCell="R29" sqref="R29"/>
      <selection pane="bottomLeft" activeCell="R29" sqref="R29"/>
      <selection pane="bottomRight" activeCell="M31" sqref="M31"/>
    </sheetView>
  </sheetViews>
  <sheetFormatPr defaultColWidth="9.1796875" defaultRowHeight="12.5" outlineLevelCol="1" x14ac:dyDescent="0.25"/>
  <cols>
    <col min="1" max="1" width="2.453125" style="11" customWidth="1"/>
    <col min="2" max="2" width="30.26953125" style="11" customWidth="1"/>
    <col min="3" max="5" width="13.453125" style="11" bestFit="1" customWidth="1"/>
    <col min="6" max="6" width="14" style="11" bestFit="1" customWidth="1"/>
    <col min="7" max="7" width="9" style="11" bestFit="1" customWidth="1"/>
    <col min="8" max="8" width="7.7265625" style="11" customWidth="1"/>
    <col min="9" max="9" width="14.7265625" style="11" hidden="1" customWidth="1" outlineLevel="1"/>
    <col min="10" max="10" width="8.81640625" style="11" hidden="1" customWidth="1" outlineLevel="1"/>
    <col min="11" max="11" width="14.453125" style="11" hidden="1" customWidth="1" outlineLevel="1"/>
    <col min="12" max="12" width="12.7265625" style="11" hidden="1" customWidth="1" outlineLevel="1"/>
    <col min="13" max="13" width="8.81640625" style="11" bestFit="1" customWidth="1" collapsed="1"/>
    <col min="14" max="14" width="12.54296875" style="11" bestFit="1" customWidth="1"/>
    <col min="15" max="15" width="13.453125" style="11" bestFit="1" customWidth="1"/>
    <col min="16" max="16" width="9.7265625" style="11" bestFit="1" customWidth="1"/>
    <col min="17" max="19" width="13.453125" style="11" bestFit="1" customWidth="1"/>
    <col min="20" max="20" width="12.26953125" style="11" bestFit="1" customWidth="1"/>
    <col min="21" max="21" width="8" style="11" bestFit="1" customWidth="1"/>
    <col min="22" max="22" width="9.26953125" style="11" bestFit="1" customWidth="1"/>
    <col min="23" max="23" width="10.26953125" style="11" bestFit="1" customWidth="1"/>
    <col min="24" max="24" width="9.1796875" style="11"/>
    <col min="25" max="25" width="9.1796875" style="12"/>
    <col min="26" max="16384" width="9.1796875" style="11"/>
  </cols>
  <sheetData>
    <row r="1" spans="2:25" ht="13" x14ac:dyDescent="0.3">
      <c r="B1" s="4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4"/>
      <c r="U1" s="10"/>
      <c r="V1" s="10"/>
      <c r="W1" s="10"/>
    </row>
    <row r="2" spans="2:25" ht="13" x14ac:dyDescent="0.3">
      <c r="B2" s="4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4"/>
      <c r="U2" s="10"/>
      <c r="V2" s="10"/>
      <c r="W2" s="10"/>
    </row>
    <row r="3" spans="2:25" ht="13" x14ac:dyDescent="0.3">
      <c r="B3" s="4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4"/>
      <c r="U3" s="10"/>
      <c r="V3" s="10"/>
      <c r="W3" s="10"/>
    </row>
    <row r="4" spans="2:25" ht="13" x14ac:dyDescent="0.3">
      <c r="B4" s="4" t="s">
        <v>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4"/>
      <c r="U4" s="10"/>
      <c r="V4" s="10"/>
      <c r="W4" s="10"/>
    </row>
    <row r="5" spans="2:25" s="13" customFormat="1" x14ac:dyDescent="0.25">
      <c r="Q5" s="14"/>
      <c r="Y5" s="15"/>
    </row>
    <row r="6" spans="2:25" x14ac:dyDescent="0.25">
      <c r="B6" s="10"/>
      <c r="N6" s="12"/>
      <c r="O6" s="12"/>
      <c r="P6" s="12"/>
    </row>
    <row r="7" spans="2:25" x14ac:dyDescent="0.25">
      <c r="B7" s="10"/>
      <c r="G7" s="16" t="s">
        <v>4</v>
      </c>
      <c r="H7" s="16"/>
      <c r="I7" s="16"/>
    </row>
    <row r="8" spans="2:25" x14ac:dyDescent="0.25">
      <c r="C8" s="17" t="s">
        <v>5</v>
      </c>
      <c r="D8" s="17" t="s">
        <v>5</v>
      </c>
      <c r="E8" s="17" t="s">
        <v>5</v>
      </c>
      <c r="G8" s="16" t="s">
        <v>6</v>
      </c>
      <c r="H8" s="16"/>
      <c r="I8" s="16"/>
      <c r="J8" s="16"/>
      <c r="K8" s="18" t="s">
        <v>7</v>
      </c>
      <c r="L8" s="16"/>
      <c r="M8" s="16"/>
      <c r="N8" s="18" t="s">
        <v>8</v>
      </c>
      <c r="O8" s="18"/>
      <c r="P8" s="18"/>
      <c r="Q8" s="19"/>
      <c r="R8" s="17" t="s">
        <v>5</v>
      </c>
      <c r="S8" s="19"/>
      <c r="T8" s="20"/>
      <c r="W8" s="18" t="s">
        <v>9</v>
      </c>
    </row>
    <row r="9" spans="2:25" x14ac:dyDescent="0.25">
      <c r="C9" s="17" t="s">
        <v>10</v>
      </c>
      <c r="D9" s="17" t="s">
        <v>11</v>
      </c>
      <c r="E9" s="17" t="s">
        <v>12</v>
      </c>
      <c r="G9" s="16" t="s">
        <v>12</v>
      </c>
      <c r="H9" s="16"/>
      <c r="I9" s="16"/>
      <c r="J9" s="16" t="s">
        <v>8</v>
      </c>
      <c r="K9" s="16" t="s">
        <v>12</v>
      </c>
      <c r="L9" s="16" t="s">
        <v>13</v>
      </c>
      <c r="M9" s="16" t="s">
        <v>8</v>
      </c>
      <c r="N9" s="16" t="s">
        <v>12</v>
      </c>
      <c r="O9" s="16" t="s">
        <v>14</v>
      </c>
      <c r="P9" s="16" t="s">
        <v>15</v>
      </c>
      <c r="Q9" s="21" t="s">
        <v>16</v>
      </c>
      <c r="R9" s="17" t="s">
        <v>11</v>
      </c>
      <c r="S9" s="21" t="s">
        <v>16</v>
      </c>
      <c r="T9" s="21" t="s">
        <v>16</v>
      </c>
      <c r="U9" s="18" t="s">
        <v>4</v>
      </c>
      <c r="V9" s="18" t="s">
        <v>4</v>
      </c>
      <c r="W9" s="16" t="s">
        <v>17</v>
      </c>
      <c r="Y9" s="16"/>
    </row>
    <row r="10" spans="2:25" x14ac:dyDescent="0.25">
      <c r="C10" s="17" t="s">
        <v>18</v>
      </c>
      <c r="D10" s="17" t="s">
        <v>19</v>
      </c>
      <c r="E10" s="17" t="s">
        <v>19</v>
      </c>
      <c r="F10" s="16" t="s">
        <v>20</v>
      </c>
      <c r="G10" s="16" t="s">
        <v>21</v>
      </c>
      <c r="H10" s="16" t="s">
        <v>15</v>
      </c>
      <c r="I10" s="16" t="s">
        <v>22</v>
      </c>
      <c r="J10" s="16" t="s">
        <v>12</v>
      </c>
      <c r="K10" s="16" t="s">
        <v>23</v>
      </c>
      <c r="L10" s="16" t="s">
        <v>24</v>
      </c>
      <c r="M10" s="16" t="s">
        <v>12</v>
      </c>
      <c r="N10" s="16" t="s">
        <v>23</v>
      </c>
      <c r="O10" s="16" t="s">
        <v>22</v>
      </c>
      <c r="P10" s="16" t="s">
        <v>25</v>
      </c>
      <c r="Q10" s="16" t="s">
        <v>12</v>
      </c>
      <c r="R10" s="17" t="s">
        <v>19</v>
      </c>
      <c r="S10" s="16" t="s">
        <v>14</v>
      </c>
      <c r="T10" s="16" t="s">
        <v>26</v>
      </c>
      <c r="U10" s="16" t="s">
        <v>27</v>
      </c>
      <c r="V10" s="16" t="s">
        <v>28</v>
      </c>
      <c r="W10" s="16" t="s">
        <v>29</v>
      </c>
      <c r="Y10" s="16"/>
    </row>
    <row r="11" spans="2:25" x14ac:dyDescent="0.25">
      <c r="B11" s="22" t="s">
        <v>30</v>
      </c>
      <c r="C11" s="22" t="s">
        <v>31</v>
      </c>
      <c r="D11" s="22" t="s">
        <v>32</v>
      </c>
      <c r="E11" s="22" t="s">
        <v>31</v>
      </c>
      <c r="F11" s="23" t="s">
        <v>33</v>
      </c>
      <c r="G11" s="23" t="s">
        <v>34</v>
      </c>
      <c r="H11" s="23" t="s">
        <v>35</v>
      </c>
      <c r="I11" s="23" t="s">
        <v>36</v>
      </c>
      <c r="J11" s="23" t="s">
        <v>36</v>
      </c>
      <c r="K11" s="23" t="s">
        <v>34</v>
      </c>
      <c r="L11" s="23" t="s">
        <v>37</v>
      </c>
      <c r="M11" s="23" t="s">
        <v>36</v>
      </c>
      <c r="N11" s="23" t="s">
        <v>34</v>
      </c>
      <c r="O11" s="23" t="s">
        <v>12</v>
      </c>
      <c r="P11" s="23" t="s">
        <v>36</v>
      </c>
      <c r="Q11" s="23" t="s">
        <v>38</v>
      </c>
      <c r="R11" s="22" t="s">
        <v>32</v>
      </c>
      <c r="S11" s="23" t="s">
        <v>38</v>
      </c>
      <c r="T11" s="23" t="s">
        <v>12</v>
      </c>
      <c r="U11" s="23" t="s">
        <v>36</v>
      </c>
      <c r="V11" s="23" t="s">
        <v>36</v>
      </c>
      <c r="W11" s="23" t="s">
        <v>39</v>
      </c>
      <c r="Y11" s="16"/>
    </row>
    <row r="12" spans="2:25" x14ac:dyDescent="0.25">
      <c r="B12" s="18" t="s">
        <v>40</v>
      </c>
      <c r="C12" s="16" t="s">
        <v>41</v>
      </c>
      <c r="D12" s="16" t="s">
        <v>42</v>
      </c>
      <c r="E12" s="16" t="s">
        <v>43</v>
      </c>
      <c r="F12" s="16" t="s">
        <v>44</v>
      </c>
      <c r="G12" s="16" t="s">
        <v>45</v>
      </c>
      <c r="H12" s="16" t="s">
        <v>46</v>
      </c>
      <c r="I12" s="16"/>
      <c r="J12" s="16"/>
      <c r="K12" s="16"/>
      <c r="L12" s="16"/>
      <c r="M12" s="16" t="s">
        <v>47</v>
      </c>
      <c r="N12" s="16" t="s">
        <v>48</v>
      </c>
      <c r="O12" s="16" t="s">
        <v>49</v>
      </c>
      <c r="P12" s="16" t="s">
        <v>50</v>
      </c>
      <c r="Q12" s="16" t="s">
        <v>51</v>
      </c>
      <c r="R12" s="16" t="s">
        <v>52</v>
      </c>
      <c r="S12" s="16" t="s">
        <v>53</v>
      </c>
      <c r="T12" s="16" t="s">
        <v>54</v>
      </c>
      <c r="U12" s="16" t="s">
        <v>55</v>
      </c>
      <c r="V12" s="16" t="s">
        <v>56</v>
      </c>
      <c r="W12" s="16" t="s">
        <v>57</v>
      </c>
    </row>
    <row r="13" spans="2:25" x14ac:dyDescent="0.25">
      <c r="B13" s="24" t="s">
        <v>58</v>
      </c>
      <c r="C13" s="25">
        <v>513252157.67381912</v>
      </c>
      <c r="D13" s="25">
        <v>199014403.29185441</v>
      </c>
      <c r="E13" s="25">
        <f>C13-D13</f>
        <v>314237754.38196468</v>
      </c>
      <c r="F13" s="26">
        <v>609257701.15931809</v>
      </c>
      <c r="G13" s="27">
        <f t="shared" ref="G13:G18" si="0">E13/SUM(E$13:E$20)</f>
        <v>0.69937497238672031</v>
      </c>
      <c r="H13" s="28">
        <v>1.0524021067183855</v>
      </c>
      <c r="I13" s="29" t="s">
        <v>59</v>
      </c>
      <c r="J13" s="30">
        <f>N29</f>
        <v>0.21776141053296938</v>
      </c>
      <c r="K13" s="31">
        <f t="shared" ref="K13:K18" si="1">E13*J13</f>
        <v>68428856.636929408</v>
      </c>
      <c r="L13" s="31">
        <f>(K13/SUM($K$13:$K$18))*$K$24</f>
        <v>-3437277.2923631179</v>
      </c>
      <c r="M13" s="30">
        <f t="shared" ref="M13:M18" si="2">N13/E13</f>
        <v>0.20682294994244144</v>
      </c>
      <c r="N13" s="31">
        <f>K13+L13</f>
        <v>64991579.344566293</v>
      </c>
      <c r="O13" s="31">
        <f t="shared" ref="O13:O20" si="3">N13+E13</f>
        <v>379229333.72653097</v>
      </c>
      <c r="P13" s="28">
        <v>1.0305514505440287</v>
      </c>
      <c r="Q13" s="25">
        <f>'Exh. JDT-14 Pgs. 2-3 (BR-11)'!I47</f>
        <v>379229801.85868043</v>
      </c>
      <c r="R13" s="31">
        <f t="shared" ref="R13:R20" si="4">D13</f>
        <v>199014403.29185441</v>
      </c>
      <c r="S13" s="31">
        <f>SUM(Q13:R13)</f>
        <v>578244205.15053487</v>
      </c>
      <c r="T13" s="25">
        <f>Q13-E13</f>
        <v>64992047.476715744</v>
      </c>
      <c r="U13" s="32">
        <f t="shared" ref="U13:U21" si="5">T13/C13</f>
        <v>0.12662790892351075</v>
      </c>
      <c r="V13" s="32">
        <f t="shared" ref="V13:V21" si="6">T13/E13</f>
        <v>0.20682443968115974</v>
      </c>
      <c r="W13" s="2">
        <f t="shared" ref="W13:W18" si="7">T13-N13</f>
        <v>468.13214945048094</v>
      </c>
      <c r="X13" s="33"/>
      <c r="Y13" s="32"/>
    </row>
    <row r="14" spans="2:25" x14ac:dyDescent="0.25">
      <c r="B14" s="34" t="s">
        <v>60</v>
      </c>
      <c r="C14" s="25">
        <v>168001053.21070045</v>
      </c>
      <c r="D14" s="25">
        <v>74627518.039885283</v>
      </c>
      <c r="E14" s="25">
        <f t="shared" ref="E14:E19" si="8">C14-D14</f>
        <v>93373535.17081517</v>
      </c>
      <c r="F14" s="26">
        <v>234176518.05324447</v>
      </c>
      <c r="G14" s="27">
        <f t="shared" si="0"/>
        <v>0.20781434652935299</v>
      </c>
      <c r="H14" s="28">
        <v>0.8419721693532265</v>
      </c>
      <c r="I14" s="29" t="s">
        <v>61</v>
      </c>
      <c r="J14" s="30">
        <f>N29*1.5</f>
        <v>0.32664211579945407</v>
      </c>
      <c r="K14" s="31">
        <f t="shared" si="1"/>
        <v>30499729.087869804</v>
      </c>
      <c r="L14" s="31">
        <f t="shared" ref="L14:L18" si="9">(K14/SUM($K$13:$K$18))*$K$24</f>
        <v>-1532044.1019963538</v>
      </c>
      <c r="M14" s="30">
        <f t="shared" si="2"/>
        <v>0.31023442491366215</v>
      </c>
      <c r="N14" s="31">
        <f t="shared" ref="N14:N19" si="10">K14+L14</f>
        <v>28967684.98587345</v>
      </c>
      <c r="O14" s="31">
        <f t="shared" si="3"/>
        <v>122341220.15668862</v>
      </c>
      <c r="P14" s="28">
        <v>0.89513690066884932</v>
      </c>
      <c r="Q14" s="25">
        <f>'Exh. JDT-14 Pgs. 4-6 (BR-11)'!I117</f>
        <v>122340894.72000001</v>
      </c>
      <c r="R14" s="31">
        <f t="shared" si="4"/>
        <v>74627518.039885283</v>
      </c>
      <c r="S14" s="31">
        <f>SUM(Q14:R14)</f>
        <v>196968412.75988531</v>
      </c>
      <c r="T14" s="25">
        <f t="shared" ref="T14:T20" si="11">Q14-E14</f>
        <v>28967359.549184844</v>
      </c>
      <c r="U14" s="32">
        <f t="shared" si="5"/>
        <v>0.17242367827810637</v>
      </c>
      <c r="V14" s="32">
        <f t="shared" si="6"/>
        <v>0.31023093959324444</v>
      </c>
      <c r="W14" s="2">
        <f t="shared" si="7"/>
        <v>-325.43668860569596</v>
      </c>
      <c r="X14" s="33"/>
      <c r="Y14" s="32"/>
    </row>
    <row r="15" spans="2:25" x14ac:dyDescent="0.25">
      <c r="B15" s="35" t="s">
        <v>62</v>
      </c>
      <c r="C15" s="25">
        <v>39134644.734412566</v>
      </c>
      <c r="D15" s="25">
        <v>19655588.101767365</v>
      </c>
      <c r="E15" s="25">
        <f t="shared" si="8"/>
        <v>19479056.632645201</v>
      </c>
      <c r="F15" s="26">
        <v>86328991.912539348</v>
      </c>
      <c r="G15" s="27">
        <f t="shared" si="0"/>
        <v>4.3353048781071241E-2</v>
      </c>
      <c r="H15" s="28">
        <v>1.2673666604280058</v>
      </c>
      <c r="I15" s="29" t="s">
        <v>63</v>
      </c>
      <c r="J15" s="30">
        <f>N29*0.5</f>
        <v>0.10888070526648469</v>
      </c>
      <c r="K15" s="31">
        <f t="shared" si="1"/>
        <v>2120893.4240882057</v>
      </c>
      <c r="L15" s="31">
        <f t="shared" si="9"/>
        <v>-106535.44665842564</v>
      </c>
      <c r="M15" s="30">
        <f t="shared" si="2"/>
        <v>0.1034114749712207</v>
      </c>
      <c r="N15" s="31">
        <f t="shared" si="10"/>
        <v>2014357.9774297799</v>
      </c>
      <c r="O15" s="31">
        <f t="shared" si="3"/>
        <v>21493414.610074982</v>
      </c>
      <c r="P15" s="28">
        <v>1.1346946290443007</v>
      </c>
      <c r="Q15" s="25">
        <f>'Exh. JDT-14 Pgs. 4-6 (BR-11)'!I118</f>
        <v>21493184.54153214</v>
      </c>
      <c r="R15" s="31">
        <f t="shared" si="4"/>
        <v>19655588.101767365</v>
      </c>
      <c r="S15" s="31">
        <f>SUM(Q15:R15)</f>
        <v>41148772.643299505</v>
      </c>
      <c r="T15" s="25">
        <f t="shared" si="11"/>
        <v>2014127.9088869393</v>
      </c>
      <c r="U15" s="32">
        <f t="shared" si="5"/>
        <v>5.1466620498431169E-2</v>
      </c>
      <c r="V15" s="32">
        <f t="shared" si="6"/>
        <v>0.1033996638990944</v>
      </c>
      <c r="W15" s="2">
        <f t="shared" si="7"/>
        <v>-230.06854284065776</v>
      </c>
      <c r="X15" s="33"/>
      <c r="Y15" s="32"/>
    </row>
    <row r="16" spans="2:25" x14ac:dyDescent="0.25">
      <c r="B16" s="24" t="s">
        <v>64</v>
      </c>
      <c r="C16" s="25">
        <v>13027834.58447225</v>
      </c>
      <c r="D16" s="25">
        <v>4516109.1136934618</v>
      </c>
      <c r="E16" s="25">
        <f t="shared" si="8"/>
        <v>8511725.4707787894</v>
      </c>
      <c r="F16" s="26">
        <v>90957971.203620166</v>
      </c>
      <c r="G16" s="27">
        <f t="shared" si="0"/>
        <v>1.8943897361401583E-2</v>
      </c>
      <c r="H16" s="28">
        <v>1.1319624516691438</v>
      </c>
      <c r="I16" s="29" t="s">
        <v>63</v>
      </c>
      <c r="J16" s="30">
        <f>N29*0.5</f>
        <v>0.10888070526648469</v>
      </c>
      <c r="K16" s="31">
        <f t="shared" si="1"/>
        <v>926762.67229309597</v>
      </c>
      <c r="L16" s="31">
        <f t="shared" si="9"/>
        <v>-46552.586809753317</v>
      </c>
      <c r="M16" s="30">
        <f t="shared" si="2"/>
        <v>0.10341147497122072</v>
      </c>
      <c r="N16" s="31">
        <f t="shared" si="10"/>
        <v>880210.08548334264</v>
      </c>
      <c r="O16" s="31">
        <f t="shared" si="3"/>
        <v>9391935.5562621318</v>
      </c>
      <c r="P16" s="28">
        <v>1.0134700540471213</v>
      </c>
      <c r="Q16" s="25">
        <f>'Exh. JDT-14 Pgs. 7-12 (BR-11)'!I21+'Exh. JDT-14 Pgs. 7-12 (BR-11)'!I42</f>
        <v>9391882.1400000006</v>
      </c>
      <c r="R16" s="31">
        <f t="shared" si="4"/>
        <v>4516109.1136934618</v>
      </c>
      <c r="S16" s="31">
        <f t="shared" ref="S16:S23" si="12">SUM(Q16:R16)</f>
        <v>13907991.253693461</v>
      </c>
      <c r="T16" s="25">
        <f t="shared" si="11"/>
        <v>880156.66922121122</v>
      </c>
      <c r="U16" s="32">
        <f t="shared" si="5"/>
        <v>6.7559705606813694E-2</v>
      </c>
      <c r="V16" s="32">
        <f t="shared" si="6"/>
        <v>0.10340519936208425</v>
      </c>
      <c r="W16" s="2">
        <f t="shared" si="7"/>
        <v>-53.41626213141717</v>
      </c>
      <c r="X16" s="33"/>
      <c r="Y16" s="32"/>
    </row>
    <row r="17" spans="2:25" x14ac:dyDescent="0.25">
      <c r="B17" s="35" t="s">
        <v>65</v>
      </c>
      <c r="C17" s="25">
        <v>4667048.6930715684</v>
      </c>
      <c r="D17" s="25">
        <v>2604841.0612883456</v>
      </c>
      <c r="E17" s="25">
        <f t="shared" si="8"/>
        <v>2062207.6317832228</v>
      </c>
      <c r="F17" s="26">
        <v>9748488.4229263552</v>
      </c>
      <c r="G17" s="27">
        <f t="shared" si="0"/>
        <v>4.5896980404874351E-3</v>
      </c>
      <c r="H17" s="28">
        <v>1.7904024436157611</v>
      </c>
      <c r="I17" s="29" t="s">
        <v>66</v>
      </c>
      <c r="J17" s="30">
        <v>0</v>
      </c>
      <c r="K17" s="31">
        <f>E17*J17</f>
        <v>0</v>
      </c>
      <c r="L17" s="31">
        <f t="shared" si="9"/>
        <v>0</v>
      </c>
      <c r="M17" s="30">
        <f t="shared" si="2"/>
        <v>0</v>
      </c>
      <c r="N17" s="31">
        <f t="shared" si="10"/>
        <v>0</v>
      </c>
      <c r="O17" s="31">
        <f t="shared" si="3"/>
        <v>2062207.6317832228</v>
      </c>
      <c r="P17" s="28">
        <v>1.4527677429490657</v>
      </c>
      <c r="Q17" s="25">
        <f>'Exh. JDT-14 Pgs. 7-12 (BR-11)'!I115</f>
        <v>2062215.48</v>
      </c>
      <c r="R17" s="31">
        <f t="shared" si="4"/>
        <v>2604841.0612883456</v>
      </c>
      <c r="S17" s="31">
        <f>SUM(Q17:R17)</f>
        <v>4667056.5412883461</v>
      </c>
      <c r="T17" s="25">
        <f t="shared" si="11"/>
        <v>7.8482167772017419</v>
      </c>
      <c r="U17" s="32">
        <f t="shared" si="5"/>
        <v>1.6816230755965226E-6</v>
      </c>
      <c r="V17" s="32">
        <f t="shared" si="6"/>
        <v>3.805735492509679E-6</v>
      </c>
      <c r="W17" s="2">
        <f t="shared" si="7"/>
        <v>7.8482167772017419</v>
      </c>
      <c r="X17" s="33"/>
      <c r="Y17" s="32"/>
    </row>
    <row r="18" spans="2:25" x14ac:dyDescent="0.25">
      <c r="B18" s="35" t="s">
        <v>67</v>
      </c>
      <c r="C18" s="25">
        <v>11000268.979056852</v>
      </c>
      <c r="D18" s="25">
        <v>6381578.4603896197</v>
      </c>
      <c r="E18" s="25">
        <f>C18-D18</f>
        <v>4618690.5186672322</v>
      </c>
      <c r="F18" s="26">
        <v>123778170.49320193</v>
      </c>
      <c r="G18" s="27">
        <f t="shared" si="0"/>
        <v>1.0279466769703647E-2</v>
      </c>
      <c r="H18" s="28">
        <v>0.84915357662887514</v>
      </c>
      <c r="I18" s="29" t="s">
        <v>61</v>
      </c>
      <c r="J18" s="30">
        <f>N29*1.5</f>
        <v>0.32664211579945407</v>
      </c>
      <c r="K18" s="31">
        <f t="shared" si="1"/>
        <v>1508658.8432403426</v>
      </c>
      <c r="L18" s="31">
        <f t="shared" si="9"/>
        <v>-75782.046327429824</v>
      </c>
      <c r="M18" s="30">
        <f t="shared" si="2"/>
        <v>0.31023442491366215</v>
      </c>
      <c r="N18" s="31">
        <f t="shared" si="10"/>
        <v>1432876.7969129127</v>
      </c>
      <c r="O18" s="31">
        <f t="shared" si="3"/>
        <v>6051567.3155801445</v>
      </c>
      <c r="P18" s="28">
        <v>0.90275816677522169</v>
      </c>
      <c r="Q18" s="25">
        <f>'Exh. JDT-14 Pgs. 7-12 (BR-11)'!I141+'Exh. JDT-14 Pgs. 7-12 (BR-11)'!I164</f>
        <v>6051460.0700000003</v>
      </c>
      <c r="R18" s="31">
        <f t="shared" si="4"/>
        <v>6381578.4603896197</v>
      </c>
      <c r="S18" s="31">
        <f t="shared" si="12"/>
        <v>12433038.53038962</v>
      </c>
      <c r="T18" s="25">
        <f t="shared" si="11"/>
        <v>1432769.5513327681</v>
      </c>
      <c r="U18" s="32">
        <f t="shared" si="5"/>
        <v>0.13024859247174625</v>
      </c>
      <c r="V18" s="32">
        <f t="shared" si="6"/>
        <v>0.31021120500323274</v>
      </c>
      <c r="W18" s="2">
        <f t="shared" si="7"/>
        <v>-107.24558014469221</v>
      </c>
      <c r="X18" s="33"/>
      <c r="Y18" s="32"/>
    </row>
    <row r="19" spans="2:25" s="12" customFormat="1" x14ac:dyDescent="0.25">
      <c r="B19" s="35" t="s">
        <v>34</v>
      </c>
      <c r="C19" s="25">
        <v>1718916.583166973</v>
      </c>
      <c r="D19" s="25">
        <v>0</v>
      </c>
      <c r="E19" s="25">
        <f t="shared" si="8"/>
        <v>1718916.583166973</v>
      </c>
      <c r="F19" s="26">
        <v>37056427.854413897</v>
      </c>
      <c r="G19" s="27"/>
      <c r="H19" s="28">
        <v>1.6993769913461088</v>
      </c>
      <c r="I19" s="29"/>
      <c r="J19" s="30"/>
      <c r="K19" s="31">
        <f>E19*J19</f>
        <v>0</v>
      </c>
      <c r="L19" s="31">
        <f t="shared" ref="L19" si="13">(K19/$K$21)*$K$24</f>
        <v>0</v>
      </c>
      <c r="M19" s="30">
        <f>V19</f>
        <v>2.2457714664482348E-2</v>
      </c>
      <c r="N19" s="31">
        <f t="shared" si="10"/>
        <v>0</v>
      </c>
      <c r="O19" s="31">
        <f>N19+E19</f>
        <v>1718916.583166973</v>
      </c>
      <c r="P19" s="28">
        <v>1.409869655978595</v>
      </c>
      <c r="Q19" s="25">
        <v>1757519.5213237838</v>
      </c>
      <c r="R19" s="31">
        <f t="shared" si="4"/>
        <v>0</v>
      </c>
      <c r="S19" s="25">
        <f t="shared" si="12"/>
        <v>1757519.5213237838</v>
      </c>
      <c r="T19" s="25">
        <f t="shared" si="11"/>
        <v>38602.938156810822</v>
      </c>
      <c r="U19" s="32">
        <f t="shared" si="5"/>
        <v>2.2457714664482348E-2</v>
      </c>
      <c r="V19" s="32">
        <f>T19/E19</f>
        <v>2.2457714664482348E-2</v>
      </c>
      <c r="W19" s="2"/>
      <c r="X19" s="33"/>
      <c r="Y19" s="32"/>
    </row>
    <row r="20" spans="2:25" x14ac:dyDescent="0.25">
      <c r="B20" s="24" t="s">
        <v>68</v>
      </c>
      <c r="C20" s="25">
        <v>5310380.6899999985</v>
      </c>
      <c r="D20" s="25">
        <v>0</v>
      </c>
      <c r="E20" s="31">
        <f>C20-D20</f>
        <v>5310380.6899999985</v>
      </c>
      <c r="F20" s="26">
        <v>0</v>
      </c>
      <c r="G20" s="27">
        <f>E20/SUM(E$13:E$20)</f>
        <v>1.1818908761412915E-2</v>
      </c>
      <c r="H20" s="28">
        <v>1.3207614860102606</v>
      </c>
      <c r="I20" s="29" t="s">
        <v>69</v>
      </c>
      <c r="J20" s="30">
        <v>0</v>
      </c>
      <c r="K20" s="31">
        <v>-443836.14119762927</v>
      </c>
      <c r="L20" s="31">
        <v>0</v>
      </c>
      <c r="M20" s="30">
        <f>N20/E20</f>
        <v>-8.3578968647844601E-2</v>
      </c>
      <c r="N20" s="31">
        <f>K20+L20</f>
        <v>-443836.14119762927</v>
      </c>
      <c r="O20" s="31">
        <f t="shared" si="3"/>
        <v>4866544.5488023693</v>
      </c>
      <c r="P20" s="28">
        <v>0.98211964061076584</v>
      </c>
      <c r="Q20" s="25">
        <f>E20+'Exh. JDT-14 Pg. 13 (BR-11)'!J29</f>
        <v>4866556.6399999987</v>
      </c>
      <c r="R20" s="25">
        <f t="shared" si="4"/>
        <v>0</v>
      </c>
      <c r="S20" s="31">
        <f>SUM(Q20:R20)</f>
        <v>4866556.6399999987</v>
      </c>
      <c r="T20" s="25">
        <f t="shared" si="11"/>
        <v>-443824.04999999981</v>
      </c>
      <c r="U20" s="36">
        <f t="shared" si="5"/>
        <v>-8.3576691749381898E-2</v>
      </c>
      <c r="V20" s="36">
        <f t="shared" si="6"/>
        <v>-8.3576691749381898E-2</v>
      </c>
      <c r="W20" s="2">
        <f>T20-N20</f>
        <v>12.091197629459202</v>
      </c>
      <c r="X20" s="33"/>
      <c r="Y20" s="32"/>
    </row>
    <row r="21" spans="2:25" x14ac:dyDescent="0.25">
      <c r="B21" s="11" t="s">
        <v>70</v>
      </c>
      <c r="C21" s="37">
        <f>SUM(C13:C20)</f>
        <v>756112305.14869988</v>
      </c>
      <c r="D21" s="37">
        <f>SUM(D13:D20)</f>
        <v>306800038.06887847</v>
      </c>
      <c r="E21" s="37">
        <f>SUM(E13:E20)</f>
        <v>449312267.07982123</v>
      </c>
      <c r="F21" s="38">
        <f>SUM(F13:F20)</f>
        <v>1191304269.0992644</v>
      </c>
      <c r="G21" s="39">
        <f>SUM(G13:G20)</f>
        <v>0.99617433863015015</v>
      </c>
      <c r="H21" s="40"/>
      <c r="I21" s="40"/>
      <c r="J21" s="30"/>
      <c r="K21" s="37">
        <f>SUM(K13:K20)</f>
        <v>103041064.52322322</v>
      </c>
      <c r="L21" s="37">
        <f>SUM(L13:L20)</f>
        <v>-5198191.4741550805</v>
      </c>
      <c r="M21" s="37"/>
      <c r="N21" s="37">
        <f>SUM(N13:N20)</f>
        <v>97842873.049068153</v>
      </c>
      <c r="O21" s="37">
        <f>SUM(O13:O20)</f>
        <v>547155140.12888944</v>
      </c>
      <c r="P21" s="37"/>
      <c r="Q21" s="37">
        <f>SUM(Q13:Q20)</f>
        <v>547193514.9715364</v>
      </c>
      <c r="R21" s="37">
        <f>SUM(R13:R20)</f>
        <v>306800038.06887847</v>
      </c>
      <c r="S21" s="37">
        <f>SUM(S13:S20)</f>
        <v>853993553.04041493</v>
      </c>
      <c r="T21" s="37">
        <f>SUM(T13:T20)</f>
        <v>97881247.891715094</v>
      </c>
      <c r="U21" s="32">
        <f t="shared" si="5"/>
        <v>0.12945331959974571</v>
      </c>
      <c r="V21" s="32">
        <f t="shared" si="6"/>
        <v>0.2178468184896592</v>
      </c>
      <c r="W21" s="37">
        <f>SUM(W13:W20)</f>
        <v>-228.09550986532122</v>
      </c>
      <c r="X21" s="33"/>
      <c r="Y21" s="32"/>
    </row>
    <row r="22" spans="2:25" x14ac:dyDescent="0.25">
      <c r="B22" s="24"/>
      <c r="C22" s="31"/>
      <c r="D22" s="31"/>
      <c r="E22" s="31"/>
      <c r="F22" s="26"/>
      <c r="G22" s="29"/>
      <c r="H22" s="29"/>
      <c r="I22" s="29"/>
      <c r="J22" s="30"/>
      <c r="K22" s="31">
        <f>N26</f>
        <v>97881475.987224951</v>
      </c>
      <c r="L22" s="30"/>
      <c r="M22" s="30"/>
      <c r="N22" s="31"/>
      <c r="O22" s="31"/>
      <c r="P22" s="31"/>
      <c r="Q22" s="31"/>
      <c r="R22" s="25"/>
      <c r="S22" s="31"/>
      <c r="T22" s="25"/>
      <c r="U22" s="32"/>
      <c r="V22" s="32"/>
      <c r="W22" s="2"/>
    </row>
    <row r="23" spans="2:25" x14ac:dyDescent="0.25">
      <c r="B23" s="24" t="s">
        <v>71</v>
      </c>
      <c r="C23" s="31">
        <v>5039913.28</v>
      </c>
      <c r="D23" s="31"/>
      <c r="E23" s="31">
        <f>C23</f>
        <v>5039913.28</v>
      </c>
      <c r="F23" s="26"/>
      <c r="G23" s="29"/>
      <c r="H23" s="29"/>
      <c r="I23" s="29"/>
      <c r="J23" s="41"/>
      <c r="K23" s="41"/>
      <c r="L23" s="41"/>
      <c r="M23" s="41"/>
      <c r="N23" s="31"/>
      <c r="O23" s="31"/>
      <c r="P23" s="31"/>
      <c r="Q23" s="31">
        <f>E23</f>
        <v>5039913.28</v>
      </c>
      <c r="R23" s="25"/>
      <c r="S23" s="31">
        <f t="shared" si="12"/>
        <v>5039913.28</v>
      </c>
      <c r="T23" s="25"/>
      <c r="U23" s="36">
        <f>T23/C23</f>
        <v>0</v>
      </c>
      <c r="V23" s="42"/>
      <c r="W23" s="12"/>
    </row>
    <row r="24" spans="2:25" x14ac:dyDescent="0.25">
      <c r="B24" s="24" t="s">
        <v>14</v>
      </c>
      <c r="C24" s="37">
        <f>SUM(C21:C23)</f>
        <v>761152218.42869985</v>
      </c>
      <c r="D24" s="37">
        <f>SUM(D21:D23)</f>
        <v>306800038.06887847</v>
      </c>
      <c r="E24" s="37">
        <f>SUM(E21:E23)</f>
        <v>454352180.3598212</v>
      </c>
      <c r="F24" s="38">
        <f>SUM(F21:F23)</f>
        <v>1191304269.0992644</v>
      </c>
      <c r="G24" s="40"/>
      <c r="H24" s="40"/>
      <c r="I24" s="40"/>
      <c r="J24" s="30" t="s">
        <v>72</v>
      </c>
      <c r="K24" s="31">
        <f>K22-K21-T19</f>
        <v>-5198191.4741550805</v>
      </c>
      <c r="L24" s="30"/>
      <c r="M24" s="30"/>
      <c r="N24" s="37">
        <f>SUM(N21:N23)</f>
        <v>97842873.049068153</v>
      </c>
      <c r="O24" s="37"/>
      <c r="P24" s="37"/>
      <c r="Q24" s="37">
        <f>SUM(Q21:Q23)</f>
        <v>552233428.25153637</v>
      </c>
      <c r="R24" s="43">
        <f>SUM(R21:R23)</f>
        <v>306800038.06887847</v>
      </c>
      <c r="S24" s="37">
        <f>SUM(S21:S23)</f>
        <v>859033466.3204149</v>
      </c>
      <c r="T24" s="43">
        <f>SUM(T21:T23)</f>
        <v>97881247.891715094</v>
      </c>
      <c r="U24" s="32">
        <f>T24/C24</f>
        <v>0.12859615399108767</v>
      </c>
      <c r="V24" s="44">
        <f>T24/E24</f>
        <v>0.21543034703651842</v>
      </c>
      <c r="W24" s="45">
        <f>SUM(W21:W23)</f>
        <v>-228.09550986532122</v>
      </c>
    </row>
    <row r="25" spans="2:25" x14ac:dyDescent="0.25">
      <c r="N25" s="12"/>
      <c r="O25" s="12"/>
      <c r="P25" s="12"/>
      <c r="Q25" s="2"/>
      <c r="R25" s="12"/>
      <c r="T25" s="46"/>
      <c r="W25" s="47"/>
    </row>
    <row r="26" spans="2:25" x14ac:dyDescent="0.25">
      <c r="B26" s="24" t="s">
        <v>73</v>
      </c>
      <c r="N26" s="48">
        <v>97881475.987224951</v>
      </c>
      <c r="O26" s="1"/>
      <c r="P26" s="1"/>
      <c r="Q26" s="49"/>
      <c r="R26" s="3"/>
      <c r="S26" s="46"/>
      <c r="T26" s="50"/>
      <c r="U26" s="51"/>
      <c r="V26" s="51"/>
      <c r="W26" s="46"/>
    </row>
    <row r="27" spans="2:25" x14ac:dyDescent="0.25">
      <c r="B27" s="24" t="s">
        <v>74</v>
      </c>
      <c r="N27" s="3">
        <f>$N$26/(SUM(E$13:E$20))</f>
        <v>0.21784732614441643</v>
      </c>
      <c r="O27" s="3"/>
      <c r="P27" s="3"/>
      <c r="Q27" s="3"/>
      <c r="R27" s="2"/>
      <c r="S27" s="2"/>
      <c r="T27" s="52"/>
      <c r="U27" s="51"/>
      <c r="V27" s="51"/>
    </row>
    <row r="28" spans="2:25" x14ac:dyDescent="0.25">
      <c r="B28" s="24" t="s">
        <v>75</v>
      </c>
      <c r="E28" s="46"/>
      <c r="N28" s="3">
        <f>ROUND($N$26/(SUM(C$13:C$20)),4)</f>
        <v>0.1295</v>
      </c>
      <c r="O28" s="3"/>
      <c r="P28" s="3"/>
      <c r="R28" s="2"/>
      <c r="T28" s="50"/>
      <c r="U28" s="51"/>
      <c r="V28" s="51"/>
      <c r="W28" s="46"/>
    </row>
    <row r="29" spans="2:25" s="12" customFormat="1" x14ac:dyDescent="0.25">
      <c r="B29" s="35" t="s">
        <v>76</v>
      </c>
      <c r="E29" s="2"/>
      <c r="N29" s="3">
        <f>(N26-T19)/SUM(E13:E20)</f>
        <v>0.21776141053296938</v>
      </c>
      <c r="O29" s="3"/>
      <c r="P29" s="3"/>
      <c r="R29" s="2"/>
      <c r="T29" s="53"/>
      <c r="U29" s="54"/>
      <c r="V29" s="54"/>
      <c r="W29" s="2"/>
    </row>
    <row r="30" spans="2:25" s="12" customFormat="1" x14ac:dyDescent="0.25">
      <c r="B30" s="35"/>
      <c r="E30" s="2"/>
      <c r="F30" s="55"/>
      <c r="G30" s="55"/>
      <c r="H30" s="55"/>
      <c r="I30" s="55"/>
      <c r="N30" s="56"/>
      <c r="O30" s="56"/>
      <c r="P30" s="56"/>
      <c r="R30" s="2"/>
      <c r="S30" s="53"/>
      <c r="T30" s="54"/>
      <c r="U30" s="54"/>
      <c r="V30" s="54"/>
      <c r="W30" s="2"/>
    </row>
    <row r="31" spans="2:25" s="12" customFormat="1" x14ac:dyDescent="0.25">
      <c r="B31" s="35"/>
      <c r="E31" s="2"/>
      <c r="F31" s="55"/>
      <c r="G31" s="55"/>
      <c r="H31" s="55"/>
      <c r="I31" s="55"/>
      <c r="N31" s="2"/>
      <c r="O31" s="2"/>
      <c r="P31" s="2"/>
      <c r="R31" s="2"/>
      <c r="S31" s="53"/>
      <c r="T31" s="53"/>
      <c r="U31" s="54"/>
      <c r="V31" s="54"/>
      <c r="W31" s="2"/>
    </row>
    <row r="32" spans="2:25" s="12" customFormat="1" x14ac:dyDescent="0.25">
      <c r="B32" s="35" t="s">
        <v>77</v>
      </c>
      <c r="E32" s="2"/>
      <c r="F32" s="55"/>
      <c r="G32" s="55"/>
      <c r="H32" s="55"/>
      <c r="I32" s="55"/>
      <c r="N32" s="2"/>
      <c r="O32" s="2"/>
      <c r="P32" s="2"/>
      <c r="R32" s="2"/>
      <c r="S32" s="53"/>
      <c r="T32" s="53">
        <f>W24</f>
        <v>-228.09550986532122</v>
      </c>
      <c r="U32" s="54"/>
      <c r="V32" s="54"/>
      <c r="W32" s="2"/>
    </row>
    <row r="33" spans="2:22" s="12" customFormat="1" x14ac:dyDescent="0.25">
      <c r="E33" s="2"/>
      <c r="F33" s="26"/>
      <c r="G33" s="55"/>
      <c r="H33" s="55"/>
      <c r="I33" s="55"/>
      <c r="N33" s="2"/>
      <c r="O33" s="2"/>
      <c r="P33" s="2"/>
      <c r="Q33" s="2"/>
      <c r="R33" s="2"/>
      <c r="S33" s="53"/>
      <c r="T33" s="54"/>
      <c r="U33" s="54"/>
      <c r="V33" s="54"/>
    </row>
    <row r="34" spans="2:22" s="12" customFormat="1" x14ac:dyDescent="0.25">
      <c r="B34" s="15" t="s">
        <v>78</v>
      </c>
      <c r="E34" s="2"/>
      <c r="F34" s="26"/>
      <c r="G34" s="55"/>
      <c r="H34" s="55"/>
      <c r="I34" s="55"/>
      <c r="S34" s="53"/>
      <c r="T34" s="54"/>
      <c r="U34" s="54"/>
      <c r="V34" s="54"/>
    </row>
    <row r="35" spans="2:22" s="12" customFormat="1" x14ac:dyDescent="0.25">
      <c r="B35" s="15" t="s">
        <v>79</v>
      </c>
      <c r="F35" s="26"/>
      <c r="G35" s="55"/>
      <c r="H35" s="55"/>
      <c r="I35" s="55"/>
      <c r="N35" s="2"/>
      <c r="O35" s="2"/>
      <c r="P35" s="2"/>
      <c r="Q35" s="2"/>
      <c r="R35" s="2"/>
    </row>
    <row r="36" spans="2:22" s="12" customFormat="1" x14ac:dyDescent="0.25">
      <c r="B36" s="15" t="s">
        <v>80</v>
      </c>
      <c r="F36" s="26"/>
      <c r="G36" s="55"/>
      <c r="H36" s="55"/>
      <c r="I36" s="55"/>
    </row>
    <row r="37" spans="2:22" s="12" customFormat="1" x14ac:dyDescent="0.25">
      <c r="F37" s="26"/>
      <c r="G37" s="55"/>
      <c r="H37" s="55"/>
      <c r="I37" s="55"/>
      <c r="N37" s="2"/>
      <c r="O37" s="2"/>
      <c r="P37" s="2"/>
      <c r="Q37" s="2"/>
      <c r="R37" s="2"/>
      <c r="S37" s="2"/>
    </row>
    <row r="38" spans="2:22" s="12" customFormat="1" x14ac:dyDescent="0.25">
      <c r="F38" s="26"/>
      <c r="G38" s="55"/>
      <c r="H38" s="55"/>
      <c r="I38" s="55"/>
      <c r="N38" s="2"/>
      <c r="O38" s="2"/>
      <c r="P38" s="2"/>
      <c r="Q38" s="2"/>
    </row>
    <row r="39" spans="2:22" s="12" customFormat="1" x14ac:dyDescent="0.25">
      <c r="B39" s="12" t="s">
        <v>81</v>
      </c>
      <c r="F39" s="26"/>
      <c r="G39" s="55"/>
      <c r="H39" s="55"/>
      <c r="I39" s="55"/>
      <c r="N39" s="2"/>
      <c r="O39" s="2"/>
      <c r="P39" s="2"/>
      <c r="T39" s="2"/>
    </row>
    <row r="40" spans="2:22" s="12" customFormat="1" x14ac:dyDescent="0.25">
      <c r="B40" s="12" t="s">
        <v>82</v>
      </c>
      <c r="C40" s="2"/>
      <c r="F40" s="26"/>
      <c r="G40" s="55"/>
      <c r="H40" s="55"/>
      <c r="I40" s="55"/>
      <c r="N40" s="2"/>
      <c r="O40" s="2"/>
      <c r="P40" s="2"/>
      <c r="Q40" s="53"/>
      <c r="R40" s="53"/>
      <c r="S40" s="53"/>
      <c r="T40" s="53"/>
    </row>
    <row r="41" spans="2:22" s="12" customFormat="1" x14ac:dyDescent="0.25">
      <c r="B41" s="12" t="s">
        <v>83</v>
      </c>
    </row>
    <row r="42" spans="2:22" s="12" customFormat="1" x14ac:dyDescent="0.25">
      <c r="B42" s="12" t="s">
        <v>84</v>
      </c>
    </row>
    <row r="43" spans="2:22" s="12" customFormat="1" x14ac:dyDescent="0.25">
      <c r="B43" s="15" t="s">
        <v>85</v>
      </c>
    </row>
    <row r="44" spans="2:22" s="12" customFormat="1" x14ac:dyDescent="0.25">
      <c r="G44" s="57"/>
      <c r="H44" s="57"/>
      <c r="I44" s="57"/>
      <c r="N44" s="3"/>
      <c r="O44" s="3"/>
      <c r="P44" s="3"/>
    </row>
    <row r="45" spans="2:22" s="12" customFormat="1" x14ac:dyDescent="0.25">
      <c r="G45" s="57"/>
      <c r="H45" s="57"/>
      <c r="I45" s="57"/>
    </row>
    <row r="46" spans="2:22" s="12" customFormat="1" x14ac:dyDescent="0.25">
      <c r="B46" s="12" t="s">
        <v>86</v>
      </c>
      <c r="G46" s="57"/>
      <c r="H46" s="57"/>
      <c r="I46" s="57"/>
    </row>
    <row r="47" spans="2:22" s="12" customFormat="1" x14ac:dyDescent="0.25">
      <c r="G47" s="57"/>
      <c r="H47" s="57"/>
      <c r="I47" s="57"/>
    </row>
    <row r="48" spans="2:22" s="12" customFormat="1" x14ac:dyDescent="0.25">
      <c r="G48" s="57"/>
      <c r="H48" s="57"/>
      <c r="I48" s="57"/>
    </row>
    <row r="49" spans="7:9" s="12" customFormat="1" x14ac:dyDescent="0.25">
      <c r="G49" s="57"/>
      <c r="H49" s="57"/>
      <c r="I49" s="57"/>
    </row>
    <row r="50" spans="7:9" s="12" customFormat="1" x14ac:dyDescent="0.25">
      <c r="G50" s="57"/>
      <c r="H50" s="57"/>
      <c r="I50" s="57"/>
    </row>
    <row r="51" spans="7:9" s="12" customFormat="1" x14ac:dyDescent="0.25">
      <c r="G51" s="57"/>
      <c r="H51" s="57"/>
      <c r="I51" s="57"/>
    </row>
    <row r="52" spans="7:9" s="12" customFormat="1" x14ac:dyDescent="0.25"/>
  </sheetData>
  <printOptions horizontalCentered="1"/>
  <pageMargins left="0.25" right="0.25" top="1" bottom="1" header="0.75" footer="0.5"/>
  <pageSetup scale="60" orientation="landscape" blackAndWhite="1" horizontalDpi="300" verticalDpi="300" r:id="rId1"/>
  <headerFooter alignWithMargins="0">
    <oddFooter>&amp;RExhibit JDT-14
                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opLeftCell="A17" zoomScaleNormal="100" workbookViewId="0">
      <selection activeCell="C58" sqref="C58"/>
    </sheetView>
  </sheetViews>
  <sheetFormatPr defaultColWidth="9.1796875" defaultRowHeight="13" x14ac:dyDescent="0.3"/>
  <cols>
    <col min="1" max="1" width="2.453125" style="11" customWidth="1"/>
    <col min="2" max="2" width="31.7265625" style="67" customWidth="1"/>
    <col min="3" max="3" width="9.7265625" style="67" customWidth="1"/>
    <col min="4" max="4" width="12.7265625" style="12" customWidth="1"/>
    <col min="5" max="5" width="10.453125" style="12" customWidth="1"/>
    <col min="6" max="6" width="13.26953125" style="67" customWidth="1"/>
    <col min="7" max="7" width="2.81640625" style="68" customWidth="1"/>
    <col min="8" max="8" width="10.453125" style="11" bestFit="1" customWidth="1"/>
    <col min="9" max="9" width="13.26953125" style="69" customWidth="1"/>
    <col min="10" max="10" width="2.81640625" style="70" customWidth="1"/>
    <col min="11" max="11" width="13.26953125" style="11" customWidth="1"/>
    <col min="12" max="12" width="10.453125" style="71" customWidth="1"/>
    <col min="13" max="13" width="2.81640625" style="71" customWidth="1"/>
    <col min="14" max="14" width="1.54296875" style="71" customWidth="1"/>
    <col min="15" max="15" width="14.54296875" style="11" customWidth="1"/>
    <col min="16" max="16" width="2.81640625" style="11" customWidth="1"/>
    <col min="17" max="17" width="8.81640625" style="73" customWidth="1"/>
    <col min="18" max="16384" width="9.1796875" style="11"/>
  </cols>
  <sheetData>
    <row r="1" spans="2:26" x14ac:dyDescent="0.3">
      <c r="B1" s="4"/>
      <c r="C1" s="4"/>
      <c r="D1" s="58"/>
      <c r="E1" s="58"/>
      <c r="F1" s="4"/>
      <c r="G1" s="59"/>
      <c r="H1" s="10"/>
      <c r="I1" s="60"/>
      <c r="J1" s="61"/>
      <c r="K1" s="10"/>
      <c r="L1" s="62"/>
      <c r="M1" s="62"/>
      <c r="N1" s="62"/>
      <c r="O1" s="10"/>
      <c r="P1" s="10"/>
      <c r="Q1" s="63"/>
    </row>
    <row r="2" spans="2:26" x14ac:dyDescent="0.3">
      <c r="B2" s="4" t="s">
        <v>0</v>
      </c>
      <c r="C2" s="4"/>
      <c r="D2" s="64"/>
      <c r="E2" s="64"/>
      <c r="F2" s="4"/>
      <c r="G2" s="4"/>
      <c r="H2" s="4"/>
      <c r="I2" s="4"/>
      <c r="J2" s="4"/>
      <c r="K2" s="4"/>
      <c r="L2" s="4"/>
      <c r="M2" s="62"/>
      <c r="N2" s="62"/>
      <c r="O2" s="10"/>
      <c r="P2" s="10"/>
      <c r="Q2" s="63"/>
    </row>
    <row r="3" spans="2:26" x14ac:dyDescent="0.3">
      <c r="B3" s="4" t="str">
        <f>'Exh. JDT-14 Pg. 1 (BR-11)'!B2</f>
        <v>2019 Gas General Rate Case Filing</v>
      </c>
      <c r="C3" s="4"/>
      <c r="D3" s="64"/>
      <c r="E3" s="64"/>
      <c r="F3" s="4"/>
      <c r="G3" s="4"/>
      <c r="H3" s="4"/>
      <c r="I3" s="4"/>
      <c r="J3" s="4"/>
      <c r="K3" s="4"/>
      <c r="L3" s="4"/>
      <c r="M3" s="62"/>
      <c r="N3" s="62"/>
      <c r="O3" s="10"/>
      <c r="P3" s="10"/>
      <c r="Q3" s="63"/>
    </row>
    <row r="4" spans="2:26" x14ac:dyDescent="0.3">
      <c r="B4" s="4" t="s">
        <v>87</v>
      </c>
      <c r="C4" s="4"/>
      <c r="D4" s="64"/>
      <c r="E4" s="64"/>
      <c r="F4" s="4"/>
      <c r="G4" s="4"/>
      <c r="H4" s="4"/>
      <c r="I4" s="4"/>
      <c r="J4" s="4"/>
      <c r="K4" s="4"/>
      <c r="L4" s="4"/>
      <c r="M4" s="62"/>
      <c r="N4" s="62"/>
      <c r="O4" s="10"/>
      <c r="P4" s="10"/>
      <c r="Q4" s="63"/>
    </row>
    <row r="5" spans="2:26" x14ac:dyDescent="0.3">
      <c r="B5" s="4" t="str">
        <f>'Exh. JDT-14 Pg. 1 (BR-11)'!B4</f>
        <v>Test Year Ended December 31, 2018</v>
      </c>
      <c r="C5" s="4"/>
      <c r="D5" s="64"/>
      <c r="E5" s="64"/>
      <c r="F5" s="4"/>
      <c r="G5" s="4"/>
      <c r="H5" s="4"/>
      <c r="I5" s="4"/>
      <c r="J5" s="4"/>
      <c r="K5" s="4"/>
      <c r="L5" s="4"/>
      <c r="M5" s="62"/>
      <c r="N5" s="65"/>
      <c r="O5" s="66"/>
      <c r="P5" s="10"/>
      <c r="Q5" s="63"/>
    </row>
    <row r="6" spans="2:26" x14ac:dyDescent="0.3">
      <c r="N6" s="72"/>
      <c r="O6" s="51"/>
    </row>
    <row r="7" spans="2:26" ht="15" customHeight="1" x14ac:dyDescent="0.25">
      <c r="B7" s="74"/>
      <c r="C7" s="75"/>
      <c r="D7" s="76" t="s">
        <v>88</v>
      </c>
      <c r="E7" s="77" t="s">
        <v>89</v>
      </c>
      <c r="F7" s="78"/>
      <c r="G7" s="79"/>
      <c r="H7" s="80" t="s">
        <v>8</v>
      </c>
      <c r="I7" s="78"/>
      <c r="J7" s="81"/>
      <c r="K7" s="78" t="s">
        <v>90</v>
      </c>
      <c r="L7" s="82"/>
      <c r="M7" s="83"/>
      <c r="N7" s="83"/>
      <c r="O7" s="17" t="s">
        <v>29</v>
      </c>
      <c r="Q7" s="84" t="s">
        <v>91</v>
      </c>
    </row>
    <row r="8" spans="2:26" ht="12.5" x14ac:dyDescent="0.25">
      <c r="B8" s="85" t="s">
        <v>92</v>
      </c>
      <c r="C8" s="22" t="s">
        <v>93</v>
      </c>
      <c r="D8" s="23" t="s">
        <v>94</v>
      </c>
      <c r="E8" s="23" t="s">
        <v>31</v>
      </c>
      <c r="F8" s="86" t="s">
        <v>95</v>
      </c>
      <c r="G8" s="22"/>
      <c r="H8" s="22" t="s">
        <v>31</v>
      </c>
      <c r="I8" s="86" t="s">
        <v>95</v>
      </c>
      <c r="J8" s="86"/>
      <c r="K8" s="86" t="s">
        <v>96</v>
      </c>
      <c r="L8" s="87" t="s">
        <v>97</v>
      </c>
      <c r="M8" s="88"/>
      <c r="N8" s="88"/>
      <c r="O8" s="22" t="s">
        <v>36</v>
      </c>
      <c r="Q8" s="89" t="s">
        <v>4</v>
      </c>
    </row>
    <row r="9" spans="2:26" ht="12.5" x14ac:dyDescent="0.25">
      <c r="B9" s="51"/>
      <c r="C9" s="51"/>
      <c r="D9" s="54"/>
      <c r="E9" s="54"/>
      <c r="F9" s="51"/>
      <c r="H9" s="51"/>
      <c r="I9" s="70"/>
      <c r="K9" s="51"/>
      <c r="L9" s="72"/>
      <c r="M9" s="72"/>
      <c r="N9" s="72"/>
      <c r="O9" s="51"/>
    </row>
    <row r="10" spans="2:26" x14ac:dyDescent="0.3">
      <c r="B10" s="90" t="s">
        <v>98</v>
      </c>
      <c r="C10" s="91"/>
      <c r="D10" s="92"/>
      <c r="E10" s="92"/>
      <c r="F10" s="93"/>
      <c r="G10" s="94"/>
      <c r="H10" s="92"/>
      <c r="I10" s="95"/>
      <c r="J10" s="95"/>
      <c r="K10" s="95"/>
      <c r="L10" s="96"/>
      <c r="M10" s="72"/>
      <c r="N10" s="72"/>
      <c r="O10" s="51"/>
    </row>
    <row r="11" spans="2:26" ht="12.5" x14ac:dyDescent="0.25">
      <c r="B11" s="97"/>
      <c r="C11" s="51"/>
      <c r="D11" s="54"/>
      <c r="E11" s="54"/>
      <c r="F11" s="51"/>
      <c r="G11" s="98"/>
      <c r="H11" s="54"/>
      <c r="I11" s="99"/>
      <c r="J11" s="99"/>
      <c r="K11" s="99"/>
      <c r="L11" s="100"/>
      <c r="M11" s="72"/>
      <c r="N11" s="72"/>
      <c r="O11" s="7" t="s">
        <v>99</v>
      </c>
      <c r="P11" s="51"/>
    </row>
    <row r="12" spans="2:26" ht="12.5" x14ac:dyDescent="0.25">
      <c r="B12" s="101" t="s">
        <v>100</v>
      </c>
      <c r="C12" s="102" t="s">
        <v>101</v>
      </c>
      <c r="D12" s="103">
        <v>9401341.5170350727</v>
      </c>
      <c r="E12" s="6">
        <v>11</v>
      </c>
      <c r="F12" s="99">
        <f>SUM(+D12*E12)</f>
        <v>103414756.6873858</v>
      </c>
      <c r="H12" s="6">
        <v>11.52</v>
      </c>
      <c r="I12" s="99">
        <f>SUM(+D12*H12)</f>
        <v>108303454.27624403</v>
      </c>
      <c r="J12" s="99"/>
      <c r="K12" s="99">
        <f>I12-F12</f>
        <v>4888697.5888582319</v>
      </c>
      <c r="L12" s="104">
        <f>ROUND(K12/F12,5)</f>
        <v>4.727E-2</v>
      </c>
      <c r="M12" s="72"/>
      <c r="N12" s="72"/>
      <c r="O12" s="105">
        <f>'Exh. JDT-14 Pg. 1 (BR-11)'!N13*((D13+D24)/(D13+D24+D37))</f>
        <v>64990578.108205117</v>
      </c>
      <c r="P12" s="51"/>
      <c r="Q12" s="52">
        <f>H12/E12-1</f>
        <v>4.7272727272727133E-2</v>
      </c>
    </row>
    <row r="13" spans="2:26" ht="12.5" x14ac:dyDescent="0.25">
      <c r="B13" s="97" t="s">
        <v>102</v>
      </c>
      <c r="C13" s="51" t="s">
        <v>103</v>
      </c>
      <c r="D13" s="68">
        <v>609248231.82931805</v>
      </c>
      <c r="E13" s="5">
        <v>0.34603</v>
      </c>
      <c r="F13" s="99">
        <f>ROUND(D13*E13,2)</f>
        <v>210818165.66</v>
      </c>
      <c r="H13" s="5">
        <f>ROUND(E13*(1+$O$16),5)</f>
        <v>0.44468000000000002</v>
      </c>
      <c r="I13" s="99">
        <f>ROUND(D13*H13,2)</f>
        <v>270920503.73000002</v>
      </c>
      <c r="J13" s="99"/>
      <c r="K13" s="99">
        <f>I13-F13</f>
        <v>60102338.070000023</v>
      </c>
      <c r="L13" s="104">
        <f>ROUND(K13/F13,5)</f>
        <v>0.28509000000000001</v>
      </c>
      <c r="M13" s="51"/>
      <c r="N13" s="51"/>
      <c r="O13" s="106" t="s">
        <v>104</v>
      </c>
      <c r="P13" s="51"/>
      <c r="Q13" s="52">
        <f>H13/E13-1</f>
        <v>0.28509088807328853</v>
      </c>
    </row>
    <row r="14" spans="2:26" x14ac:dyDescent="0.3">
      <c r="B14" s="107"/>
      <c r="C14" s="108"/>
      <c r="D14" s="103"/>
      <c r="E14" s="54"/>
      <c r="F14" s="95">
        <f>SUM(F12:F13)</f>
        <v>314232922.34738576</v>
      </c>
      <c r="H14" s="54"/>
      <c r="I14" s="95">
        <f>SUM(I12:I13)</f>
        <v>379223958.00624406</v>
      </c>
      <c r="J14" s="99"/>
      <c r="K14" s="95">
        <f>SUM(K12:K13)</f>
        <v>64991035.658858255</v>
      </c>
      <c r="L14" s="109">
        <f>ROUND(K14/F14,5)</f>
        <v>0.20682</v>
      </c>
      <c r="M14" s="51"/>
      <c r="N14" s="51"/>
      <c r="O14" s="110">
        <f>(K14+K25)-O12</f>
        <v>466.55308949947357</v>
      </c>
      <c r="P14" s="51"/>
      <c r="Q14" s="111"/>
    </row>
    <row r="15" spans="2:26" x14ac:dyDescent="0.3">
      <c r="B15" s="107"/>
      <c r="C15" s="112"/>
      <c r="D15" s="54"/>
      <c r="E15" s="5"/>
      <c r="F15" s="113"/>
      <c r="H15" s="54"/>
      <c r="I15" s="99"/>
      <c r="J15" s="99"/>
      <c r="K15" s="99"/>
      <c r="L15" s="100"/>
      <c r="M15" s="52"/>
      <c r="N15" s="52"/>
      <c r="O15" s="114"/>
      <c r="Q15" s="115"/>
    </row>
    <row r="16" spans="2:26" ht="12.5" x14ac:dyDescent="0.25">
      <c r="B16" s="97" t="s">
        <v>105</v>
      </c>
      <c r="C16" s="51" t="s">
        <v>103</v>
      </c>
      <c r="D16" s="103">
        <f>D13</f>
        <v>609248231.82931805</v>
      </c>
      <c r="E16" s="5">
        <v>0.32665</v>
      </c>
      <c r="F16" s="95">
        <f>E16*D16</f>
        <v>199010934.92704675</v>
      </c>
      <c r="G16" s="51"/>
      <c r="H16" s="5">
        <f>E16</f>
        <v>0.32665</v>
      </c>
      <c r="I16" s="95">
        <f>H16*D16</f>
        <v>199010934.92704675</v>
      </c>
      <c r="J16" s="99"/>
      <c r="K16" s="95">
        <f>I16-F16</f>
        <v>0</v>
      </c>
      <c r="L16" s="109">
        <f>ROUND(K16/F16,5)</f>
        <v>0</v>
      </c>
      <c r="M16" s="52"/>
      <c r="N16" s="52"/>
      <c r="O16" s="116">
        <v>0.28508</v>
      </c>
      <c r="P16" s="17"/>
      <c r="Q16" s="117"/>
      <c r="R16" s="51"/>
      <c r="Z16" s="51"/>
    </row>
    <row r="17" spans="1:26" ht="14.25" customHeight="1" x14ac:dyDescent="0.25">
      <c r="B17" s="97"/>
      <c r="C17" s="51"/>
      <c r="D17" s="54"/>
      <c r="E17" s="54"/>
      <c r="F17" s="99"/>
      <c r="H17" s="118"/>
      <c r="I17" s="99"/>
      <c r="J17" s="99"/>
      <c r="K17" s="99"/>
      <c r="L17" s="100"/>
      <c r="M17" s="51"/>
      <c r="N17" s="51"/>
      <c r="O17" s="17"/>
      <c r="P17" s="17"/>
      <c r="Q17" s="17"/>
      <c r="R17" s="51"/>
      <c r="Z17" s="51"/>
    </row>
    <row r="18" spans="1:26" ht="12.5" x14ac:dyDescent="0.25">
      <c r="B18" s="119" t="s">
        <v>106</v>
      </c>
      <c r="C18" s="108"/>
      <c r="D18" s="68"/>
      <c r="E18" s="54"/>
      <c r="F18" s="95">
        <f>F14+F16</f>
        <v>513243857.27443254</v>
      </c>
      <c r="H18" s="54"/>
      <c r="I18" s="95">
        <f>I14+I16</f>
        <v>578234892.93329084</v>
      </c>
      <c r="J18" s="99"/>
      <c r="K18" s="95">
        <f>K14+K16</f>
        <v>64991035.658858255</v>
      </c>
      <c r="L18" s="109">
        <f>ROUND(K18/F18,5)</f>
        <v>0.12662999999999999</v>
      </c>
      <c r="M18" s="52"/>
      <c r="N18" s="52"/>
      <c r="O18" s="52"/>
      <c r="P18" s="120"/>
      <c r="Q18" s="84"/>
      <c r="R18" s="51"/>
      <c r="Z18" s="51"/>
    </row>
    <row r="19" spans="1:26" s="12" customFormat="1" ht="12.5" x14ac:dyDescent="0.25">
      <c r="B19" s="121"/>
      <c r="C19" s="122"/>
      <c r="D19" s="122"/>
      <c r="E19" s="122"/>
      <c r="F19" s="123"/>
      <c r="G19" s="124"/>
      <c r="H19" s="122"/>
      <c r="I19" s="123"/>
      <c r="J19" s="123"/>
      <c r="K19" s="123"/>
      <c r="L19" s="125"/>
      <c r="M19" s="54"/>
      <c r="N19" s="54"/>
      <c r="Q19" s="54"/>
      <c r="R19" s="54"/>
      <c r="Z19" s="54"/>
    </row>
    <row r="20" spans="1:26" s="12" customFormat="1" ht="12.5" x14ac:dyDescent="0.25">
      <c r="B20" s="54"/>
      <c r="C20" s="54"/>
      <c r="D20" s="54"/>
      <c r="F20" s="126"/>
      <c r="G20" s="103"/>
      <c r="H20" s="54"/>
      <c r="I20" s="127"/>
      <c r="J20" s="127"/>
      <c r="K20" s="127"/>
      <c r="L20" s="42"/>
      <c r="M20" s="54"/>
      <c r="N20" s="54"/>
      <c r="O20" s="54"/>
      <c r="Q20" s="54"/>
      <c r="R20" s="54"/>
      <c r="Z20" s="54"/>
    </row>
    <row r="21" spans="1:26" x14ac:dyDescent="0.3">
      <c r="A21" s="12"/>
      <c r="B21" s="128" t="s">
        <v>107</v>
      </c>
      <c r="C21" s="129"/>
      <c r="D21" s="92"/>
      <c r="E21" s="92"/>
      <c r="F21" s="95"/>
      <c r="G21" s="94"/>
      <c r="H21" s="92"/>
      <c r="I21" s="95"/>
      <c r="J21" s="95"/>
      <c r="K21" s="95"/>
      <c r="L21" s="109"/>
      <c r="M21" s="51"/>
      <c r="N21" s="51"/>
      <c r="O21" s="51"/>
      <c r="Q21" s="115"/>
      <c r="R21" s="51"/>
      <c r="Z21" s="51"/>
    </row>
    <row r="22" spans="1:26" s="12" customFormat="1" ht="12.5" x14ac:dyDescent="0.25">
      <c r="B22" s="130"/>
      <c r="C22" s="54"/>
      <c r="D22" s="54"/>
      <c r="E22" s="54"/>
      <c r="F22" s="127"/>
      <c r="G22" s="131"/>
      <c r="H22" s="54"/>
      <c r="I22" s="127"/>
      <c r="J22" s="127"/>
      <c r="K22" s="127"/>
      <c r="L22" s="132"/>
      <c r="M22" s="133"/>
      <c r="N22" s="133"/>
      <c r="O22" s="17"/>
      <c r="P22" s="54"/>
      <c r="Q22" s="134"/>
      <c r="R22" s="54"/>
      <c r="Z22" s="54"/>
    </row>
    <row r="23" spans="1:26" s="12" customFormat="1" ht="13.5" customHeight="1" x14ac:dyDescent="0.25">
      <c r="B23" s="101" t="s">
        <v>100</v>
      </c>
      <c r="C23" s="102" t="s">
        <v>101</v>
      </c>
      <c r="D23" s="103">
        <v>1.4854545454545454</v>
      </c>
      <c r="E23" s="6">
        <v>11</v>
      </c>
      <c r="F23" s="127">
        <f>SUM(+D23*E23)</f>
        <v>16.34</v>
      </c>
      <c r="G23" s="103"/>
      <c r="H23" s="6">
        <f>H12</f>
        <v>11.52</v>
      </c>
      <c r="I23" s="127">
        <f>SUM(+D23*H23)</f>
        <v>17.112436363636363</v>
      </c>
      <c r="J23" s="127"/>
      <c r="K23" s="127">
        <f>I23-F23</f>
        <v>0.7724363636363627</v>
      </c>
      <c r="L23" s="132"/>
      <c r="M23" s="133"/>
      <c r="N23" s="133"/>
      <c r="O23" s="135"/>
      <c r="P23" s="54"/>
      <c r="Q23" s="52">
        <f>H23/E23-1</f>
        <v>4.7272727272727133E-2</v>
      </c>
      <c r="R23" s="54"/>
      <c r="Z23" s="54"/>
    </row>
    <row r="24" spans="1:26" s="12" customFormat="1" ht="13.5" customHeight="1" x14ac:dyDescent="0.25">
      <c r="B24" s="97" t="s">
        <v>102</v>
      </c>
      <c r="C24" s="51" t="s">
        <v>103</v>
      </c>
      <c r="D24" s="103">
        <v>83.329999999999984</v>
      </c>
      <c r="E24" s="5">
        <v>0.34603</v>
      </c>
      <c r="F24" s="127">
        <f>ROUND(D24*E24,2)</f>
        <v>28.83</v>
      </c>
      <c r="G24" s="103"/>
      <c r="H24" s="5">
        <f>H13</f>
        <v>0.44468000000000002</v>
      </c>
      <c r="I24" s="127">
        <f>ROUND(D24*H24,2)</f>
        <v>37.06</v>
      </c>
      <c r="J24" s="127"/>
      <c r="K24" s="127">
        <f>I24-F24</f>
        <v>8.230000000000004</v>
      </c>
      <c r="L24" s="136"/>
      <c r="M24" s="133"/>
      <c r="N24" s="133"/>
      <c r="O24" s="137"/>
      <c r="P24" s="54"/>
      <c r="Q24" s="52">
        <f>H24/E24-1</f>
        <v>0.28509088807328853</v>
      </c>
      <c r="R24" s="54"/>
      <c r="Z24" s="54"/>
    </row>
    <row r="25" spans="1:26" s="12" customFormat="1" ht="13.5" customHeight="1" x14ac:dyDescent="0.25">
      <c r="B25" s="119" t="s">
        <v>108</v>
      </c>
      <c r="C25" s="102"/>
      <c r="D25" s="103"/>
      <c r="E25" s="54"/>
      <c r="F25" s="95">
        <f>SUM(F23:F24)</f>
        <v>45.17</v>
      </c>
      <c r="G25" s="103"/>
      <c r="H25" s="54"/>
      <c r="I25" s="95">
        <f>SUM(I23:I24)</f>
        <v>54.172436363636365</v>
      </c>
      <c r="J25" s="127"/>
      <c r="K25" s="95">
        <f>SUM(K23:K24)</f>
        <v>9.0024363636363667</v>
      </c>
      <c r="L25" s="109">
        <f>ROUND(K25/F25,5)</f>
        <v>0.1993</v>
      </c>
      <c r="M25" s="54"/>
      <c r="N25" s="54"/>
      <c r="O25" s="137"/>
      <c r="P25" s="54"/>
      <c r="Q25" s="111"/>
      <c r="R25" s="54"/>
      <c r="Z25" s="54"/>
    </row>
    <row r="26" spans="1:26" s="12" customFormat="1" ht="13.5" customHeight="1" x14ac:dyDescent="0.3">
      <c r="B26" s="138"/>
      <c r="C26" s="139"/>
      <c r="D26" s="54"/>
      <c r="E26" s="54"/>
      <c r="F26" s="140"/>
      <c r="G26" s="103"/>
      <c r="H26" s="54"/>
      <c r="I26" s="127"/>
      <c r="J26" s="127"/>
      <c r="K26" s="127"/>
      <c r="L26" s="132"/>
      <c r="M26" s="54"/>
      <c r="N26" s="54"/>
      <c r="O26" s="16"/>
      <c r="Q26" s="134"/>
      <c r="R26" s="54"/>
      <c r="Z26" s="54"/>
    </row>
    <row r="27" spans="1:26" s="12" customFormat="1" ht="13.5" customHeight="1" x14ac:dyDescent="0.25">
      <c r="B27" s="97" t="s">
        <v>109</v>
      </c>
      <c r="C27" s="51" t="s">
        <v>103</v>
      </c>
      <c r="D27" s="103">
        <f>D24</f>
        <v>83.329999999999984</v>
      </c>
      <c r="E27" s="5">
        <v>4.80769</v>
      </c>
      <c r="F27" s="95">
        <f>E27*D27</f>
        <v>400.62480769999991</v>
      </c>
      <c r="G27" s="54"/>
      <c r="H27" s="5">
        <f>E27</f>
        <v>4.80769</v>
      </c>
      <c r="I27" s="95">
        <f>F27</f>
        <v>400.62480769999991</v>
      </c>
      <c r="J27" s="127"/>
      <c r="K27" s="95">
        <f>I27-F27</f>
        <v>0</v>
      </c>
      <c r="L27" s="109">
        <f>ROUND(K27/F27,5)</f>
        <v>0</v>
      </c>
      <c r="M27" s="133"/>
      <c r="N27" s="133"/>
      <c r="O27" s="141"/>
      <c r="P27" s="17"/>
      <c r="Q27" s="17"/>
      <c r="R27" s="54"/>
      <c r="Z27" s="54"/>
    </row>
    <row r="28" spans="1:26" s="12" customFormat="1" ht="13.5" customHeight="1" x14ac:dyDescent="0.25">
      <c r="B28" s="130"/>
      <c r="C28" s="54"/>
      <c r="D28" s="54"/>
      <c r="E28" s="5"/>
      <c r="F28" s="127"/>
      <c r="G28" s="103"/>
      <c r="H28" s="118"/>
      <c r="I28" s="127"/>
      <c r="J28" s="127"/>
      <c r="K28" s="127"/>
      <c r="L28" s="136"/>
      <c r="M28" s="142"/>
      <c r="N28" s="142"/>
      <c r="O28" s="16"/>
      <c r="P28" s="17"/>
      <c r="Q28" s="17"/>
      <c r="R28" s="54"/>
      <c r="Z28" s="54"/>
    </row>
    <row r="29" spans="1:26" s="12" customFormat="1" ht="13.5" customHeight="1" x14ac:dyDescent="0.25">
      <c r="B29" s="101" t="s">
        <v>106</v>
      </c>
      <c r="C29" s="102"/>
      <c r="D29" s="54"/>
      <c r="E29" s="54"/>
      <c r="F29" s="95">
        <f>F25+F27</f>
        <v>445.79480769999992</v>
      </c>
      <c r="G29" s="103"/>
      <c r="H29" s="54"/>
      <c r="I29" s="95">
        <f>I25+I27</f>
        <v>454.7972440636363</v>
      </c>
      <c r="J29" s="127"/>
      <c r="K29" s="95">
        <f>K25+K27</f>
        <v>9.0024363636363667</v>
      </c>
      <c r="L29" s="109">
        <f>ROUND(K29/F29,5)</f>
        <v>2.019E-2</v>
      </c>
      <c r="M29" s="54"/>
      <c r="N29" s="54"/>
      <c r="O29" s="143"/>
      <c r="P29" s="17"/>
      <c r="Q29" s="111"/>
      <c r="R29" s="54"/>
      <c r="Z29" s="54"/>
    </row>
    <row r="30" spans="1:26" s="12" customFormat="1" ht="13.5" customHeight="1" x14ac:dyDescent="0.25">
      <c r="B30" s="121"/>
      <c r="C30" s="122"/>
      <c r="D30" s="122"/>
      <c r="E30" s="122"/>
      <c r="F30" s="123"/>
      <c r="G30" s="122"/>
      <c r="H30" s="122"/>
      <c r="I30" s="123"/>
      <c r="J30" s="123"/>
      <c r="K30" s="123"/>
      <c r="L30" s="125"/>
      <c r="M30" s="54"/>
      <c r="N30" s="54"/>
      <c r="P30" s="17"/>
      <c r="Q30" s="134"/>
      <c r="R30" s="54"/>
      <c r="Z30" s="54"/>
    </row>
    <row r="31" spans="1:26" s="12" customFormat="1" ht="13.5" customHeight="1" x14ac:dyDescent="0.25">
      <c r="B31" s="54"/>
      <c r="C31" s="54"/>
      <c r="D31" s="54"/>
      <c r="E31" s="54"/>
      <c r="F31" s="127"/>
      <c r="G31" s="103"/>
      <c r="H31" s="54"/>
      <c r="I31" s="127"/>
      <c r="J31" s="127"/>
      <c r="K31" s="127"/>
      <c r="L31" s="42"/>
      <c r="M31" s="54"/>
      <c r="N31" s="54"/>
      <c r="P31" s="17"/>
      <c r="Q31" s="134"/>
      <c r="R31" s="54"/>
      <c r="Z31" s="54"/>
    </row>
    <row r="32" spans="1:26" s="12" customFormat="1" ht="13.5" customHeight="1" x14ac:dyDescent="0.25">
      <c r="B32" s="54"/>
      <c r="C32" s="54"/>
      <c r="D32" s="54"/>
      <c r="E32" s="54"/>
      <c r="F32" s="127"/>
      <c r="G32" s="103"/>
      <c r="H32" s="54"/>
      <c r="I32" s="127"/>
      <c r="J32" s="127"/>
      <c r="K32" s="127"/>
      <c r="L32" s="42"/>
      <c r="M32" s="54"/>
      <c r="N32" s="54"/>
      <c r="P32" s="17"/>
      <c r="Q32" s="134"/>
      <c r="R32" s="54"/>
      <c r="Z32" s="54"/>
    </row>
    <row r="33" spans="2:26" ht="13.5" customHeight="1" x14ac:dyDescent="0.3">
      <c r="B33" s="128" t="s">
        <v>110</v>
      </c>
      <c r="C33" s="91"/>
      <c r="D33" s="92"/>
      <c r="E33" s="92"/>
      <c r="F33" s="95"/>
      <c r="G33" s="94"/>
      <c r="H33" s="93"/>
      <c r="I33" s="95"/>
      <c r="J33" s="95"/>
      <c r="K33" s="95"/>
      <c r="L33" s="109"/>
      <c r="M33" s="51"/>
      <c r="N33" s="51"/>
      <c r="P33" s="17"/>
      <c r="Q33" s="115"/>
      <c r="R33" s="51"/>
      <c r="Z33" s="51"/>
    </row>
    <row r="34" spans="2:26" ht="13.5" customHeight="1" x14ac:dyDescent="0.3">
      <c r="B34" s="107"/>
      <c r="C34" s="112"/>
      <c r="D34" s="54"/>
      <c r="E34" s="54"/>
      <c r="F34" s="99"/>
      <c r="G34" s="144"/>
      <c r="H34" s="51"/>
      <c r="I34" s="99"/>
      <c r="J34" s="99"/>
      <c r="K34" s="99"/>
      <c r="L34" s="100"/>
      <c r="M34" s="72"/>
      <c r="N34" s="72"/>
      <c r="O34" s="8" t="s">
        <v>111</v>
      </c>
      <c r="P34" s="17"/>
      <c r="Q34" s="115"/>
      <c r="R34" s="51"/>
      <c r="Z34" s="51"/>
    </row>
    <row r="35" spans="2:26" ht="13.5" customHeight="1" x14ac:dyDescent="0.25">
      <c r="B35" s="130" t="s">
        <v>112</v>
      </c>
      <c r="C35" s="145" t="s">
        <v>113</v>
      </c>
      <c r="D35" s="103">
        <v>494</v>
      </c>
      <c r="E35" s="6">
        <v>9.69</v>
      </c>
      <c r="F35" s="99">
        <f>ROUND(D35*E35,2)</f>
        <v>4786.8599999999997</v>
      </c>
      <c r="H35" s="6">
        <f>ROUND(E35*(1+$O$39),2)</f>
        <v>11.72</v>
      </c>
      <c r="I35" s="99">
        <f>ROUND(D35*H35,2)</f>
        <v>5789.68</v>
      </c>
      <c r="J35" s="99"/>
      <c r="K35" s="99">
        <f>I35-F35</f>
        <v>1002.8200000000006</v>
      </c>
      <c r="L35" s="104">
        <f>ROUND(K35/F35,5)</f>
        <v>0.20949000000000001</v>
      </c>
      <c r="M35" s="146"/>
      <c r="N35" s="146"/>
      <c r="O35" s="105">
        <f>'Exh. JDT-14 Pg. 1 (BR-11)'!N13-O12</f>
        <v>1001.2363611757755</v>
      </c>
      <c r="P35" s="17"/>
      <c r="Q35" s="52">
        <f>H35/E35-1</f>
        <v>0.20949432404540769</v>
      </c>
      <c r="R35" s="51"/>
      <c r="Z35" s="51"/>
    </row>
    <row r="36" spans="2:26" ht="13.5" customHeight="1" x14ac:dyDescent="0.25">
      <c r="B36" s="97"/>
      <c r="C36" s="51"/>
      <c r="D36" s="54"/>
      <c r="E36" s="54"/>
      <c r="F36" s="99"/>
      <c r="G36" s="51"/>
      <c r="H36" s="51"/>
      <c r="I36" s="99"/>
      <c r="J36" s="99"/>
      <c r="K36" s="99"/>
      <c r="L36" s="104"/>
      <c r="M36" s="146"/>
      <c r="N36" s="146"/>
      <c r="O36" s="106" t="s">
        <v>104</v>
      </c>
      <c r="P36" s="17"/>
      <c r="Q36" s="52"/>
      <c r="R36" s="51"/>
      <c r="Z36" s="51"/>
    </row>
    <row r="37" spans="2:26" ht="13.5" customHeight="1" x14ac:dyDescent="0.3">
      <c r="B37" s="119" t="s">
        <v>114</v>
      </c>
      <c r="C37" s="108"/>
      <c r="D37" s="103">
        <v>9386</v>
      </c>
      <c r="E37" s="103"/>
      <c r="F37" s="113"/>
      <c r="H37" s="51"/>
      <c r="I37" s="99"/>
      <c r="J37" s="99"/>
      <c r="K37" s="99"/>
      <c r="L37" s="100"/>
      <c r="M37" s="146"/>
      <c r="N37" s="146"/>
      <c r="O37" s="110">
        <f>K35-O35</f>
        <v>1.5836388242250905</v>
      </c>
      <c r="P37" s="17"/>
      <c r="Q37" s="52"/>
      <c r="R37" s="51"/>
      <c r="Z37" s="51"/>
    </row>
    <row r="38" spans="2:26" ht="13.5" customHeight="1" x14ac:dyDescent="0.25">
      <c r="B38" s="97"/>
      <c r="C38" s="51"/>
      <c r="D38" s="54"/>
      <c r="E38" s="54"/>
      <c r="F38" s="127"/>
      <c r="G38" s="103"/>
      <c r="H38" s="54"/>
      <c r="I38" s="127"/>
      <c r="J38" s="99"/>
      <c r="K38" s="99"/>
      <c r="L38" s="100"/>
      <c r="M38" s="52"/>
      <c r="N38" s="52"/>
      <c r="P38" s="17"/>
      <c r="Q38" s="52"/>
      <c r="R38" s="51"/>
      <c r="Z38" s="51"/>
    </row>
    <row r="39" spans="2:26" ht="13.5" customHeight="1" x14ac:dyDescent="0.25">
      <c r="B39" s="97" t="s">
        <v>105</v>
      </c>
      <c r="C39" s="108"/>
      <c r="D39" s="103">
        <f>D35</f>
        <v>494</v>
      </c>
      <c r="E39" s="6">
        <v>6.21</v>
      </c>
      <c r="F39" s="95">
        <f>D39*E39</f>
        <v>3067.74</v>
      </c>
      <c r="G39" s="147"/>
      <c r="H39" s="6">
        <f>E39</f>
        <v>6.21</v>
      </c>
      <c r="I39" s="95">
        <f>D39*H39</f>
        <v>3067.74</v>
      </c>
      <c r="J39" s="99"/>
      <c r="K39" s="95">
        <f>I39-F39</f>
        <v>0</v>
      </c>
      <c r="L39" s="109">
        <f>ROUND(K39/F39,5)</f>
        <v>0</v>
      </c>
      <c r="M39" s="51"/>
      <c r="N39" s="51"/>
      <c r="O39" s="116">
        <v>0.20899999999999999</v>
      </c>
      <c r="P39" s="17"/>
      <c r="Q39" s="17"/>
      <c r="R39" s="51"/>
      <c r="Z39" s="51"/>
    </row>
    <row r="40" spans="2:26" ht="13.5" customHeight="1" x14ac:dyDescent="0.25">
      <c r="B40" s="97"/>
      <c r="C40" s="51"/>
      <c r="D40" s="54"/>
      <c r="E40" s="54"/>
      <c r="F40" s="99"/>
      <c r="H40" s="51"/>
      <c r="I40" s="99"/>
      <c r="J40" s="99"/>
      <c r="K40" s="99"/>
      <c r="L40" s="148"/>
      <c r="O40" s="141"/>
      <c r="P40" s="17"/>
      <c r="Q40" s="17"/>
      <c r="R40" s="51"/>
      <c r="Z40" s="51"/>
    </row>
    <row r="41" spans="2:26" ht="13.5" customHeight="1" x14ac:dyDescent="0.25">
      <c r="B41" s="97" t="s">
        <v>106</v>
      </c>
      <c r="C41" s="51"/>
      <c r="D41" s="54"/>
      <c r="E41" s="54"/>
      <c r="F41" s="95">
        <f>F35+F39</f>
        <v>7854.5999999999995</v>
      </c>
      <c r="H41" s="51"/>
      <c r="I41" s="95">
        <f>I35+I39</f>
        <v>8857.42</v>
      </c>
      <c r="J41" s="99"/>
      <c r="K41" s="95">
        <f>K35+K39</f>
        <v>1002.8200000000006</v>
      </c>
      <c r="L41" s="109">
        <f>ROUND(K41/F41,5)</f>
        <v>0.12767000000000001</v>
      </c>
      <c r="M41" s="72"/>
      <c r="N41" s="72"/>
      <c r="O41" s="17"/>
      <c r="P41" s="17"/>
      <c r="Q41" s="17"/>
      <c r="R41" s="51"/>
      <c r="Z41" s="51"/>
    </row>
    <row r="42" spans="2:26" ht="13.5" customHeight="1" x14ac:dyDescent="0.3">
      <c r="B42" s="149"/>
      <c r="C42" s="150"/>
      <c r="D42" s="122"/>
      <c r="E42" s="122"/>
      <c r="F42" s="151"/>
      <c r="G42" s="152"/>
      <c r="H42" s="153"/>
      <c r="I42" s="154"/>
      <c r="J42" s="154"/>
      <c r="K42" s="153"/>
      <c r="L42" s="155"/>
      <c r="M42" s="137"/>
      <c r="N42" s="137"/>
      <c r="Q42" s="115"/>
      <c r="R42" s="51"/>
      <c r="Z42" s="51"/>
    </row>
    <row r="43" spans="2:26" ht="13.5" customHeight="1" x14ac:dyDescent="0.3">
      <c r="B43" s="11"/>
      <c r="K43" s="51"/>
      <c r="M43" s="52"/>
      <c r="N43" s="52"/>
      <c r="Q43" s="115"/>
      <c r="R43" s="51"/>
      <c r="Z43" s="51"/>
    </row>
    <row r="44" spans="2:26" x14ac:dyDescent="0.3">
      <c r="B44" s="67" t="s">
        <v>115</v>
      </c>
      <c r="K44" s="51"/>
      <c r="M44" s="137"/>
      <c r="N44" s="137"/>
      <c r="Q44" s="115"/>
      <c r="R44" s="51"/>
      <c r="Z44" s="51"/>
    </row>
    <row r="45" spans="2:26" x14ac:dyDescent="0.3">
      <c r="B45" s="11"/>
      <c r="D45" s="156" t="s">
        <v>103</v>
      </c>
      <c r="F45" s="22" t="s">
        <v>89</v>
      </c>
      <c r="I45" s="86" t="s">
        <v>8</v>
      </c>
      <c r="K45" s="86" t="s">
        <v>116</v>
      </c>
      <c r="Q45" s="115"/>
      <c r="R45" s="51"/>
      <c r="Z45" s="51"/>
    </row>
    <row r="46" spans="2:26" x14ac:dyDescent="0.3">
      <c r="B46" s="11" t="s">
        <v>117</v>
      </c>
      <c r="F46" s="157">
        <f>F16+F27+F39</f>
        <v>199014403.29185444</v>
      </c>
      <c r="I46" s="157">
        <f>I16+I27+I39</f>
        <v>199014403.29185444</v>
      </c>
      <c r="J46" s="157"/>
      <c r="K46" s="99">
        <f>I46-F46</f>
        <v>0</v>
      </c>
      <c r="Q46" s="115"/>
      <c r="R46" s="51"/>
      <c r="Z46" s="51"/>
    </row>
    <row r="47" spans="2:26" x14ac:dyDescent="0.3">
      <c r="B47" s="11" t="s">
        <v>118</v>
      </c>
      <c r="F47" s="157">
        <f>F14+F25+F35</f>
        <v>314237754.3773858</v>
      </c>
      <c r="G47" s="157"/>
      <c r="H47" s="157"/>
      <c r="I47" s="157">
        <f>I14+I25+I35</f>
        <v>379229801.85868043</v>
      </c>
      <c r="J47" s="157"/>
      <c r="K47" s="99">
        <f>I47-F47</f>
        <v>64992047.481294632</v>
      </c>
      <c r="L47" s="30">
        <f>K47/F47</f>
        <v>0.20682443969874487</v>
      </c>
    </row>
    <row r="48" spans="2:26" x14ac:dyDescent="0.3">
      <c r="B48" s="11" t="s">
        <v>119</v>
      </c>
      <c r="D48" s="158">
        <f>D13+D24+D37</f>
        <v>609257701.15931809</v>
      </c>
      <c r="F48" s="95">
        <f>F46+F47</f>
        <v>513252157.66924024</v>
      </c>
      <c r="I48" s="95">
        <f>I46+I47</f>
        <v>578244205.15053487</v>
      </c>
      <c r="K48" s="95">
        <f>K46+K47</f>
        <v>64992047.481294632</v>
      </c>
      <c r="L48" s="41">
        <f>K48/F48</f>
        <v>0.12662790893356177</v>
      </c>
    </row>
    <row r="49" spans="2:17" x14ac:dyDescent="0.3">
      <c r="B49" s="11"/>
      <c r="D49" s="158"/>
      <c r="F49" s="99"/>
      <c r="I49" s="99"/>
      <c r="K49" s="99"/>
      <c r="L49" s="30"/>
    </row>
    <row r="50" spans="2:17" x14ac:dyDescent="0.3">
      <c r="B50" s="11" t="s">
        <v>120</v>
      </c>
      <c r="F50" s="159"/>
      <c r="I50" s="99"/>
      <c r="K50" s="99"/>
      <c r="L50" s="30"/>
    </row>
    <row r="51" spans="2:17" x14ac:dyDescent="0.3">
      <c r="B51" s="11"/>
      <c r="D51" s="11"/>
      <c r="E51" s="11"/>
      <c r="F51" s="11"/>
      <c r="I51" s="157"/>
      <c r="K51" s="99"/>
    </row>
    <row r="52" spans="2:17" x14ac:dyDescent="0.3">
      <c r="B52" s="11"/>
      <c r="F52" s="11"/>
    </row>
    <row r="54" spans="2:17" ht="12.5" x14ac:dyDescent="0.25">
      <c r="B54" s="11"/>
      <c r="C54" s="11"/>
      <c r="D54" s="11"/>
      <c r="F54" s="11"/>
      <c r="G54" s="11"/>
      <c r="I54" s="11"/>
      <c r="J54" s="11"/>
      <c r="L54" s="11"/>
      <c r="M54" s="11"/>
      <c r="N54" s="11"/>
      <c r="Q54" s="11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&amp;RExhibit JDT-14
                   Page &amp;P of &amp;N</oddFooter>
  </headerFooter>
  <rowBreaks count="1" manualBreakCount="1">
    <brk id="42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148"/>
  <sheetViews>
    <sheetView topLeftCell="A103" zoomScaleNormal="100" workbookViewId="0">
      <selection activeCell="H143" sqref="H143"/>
    </sheetView>
  </sheetViews>
  <sheetFormatPr defaultColWidth="9.1796875" defaultRowHeight="12.5" x14ac:dyDescent="0.25"/>
  <cols>
    <col min="1" max="1" width="2.453125" style="11" customWidth="1"/>
    <col min="2" max="2" width="31.7265625" style="11" customWidth="1"/>
    <col min="3" max="3" width="9.7265625" style="11" customWidth="1"/>
    <col min="4" max="4" width="12.7265625" style="11" customWidth="1"/>
    <col min="5" max="5" width="10.453125" style="11" customWidth="1"/>
    <col min="6" max="6" width="13.26953125" style="69" customWidth="1"/>
    <col min="7" max="7" width="2.81640625" style="158" customWidth="1"/>
    <col min="8" max="8" width="10.453125" style="12" customWidth="1"/>
    <col min="9" max="9" width="13.26953125" style="69" customWidth="1"/>
    <col min="10" max="10" width="2.81640625" style="69" customWidth="1"/>
    <col min="11" max="11" width="13.26953125" style="69" customWidth="1"/>
    <col min="12" max="12" width="10.453125" style="30" customWidth="1"/>
    <col min="13" max="13" width="2.81640625" style="167" customWidth="1"/>
    <col min="14" max="14" width="2" style="47" customWidth="1"/>
    <col min="15" max="15" width="14.54296875" style="11" customWidth="1"/>
    <col min="16" max="16" width="2.81640625" style="11" customWidth="1"/>
    <col min="17" max="17" width="8.81640625" style="73" customWidth="1"/>
    <col min="18" max="16384" width="9.1796875" style="11"/>
  </cols>
  <sheetData>
    <row r="2" spans="1:17" ht="13" x14ac:dyDescent="0.3">
      <c r="B2" s="4" t="s">
        <v>0</v>
      </c>
      <c r="C2" s="10"/>
      <c r="D2" s="10"/>
      <c r="E2" s="10"/>
      <c r="F2" s="60"/>
      <c r="G2" s="160"/>
      <c r="H2" s="58"/>
      <c r="I2" s="60"/>
      <c r="J2" s="60"/>
      <c r="K2" s="60"/>
      <c r="L2" s="161"/>
      <c r="M2" s="162"/>
      <c r="N2" s="162"/>
      <c r="O2" s="10"/>
      <c r="P2" s="10"/>
      <c r="Q2" s="63"/>
    </row>
    <row r="3" spans="1:17" ht="13" x14ac:dyDescent="0.3">
      <c r="B3" s="4" t="str">
        <f>'Exh. JDT-14 Pg. 1 (BR-11)'!$B$2</f>
        <v>2019 Gas General Rate Case Filing</v>
      </c>
      <c r="C3" s="10"/>
      <c r="D3" s="10"/>
      <c r="E3" s="10"/>
      <c r="F3" s="10"/>
      <c r="G3" s="58"/>
      <c r="H3" s="58"/>
      <c r="I3" s="10"/>
      <c r="J3" s="10"/>
      <c r="K3" s="10"/>
      <c r="L3" s="161"/>
      <c r="M3" s="10"/>
      <c r="N3" s="162"/>
      <c r="O3" s="10"/>
      <c r="P3" s="10"/>
      <c r="Q3" s="63"/>
    </row>
    <row r="4" spans="1:17" ht="13" x14ac:dyDescent="0.3">
      <c r="B4" s="4" t="s">
        <v>121</v>
      </c>
      <c r="C4" s="10"/>
      <c r="D4" s="10"/>
      <c r="E4" s="10"/>
      <c r="F4" s="10"/>
      <c r="G4" s="58"/>
      <c r="H4" s="58"/>
      <c r="I4" s="10"/>
      <c r="J4" s="10"/>
      <c r="K4" s="10"/>
      <c r="L4" s="161"/>
      <c r="M4" s="10"/>
      <c r="N4" s="162"/>
      <c r="O4" s="10"/>
      <c r="P4" s="10"/>
      <c r="Q4" s="63"/>
    </row>
    <row r="5" spans="1:17" ht="13" x14ac:dyDescent="0.3">
      <c r="B5" s="4" t="str">
        <f>'Exh. JDT-14 Pg. 1 (BR-11)'!B4</f>
        <v>Test Year Ended December 31, 2018</v>
      </c>
      <c r="C5" s="10"/>
      <c r="D5" s="10"/>
      <c r="E5" s="10"/>
      <c r="F5" s="10"/>
      <c r="G5" s="58"/>
      <c r="H5" s="58"/>
      <c r="I5" s="10"/>
      <c r="J5" s="10"/>
      <c r="K5" s="10"/>
      <c r="L5" s="161"/>
      <c r="M5" s="10"/>
      <c r="N5" s="163"/>
      <c r="O5" s="66"/>
      <c r="P5" s="10"/>
      <c r="Q5" s="63"/>
    </row>
    <row r="6" spans="1:17" ht="13.5" customHeight="1" x14ac:dyDescent="0.25">
      <c r="B6" s="13"/>
      <c r="C6" s="13"/>
      <c r="D6" s="13"/>
      <c r="E6" s="13"/>
      <c r="F6" s="164"/>
      <c r="G6" s="165"/>
      <c r="H6" s="15"/>
      <c r="I6" s="164"/>
      <c r="J6" s="164"/>
      <c r="K6" s="164"/>
      <c r="L6" s="166"/>
      <c r="N6" s="52"/>
      <c r="O6" s="51"/>
    </row>
    <row r="7" spans="1:17" ht="12" customHeight="1" x14ac:dyDescent="0.25">
      <c r="B7" s="74"/>
      <c r="C7" s="75"/>
      <c r="D7" s="76" t="s">
        <v>88</v>
      </c>
      <c r="E7" s="80" t="s">
        <v>89</v>
      </c>
      <c r="F7" s="78"/>
      <c r="G7" s="16"/>
      <c r="H7" s="77" t="s">
        <v>8</v>
      </c>
      <c r="I7" s="78"/>
      <c r="J7" s="81"/>
      <c r="K7" s="168" t="s">
        <v>90</v>
      </c>
      <c r="L7" s="169"/>
      <c r="M7" s="83"/>
      <c r="N7" s="163"/>
      <c r="O7" s="17" t="s">
        <v>29</v>
      </c>
      <c r="Q7" s="84" t="s">
        <v>91</v>
      </c>
    </row>
    <row r="8" spans="1:17" x14ac:dyDescent="0.25">
      <c r="B8" s="85" t="s">
        <v>92</v>
      </c>
      <c r="C8" s="22" t="s">
        <v>93</v>
      </c>
      <c r="D8" s="23" t="s">
        <v>94</v>
      </c>
      <c r="E8" s="22" t="s">
        <v>31</v>
      </c>
      <c r="F8" s="86" t="s">
        <v>95</v>
      </c>
      <c r="G8" s="23"/>
      <c r="H8" s="23" t="s">
        <v>31</v>
      </c>
      <c r="I8" s="86" t="s">
        <v>95</v>
      </c>
      <c r="J8" s="86"/>
      <c r="K8" s="86" t="s">
        <v>96</v>
      </c>
      <c r="L8" s="170" t="s">
        <v>97</v>
      </c>
      <c r="M8" s="171"/>
      <c r="N8" s="88"/>
      <c r="O8" s="22" t="s">
        <v>36</v>
      </c>
      <c r="Q8" s="89" t="s">
        <v>4</v>
      </c>
    </row>
    <row r="9" spans="1:17" x14ac:dyDescent="0.25">
      <c r="A9" s="51"/>
      <c r="B9" s="17"/>
      <c r="C9" s="17"/>
      <c r="D9" s="17"/>
      <c r="E9" s="17"/>
      <c r="F9" s="172"/>
      <c r="G9" s="16"/>
      <c r="H9" s="16"/>
      <c r="I9" s="172"/>
      <c r="J9" s="172"/>
      <c r="K9" s="172"/>
      <c r="L9" s="173"/>
      <c r="M9" s="171"/>
      <c r="N9" s="88"/>
      <c r="O9" s="51"/>
      <c r="P9" s="51"/>
      <c r="Q9" s="115"/>
    </row>
    <row r="10" spans="1:17" ht="13" x14ac:dyDescent="0.3">
      <c r="B10" s="90" t="s">
        <v>122</v>
      </c>
      <c r="C10" s="174"/>
      <c r="D10" s="93"/>
      <c r="E10" s="93"/>
      <c r="F10" s="95"/>
      <c r="G10" s="175"/>
      <c r="H10" s="92"/>
      <c r="I10" s="95"/>
      <c r="J10" s="95"/>
      <c r="K10" s="95"/>
      <c r="L10" s="109"/>
      <c r="M10" s="176"/>
      <c r="N10" s="52"/>
      <c r="O10" s="51"/>
      <c r="P10" s="51"/>
      <c r="Q10" s="115"/>
    </row>
    <row r="11" spans="1:17" x14ac:dyDescent="0.25">
      <c r="B11" s="97"/>
      <c r="C11" s="51"/>
      <c r="D11" s="68"/>
      <c r="E11" s="51"/>
      <c r="F11" s="99"/>
      <c r="G11" s="103"/>
      <c r="H11" s="54"/>
      <c r="I11" s="99"/>
      <c r="J11" s="99"/>
      <c r="K11" s="99"/>
      <c r="L11" s="104"/>
      <c r="M11" s="176"/>
      <c r="N11" s="52"/>
      <c r="O11" s="7" t="s">
        <v>123</v>
      </c>
      <c r="P11" s="51"/>
      <c r="Q11" s="115"/>
    </row>
    <row r="12" spans="1:17" x14ac:dyDescent="0.25">
      <c r="B12" s="101" t="s">
        <v>100</v>
      </c>
      <c r="C12" s="102" t="s">
        <v>101</v>
      </c>
      <c r="D12" s="103">
        <v>692597.12096613029</v>
      </c>
      <c r="E12" s="6">
        <v>32.159999999999997</v>
      </c>
      <c r="F12" s="99">
        <f>ROUND(D12*E12,2)</f>
        <v>22273923.41</v>
      </c>
      <c r="G12" s="103"/>
      <c r="H12" s="6">
        <v>33.840000000000003</v>
      </c>
      <c r="I12" s="127">
        <f>ROUND(D12*H12,2)</f>
        <v>23437486.57</v>
      </c>
      <c r="J12" s="99"/>
      <c r="K12" s="99">
        <f>I12-F12</f>
        <v>1163563.1600000001</v>
      </c>
      <c r="L12" s="104"/>
      <c r="M12" s="176"/>
      <c r="N12" s="52"/>
      <c r="O12" s="105">
        <f>+'Exh. JDT-14 Pg. 1 (BR-11)'!N14</f>
        <v>28967684.98587345</v>
      </c>
      <c r="P12" s="51"/>
      <c r="Q12" s="52">
        <f>H12/E12-1</f>
        <v>5.2238805970149516E-2</v>
      </c>
    </row>
    <row r="13" spans="1:17" x14ac:dyDescent="0.25">
      <c r="B13" s="97" t="s">
        <v>102</v>
      </c>
      <c r="C13" s="51" t="s">
        <v>103</v>
      </c>
      <c r="D13" s="103">
        <v>234140158.08963937</v>
      </c>
      <c r="E13" s="5">
        <v>0.29475000000000001</v>
      </c>
      <c r="F13" s="99">
        <f>ROUND(D13*E13,2)</f>
        <v>69012811.599999994</v>
      </c>
      <c r="G13" s="103"/>
      <c r="H13" s="5">
        <f>ROUND(E13*(1+$O$16),5)</f>
        <v>0.40522999999999998</v>
      </c>
      <c r="I13" s="127">
        <f>ROUND(D13*H13,2)</f>
        <v>94880616.260000005</v>
      </c>
      <c r="J13" s="99"/>
      <c r="K13" s="99">
        <f>I13-F13</f>
        <v>25867804.660000011</v>
      </c>
      <c r="L13" s="104"/>
      <c r="M13" s="176"/>
      <c r="N13" s="52"/>
      <c r="O13" s="106" t="s">
        <v>104</v>
      </c>
      <c r="P13" s="51"/>
      <c r="Q13" s="52">
        <f>H13/E13-1</f>
        <v>0.37482612383375735</v>
      </c>
    </row>
    <row r="14" spans="1:17" x14ac:dyDescent="0.25">
      <c r="B14" s="97" t="s">
        <v>124</v>
      </c>
      <c r="C14" s="51"/>
      <c r="D14" s="103">
        <f>D13</f>
        <v>234140158.08963937</v>
      </c>
      <c r="E14" s="5">
        <v>8.8199999999999997E-3</v>
      </c>
      <c r="F14" s="99">
        <f>ROUND(D14*E14,2)</f>
        <v>2065116.19</v>
      </c>
      <c r="G14" s="103"/>
      <c r="H14" s="5">
        <v>1.7069999999999998E-2</v>
      </c>
      <c r="I14" s="99">
        <f>ROUND(D14*H14,2)</f>
        <v>3996772.5</v>
      </c>
      <c r="J14" s="177"/>
      <c r="K14" s="99">
        <f>I14-F14</f>
        <v>1931656.31</v>
      </c>
      <c r="L14" s="148"/>
      <c r="M14" s="171"/>
      <c r="N14" s="171"/>
      <c r="O14" s="178">
        <f>K15+K27-O12</f>
        <v>-325.43587343767285</v>
      </c>
      <c r="P14" s="51"/>
      <c r="Q14" s="52">
        <f>H14/E14-1</f>
        <v>0.93537414965986376</v>
      </c>
    </row>
    <row r="15" spans="1:17" x14ac:dyDescent="0.25">
      <c r="B15" s="119" t="s">
        <v>108</v>
      </c>
      <c r="C15" s="108"/>
      <c r="D15" s="103"/>
      <c r="E15" s="54"/>
      <c r="F15" s="95">
        <f>SUM(F12:F14)</f>
        <v>93351851.199999988</v>
      </c>
      <c r="G15" s="103"/>
      <c r="H15" s="103"/>
      <c r="I15" s="179">
        <f>SUM(I12:I14)</f>
        <v>122314875.33000001</v>
      </c>
      <c r="J15" s="99"/>
      <c r="K15" s="95">
        <f>SUM(K12:K14)</f>
        <v>28963024.13000001</v>
      </c>
      <c r="L15" s="109">
        <f>ROUND(K15/F15,5)</f>
        <v>0.31025999999999998</v>
      </c>
      <c r="M15" s="176"/>
      <c r="N15" s="52"/>
      <c r="O15" s="180"/>
      <c r="P15" s="181"/>
      <c r="Q15" s="182"/>
    </row>
    <row r="16" spans="1:17" x14ac:dyDescent="0.25">
      <c r="B16" s="97"/>
      <c r="C16" s="51"/>
      <c r="D16" s="54"/>
      <c r="E16" s="54"/>
      <c r="F16" s="99"/>
      <c r="G16" s="103"/>
      <c r="H16" s="103"/>
      <c r="I16" s="127"/>
      <c r="J16" s="99"/>
      <c r="K16" s="99"/>
      <c r="L16" s="104"/>
      <c r="M16" s="176"/>
      <c r="N16" s="52"/>
      <c r="O16" s="116">
        <v>0.37484000000000001</v>
      </c>
      <c r="P16" s="51"/>
      <c r="Q16" s="115"/>
    </row>
    <row r="17" spans="1:17" x14ac:dyDescent="0.25">
      <c r="B17" s="97" t="s">
        <v>105</v>
      </c>
      <c r="C17" s="51" t="s">
        <v>103</v>
      </c>
      <c r="D17" s="103">
        <f>D13</f>
        <v>234140158.08963937</v>
      </c>
      <c r="E17" s="183">
        <v>0.31873000000000001</v>
      </c>
      <c r="F17" s="99">
        <f>E17*D17</f>
        <v>74627492.587910756</v>
      </c>
      <c r="G17" s="54"/>
      <c r="H17" s="5">
        <f>E17</f>
        <v>0.31873000000000001</v>
      </c>
      <c r="I17" s="127">
        <f>H17*D17</f>
        <v>74627492.587910756</v>
      </c>
      <c r="J17" s="99"/>
      <c r="K17" s="99">
        <f>I17-F17</f>
        <v>0</v>
      </c>
      <c r="L17" s="104">
        <f>ROUND(K17/F17,5)</f>
        <v>0</v>
      </c>
      <c r="M17" s="176"/>
      <c r="N17" s="52"/>
      <c r="O17" s="17"/>
      <c r="P17" s="17"/>
      <c r="Q17" s="17"/>
    </row>
    <row r="18" spans="1:17" x14ac:dyDescent="0.25">
      <c r="B18" s="97"/>
      <c r="C18" s="51"/>
      <c r="D18" s="54"/>
      <c r="E18" s="184"/>
      <c r="F18" s="99"/>
      <c r="G18" s="185"/>
      <c r="H18" s="118"/>
      <c r="I18" s="127"/>
      <c r="J18" s="99"/>
      <c r="K18" s="99"/>
      <c r="L18" s="104"/>
      <c r="M18" s="176"/>
      <c r="N18" s="52"/>
      <c r="O18" s="186"/>
      <c r="P18" s="17"/>
      <c r="Q18" s="17"/>
    </row>
    <row r="19" spans="1:17" x14ac:dyDescent="0.25">
      <c r="B19" s="119" t="s">
        <v>106</v>
      </c>
      <c r="C19" s="51"/>
      <c r="D19" s="54"/>
      <c r="E19" s="51"/>
      <c r="F19" s="95">
        <f>F17+F15</f>
        <v>167979343.78791076</v>
      </c>
      <c r="G19" s="185"/>
      <c r="H19" s="187"/>
      <c r="I19" s="179">
        <f>I17+I15</f>
        <v>196942367.91791075</v>
      </c>
      <c r="J19" s="99"/>
      <c r="K19" s="95">
        <f>K15+K17</f>
        <v>28963024.13000001</v>
      </c>
      <c r="L19" s="109">
        <f>ROUND(K19/F19,5)</f>
        <v>0.17241999999999999</v>
      </c>
      <c r="M19" s="176"/>
      <c r="N19" s="52"/>
      <c r="O19" s="17"/>
      <c r="P19" s="17"/>
      <c r="Q19" s="17"/>
    </row>
    <row r="20" spans="1:17" x14ac:dyDescent="0.25">
      <c r="B20" s="188"/>
      <c r="C20" s="189"/>
      <c r="D20" s="122"/>
      <c r="E20" s="190"/>
      <c r="F20" s="191"/>
      <c r="G20" s="122"/>
      <c r="H20" s="192"/>
      <c r="I20" s="123"/>
      <c r="J20" s="193"/>
      <c r="K20" s="193"/>
      <c r="L20" s="194"/>
      <c r="M20" s="176"/>
      <c r="N20" s="52"/>
      <c r="O20" s="51"/>
    </row>
    <row r="21" spans="1:17" x14ac:dyDescent="0.25">
      <c r="A21" s="51"/>
      <c r="B21" s="51"/>
      <c r="C21" s="51"/>
      <c r="D21" s="54"/>
      <c r="E21" s="51"/>
      <c r="F21" s="72"/>
      <c r="G21" s="185"/>
      <c r="H21" s="187"/>
      <c r="I21" s="72"/>
      <c r="J21" s="72"/>
      <c r="K21" s="99"/>
      <c r="L21" s="41"/>
      <c r="M21" s="176"/>
      <c r="N21" s="52"/>
      <c r="O21" s="51"/>
    </row>
    <row r="22" spans="1:17" ht="13" x14ac:dyDescent="0.3">
      <c r="A22" s="51"/>
      <c r="B22" s="128" t="s">
        <v>125</v>
      </c>
      <c r="C22" s="174"/>
      <c r="D22" s="93"/>
      <c r="E22" s="93"/>
      <c r="F22" s="95"/>
      <c r="G22" s="175"/>
      <c r="H22" s="92"/>
      <c r="I22" s="95"/>
      <c r="J22" s="95"/>
      <c r="K22" s="95"/>
      <c r="L22" s="109"/>
      <c r="M22" s="176"/>
      <c r="N22" s="52"/>
      <c r="O22" s="51"/>
    </row>
    <row r="23" spans="1:17" x14ac:dyDescent="0.25">
      <c r="A23" s="51"/>
      <c r="B23" s="97"/>
      <c r="C23" s="51"/>
      <c r="D23" s="68"/>
      <c r="E23" s="51"/>
      <c r="F23" s="99"/>
      <c r="G23" s="103"/>
      <c r="H23" s="54"/>
      <c r="I23" s="99"/>
      <c r="J23" s="99"/>
      <c r="K23" s="99"/>
      <c r="L23" s="104"/>
      <c r="M23" s="176"/>
      <c r="N23" s="52"/>
      <c r="O23" s="51"/>
    </row>
    <row r="24" spans="1:17" x14ac:dyDescent="0.25">
      <c r="A24" s="51"/>
      <c r="B24" s="101" t="s">
        <v>100</v>
      </c>
      <c r="C24" s="102" t="s">
        <v>101</v>
      </c>
      <c r="D24" s="103">
        <v>31</v>
      </c>
      <c r="E24" s="6">
        <v>353.77</v>
      </c>
      <c r="F24" s="99">
        <f>ROUND(D24*E24,2)</f>
        <v>10966.87</v>
      </c>
      <c r="G24" s="103"/>
      <c r="H24" s="6">
        <v>364.04</v>
      </c>
      <c r="I24" s="127">
        <f>ROUND(D24*H24,2)</f>
        <v>11285.24</v>
      </c>
      <c r="J24" s="99"/>
      <c r="K24" s="99">
        <f>I24-F24</f>
        <v>318.36999999999898</v>
      </c>
      <c r="L24" s="104"/>
      <c r="M24" s="176"/>
      <c r="N24" s="52"/>
      <c r="O24" s="51"/>
      <c r="Q24" s="52">
        <f>H24/E24-1</f>
        <v>2.903016083896337E-2</v>
      </c>
    </row>
    <row r="25" spans="1:17" x14ac:dyDescent="0.25">
      <c r="A25" s="51"/>
      <c r="B25" s="97" t="s">
        <v>102</v>
      </c>
      <c r="C25" s="51" t="s">
        <v>103</v>
      </c>
      <c r="D25" s="103">
        <v>36359.963605097219</v>
      </c>
      <c r="E25" s="5">
        <v>0.29475000000000001</v>
      </c>
      <c r="F25" s="99">
        <f>ROUND(D25*E25,2)</f>
        <v>10717.1</v>
      </c>
      <c r="G25" s="103"/>
      <c r="H25" s="5">
        <f>H13</f>
        <v>0.40522999999999998</v>
      </c>
      <c r="I25" s="127">
        <f>ROUND(D25*H25,2)</f>
        <v>14734.15</v>
      </c>
      <c r="J25" s="99"/>
      <c r="K25" s="99">
        <f>I25-F25</f>
        <v>4017.0499999999993</v>
      </c>
      <c r="L25" s="104"/>
      <c r="M25" s="176"/>
      <c r="N25" s="52"/>
      <c r="O25" s="51"/>
      <c r="Q25" s="52">
        <f t="shared" ref="Q25" si="0">H25/E25-1</f>
        <v>0.37482612383375735</v>
      </c>
    </row>
    <row r="26" spans="1:17" x14ac:dyDescent="0.25">
      <c r="A26" s="51"/>
      <c r="B26" s="101" t="s">
        <v>124</v>
      </c>
      <c r="C26" s="51"/>
      <c r="D26" s="103">
        <f>D25</f>
        <v>36359.963605097219</v>
      </c>
      <c r="E26" s="5">
        <v>0</v>
      </c>
      <c r="F26" s="99">
        <f>ROUND(D26*E26,2)</f>
        <v>0</v>
      </c>
      <c r="G26" s="103"/>
      <c r="H26" s="5">
        <v>0</v>
      </c>
      <c r="I26" s="127">
        <f>ROUND(D26*H26,2)</f>
        <v>0</v>
      </c>
      <c r="J26" s="99"/>
      <c r="K26" s="99">
        <f>I26-F26</f>
        <v>0</v>
      </c>
      <c r="L26" s="104"/>
      <c r="M26" s="176"/>
      <c r="N26" s="52"/>
      <c r="O26" s="51"/>
      <c r="Q26" s="52"/>
    </row>
    <row r="27" spans="1:17" x14ac:dyDescent="0.25">
      <c r="A27" s="51"/>
      <c r="B27" s="119" t="s">
        <v>108</v>
      </c>
      <c r="C27" s="108"/>
      <c r="D27" s="103"/>
      <c r="E27" s="54"/>
      <c r="F27" s="95">
        <f>SUM(F24:F26)</f>
        <v>21683.97</v>
      </c>
      <c r="G27" s="103"/>
      <c r="H27" s="103"/>
      <c r="I27" s="179">
        <f>SUM(I24:I26)</f>
        <v>26019.39</v>
      </c>
      <c r="J27" s="99"/>
      <c r="K27" s="179">
        <f>SUM(K24:K26)</f>
        <v>4335.4199999999983</v>
      </c>
      <c r="L27" s="109"/>
      <c r="M27" s="176"/>
      <c r="N27" s="52"/>
      <c r="O27" s="51"/>
    </row>
    <row r="28" spans="1:17" x14ac:dyDescent="0.25">
      <c r="A28" s="51"/>
      <c r="B28" s="97"/>
      <c r="C28" s="51"/>
      <c r="D28" s="54"/>
      <c r="E28" s="54"/>
      <c r="F28" s="99"/>
      <c r="G28" s="103"/>
      <c r="H28" s="103"/>
      <c r="I28" s="127"/>
      <c r="J28" s="99"/>
      <c r="K28" s="99"/>
      <c r="L28" s="104"/>
      <c r="M28" s="176"/>
      <c r="N28" s="52"/>
      <c r="O28" s="51"/>
    </row>
    <row r="29" spans="1:17" x14ac:dyDescent="0.25">
      <c r="A29" s="51"/>
      <c r="B29" s="130" t="s">
        <v>126</v>
      </c>
      <c r="C29" s="51" t="s">
        <v>103</v>
      </c>
      <c r="D29" s="103">
        <f>D25</f>
        <v>36359.963605097219</v>
      </c>
      <c r="E29" s="5">
        <v>6.9999999999999999E-4</v>
      </c>
      <c r="F29" s="99">
        <f>E29*D29</f>
        <v>25.451974523568051</v>
      </c>
      <c r="G29" s="54"/>
      <c r="H29" s="5">
        <v>1E-3</v>
      </c>
      <c r="I29" s="127">
        <f>H29*D29</f>
        <v>36.359963605097221</v>
      </c>
      <c r="J29" s="99"/>
      <c r="K29" s="99">
        <f>I29-F29</f>
        <v>10.90798908152917</v>
      </c>
      <c r="L29" s="104"/>
      <c r="M29" s="176"/>
      <c r="N29" s="52"/>
      <c r="O29" s="51"/>
    </row>
    <row r="30" spans="1:17" x14ac:dyDescent="0.25">
      <c r="A30" s="51"/>
      <c r="B30" s="119" t="s">
        <v>106</v>
      </c>
      <c r="C30" s="51"/>
      <c r="D30" s="54"/>
      <c r="E30" s="51"/>
      <c r="F30" s="95">
        <f>F29+F27</f>
        <v>21709.421974523568</v>
      </c>
      <c r="G30" s="185"/>
      <c r="H30" s="187"/>
      <c r="I30" s="179">
        <f>I29+I27</f>
        <v>26055.749963605096</v>
      </c>
      <c r="J30" s="99"/>
      <c r="K30" s="95">
        <f>K27+K29</f>
        <v>4346.3279890815274</v>
      </c>
      <c r="L30" s="109"/>
      <c r="M30" s="176"/>
      <c r="N30" s="52"/>
      <c r="O30" s="51"/>
    </row>
    <row r="31" spans="1:17" x14ac:dyDescent="0.25">
      <c r="A31" s="51"/>
      <c r="B31" s="188"/>
      <c r="C31" s="189"/>
      <c r="D31" s="122"/>
      <c r="E31" s="190"/>
      <c r="F31" s="191"/>
      <c r="G31" s="122"/>
      <c r="H31" s="192"/>
      <c r="I31" s="123"/>
      <c r="J31" s="193"/>
      <c r="K31" s="193"/>
      <c r="L31" s="194"/>
      <c r="M31" s="176"/>
      <c r="N31" s="52"/>
      <c r="O31" s="51"/>
    </row>
    <row r="32" spans="1:17" x14ac:dyDescent="0.25">
      <c r="A32" s="51"/>
      <c r="B32" s="51"/>
      <c r="C32" s="51"/>
      <c r="D32" s="54"/>
      <c r="E32" s="51"/>
      <c r="F32" s="72"/>
      <c r="G32" s="185"/>
      <c r="H32" s="187"/>
      <c r="I32" s="72"/>
      <c r="J32" s="72"/>
      <c r="K32" s="99"/>
      <c r="L32" s="41"/>
      <c r="M32" s="176"/>
      <c r="N32" s="52"/>
      <c r="O32" s="51"/>
    </row>
    <row r="33" spans="1:17" ht="13" x14ac:dyDescent="0.3">
      <c r="A33" s="51"/>
      <c r="B33" s="90" t="s">
        <v>127</v>
      </c>
      <c r="C33" s="174"/>
      <c r="D33" s="93"/>
      <c r="E33" s="93"/>
      <c r="F33" s="95"/>
      <c r="G33" s="175"/>
      <c r="H33" s="92"/>
      <c r="I33" s="95"/>
      <c r="J33" s="95"/>
      <c r="K33" s="95"/>
      <c r="L33" s="109"/>
      <c r="M33" s="176"/>
      <c r="N33" s="52"/>
      <c r="O33" s="51"/>
    </row>
    <row r="34" spans="1:17" x14ac:dyDescent="0.25">
      <c r="A34" s="51"/>
      <c r="B34" s="97"/>
      <c r="C34" s="51"/>
      <c r="D34" s="68"/>
      <c r="E34" s="51"/>
      <c r="F34" s="99"/>
      <c r="G34" s="103"/>
      <c r="H34" s="54"/>
      <c r="I34" s="99"/>
      <c r="J34" s="99"/>
      <c r="K34" s="99"/>
      <c r="L34" s="104"/>
      <c r="M34" s="176"/>
      <c r="N34" s="52"/>
      <c r="O34" s="51"/>
    </row>
    <row r="35" spans="1:17" x14ac:dyDescent="0.25">
      <c r="A35" s="51"/>
      <c r="B35" s="101" t="s">
        <v>100</v>
      </c>
      <c r="C35" s="102" t="s">
        <v>101</v>
      </c>
      <c r="D35" s="103">
        <f>D12+D24</f>
        <v>692628.12096613029</v>
      </c>
      <c r="E35" s="6"/>
      <c r="F35" s="99">
        <f>F12+F24</f>
        <v>22284890.280000001</v>
      </c>
      <c r="G35" s="103"/>
      <c r="H35" s="6"/>
      <c r="I35" s="99">
        <f>I12+I24</f>
        <v>23448771.809999999</v>
      </c>
      <c r="J35" s="99"/>
      <c r="K35" s="99">
        <f>I35-F35</f>
        <v>1163881.5299999975</v>
      </c>
      <c r="L35" s="104"/>
      <c r="M35" s="176"/>
      <c r="N35" s="52"/>
      <c r="O35" s="51"/>
    </row>
    <row r="36" spans="1:17" x14ac:dyDescent="0.25">
      <c r="A36" s="51"/>
      <c r="B36" s="97" t="s">
        <v>102</v>
      </c>
      <c r="C36" s="51" t="s">
        <v>103</v>
      </c>
      <c r="D36" s="103">
        <f>D13+D25</f>
        <v>234176518.05324447</v>
      </c>
      <c r="E36" s="5"/>
      <c r="F36" s="99">
        <f>F13+F25</f>
        <v>69023528.699999988</v>
      </c>
      <c r="G36" s="103"/>
      <c r="H36" s="5"/>
      <c r="I36" s="99">
        <f>I13+I25</f>
        <v>94895350.410000011</v>
      </c>
      <c r="J36" s="99"/>
      <c r="K36" s="99">
        <f>I36-F36</f>
        <v>25871821.710000023</v>
      </c>
      <c r="L36" s="104"/>
      <c r="M36" s="176"/>
      <c r="N36" s="52"/>
      <c r="O36" s="51"/>
    </row>
    <row r="37" spans="1:17" x14ac:dyDescent="0.25">
      <c r="A37" s="51"/>
      <c r="B37" s="97" t="s">
        <v>124</v>
      </c>
      <c r="C37" s="51" t="s">
        <v>103</v>
      </c>
      <c r="D37" s="103">
        <f>D14+D26</f>
        <v>234176518.05324447</v>
      </c>
      <c r="E37" s="5"/>
      <c r="F37" s="99">
        <f>F14+F26</f>
        <v>2065116.19</v>
      </c>
      <c r="G37" s="103"/>
      <c r="H37" s="5"/>
      <c r="I37" s="99">
        <f>I14+I26</f>
        <v>3996772.5</v>
      </c>
      <c r="J37" s="99"/>
      <c r="K37" s="99">
        <f>I37-F37</f>
        <v>1931656.31</v>
      </c>
      <c r="L37" s="104"/>
      <c r="M37" s="176"/>
      <c r="N37" s="52"/>
      <c r="O37" s="51"/>
    </row>
    <row r="38" spans="1:17" x14ac:dyDescent="0.25">
      <c r="A38" s="51"/>
      <c r="B38" s="119" t="s">
        <v>108</v>
      </c>
      <c r="C38" s="108"/>
      <c r="D38" s="103"/>
      <c r="E38" s="54"/>
      <c r="F38" s="95">
        <f>SUM(F35:F37)</f>
        <v>93373535.169999987</v>
      </c>
      <c r="G38" s="103"/>
      <c r="H38" s="103"/>
      <c r="I38" s="95">
        <f>SUM(I35:I37)</f>
        <v>122340894.72000001</v>
      </c>
      <c r="J38" s="99"/>
      <c r="K38" s="95">
        <f>SUM(K35:K37)</f>
        <v>28967359.550000019</v>
      </c>
      <c r="L38" s="109">
        <f>ROUND(K38/F38,5)</f>
        <v>0.31023000000000001</v>
      </c>
      <c r="M38" s="176"/>
      <c r="N38" s="52"/>
      <c r="O38" s="51"/>
    </row>
    <row r="39" spans="1:17" x14ac:dyDescent="0.25">
      <c r="A39" s="51"/>
      <c r="B39" s="97"/>
      <c r="C39" s="51"/>
      <c r="D39" s="54"/>
      <c r="E39" s="54"/>
      <c r="F39" s="99"/>
      <c r="G39" s="103"/>
      <c r="H39" s="103"/>
      <c r="I39" s="99"/>
      <c r="J39" s="99"/>
      <c r="K39" s="99"/>
      <c r="L39" s="104"/>
      <c r="M39" s="176"/>
      <c r="N39" s="52"/>
      <c r="O39" s="51"/>
    </row>
    <row r="40" spans="1:17" x14ac:dyDescent="0.25">
      <c r="A40" s="51"/>
      <c r="B40" s="97" t="s">
        <v>105</v>
      </c>
      <c r="C40" s="51" t="s">
        <v>103</v>
      </c>
      <c r="D40" s="103">
        <f>D36</f>
        <v>234176518.05324447</v>
      </c>
      <c r="E40" s="5"/>
      <c r="F40" s="99">
        <f>F17+F29</f>
        <v>74627518.039885283</v>
      </c>
      <c r="G40" s="54"/>
      <c r="H40" s="5"/>
      <c r="I40" s="99">
        <f>I17+I29</f>
        <v>74627528.947874367</v>
      </c>
      <c r="J40" s="99"/>
      <c r="K40" s="193">
        <f>I40-F40</f>
        <v>10.907989084720612</v>
      </c>
      <c r="L40" s="194">
        <f>ROUND(K40/F40,5)</f>
        <v>0</v>
      </c>
      <c r="M40" s="176"/>
      <c r="N40" s="52"/>
      <c r="O40" s="51"/>
    </row>
    <row r="41" spans="1:17" x14ac:dyDescent="0.25">
      <c r="A41" s="51"/>
      <c r="B41" s="119" t="s">
        <v>106</v>
      </c>
      <c r="C41" s="51"/>
      <c r="D41" s="54"/>
      <c r="E41" s="51"/>
      <c r="F41" s="95">
        <f>F40+F38</f>
        <v>168001053.20988527</v>
      </c>
      <c r="G41" s="185"/>
      <c r="H41" s="187"/>
      <c r="I41" s="95">
        <f>I40+I38</f>
        <v>196968423.6678744</v>
      </c>
      <c r="J41" s="99"/>
      <c r="K41" s="95">
        <f>K38+K40</f>
        <v>28967370.457989104</v>
      </c>
      <c r="L41" s="109">
        <f>ROUND(K41/F41,5)</f>
        <v>0.17241999999999999</v>
      </c>
      <c r="M41" s="176"/>
      <c r="N41" s="52"/>
      <c r="O41" s="51"/>
    </row>
    <row r="42" spans="1:17" x14ac:dyDescent="0.25">
      <c r="A42" s="51"/>
      <c r="B42" s="188"/>
      <c r="C42" s="189"/>
      <c r="D42" s="122"/>
      <c r="E42" s="190"/>
      <c r="F42" s="191"/>
      <c r="G42" s="122"/>
      <c r="H42" s="192"/>
      <c r="I42" s="123"/>
      <c r="J42" s="193"/>
      <c r="K42" s="193"/>
      <c r="L42" s="194"/>
      <c r="M42" s="176"/>
      <c r="N42" s="52"/>
      <c r="O42" s="51"/>
    </row>
    <row r="43" spans="1:17" x14ac:dyDescent="0.25">
      <c r="A43" s="51"/>
      <c r="B43" s="51"/>
      <c r="C43" s="51"/>
      <c r="D43" s="54"/>
      <c r="E43" s="51"/>
      <c r="F43" s="72"/>
      <c r="G43" s="185"/>
      <c r="H43" s="187"/>
      <c r="I43" s="72"/>
      <c r="J43" s="72"/>
      <c r="K43" s="99"/>
      <c r="L43" s="41"/>
      <c r="M43" s="176"/>
      <c r="N43" s="52"/>
      <c r="O43" s="51"/>
    </row>
    <row r="44" spans="1:17" x14ac:dyDescent="0.25">
      <c r="A44" s="51"/>
      <c r="B44" s="51"/>
      <c r="C44" s="51"/>
      <c r="D44" s="54"/>
      <c r="E44" s="51"/>
      <c r="F44" s="72"/>
      <c r="G44" s="185"/>
      <c r="H44" s="187"/>
      <c r="I44" s="72"/>
      <c r="J44" s="72"/>
      <c r="K44" s="99"/>
      <c r="L44" s="41"/>
      <c r="M44" s="176"/>
      <c r="N44" s="52"/>
    </row>
    <row r="45" spans="1:17" ht="13" x14ac:dyDescent="0.3">
      <c r="B45" s="128" t="s">
        <v>128</v>
      </c>
      <c r="C45" s="174"/>
      <c r="D45" s="92"/>
      <c r="E45" s="93"/>
      <c r="F45" s="95"/>
      <c r="G45" s="92"/>
      <c r="H45" s="92"/>
      <c r="I45" s="95"/>
      <c r="J45" s="95"/>
      <c r="K45" s="95"/>
      <c r="L45" s="109"/>
      <c r="M45" s="176"/>
      <c r="N45" s="52"/>
    </row>
    <row r="46" spans="1:17" x14ac:dyDescent="0.25">
      <c r="B46" s="130"/>
      <c r="C46" s="51"/>
      <c r="D46" s="54"/>
      <c r="E46" s="54"/>
      <c r="F46" s="99"/>
      <c r="G46" s="131"/>
      <c r="H46" s="54"/>
      <c r="I46" s="99"/>
      <c r="J46" s="99"/>
      <c r="K46" s="99"/>
      <c r="L46" s="104"/>
      <c r="M46" s="176"/>
      <c r="N46" s="52"/>
      <c r="O46" s="8" t="s">
        <v>129</v>
      </c>
    </row>
    <row r="47" spans="1:17" x14ac:dyDescent="0.25">
      <c r="B47" s="101" t="s">
        <v>100</v>
      </c>
      <c r="C47" s="102" t="s">
        <v>101</v>
      </c>
      <c r="D47" s="103">
        <v>15978.11692331859</v>
      </c>
      <c r="E47" s="6">
        <v>106.43</v>
      </c>
      <c r="F47" s="99">
        <f>ROUND(D47*E47,2)</f>
        <v>1700550.98</v>
      </c>
      <c r="G47" s="103"/>
      <c r="H47" s="6">
        <v>113.4</v>
      </c>
      <c r="I47" s="99">
        <f>ROUND(D47*H47,2)</f>
        <v>1811918.46</v>
      </c>
      <c r="J47" s="99"/>
      <c r="K47" s="99">
        <f>I47-F47</f>
        <v>111367.47999999998</v>
      </c>
      <c r="L47" s="104"/>
      <c r="M47" s="176"/>
      <c r="N47" s="52"/>
      <c r="O47" s="105">
        <f>'Exh. JDT-14 Pg. 1 (BR-11)'!N15</f>
        <v>2014357.9774297799</v>
      </c>
      <c r="Q47" s="52">
        <f>H47/E47-1</f>
        <v>6.5489053838203581E-2</v>
      </c>
    </row>
    <row r="48" spans="1:17" x14ac:dyDescent="0.25">
      <c r="B48" s="130" t="s">
        <v>130</v>
      </c>
      <c r="C48" s="102" t="s">
        <v>101</v>
      </c>
      <c r="D48" s="103">
        <f>D47</f>
        <v>15978.11692331859</v>
      </c>
      <c r="E48" s="6">
        <v>115.88</v>
      </c>
      <c r="F48" s="72">
        <f>D48*E48</f>
        <v>1851544.1890741582</v>
      </c>
      <c r="G48" s="103"/>
      <c r="H48" s="6">
        <f>ROUND(+H53*900,2)</f>
        <v>128.07</v>
      </c>
      <c r="I48" s="72">
        <f>ROUND(D48*H48,2)</f>
        <v>2046317.43</v>
      </c>
      <c r="J48" s="72"/>
      <c r="K48" s="99">
        <f>I48-F48</f>
        <v>194773.24092584173</v>
      </c>
      <c r="L48" s="148"/>
      <c r="M48" s="176"/>
      <c r="N48" s="88"/>
      <c r="O48" s="105" t="s">
        <v>104</v>
      </c>
      <c r="Q48" s="52">
        <f t="shared" ref="Q48:Q49" si="1">H48/E48-1</f>
        <v>0.10519502934069735</v>
      </c>
    </row>
    <row r="49" spans="1:17" x14ac:dyDescent="0.25">
      <c r="B49" s="130" t="s">
        <v>131</v>
      </c>
      <c r="C49" s="51" t="s">
        <v>132</v>
      </c>
      <c r="D49" s="103">
        <v>4466417.6739999996</v>
      </c>
      <c r="E49" s="6">
        <v>1.17</v>
      </c>
      <c r="F49" s="72">
        <f>ROUND(D49*E49,2)</f>
        <v>5225708.68</v>
      </c>
      <c r="G49" s="103"/>
      <c r="H49" s="6">
        <v>1.25</v>
      </c>
      <c r="I49" s="72">
        <f>ROUND(D49*H49,2)</f>
        <v>5583022.0899999999</v>
      </c>
      <c r="J49" s="72"/>
      <c r="K49" s="99">
        <f>I49-F49</f>
        <v>357313.41000000015</v>
      </c>
      <c r="L49" s="148"/>
      <c r="M49" s="176"/>
      <c r="N49" s="88"/>
      <c r="O49" s="178">
        <f>K57+K79-O47</f>
        <v>-230.06392769655213</v>
      </c>
      <c r="Q49" s="52">
        <f t="shared" si="1"/>
        <v>6.8376068376068355E-2</v>
      </c>
    </row>
    <row r="50" spans="1:17" x14ac:dyDescent="0.25">
      <c r="B50" s="130"/>
      <c r="C50" s="51"/>
      <c r="D50" s="103"/>
      <c r="E50" s="6"/>
      <c r="F50" s="177"/>
      <c r="G50" s="103"/>
      <c r="H50" s="6"/>
      <c r="I50" s="72"/>
      <c r="J50" s="72"/>
      <c r="K50" s="137"/>
      <c r="L50" s="148"/>
      <c r="M50" s="176"/>
      <c r="N50" s="88"/>
      <c r="O50" s="180"/>
      <c r="P50" s="12"/>
      <c r="Q50" s="195"/>
    </row>
    <row r="51" spans="1:17" x14ac:dyDescent="0.25">
      <c r="B51" s="130" t="s">
        <v>133</v>
      </c>
      <c r="C51" s="51"/>
      <c r="D51" s="103"/>
      <c r="E51" s="6"/>
      <c r="F51" s="72"/>
      <c r="G51" s="103"/>
      <c r="H51" s="6"/>
      <c r="I51" s="72"/>
      <c r="J51" s="72"/>
      <c r="K51" s="137"/>
      <c r="L51" s="148"/>
      <c r="M51" s="176"/>
      <c r="N51" s="88"/>
      <c r="O51" s="116">
        <v>0.1051957</v>
      </c>
      <c r="P51" s="12"/>
      <c r="Q51" s="196"/>
    </row>
    <row r="52" spans="1:17" x14ac:dyDescent="0.25">
      <c r="B52" s="130" t="s">
        <v>134</v>
      </c>
      <c r="C52" s="51" t="s">
        <v>103</v>
      </c>
      <c r="D52" s="103">
        <v>13387853.839</v>
      </c>
      <c r="E52" s="5">
        <v>0.12876000000000001</v>
      </c>
      <c r="F52" s="99" t="s">
        <v>135</v>
      </c>
      <c r="G52" s="103"/>
      <c r="H52" s="5">
        <f>H53</f>
        <v>0.14230000000000001</v>
      </c>
      <c r="I52" s="99" t="s">
        <v>135</v>
      </c>
      <c r="J52" s="99"/>
      <c r="K52" s="99"/>
      <c r="L52" s="104"/>
      <c r="M52" s="176"/>
      <c r="N52" s="52"/>
      <c r="P52" s="16"/>
      <c r="Q52" s="52">
        <f>H52/E52-1</f>
        <v>0.10515688101895004</v>
      </c>
    </row>
    <row r="53" spans="1:17" x14ac:dyDescent="0.25">
      <c r="B53" s="130" t="s">
        <v>136</v>
      </c>
      <c r="C53" s="51" t="s">
        <v>103</v>
      </c>
      <c r="D53" s="103">
        <v>29572063.337000005</v>
      </c>
      <c r="E53" s="5">
        <v>0.12876000000000001</v>
      </c>
      <c r="F53" s="99">
        <f>ROUND(D53*E53,2)</f>
        <v>3807698.88</v>
      </c>
      <c r="G53" s="103"/>
      <c r="H53" s="5">
        <f>ROUND(E53*(1+$O$51),5)</f>
        <v>0.14230000000000001</v>
      </c>
      <c r="I53" s="99">
        <f>ROUND(D53*H53,2)</f>
        <v>4208104.6100000003</v>
      </c>
      <c r="J53" s="99"/>
      <c r="K53" s="99">
        <f>I53-F53</f>
        <v>400405.73000000045</v>
      </c>
      <c r="L53" s="104"/>
      <c r="M53" s="176"/>
      <c r="N53" s="52"/>
      <c r="O53" s="197"/>
      <c r="P53" s="16"/>
      <c r="Q53" s="52">
        <f>H53/E53-1</f>
        <v>0.10515688101895004</v>
      </c>
    </row>
    <row r="54" spans="1:17" x14ac:dyDescent="0.25">
      <c r="B54" s="130" t="s">
        <v>137</v>
      </c>
      <c r="C54" s="51" t="s">
        <v>103</v>
      </c>
      <c r="D54" s="103">
        <v>22876740.28746549</v>
      </c>
      <c r="E54" s="5">
        <v>0.10364</v>
      </c>
      <c r="F54" s="99">
        <f>ROUND(D54*E54,2)</f>
        <v>2370945.36</v>
      </c>
      <c r="G54" s="103"/>
      <c r="H54" s="5">
        <f>ROUND(E54*(1+$O$51),5)</f>
        <v>0.11454</v>
      </c>
      <c r="I54" s="99">
        <f>ROUND(D54*H54,2)</f>
        <v>2620301.83</v>
      </c>
      <c r="J54" s="99"/>
      <c r="K54" s="99">
        <f>I54-F54</f>
        <v>249356.4700000002</v>
      </c>
      <c r="L54" s="104"/>
      <c r="M54" s="176"/>
      <c r="N54" s="52"/>
      <c r="O54" s="127"/>
      <c r="P54" s="16"/>
      <c r="Q54" s="52">
        <f>H54/E54-1</f>
        <v>0.10517174835970677</v>
      </c>
    </row>
    <row r="55" spans="1:17" s="12" customFormat="1" x14ac:dyDescent="0.25">
      <c r="A55" s="54"/>
      <c r="B55" s="101" t="s">
        <v>138</v>
      </c>
      <c r="C55" s="108"/>
      <c r="D55" s="175">
        <f>SUM(D52:D54)</f>
        <v>65836657.463465497</v>
      </c>
      <c r="E55" s="68"/>
      <c r="F55" s="72"/>
      <c r="G55" s="103"/>
      <c r="H55" s="103"/>
      <c r="I55" s="54"/>
      <c r="J55" s="54"/>
      <c r="K55" s="54"/>
      <c r="L55" s="136"/>
      <c r="M55" s="198"/>
      <c r="N55" s="142"/>
      <c r="O55" s="54"/>
      <c r="Q55" s="52"/>
    </row>
    <row r="56" spans="1:17" s="12" customFormat="1" x14ac:dyDescent="0.25">
      <c r="A56" s="54"/>
      <c r="B56" s="101" t="s">
        <v>124</v>
      </c>
      <c r="C56" s="51" t="s">
        <v>103</v>
      </c>
      <c r="D56" s="103">
        <f>D55</f>
        <v>65836657.463465497</v>
      </c>
      <c r="E56" s="199">
        <v>6.0899999999999999E-3</v>
      </c>
      <c r="F56" s="72">
        <f>D56*E56</f>
        <v>400945.24395250488</v>
      </c>
      <c r="G56" s="103"/>
      <c r="H56" s="5">
        <v>1.149E-2</v>
      </c>
      <c r="I56" s="72">
        <f>D56*H56</f>
        <v>756463.19425521861</v>
      </c>
      <c r="J56" s="72"/>
      <c r="K56" s="99">
        <f>I56-F56</f>
        <v>355517.95030271373</v>
      </c>
      <c r="L56" s="104"/>
      <c r="M56" s="198"/>
      <c r="N56" s="142"/>
      <c r="O56" s="54"/>
      <c r="Q56" s="52">
        <f>H56/E56-1</f>
        <v>0.88669950738916259</v>
      </c>
    </row>
    <row r="57" spans="1:17" x14ac:dyDescent="0.25">
      <c r="B57" s="119" t="s">
        <v>108</v>
      </c>
      <c r="C57" s="108"/>
      <c r="D57" s="175"/>
      <c r="E57" s="68"/>
      <c r="F57" s="200">
        <f>SUM(F47:F56)</f>
        <v>15357393.333026662</v>
      </c>
      <c r="G57" s="103"/>
      <c r="H57" s="103"/>
      <c r="I57" s="200">
        <f>SUM(I47:I49,I53:I56)</f>
        <v>17026127.61425522</v>
      </c>
      <c r="J57" s="72"/>
      <c r="K57" s="200">
        <f>SUM(K47:K56)</f>
        <v>1668734.2812285563</v>
      </c>
      <c r="L57" s="109">
        <f>ROUND(K57/F57,5)</f>
        <v>0.10866000000000001</v>
      </c>
      <c r="M57" s="176"/>
      <c r="N57" s="52"/>
      <c r="O57" s="143"/>
      <c r="P57" s="21"/>
      <c r="Q57" s="201"/>
    </row>
    <row r="58" spans="1:17" x14ac:dyDescent="0.25">
      <c r="B58" s="101"/>
      <c r="C58" s="108"/>
      <c r="D58" s="103"/>
      <c r="E58" s="51"/>
      <c r="F58" s="99"/>
      <c r="G58" s="103"/>
      <c r="H58" s="103"/>
      <c r="I58" s="72"/>
      <c r="J58" s="72"/>
      <c r="K58" s="99"/>
      <c r="L58" s="104"/>
      <c r="M58" s="176"/>
      <c r="N58" s="52"/>
      <c r="O58" s="202"/>
      <c r="P58" s="21"/>
      <c r="Q58" s="201"/>
    </row>
    <row r="59" spans="1:17" x14ac:dyDescent="0.25">
      <c r="B59" s="97" t="s">
        <v>105</v>
      </c>
      <c r="C59" s="108"/>
      <c r="D59" s="54"/>
      <c r="E59" s="51"/>
      <c r="F59" s="99"/>
      <c r="G59" s="103"/>
      <c r="H59" s="103"/>
      <c r="I59" s="72"/>
      <c r="J59" s="72"/>
      <c r="K59" s="99"/>
      <c r="L59" s="104"/>
      <c r="M59" s="176"/>
      <c r="N59" s="52"/>
      <c r="O59" s="12"/>
      <c r="P59" s="12"/>
      <c r="Q59" s="196"/>
    </row>
    <row r="60" spans="1:17" x14ac:dyDescent="0.25">
      <c r="B60" s="130" t="s">
        <v>139</v>
      </c>
      <c r="C60" s="51" t="s">
        <v>103</v>
      </c>
      <c r="D60" s="103">
        <f>D55</f>
        <v>65836657.463465497</v>
      </c>
      <c r="E60" s="5">
        <v>0.2271</v>
      </c>
      <c r="F60" s="99">
        <f>E60*D60</f>
        <v>14951504.909953015</v>
      </c>
      <c r="G60" s="54"/>
      <c r="H60" s="5">
        <f>E60</f>
        <v>0.2271</v>
      </c>
      <c r="I60" s="99">
        <f>H60*D60</f>
        <v>14951504.909953015</v>
      </c>
      <c r="J60" s="99"/>
      <c r="K60" s="99">
        <f>I60-F60</f>
        <v>0</v>
      </c>
      <c r="L60" s="104"/>
      <c r="M60" s="176"/>
      <c r="N60" s="51"/>
      <c r="O60" s="12"/>
      <c r="P60" s="203"/>
      <c r="Q60" s="196"/>
    </row>
    <row r="61" spans="1:17" x14ac:dyDescent="0.25">
      <c r="B61" s="130" t="s">
        <v>131</v>
      </c>
      <c r="C61" s="51" t="s">
        <v>132</v>
      </c>
      <c r="D61" s="103">
        <f>D49</f>
        <v>4466417.6739999996</v>
      </c>
      <c r="E61" s="6">
        <v>1.05</v>
      </c>
      <c r="F61" s="99">
        <f>E61*D61</f>
        <v>4689738.5576999998</v>
      </c>
      <c r="G61" s="54"/>
      <c r="H61" s="6">
        <f>E61</f>
        <v>1.05</v>
      </c>
      <c r="I61" s="99">
        <f>H61*D61</f>
        <v>4689738.5576999998</v>
      </c>
      <c r="J61" s="99"/>
      <c r="K61" s="99">
        <f>I61-F61</f>
        <v>0</v>
      </c>
      <c r="L61" s="104"/>
      <c r="M61" s="176"/>
      <c r="N61" s="52"/>
      <c r="O61" s="202"/>
      <c r="P61" s="21"/>
      <c r="Q61" s="196"/>
    </row>
    <row r="62" spans="1:17" x14ac:dyDescent="0.25">
      <c r="B62" s="119" t="s">
        <v>140</v>
      </c>
      <c r="C62" s="108"/>
      <c r="D62" s="54"/>
      <c r="E62" s="70"/>
      <c r="F62" s="200">
        <f>SUM(F60:F61)</f>
        <v>19641243.467653014</v>
      </c>
      <c r="G62" s="54"/>
      <c r="H62" s="6"/>
      <c r="I62" s="200">
        <f>SUM(I60:I61)</f>
        <v>19641243.467653014</v>
      </c>
      <c r="J62" s="99"/>
      <c r="K62" s="200">
        <f>SUM(K60:K61)</f>
        <v>0</v>
      </c>
      <c r="L62" s="109">
        <f>ROUND(K62/F62,5)</f>
        <v>0</v>
      </c>
      <c r="M62" s="176"/>
      <c r="N62" s="52"/>
      <c r="O62" s="54"/>
      <c r="P62" s="12"/>
      <c r="Q62" s="195"/>
    </row>
    <row r="63" spans="1:17" x14ac:dyDescent="0.25">
      <c r="B63" s="130"/>
      <c r="C63" s="51"/>
      <c r="D63" s="54"/>
      <c r="E63" s="51"/>
      <c r="F63" s="99"/>
      <c r="G63" s="54"/>
      <c r="H63" s="54"/>
      <c r="I63" s="72"/>
      <c r="J63" s="72"/>
      <c r="K63" s="99"/>
      <c r="L63" s="104"/>
      <c r="M63" s="176"/>
      <c r="N63" s="52"/>
      <c r="O63" s="127"/>
      <c r="P63" s="12"/>
      <c r="Q63" s="196"/>
    </row>
    <row r="64" spans="1:17" x14ac:dyDescent="0.25">
      <c r="B64" s="101" t="s">
        <v>106</v>
      </c>
      <c r="C64" s="108"/>
      <c r="D64" s="54"/>
      <c r="E64" s="103"/>
      <c r="F64" s="200">
        <f>+F62+F57</f>
        <v>34998636.800679676</v>
      </c>
      <c r="G64" s="103"/>
      <c r="H64" s="103"/>
      <c r="I64" s="200">
        <f>+I62+I57</f>
        <v>36667371.081908233</v>
      </c>
      <c r="J64" s="72"/>
      <c r="K64" s="200">
        <f>K62+K57</f>
        <v>1668734.2812285563</v>
      </c>
      <c r="L64" s="109">
        <f>ROUND(K64/F64,5)</f>
        <v>4.768E-2</v>
      </c>
      <c r="M64" s="176"/>
      <c r="N64" s="52"/>
      <c r="O64" s="54"/>
      <c r="P64" s="12"/>
      <c r="Q64" s="195"/>
    </row>
    <row r="65" spans="1:17" s="12" customFormat="1" x14ac:dyDescent="0.25">
      <c r="B65" s="121"/>
      <c r="C65" s="122"/>
      <c r="D65" s="122"/>
      <c r="E65" s="122"/>
      <c r="F65" s="123"/>
      <c r="G65" s="122"/>
      <c r="H65" s="122"/>
      <c r="I65" s="191"/>
      <c r="J65" s="191"/>
      <c r="K65" s="123"/>
      <c r="L65" s="125"/>
      <c r="M65" s="198"/>
      <c r="N65" s="142"/>
      <c r="O65" s="54"/>
      <c r="Q65" s="195"/>
    </row>
    <row r="66" spans="1:17" s="12" customFormat="1" x14ac:dyDescent="0.25">
      <c r="A66" s="54"/>
      <c r="B66" s="54"/>
      <c r="C66" s="54"/>
      <c r="D66" s="54"/>
      <c r="E66" s="54"/>
      <c r="F66" s="127"/>
      <c r="G66" s="54"/>
      <c r="H66" s="54"/>
      <c r="I66" s="135"/>
      <c r="J66" s="135"/>
      <c r="K66" s="127"/>
      <c r="L66" s="42"/>
      <c r="M66" s="198"/>
      <c r="N66" s="142"/>
      <c r="O66" s="54"/>
      <c r="Q66" s="195"/>
    </row>
    <row r="67" spans="1:17" s="12" customFormat="1" ht="13" x14ac:dyDescent="0.3">
      <c r="A67" s="54"/>
      <c r="B67" s="128" t="s">
        <v>141</v>
      </c>
      <c r="C67" s="174"/>
      <c r="D67" s="92"/>
      <c r="E67" s="93"/>
      <c r="F67" s="95"/>
      <c r="G67" s="92"/>
      <c r="H67" s="92"/>
      <c r="I67" s="95"/>
      <c r="J67" s="95"/>
      <c r="K67" s="95"/>
      <c r="L67" s="109"/>
      <c r="M67" s="198"/>
      <c r="N67" s="142"/>
      <c r="O67" s="54"/>
      <c r="Q67" s="195"/>
    </row>
    <row r="68" spans="1:17" s="12" customFormat="1" x14ac:dyDescent="0.25">
      <c r="A68" s="54"/>
      <c r="B68" s="130"/>
      <c r="C68" s="51"/>
      <c r="D68" s="54"/>
      <c r="E68" s="54"/>
      <c r="F68" s="99"/>
      <c r="G68" s="131"/>
      <c r="H68" s="54"/>
      <c r="I68" s="99"/>
      <c r="J68" s="99"/>
      <c r="K68" s="99"/>
      <c r="L68" s="104"/>
      <c r="M68" s="198"/>
      <c r="N68" s="142"/>
      <c r="O68" s="54"/>
    </row>
    <row r="69" spans="1:17" s="12" customFormat="1" x14ac:dyDescent="0.25">
      <c r="A69" s="54"/>
      <c r="B69" s="101" t="s">
        <v>100</v>
      </c>
      <c r="C69" s="102" t="s">
        <v>101</v>
      </c>
      <c r="D69" s="103">
        <v>1233.3356387208999</v>
      </c>
      <c r="E69" s="6">
        <v>410.51</v>
      </c>
      <c r="F69" s="99">
        <f>ROUND(D69*E69,2)</f>
        <v>506296.61</v>
      </c>
      <c r="G69" s="103"/>
      <c r="H69" s="6">
        <v>422.79</v>
      </c>
      <c r="I69" s="99">
        <f>ROUND(D69*H69,2)</f>
        <v>521441.97</v>
      </c>
      <c r="J69" s="99"/>
      <c r="K69" s="99">
        <f>I69-F69</f>
        <v>15145.359999999986</v>
      </c>
      <c r="L69" s="104"/>
      <c r="M69" s="198"/>
      <c r="N69" s="142"/>
      <c r="O69" s="102"/>
      <c r="Q69" s="52">
        <f>H69/E69-1</f>
        <v>2.991400940293798E-2</v>
      </c>
    </row>
    <row r="70" spans="1:17" s="12" customFormat="1" x14ac:dyDescent="0.25">
      <c r="A70" s="54"/>
      <c r="B70" s="130" t="s">
        <v>130</v>
      </c>
      <c r="C70" s="102" t="s">
        <v>101</v>
      </c>
      <c r="D70" s="103">
        <f>D69</f>
        <v>1233.3356387208999</v>
      </c>
      <c r="E70" s="6">
        <v>115.88</v>
      </c>
      <c r="F70" s="72">
        <f>D70*E70</f>
        <v>142918.93381497788</v>
      </c>
      <c r="G70" s="103"/>
      <c r="H70" s="6">
        <f>H48</f>
        <v>128.07</v>
      </c>
      <c r="I70" s="72">
        <f>ROUND(D70*H70,2)</f>
        <v>157953.29999999999</v>
      </c>
      <c r="J70" s="72"/>
      <c r="K70" s="99">
        <f>I70-F70</f>
        <v>15034.366185022111</v>
      </c>
      <c r="L70" s="148"/>
      <c r="M70" s="198"/>
      <c r="N70" s="142"/>
      <c r="O70" s="54"/>
      <c r="Q70" s="52">
        <f t="shared" ref="Q70:Q71" si="2">H70/E70-1</f>
        <v>0.10519502934069735</v>
      </c>
    </row>
    <row r="71" spans="1:17" s="12" customFormat="1" x14ac:dyDescent="0.25">
      <c r="A71" s="54"/>
      <c r="B71" s="130" t="s">
        <v>131</v>
      </c>
      <c r="C71" s="51" t="s">
        <v>132</v>
      </c>
      <c r="D71" s="103">
        <v>1160980.7009999999</v>
      </c>
      <c r="E71" s="6">
        <v>1.17</v>
      </c>
      <c r="F71" s="72">
        <f>ROUND(D71*E71,2)</f>
        <v>1358347.42</v>
      </c>
      <c r="G71" s="103"/>
      <c r="H71" s="6">
        <f>H49</f>
        <v>1.25</v>
      </c>
      <c r="I71" s="72">
        <f>ROUND(D71*H71,2)</f>
        <v>1451225.88</v>
      </c>
      <c r="J71" s="54"/>
      <c r="K71" s="99">
        <f>I71-F71</f>
        <v>92878.459999999963</v>
      </c>
      <c r="L71" s="148"/>
      <c r="M71" s="198"/>
      <c r="N71" s="142"/>
      <c r="O71" s="54"/>
      <c r="Q71" s="52">
        <f t="shared" si="2"/>
        <v>6.8376068376068355E-2</v>
      </c>
    </row>
    <row r="72" spans="1:17" s="12" customFormat="1" x14ac:dyDescent="0.25">
      <c r="A72" s="54"/>
      <c r="B72" s="130"/>
      <c r="C72" s="51"/>
      <c r="D72" s="103"/>
      <c r="E72" s="6"/>
      <c r="F72" s="72"/>
      <c r="G72" s="103"/>
      <c r="H72" s="6"/>
      <c r="I72" s="72"/>
      <c r="J72" s="72"/>
      <c r="K72" s="137"/>
      <c r="L72" s="148"/>
      <c r="M72" s="198"/>
      <c r="N72" s="142"/>
      <c r="O72" s="54"/>
      <c r="Q72" s="195"/>
    </row>
    <row r="73" spans="1:17" s="12" customFormat="1" x14ac:dyDescent="0.25">
      <c r="A73" s="54"/>
      <c r="B73" s="130" t="s">
        <v>133</v>
      </c>
      <c r="C73" s="51"/>
      <c r="D73" s="103"/>
      <c r="E73" s="6"/>
      <c r="F73" s="99"/>
      <c r="G73" s="103"/>
      <c r="H73" s="6"/>
      <c r="I73" s="72"/>
      <c r="J73" s="72"/>
      <c r="K73" s="137"/>
      <c r="L73" s="148"/>
      <c r="M73" s="198"/>
      <c r="N73" s="142"/>
      <c r="O73" s="54"/>
      <c r="Q73" s="195"/>
    </row>
    <row r="74" spans="1:17" s="12" customFormat="1" x14ac:dyDescent="0.25">
      <c r="A74" s="54"/>
      <c r="B74" s="130" t="s">
        <v>134</v>
      </c>
      <c r="C74" s="51" t="s">
        <v>103</v>
      </c>
      <c r="D74" s="103">
        <v>1129776.96</v>
      </c>
      <c r="E74" s="5">
        <v>0.12876000000000001</v>
      </c>
      <c r="F74" s="99" t="s">
        <v>135</v>
      </c>
      <c r="G74" s="103"/>
      <c r="H74" s="5">
        <f>H52</f>
        <v>0.14230000000000001</v>
      </c>
      <c r="I74" s="99" t="s">
        <v>135</v>
      </c>
      <c r="J74" s="99"/>
      <c r="K74" s="99"/>
      <c r="L74" s="104"/>
      <c r="M74" s="198"/>
      <c r="N74" s="142"/>
      <c r="O74" s="54"/>
      <c r="Q74" s="52">
        <f>H74/E74-1</f>
        <v>0.10515688101895004</v>
      </c>
    </row>
    <row r="75" spans="1:17" s="12" customFormat="1" x14ac:dyDescent="0.25">
      <c r="A75" s="54"/>
      <c r="B75" s="130" t="s">
        <v>136</v>
      </c>
      <c r="C75" s="51" t="s">
        <v>103</v>
      </c>
      <c r="D75" s="103">
        <v>4274079.3400000008</v>
      </c>
      <c r="E75" s="5">
        <v>0.12876000000000001</v>
      </c>
      <c r="F75" s="99">
        <f>D75*E75</f>
        <v>550330.45581840014</v>
      </c>
      <c r="G75" s="103"/>
      <c r="H75" s="5">
        <f>H53</f>
        <v>0.14230000000000001</v>
      </c>
      <c r="I75" s="99">
        <f>H75*D75</f>
        <v>608201.49008200015</v>
      </c>
      <c r="J75" s="99"/>
      <c r="K75" s="99">
        <f>I75-F75</f>
        <v>57871.034263600013</v>
      </c>
      <c r="L75" s="104"/>
      <c r="M75" s="198"/>
      <c r="N75" s="142"/>
      <c r="O75" s="54"/>
      <c r="Q75" s="52">
        <f t="shared" ref="Q75:Q76" si="3">H75/E75-1</f>
        <v>0.10515688101895004</v>
      </c>
    </row>
    <row r="76" spans="1:17" s="12" customFormat="1" x14ac:dyDescent="0.25">
      <c r="A76" s="54"/>
      <c r="B76" s="130" t="s">
        <v>137</v>
      </c>
      <c r="C76" s="51" t="s">
        <v>103</v>
      </c>
      <c r="D76" s="103">
        <v>15088478.149073856</v>
      </c>
      <c r="E76" s="5">
        <v>0.10364</v>
      </c>
      <c r="F76" s="99">
        <f>D76*E76</f>
        <v>1563769.8753700145</v>
      </c>
      <c r="G76" s="103"/>
      <c r="H76" s="5">
        <f>H54</f>
        <v>0.11454</v>
      </c>
      <c r="I76" s="99">
        <f>H76*D76</f>
        <v>1728234.2871949195</v>
      </c>
      <c r="J76" s="99"/>
      <c r="K76" s="99">
        <f>I76-F76</f>
        <v>164464.41182490508</v>
      </c>
      <c r="L76" s="104"/>
      <c r="M76" s="198"/>
      <c r="N76" s="142"/>
      <c r="O76" s="54"/>
      <c r="Q76" s="52">
        <f t="shared" si="3"/>
        <v>0.10517174835970677</v>
      </c>
    </row>
    <row r="77" spans="1:17" s="12" customFormat="1" x14ac:dyDescent="0.25">
      <c r="A77" s="54"/>
      <c r="B77" s="101" t="s">
        <v>138</v>
      </c>
      <c r="C77" s="108"/>
      <c r="D77" s="175">
        <f>SUM(D74:D76)</f>
        <v>20492334.449073859</v>
      </c>
      <c r="E77" s="68"/>
      <c r="F77" s="72"/>
      <c r="G77" s="103"/>
      <c r="H77" s="103"/>
      <c r="I77" s="54"/>
      <c r="J77" s="54"/>
      <c r="K77" s="54"/>
      <c r="L77" s="136"/>
      <c r="M77" s="198"/>
      <c r="N77" s="142"/>
      <c r="O77" s="54"/>
      <c r="Q77" s="52"/>
    </row>
    <row r="78" spans="1:17" s="12" customFormat="1" x14ac:dyDescent="0.25">
      <c r="A78" s="54"/>
      <c r="B78" s="101" t="s">
        <v>124</v>
      </c>
      <c r="C78" s="51" t="s">
        <v>103</v>
      </c>
      <c r="D78" s="103">
        <f>D77</f>
        <v>20492334.449073859</v>
      </c>
      <c r="E78" s="5">
        <v>0</v>
      </c>
      <c r="F78" s="72">
        <f>D78*E78</f>
        <v>0</v>
      </c>
      <c r="G78" s="103"/>
      <c r="H78" s="5">
        <v>0</v>
      </c>
      <c r="I78" s="72">
        <f>D78*H78</f>
        <v>0</v>
      </c>
      <c r="J78" s="72"/>
      <c r="K78" s="99">
        <f>I78-F78</f>
        <v>0</v>
      </c>
      <c r="L78" s="104"/>
      <c r="M78" s="198"/>
      <c r="N78" s="142"/>
      <c r="O78" s="54"/>
      <c r="Q78" s="195"/>
    </row>
    <row r="79" spans="1:17" s="12" customFormat="1" x14ac:dyDescent="0.25">
      <c r="A79" s="54"/>
      <c r="B79" s="119" t="s">
        <v>108</v>
      </c>
      <c r="C79" s="108"/>
      <c r="D79" s="103"/>
      <c r="E79" s="68"/>
      <c r="F79" s="200">
        <f>SUM(F69:F78)</f>
        <v>4121663.2950033923</v>
      </c>
      <c r="G79" s="103"/>
      <c r="H79" s="103"/>
      <c r="I79" s="200">
        <f>SUM(I69:I78)</f>
        <v>4467056.9272769196</v>
      </c>
      <c r="J79" s="72"/>
      <c r="K79" s="200">
        <f>SUM(K69:K78)</f>
        <v>345393.63227352715</v>
      </c>
      <c r="L79" s="109">
        <f>ROUND(K79/F79,5)</f>
        <v>8.3799999999999999E-2</v>
      </c>
      <c r="M79" s="198"/>
      <c r="N79" s="142"/>
      <c r="O79" s="54"/>
      <c r="Q79" s="195"/>
    </row>
    <row r="80" spans="1:17" s="12" customFormat="1" x14ac:dyDescent="0.25">
      <c r="A80" s="54"/>
      <c r="B80" s="101"/>
      <c r="C80" s="108"/>
      <c r="D80" s="103"/>
      <c r="E80" s="68"/>
      <c r="F80" s="72"/>
      <c r="G80" s="103"/>
      <c r="H80" s="103"/>
      <c r="I80" s="72"/>
      <c r="J80" s="72"/>
      <c r="K80" s="99"/>
      <c r="L80" s="104"/>
      <c r="M80" s="198"/>
      <c r="N80" s="142"/>
      <c r="O80" s="204"/>
      <c r="P80" s="51"/>
      <c r="Q80" s="52"/>
    </row>
    <row r="81" spans="1:17" s="12" customFormat="1" x14ac:dyDescent="0.25">
      <c r="A81" s="54"/>
      <c r="B81" s="130" t="s">
        <v>126</v>
      </c>
      <c r="C81" s="51" t="s">
        <v>103</v>
      </c>
      <c r="D81" s="103">
        <f>D77</f>
        <v>20492334.449073859</v>
      </c>
      <c r="E81" s="5">
        <v>6.9999999999999999E-4</v>
      </c>
      <c r="F81" s="99">
        <f>E81*D81</f>
        <v>14344.6341143517</v>
      </c>
      <c r="G81" s="54"/>
      <c r="H81" s="5">
        <v>1E-3</v>
      </c>
      <c r="I81" s="99">
        <f>H81*D81</f>
        <v>20492.33444907386</v>
      </c>
      <c r="J81" s="99"/>
      <c r="K81" s="99">
        <f>I81-F81</f>
        <v>6147.7003347221598</v>
      </c>
      <c r="L81" s="104"/>
      <c r="M81" s="198"/>
      <c r="N81" s="142"/>
      <c r="O81" s="99"/>
      <c r="P81" s="51"/>
      <c r="Q81" s="103"/>
    </row>
    <row r="82" spans="1:17" s="12" customFormat="1" x14ac:dyDescent="0.25">
      <c r="A82" s="54"/>
      <c r="B82" s="130" t="s">
        <v>106</v>
      </c>
      <c r="C82" s="51"/>
      <c r="D82" s="103"/>
      <c r="E82" s="5"/>
      <c r="F82" s="200">
        <f>F79+F81</f>
        <v>4136007.9291177439</v>
      </c>
      <c r="G82" s="54"/>
      <c r="H82" s="6"/>
      <c r="I82" s="200">
        <f>I79+SUM(I81:I81)</f>
        <v>4487549.2617259938</v>
      </c>
      <c r="J82" s="99"/>
      <c r="K82" s="200">
        <f>K79+SUM(K81:K81)</f>
        <v>351541.33260824933</v>
      </c>
      <c r="L82" s="109">
        <f>ROUND(K82/F82,5)</f>
        <v>8.5000000000000006E-2</v>
      </c>
      <c r="M82" s="198"/>
      <c r="N82" s="142"/>
      <c r="O82" s="127"/>
      <c r="P82" s="51"/>
      <c r="Q82" s="103"/>
    </row>
    <row r="83" spans="1:17" s="12" customFormat="1" x14ac:dyDescent="0.25">
      <c r="A83" s="54"/>
      <c r="B83" s="121"/>
      <c r="C83" s="122"/>
      <c r="D83" s="122"/>
      <c r="E83" s="122"/>
      <c r="F83" s="123"/>
      <c r="G83" s="122"/>
      <c r="H83" s="122"/>
      <c r="I83" s="191"/>
      <c r="J83" s="191"/>
      <c r="K83" s="123"/>
      <c r="L83" s="125"/>
      <c r="M83" s="198"/>
      <c r="N83" s="142"/>
      <c r="O83" s="204"/>
      <c r="P83" s="51"/>
      <c r="Q83" s="103"/>
    </row>
    <row r="84" spans="1:17" s="12" customFormat="1" x14ac:dyDescent="0.25">
      <c r="A84" s="54"/>
      <c r="B84" s="54"/>
      <c r="C84" s="54"/>
      <c r="D84" s="54"/>
      <c r="E84" s="54"/>
      <c r="F84" s="127"/>
      <c r="G84" s="54"/>
      <c r="H84" s="54"/>
      <c r="I84" s="135"/>
      <c r="J84" s="135"/>
      <c r="K84" s="127"/>
      <c r="L84" s="42"/>
      <c r="M84" s="198"/>
      <c r="N84" s="142"/>
      <c r="O84" s="204"/>
      <c r="P84" s="51"/>
      <c r="Q84" s="103"/>
    </row>
    <row r="85" spans="1:17" s="12" customFormat="1" ht="13" x14ac:dyDescent="0.3">
      <c r="A85" s="54"/>
      <c r="B85" s="128" t="s">
        <v>142</v>
      </c>
      <c r="C85" s="174"/>
      <c r="D85" s="92"/>
      <c r="E85" s="93"/>
      <c r="F85" s="95"/>
      <c r="G85" s="92"/>
      <c r="H85" s="92"/>
      <c r="I85" s="95"/>
      <c r="J85" s="95"/>
      <c r="K85" s="95"/>
      <c r="L85" s="109"/>
      <c r="M85" s="198"/>
      <c r="N85" s="142"/>
      <c r="O85" s="204"/>
      <c r="P85" s="51"/>
      <c r="Q85" s="103"/>
    </row>
    <row r="86" spans="1:17" s="12" customFormat="1" x14ac:dyDescent="0.25">
      <c r="A86" s="54"/>
      <c r="B86" s="97"/>
      <c r="C86" s="51"/>
      <c r="D86" s="54"/>
      <c r="E86" s="54"/>
      <c r="F86" s="99"/>
      <c r="G86" s="131"/>
      <c r="H86" s="54"/>
      <c r="I86" s="99"/>
      <c r="J86" s="99"/>
      <c r="K86" s="99"/>
      <c r="L86" s="104"/>
      <c r="M86" s="198"/>
      <c r="N86" s="142"/>
      <c r="O86" s="204"/>
      <c r="P86" s="51"/>
      <c r="Q86" s="103"/>
    </row>
    <row r="87" spans="1:17" s="12" customFormat="1" x14ac:dyDescent="0.25">
      <c r="A87" s="54"/>
      <c r="B87" s="101" t="s">
        <v>100</v>
      </c>
      <c r="C87" s="102" t="s">
        <v>101</v>
      </c>
      <c r="D87" s="103">
        <f>D69+D47</f>
        <v>17211.452562039489</v>
      </c>
      <c r="E87" s="6"/>
      <c r="F87" s="99">
        <f>F69+F47</f>
        <v>2206847.59</v>
      </c>
      <c r="G87" s="103"/>
      <c r="H87" s="6"/>
      <c r="I87" s="99">
        <f>I69+I47</f>
        <v>2333360.4299999997</v>
      </c>
      <c r="J87" s="99"/>
      <c r="K87" s="99">
        <f>K69+K47</f>
        <v>126512.83999999997</v>
      </c>
      <c r="L87" s="104"/>
      <c r="M87" s="198"/>
      <c r="N87" s="142"/>
      <c r="O87" s="204"/>
      <c r="P87" s="51"/>
      <c r="Q87" s="103"/>
    </row>
    <row r="88" spans="1:17" s="12" customFormat="1" x14ac:dyDescent="0.25">
      <c r="A88" s="54"/>
      <c r="B88" s="130" t="s">
        <v>130</v>
      </c>
      <c r="C88" s="102" t="s">
        <v>101</v>
      </c>
      <c r="D88" s="103">
        <f>D87</f>
        <v>17211.452562039489</v>
      </c>
      <c r="E88" s="6"/>
      <c r="F88" s="99">
        <f>F70+F48</f>
        <v>1994463.122889136</v>
      </c>
      <c r="G88" s="103"/>
      <c r="H88" s="6"/>
      <c r="I88" s="99">
        <f>I70+I48</f>
        <v>2204270.73</v>
      </c>
      <c r="J88" s="72"/>
      <c r="K88" s="99">
        <f>K70+K48</f>
        <v>209807.60711086384</v>
      </c>
      <c r="L88" s="148"/>
      <c r="M88" s="198"/>
      <c r="N88" s="142"/>
      <c r="O88" s="204"/>
      <c r="P88" s="51"/>
      <c r="Q88" s="103"/>
    </row>
    <row r="89" spans="1:17" s="12" customFormat="1" x14ac:dyDescent="0.25">
      <c r="A89" s="54"/>
      <c r="B89" s="97" t="s">
        <v>131</v>
      </c>
      <c r="C89" s="51" t="s">
        <v>132</v>
      </c>
      <c r="D89" s="103">
        <f>D71+D49</f>
        <v>5627398.375</v>
      </c>
      <c r="E89" s="6"/>
      <c r="F89" s="99">
        <f>F71+F49</f>
        <v>6584056.0999999996</v>
      </c>
      <c r="G89" s="103"/>
      <c r="H89" s="6"/>
      <c r="I89" s="99">
        <f>I71+I49</f>
        <v>7034247.9699999997</v>
      </c>
      <c r="J89" s="72"/>
      <c r="K89" s="99">
        <f>K71+K49</f>
        <v>450191.87000000011</v>
      </c>
      <c r="L89" s="148"/>
      <c r="M89" s="198"/>
      <c r="N89" s="142"/>
      <c r="O89" s="204"/>
      <c r="P89" s="51"/>
      <c r="Q89" s="103"/>
    </row>
    <row r="90" spans="1:17" s="12" customFormat="1" x14ac:dyDescent="0.25">
      <c r="A90" s="54"/>
      <c r="B90" s="97"/>
      <c r="C90" s="51"/>
      <c r="D90" s="103"/>
      <c r="E90" s="6"/>
      <c r="F90" s="72"/>
      <c r="G90" s="103"/>
      <c r="H90" s="6"/>
      <c r="I90" s="72"/>
      <c r="J90" s="72"/>
      <c r="K90" s="137"/>
      <c r="L90" s="148"/>
      <c r="M90" s="198"/>
      <c r="N90" s="142"/>
      <c r="O90" s="204"/>
      <c r="P90" s="51"/>
      <c r="Q90" s="103"/>
    </row>
    <row r="91" spans="1:17" s="12" customFormat="1" x14ac:dyDescent="0.25">
      <c r="A91" s="54"/>
      <c r="B91" s="97" t="s">
        <v>133</v>
      </c>
      <c r="C91" s="51"/>
      <c r="D91" s="103"/>
      <c r="E91" s="6"/>
      <c r="F91" s="99"/>
      <c r="G91" s="103"/>
      <c r="H91" s="6"/>
      <c r="I91" s="72"/>
      <c r="J91" s="72"/>
      <c r="K91" s="137"/>
      <c r="L91" s="148"/>
      <c r="M91" s="198"/>
      <c r="N91" s="142"/>
      <c r="O91" s="204"/>
      <c r="P91" s="51"/>
      <c r="Q91" s="103"/>
    </row>
    <row r="92" spans="1:17" s="12" customFormat="1" x14ac:dyDescent="0.25">
      <c r="A92" s="54"/>
      <c r="B92" s="130" t="s">
        <v>134</v>
      </c>
      <c r="C92" s="51" t="s">
        <v>103</v>
      </c>
      <c r="D92" s="103">
        <f>D74+D52</f>
        <v>14517630.798999999</v>
      </c>
      <c r="E92" s="5"/>
      <c r="F92" s="99" t="s">
        <v>135</v>
      </c>
      <c r="G92" s="103"/>
      <c r="H92" s="5"/>
      <c r="I92" s="99" t="s">
        <v>135</v>
      </c>
      <c r="J92" s="99"/>
      <c r="K92" s="99"/>
      <c r="L92" s="104"/>
      <c r="M92" s="198"/>
      <c r="N92" s="142"/>
      <c r="O92" s="204"/>
      <c r="P92" s="51"/>
      <c r="Q92" s="103"/>
    </row>
    <row r="93" spans="1:17" s="12" customFormat="1" x14ac:dyDescent="0.25">
      <c r="A93" s="54"/>
      <c r="B93" s="130" t="s">
        <v>136</v>
      </c>
      <c r="C93" s="51" t="s">
        <v>103</v>
      </c>
      <c r="D93" s="103">
        <f>D75+D53</f>
        <v>33846142.677000009</v>
      </c>
      <c r="E93" s="5"/>
      <c r="F93" s="99">
        <f>F75+F53</f>
        <v>4358029.3358183997</v>
      </c>
      <c r="G93" s="103"/>
      <c r="H93" s="5"/>
      <c r="I93" s="99">
        <f>I75+I53</f>
        <v>4816306.1000820007</v>
      </c>
      <c r="J93" s="99"/>
      <c r="K93" s="99">
        <f>K75+K53</f>
        <v>458276.76426360046</v>
      </c>
      <c r="L93" s="104"/>
      <c r="M93" s="198"/>
      <c r="N93" s="142"/>
      <c r="O93" s="204"/>
      <c r="P93" s="51"/>
      <c r="Q93" s="103"/>
    </row>
    <row r="94" spans="1:17" s="12" customFormat="1" x14ac:dyDescent="0.25">
      <c r="A94" s="54"/>
      <c r="B94" s="130" t="s">
        <v>137</v>
      </c>
      <c r="C94" s="51" t="s">
        <v>103</v>
      </c>
      <c r="D94" s="124">
        <f>D76+D54</f>
        <v>37965218.436539344</v>
      </c>
      <c r="E94" s="5"/>
      <c r="F94" s="99">
        <f>F76+F54</f>
        <v>3934715.2353700143</v>
      </c>
      <c r="G94" s="103"/>
      <c r="H94" s="5"/>
      <c r="I94" s="99">
        <f>I76+I54</f>
        <v>4348536.1171949198</v>
      </c>
      <c r="J94" s="99"/>
      <c r="K94" s="99">
        <f>K76+K54</f>
        <v>413820.88182490529</v>
      </c>
      <c r="L94" s="104"/>
      <c r="M94" s="198"/>
      <c r="N94" s="142"/>
      <c r="O94" s="204"/>
      <c r="P94" s="51"/>
      <c r="Q94" s="103"/>
    </row>
    <row r="95" spans="1:17" s="12" customFormat="1" x14ac:dyDescent="0.25">
      <c r="A95" s="54"/>
      <c r="B95" s="119" t="s">
        <v>138</v>
      </c>
      <c r="C95" s="108"/>
      <c r="D95" s="175">
        <f>SUM(D92:D94)</f>
        <v>86328991.912539363</v>
      </c>
      <c r="E95" s="68"/>
      <c r="F95" s="72"/>
      <c r="G95" s="103"/>
      <c r="H95" s="103"/>
      <c r="I95" s="54"/>
      <c r="J95" s="54"/>
      <c r="K95" s="54"/>
      <c r="L95" s="136"/>
      <c r="M95" s="198"/>
      <c r="N95" s="142"/>
      <c r="O95" s="204"/>
      <c r="P95" s="51"/>
      <c r="Q95" s="103"/>
    </row>
    <row r="96" spans="1:17" s="12" customFormat="1" x14ac:dyDescent="0.25">
      <c r="A96" s="54"/>
      <c r="B96" s="101" t="s">
        <v>124</v>
      </c>
      <c r="C96" s="51" t="s">
        <v>103</v>
      </c>
      <c r="D96" s="103">
        <f>D78+D56</f>
        <v>86328991.912539363</v>
      </c>
      <c r="E96" s="199"/>
      <c r="F96" s="72">
        <f>F56+F78</f>
        <v>400945.24395250488</v>
      </c>
      <c r="G96" s="103"/>
      <c r="H96" s="103"/>
      <c r="I96" s="72">
        <f>I78+I56</f>
        <v>756463.19425521861</v>
      </c>
      <c r="J96" s="72"/>
      <c r="K96" s="72">
        <f>K78</f>
        <v>0</v>
      </c>
      <c r="L96" s="104"/>
      <c r="M96" s="198"/>
      <c r="N96" s="142"/>
      <c r="O96" s="204"/>
      <c r="P96" s="51"/>
      <c r="Q96" s="103"/>
    </row>
    <row r="97" spans="1:17" s="12" customFormat="1" x14ac:dyDescent="0.25">
      <c r="A97" s="54"/>
      <c r="B97" s="119" t="s">
        <v>108</v>
      </c>
      <c r="C97" s="108"/>
      <c r="D97" s="103"/>
      <c r="E97" s="68"/>
      <c r="F97" s="200">
        <f>SUM(F87:F96)</f>
        <v>19479056.628030054</v>
      </c>
      <c r="G97" s="103"/>
      <c r="H97" s="103"/>
      <c r="I97" s="200">
        <f>SUM(I87:I89,I93:I96)</f>
        <v>21493184.541532136</v>
      </c>
      <c r="J97" s="72"/>
      <c r="K97" s="200">
        <f>SUM(K87:K96)</f>
        <v>1658609.9631993698</v>
      </c>
      <c r="L97" s="109">
        <f>ROUND(K97/F97,5)</f>
        <v>8.5150000000000003E-2</v>
      </c>
      <c r="M97" s="198"/>
      <c r="N97" s="142"/>
      <c r="O97" s="204"/>
      <c r="P97" s="51"/>
      <c r="Q97" s="103"/>
    </row>
    <row r="98" spans="1:17" s="12" customFormat="1" x14ac:dyDescent="0.25">
      <c r="A98" s="54"/>
      <c r="B98" s="119"/>
      <c r="C98" s="108"/>
      <c r="D98" s="103"/>
      <c r="E98" s="68"/>
      <c r="F98" s="72"/>
      <c r="G98" s="103"/>
      <c r="H98" s="103"/>
      <c r="I98" s="72"/>
      <c r="J98" s="72"/>
      <c r="K98" s="99"/>
      <c r="L98" s="104"/>
      <c r="M98" s="198"/>
      <c r="N98" s="142"/>
      <c r="O98" s="204"/>
      <c r="P98" s="51"/>
      <c r="Q98" s="103"/>
    </row>
    <row r="99" spans="1:17" s="12" customFormat="1" x14ac:dyDescent="0.25">
      <c r="A99" s="54"/>
      <c r="B99" s="97" t="s">
        <v>105</v>
      </c>
      <c r="C99" s="108"/>
      <c r="D99" s="103"/>
      <c r="E99" s="68"/>
      <c r="F99" s="72"/>
      <c r="G99" s="103"/>
      <c r="H99" s="103"/>
      <c r="I99" s="72"/>
      <c r="J99" s="72"/>
      <c r="K99" s="99"/>
      <c r="L99" s="104"/>
      <c r="M99" s="198"/>
      <c r="N99" s="142"/>
      <c r="O99" s="204"/>
      <c r="P99" s="51"/>
      <c r="Q99" s="103"/>
    </row>
    <row r="100" spans="1:17" s="12" customFormat="1" x14ac:dyDescent="0.25">
      <c r="A100" s="54"/>
      <c r="B100" s="130" t="s">
        <v>139</v>
      </c>
      <c r="C100" s="108"/>
      <c r="D100" s="103"/>
      <c r="E100" s="68"/>
      <c r="F100" s="72">
        <f>F60</f>
        <v>14951504.909953015</v>
      </c>
      <c r="G100" s="103"/>
      <c r="H100" s="103"/>
      <c r="I100" s="72">
        <f>I60</f>
        <v>14951504.909953015</v>
      </c>
      <c r="J100" s="72"/>
      <c r="K100" s="72">
        <f>K60</f>
        <v>0</v>
      </c>
      <c r="L100" s="104"/>
      <c r="M100" s="198"/>
      <c r="N100" s="142"/>
      <c r="O100" s="204"/>
      <c r="P100" s="51"/>
      <c r="Q100" s="103"/>
    </row>
    <row r="101" spans="1:17" s="12" customFormat="1" x14ac:dyDescent="0.25">
      <c r="A101" s="54"/>
      <c r="B101" s="130" t="s">
        <v>131</v>
      </c>
      <c r="C101" s="108"/>
      <c r="D101" s="103"/>
      <c r="E101" s="68"/>
      <c r="F101" s="72">
        <f>F61</f>
        <v>4689738.5576999998</v>
      </c>
      <c r="G101" s="103"/>
      <c r="H101" s="103"/>
      <c r="I101" s="72">
        <f>I61</f>
        <v>4689738.5576999998</v>
      </c>
      <c r="J101" s="72"/>
      <c r="K101" s="72">
        <f>K61</f>
        <v>0</v>
      </c>
      <c r="L101" s="104"/>
      <c r="M101" s="198"/>
      <c r="N101" s="142"/>
      <c r="O101" s="204"/>
      <c r="P101" s="51"/>
      <c r="Q101" s="103"/>
    </row>
    <row r="102" spans="1:17" s="12" customFormat="1" x14ac:dyDescent="0.25">
      <c r="A102" s="54"/>
      <c r="B102" s="130" t="s">
        <v>126</v>
      </c>
      <c r="C102" s="108"/>
      <c r="D102" s="103"/>
      <c r="E102" s="68"/>
      <c r="F102" s="72">
        <f>F81</f>
        <v>14344.6341143517</v>
      </c>
      <c r="G102" s="103"/>
      <c r="H102" s="103"/>
      <c r="I102" s="72">
        <f>I81</f>
        <v>20492.33444907386</v>
      </c>
      <c r="J102" s="72"/>
      <c r="K102" s="72">
        <f>K81</f>
        <v>6147.7003347221598</v>
      </c>
      <c r="L102" s="104"/>
      <c r="M102" s="198"/>
      <c r="N102" s="142"/>
      <c r="O102" s="204"/>
      <c r="P102" s="51"/>
      <c r="Q102" s="103"/>
    </row>
    <row r="103" spans="1:17" s="12" customFormat="1" x14ac:dyDescent="0.25">
      <c r="A103" s="54"/>
      <c r="B103" s="119" t="s">
        <v>140</v>
      </c>
      <c r="C103" s="108"/>
      <c r="D103" s="103"/>
      <c r="E103" s="68"/>
      <c r="F103" s="200">
        <f>SUM(F100:F102)</f>
        <v>19655588.101767365</v>
      </c>
      <c r="G103" s="103"/>
      <c r="H103" s="103"/>
      <c r="I103" s="200">
        <f>SUM(I100:I102)</f>
        <v>19661735.802102089</v>
      </c>
      <c r="J103" s="72"/>
      <c r="K103" s="200">
        <f>SUM(K100:K102)</f>
        <v>6147.7003347221598</v>
      </c>
      <c r="L103" s="109">
        <f>ROUND(K103/F103,5)</f>
        <v>3.1E-4</v>
      </c>
      <c r="M103" s="198"/>
      <c r="N103" s="142"/>
      <c r="O103" s="204"/>
      <c r="P103" s="51"/>
      <c r="Q103" s="103"/>
    </row>
    <row r="104" spans="1:17" s="12" customFormat="1" x14ac:dyDescent="0.25">
      <c r="A104" s="54"/>
      <c r="B104" s="97"/>
      <c r="C104" s="108"/>
      <c r="D104" s="54"/>
      <c r="E104" s="51"/>
      <c r="F104" s="99"/>
      <c r="G104" s="103"/>
      <c r="H104" s="103"/>
      <c r="I104" s="72"/>
      <c r="J104" s="72"/>
      <c r="K104" s="99"/>
      <c r="L104" s="104"/>
      <c r="M104" s="198"/>
      <c r="N104" s="142"/>
      <c r="O104" s="99"/>
      <c r="P104" s="51"/>
      <c r="Q104" s="103"/>
    </row>
    <row r="105" spans="1:17" s="12" customFormat="1" x14ac:dyDescent="0.25">
      <c r="A105" s="54"/>
      <c r="B105" s="97" t="s">
        <v>106</v>
      </c>
      <c r="C105" s="51"/>
      <c r="D105" s="103"/>
      <c r="E105" s="5"/>
      <c r="F105" s="200">
        <f>F97+F103</f>
        <v>39134644.729797423</v>
      </c>
      <c r="G105" s="54"/>
      <c r="H105" s="6"/>
      <c r="I105" s="200">
        <f>I97+I103</f>
        <v>41154920.343634225</v>
      </c>
      <c r="J105" s="99"/>
      <c r="K105" s="200">
        <f>K97+K103</f>
        <v>1664757.663534092</v>
      </c>
      <c r="L105" s="109">
        <f>ROUND(K105/F105,5)</f>
        <v>4.2540000000000001E-2</v>
      </c>
      <c r="M105" s="198"/>
      <c r="N105" s="142"/>
      <c r="O105" s="51"/>
      <c r="P105" s="51"/>
      <c r="Q105" s="103"/>
    </row>
    <row r="106" spans="1:17" s="12" customFormat="1" x14ac:dyDescent="0.25">
      <c r="A106" s="54"/>
      <c r="B106" s="121"/>
      <c r="C106" s="122"/>
      <c r="D106" s="122"/>
      <c r="E106" s="122"/>
      <c r="F106" s="123"/>
      <c r="G106" s="122"/>
      <c r="H106" s="122"/>
      <c r="I106" s="191"/>
      <c r="J106" s="191"/>
      <c r="K106" s="123"/>
      <c r="L106" s="125"/>
      <c r="M106" s="198"/>
      <c r="N106" s="142"/>
      <c r="O106" s="51"/>
      <c r="P106" s="51"/>
      <c r="Q106" s="103"/>
    </row>
    <row r="107" spans="1:17" s="54" customFormat="1" x14ac:dyDescent="0.25">
      <c r="F107" s="127"/>
      <c r="I107" s="135"/>
      <c r="J107" s="135"/>
      <c r="K107" s="127"/>
      <c r="L107" s="42"/>
      <c r="M107" s="198"/>
      <c r="N107" s="142"/>
      <c r="O107" s="17"/>
      <c r="P107" s="17"/>
      <c r="Q107" s="17"/>
    </row>
    <row r="108" spans="1:17" x14ac:dyDescent="0.25">
      <c r="B108" s="51"/>
      <c r="F108" s="157"/>
      <c r="I108" s="157"/>
      <c r="J108" s="157"/>
      <c r="K108" s="157"/>
      <c r="M108" s="176"/>
      <c r="N108" s="52"/>
      <c r="O108" s="17"/>
      <c r="P108" s="17"/>
      <c r="Q108" s="17"/>
    </row>
    <row r="109" spans="1:17" ht="13" x14ac:dyDescent="0.3">
      <c r="B109" s="67" t="s">
        <v>143</v>
      </c>
      <c r="F109" s="157"/>
      <c r="I109" s="157"/>
      <c r="J109" s="157"/>
      <c r="K109" s="157"/>
      <c r="M109" s="176"/>
      <c r="N109" s="52"/>
      <c r="O109" s="205"/>
      <c r="P109" s="18"/>
      <c r="Q109" s="206"/>
    </row>
    <row r="110" spans="1:17" x14ac:dyDescent="0.25">
      <c r="D110" s="156" t="s">
        <v>103</v>
      </c>
      <c r="F110" s="207" t="s">
        <v>89</v>
      </c>
      <c r="I110" s="207" t="s">
        <v>8</v>
      </c>
      <c r="J110" s="157"/>
      <c r="K110" s="207" t="s">
        <v>116</v>
      </c>
      <c r="M110" s="176"/>
      <c r="N110" s="52"/>
    </row>
    <row r="111" spans="1:17" ht="13" x14ac:dyDescent="0.3">
      <c r="B111" s="67" t="s">
        <v>144</v>
      </c>
      <c r="C111" s="196"/>
      <c r="D111" s="26"/>
      <c r="E111" s="196"/>
      <c r="F111" s="196"/>
      <c r="G111" s="208"/>
      <c r="H111" s="208"/>
      <c r="I111" s="196"/>
      <c r="J111" s="196"/>
      <c r="K111" s="196"/>
      <c r="M111" s="209"/>
    </row>
    <row r="112" spans="1:17" x14ac:dyDescent="0.25">
      <c r="B112" s="11" t="s">
        <v>145</v>
      </c>
      <c r="C112" s="196"/>
      <c r="D112" s="26"/>
      <c r="E112" s="196"/>
      <c r="F112" s="196">
        <f>F17+F29</f>
        <v>74627518.039885283</v>
      </c>
      <c r="G112" s="208"/>
      <c r="H112" s="208"/>
      <c r="I112" s="196">
        <f>I17+I29</f>
        <v>74627528.947874367</v>
      </c>
      <c r="J112" s="196"/>
      <c r="K112" s="210">
        <f>I112-F112</f>
        <v>10.907989084720612</v>
      </c>
      <c r="M112" s="209"/>
    </row>
    <row r="113" spans="2:17" s="47" customFormat="1" x14ac:dyDescent="0.25">
      <c r="B113" s="11" t="s">
        <v>146</v>
      </c>
      <c r="C113" s="196"/>
      <c r="D113" s="26"/>
      <c r="E113" s="196"/>
      <c r="F113" s="196">
        <f>F62+F81</f>
        <v>19655588.101767365</v>
      </c>
      <c r="G113" s="208"/>
      <c r="H113" s="208"/>
      <c r="I113" s="196">
        <f>I62+I81</f>
        <v>19661735.802102089</v>
      </c>
      <c r="J113" s="196"/>
      <c r="K113" s="210">
        <f>I113-F113</f>
        <v>6147.7003347240388</v>
      </c>
      <c r="L113" s="30"/>
      <c r="M113" s="211"/>
      <c r="O113" s="11"/>
      <c r="P113" s="11"/>
      <c r="Q113" s="73"/>
    </row>
    <row r="114" spans="2:17" s="47" customFormat="1" x14ac:dyDescent="0.25">
      <c r="B114" s="11" t="s">
        <v>14</v>
      </c>
      <c r="C114" s="196"/>
      <c r="D114" s="26"/>
      <c r="E114" s="196"/>
      <c r="F114" s="212">
        <f>SUM(F112:F113)</f>
        <v>94283106.141652644</v>
      </c>
      <c r="G114" s="208"/>
      <c r="H114" s="208"/>
      <c r="I114" s="212">
        <f>SUM(I112:I113)</f>
        <v>94289264.749976456</v>
      </c>
      <c r="J114" s="196"/>
      <c r="K114" s="212">
        <f>SUM(K112:K113)</f>
        <v>6158.6083238087595</v>
      </c>
      <c r="L114" s="30"/>
      <c r="M114" s="211"/>
      <c r="O114" s="11"/>
      <c r="P114" s="11"/>
      <c r="Q114" s="73"/>
    </row>
    <row r="115" spans="2:17" s="47" customFormat="1" x14ac:dyDescent="0.25">
      <c r="B115" s="11"/>
      <c r="C115" s="196"/>
      <c r="D115" s="26"/>
      <c r="E115" s="196"/>
      <c r="F115" s="196"/>
      <c r="G115" s="208"/>
      <c r="H115" s="208"/>
      <c r="I115" s="196"/>
      <c r="J115" s="196"/>
      <c r="K115" s="210"/>
      <c r="L115" s="30"/>
      <c r="M115" s="211"/>
      <c r="O115" s="11"/>
      <c r="P115" s="11"/>
      <c r="Q115" s="73"/>
    </row>
    <row r="116" spans="2:17" s="47" customFormat="1" ht="13" x14ac:dyDescent="0.3">
      <c r="B116" s="67" t="s">
        <v>147</v>
      </c>
      <c r="C116" s="196"/>
      <c r="D116" s="26"/>
      <c r="E116" s="196"/>
      <c r="F116" s="196"/>
      <c r="G116" s="208"/>
      <c r="H116" s="208"/>
      <c r="I116" s="196"/>
      <c r="J116" s="196"/>
      <c r="K116" s="210"/>
      <c r="L116" s="30"/>
      <c r="M116" s="211"/>
      <c r="O116" s="11"/>
      <c r="P116" s="11"/>
      <c r="Q116" s="73"/>
    </row>
    <row r="117" spans="2:17" s="47" customFormat="1" x14ac:dyDescent="0.25">
      <c r="B117" s="11" t="s">
        <v>148</v>
      </c>
      <c r="C117" s="196"/>
      <c r="D117" s="26"/>
      <c r="E117" s="196"/>
      <c r="F117" s="196">
        <f>F15+F27</f>
        <v>93373535.169999987</v>
      </c>
      <c r="G117" s="196"/>
      <c r="H117" s="208"/>
      <c r="I117" s="196">
        <f>I15+I27</f>
        <v>122340894.72000001</v>
      </c>
      <c r="J117" s="196"/>
      <c r="K117" s="210">
        <f>I117-F117</f>
        <v>28967359.550000027</v>
      </c>
      <c r="L117" s="30">
        <f>K117/F117</f>
        <v>0.31023093960468318</v>
      </c>
      <c r="M117" s="211"/>
      <c r="O117" s="11"/>
      <c r="P117" s="11"/>
      <c r="Q117" s="73"/>
    </row>
    <row r="118" spans="2:17" s="47" customFormat="1" x14ac:dyDescent="0.25">
      <c r="B118" s="11" t="s">
        <v>146</v>
      </c>
      <c r="C118" s="196"/>
      <c r="D118" s="26"/>
      <c r="E118" s="196"/>
      <c r="F118" s="196">
        <f>F57+F79</f>
        <v>19479056.628030054</v>
      </c>
      <c r="G118" s="196"/>
      <c r="H118" s="208"/>
      <c r="I118" s="196">
        <f>I57+I79</f>
        <v>21493184.54153214</v>
      </c>
      <c r="J118" s="196"/>
      <c r="K118" s="210">
        <f>I118-F118</f>
        <v>2014127.913502086</v>
      </c>
      <c r="L118" s="30">
        <f>K118/F118</f>
        <v>0.10339966416052139</v>
      </c>
      <c r="M118" s="211"/>
      <c r="O118" s="11"/>
      <c r="P118" s="11"/>
      <c r="Q118" s="73"/>
    </row>
    <row r="119" spans="2:17" s="47" customFormat="1" x14ac:dyDescent="0.25">
      <c r="B119" s="11" t="s">
        <v>14</v>
      </c>
      <c r="C119" s="196"/>
      <c r="D119" s="26"/>
      <c r="E119" s="196"/>
      <c r="F119" s="212">
        <f>SUM(F117:F118)</f>
        <v>112852591.79803005</v>
      </c>
      <c r="G119" s="196"/>
      <c r="H119" s="208"/>
      <c r="I119" s="212">
        <f>SUM(I117:I118)</f>
        <v>143834079.26153216</v>
      </c>
      <c r="J119" s="196"/>
      <c r="K119" s="212">
        <f>SUM(K117:K118)</f>
        <v>30981487.463502113</v>
      </c>
      <c r="L119" s="30">
        <f>K119/F119</f>
        <v>0.27453057984657581</v>
      </c>
      <c r="M119" s="211"/>
      <c r="O119" s="11"/>
      <c r="P119" s="11"/>
      <c r="Q119" s="73"/>
    </row>
    <row r="120" spans="2:17" s="47" customFormat="1" x14ac:dyDescent="0.25">
      <c r="B120" s="11"/>
      <c r="C120" s="196"/>
      <c r="D120" s="26"/>
      <c r="E120" s="196"/>
      <c r="F120" s="196"/>
      <c r="G120" s="196"/>
      <c r="H120" s="208"/>
      <c r="I120" s="196"/>
      <c r="J120" s="196"/>
      <c r="K120" s="210"/>
      <c r="L120" s="30"/>
      <c r="M120" s="211"/>
      <c r="O120" s="11"/>
      <c r="P120" s="11"/>
      <c r="Q120" s="73"/>
    </row>
    <row r="121" spans="2:17" s="47" customFormat="1" ht="13" x14ac:dyDescent="0.3">
      <c r="B121" s="67" t="s">
        <v>149</v>
      </c>
      <c r="C121" s="196"/>
      <c r="D121" s="26"/>
      <c r="E121" s="196"/>
      <c r="F121" s="196"/>
      <c r="G121" s="196"/>
      <c r="H121" s="208"/>
      <c r="I121" s="196"/>
      <c r="J121" s="196"/>
      <c r="K121" s="210"/>
      <c r="L121" s="30"/>
      <c r="M121" s="211"/>
      <c r="O121" s="11"/>
      <c r="P121" s="11"/>
      <c r="Q121" s="73"/>
    </row>
    <row r="122" spans="2:17" s="47" customFormat="1" x14ac:dyDescent="0.25">
      <c r="B122" s="11" t="s">
        <v>148</v>
      </c>
      <c r="C122" s="196"/>
      <c r="D122" s="26">
        <f>D36</f>
        <v>234176518.05324447</v>
      </c>
      <c r="E122" s="196"/>
      <c r="F122" s="196">
        <f>F112+F117</f>
        <v>168001053.20988527</v>
      </c>
      <c r="G122" s="208"/>
      <c r="H122" s="208"/>
      <c r="I122" s="196">
        <f>I112+I117</f>
        <v>196968423.6678744</v>
      </c>
      <c r="J122" s="196"/>
      <c r="K122" s="210">
        <f>I122-F122</f>
        <v>28967370.457989126</v>
      </c>
      <c r="L122" s="30">
        <f>K122/F122</f>
        <v>0.17242374321189477</v>
      </c>
      <c r="M122" s="211"/>
      <c r="O122" s="11"/>
      <c r="P122" s="11"/>
      <c r="Q122" s="73"/>
    </row>
    <row r="123" spans="2:17" s="47" customFormat="1" x14ac:dyDescent="0.25">
      <c r="B123" s="11" t="s">
        <v>146</v>
      </c>
      <c r="C123" s="196"/>
      <c r="D123" s="26">
        <f>D95</f>
        <v>86328991.912539363</v>
      </c>
      <c r="E123" s="196"/>
      <c r="F123" s="196">
        <f>F113+F118</f>
        <v>39134644.729797423</v>
      </c>
      <c r="G123" s="208"/>
      <c r="H123" s="208"/>
      <c r="I123" s="196">
        <f>I113+I118</f>
        <v>41154920.343634233</v>
      </c>
      <c r="J123" s="196"/>
      <c r="K123" s="210">
        <f>I123-F123</f>
        <v>2020275.61383681</v>
      </c>
      <c r="L123" s="30">
        <f>K123/F123</f>
        <v>5.1623711618839774E-2</v>
      </c>
      <c r="M123" s="211"/>
      <c r="O123" s="11"/>
      <c r="P123" s="11"/>
      <c r="Q123" s="73"/>
    </row>
    <row r="124" spans="2:17" s="47" customFormat="1" x14ac:dyDescent="0.25">
      <c r="B124" s="11" t="s">
        <v>14</v>
      </c>
      <c r="C124" s="196"/>
      <c r="D124" s="94">
        <f>SUM(D122:D123)</f>
        <v>320505509.96578383</v>
      </c>
      <c r="E124" s="196"/>
      <c r="F124" s="212">
        <f>SUM(F122:F123)</f>
        <v>207135697.93968269</v>
      </c>
      <c r="G124" s="208"/>
      <c r="H124" s="208"/>
      <c r="I124" s="212">
        <f>SUM(I122:I123)</f>
        <v>238123344.01150864</v>
      </c>
      <c r="J124" s="196"/>
      <c r="K124" s="212">
        <f>SUM(K122:K123)</f>
        <v>30987646.071825936</v>
      </c>
      <c r="L124" s="30">
        <f>K124/F124</f>
        <v>0.14960070321074956</v>
      </c>
      <c r="M124" s="211"/>
      <c r="O124" s="11"/>
      <c r="P124" s="11"/>
      <c r="Q124" s="73"/>
    </row>
    <row r="125" spans="2:17" s="47" customFormat="1" x14ac:dyDescent="0.25">
      <c r="B125" s="11"/>
      <c r="C125" s="196"/>
      <c r="D125" s="68"/>
      <c r="E125" s="196"/>
      <c r="F125" s="210"/>
      <c r="G125" s="208"/>
      <c r="H125" s="208"/>
      <c r="I125" s="210"/>
      <c r="J125" s="196"/>
      <c r="K125" s="210"/>
      <c r="L125" s="30"/>
      <c r="M125" s="211"/>
      <c r="O125" s="11"/>
      <c r="P125" s="11"/>
      <c r="Q125" s="73"/>
    </row>
    <row r="126" spans="2:17" s="47" customFormat="1" x14ac:dyDescent="0.25">
      <c r="B126" s="11" t="s">
        <v>120</v>
      </c>
      <c r="C126" s="11"/>
      <c r="D126" s="11"/>
      <c r="E126" s="11"/>
      <c r="F126" s="11"/>
      <c r="G126" s="208"/>
      <c r="H126" s="208"/>
      <c r="I126" s="210"/>
      <c r="J126" s="196"/>
      <c r="K126" s="210"/>
      <c r="L126" s="30"/>
      <c r="M126" s="211"/>
      <c r="O126" s="11"/>
      <c r="P126" s="11"/>
      <c r="Q126" s="73"/>
    </row>
    <row r="127" spans="2:17" s="47" customFormat="1" x14ac:dyDescent="0.25">
      <c r="B127" s="11"/>
      <c r="C127" s="196"/>
      <c r="D127" s="26"/>
      <c r="E127" s="196"/>
      <c r="F127" s="196"/>
      <c r="G127" s="208"/>
      <c r="H127" s="208"/>
      <c r="I127" s="196"/>
      <c r="J127" s="196"/>
      <c r="K127" s="196"/>
      <c r="L127" s="30"/>
      <c r="M127" s="211"/>
      <c r="O127" s="11"/>
      <c r="P127" s="11"/>
      <c r="Q127" s="73"/>
    </row>
    <row r="128" spans="2:17" s="47" customFormat="1" x14ac:dyDescent="0.25">
      <c r="C128" s="196"/>
      <c r="D128" s="196"/>
      <c r="E128" s="196"/>
      <c r="F128" s="196"/>
      <c r="G128" s="208"/>
      <c r="H128" s="208"/>
      <c r="I128" s="196"/>
      <c r="J128" s="196"/>
      <c r="K128" s="196"/>
      <c r="L128" s="30"/>
      <c r="M128" s="211"/>
      <c r="O128" s="11"/>
      <c r="P128" s="11"/>
      <c r="Q128" s="73"/>
    </row>
    <row r="129" spans="3:17" s="47" customFormat="1" x14ac:dyDescent="0.25">
      <c r="C129" s="11"/>
      <c r="D129" s="11"/>
      <c r="E129" s="11"/>
      <c r="F129" s="11"/>
      <c r="G129" s="208"/>
      <c r="H129" s="208"/>
      <c r="I129" s="196"/>
      <c r="J129" s="196"/>
      <c r="K129" s="196"/>
      <c r="L129" s="30"/>
      <c r="M129" s="211"/>
      <c r="O129" s="11"/>
      <c r="P129" s="11"/>
      <c r="Q129" s="73"/>
    </row>
    <row r="130" spans="3:17" s="47" customFormat="1" x14ac:dyDescent="0.25">
      <c r="C130" s="196"/>
      <c r="D130" s="196"/>
      <c r="E130" s="196"/>
      <c r="F130" s="196"/>
      <c r="G130" s="208"/>
      <c r="H130" s="208"/>
      <c r="I130" s="196"/>
      <c r="J130" s="196"/>
      <c r="K130" s="196"/>
      <c r="L130" s="30"/>
      <c r="M130" s="211"/>
      <c r="O130" s="11"/>
      <c r="P130" s="11"/>
      <c r="Q130" s="73"/>
    </row>
    <row r="131" spans="3:17" s="47" customFormat="1" x14ac:dyDescent="0.25">
      <c r="C131" s="196"/>
      <c r="D131" s="196"/>
      <c r="E131" s="196"/>
      <c r="F131" s="196"/>
      <c r="G131" s="208"/>
      <c r="H131" s="208"/>
      <c r="I131" s="196"/>
      <c r="J131" s="196"/>
      <c r="K131" s="196"/>
      <c r="L131" s="30"/>
      <c r="M131" s="211"/>
      <c r="O131" s="11"/>
      <c r="P131" s="11"/>
      <c r="Q131" s="73"/>
    </row>
    <row r="132" spans="3:17" s="47" customFormat="1" x14ac:dyDescent="0.25">
      <c r="C132" s="196"/>
      <c r="D132" s="196"/>
      <c r="E132" s="196"/>
      <c r="F132" s="196"/>
      <c r="G132" s="208"/>
      <c r="H132" s="208"/>
      <c r="I132" s="196"/>
      <c r="J132" s="196"/>
      <c r="K132" s="196"/>
      <c r="L132" s="30"/>
      <c r="M132" s="211"/>
      <c r="O132" s="11"/>
      <c r="P132" s="11"/>
      <c r="Q132" s="73"/>
    </row>
    <row r="133" spans="3:17" s="47" customFormat="1" x14ac:dyDescent="0.25">
      <c r="C133" s="196"/>
      <c r="D133" s="196"/>
      <c r="E133" s="196"/>
      <c r="F133" s="196"/>
      <c r="G133" s="208"/>
      <c r="H133" s="208"/>
      <c r="I133" s="196"/>
      <c r="J133" s="196"/>
      <c r="K133" s="196"/>
      <c r="L133" s="30"/>
      <c r="M133" s="211"/>
      <c r="O133" s="11"/>
      <c r="P133" s="11"/>
      <c r="Q133" s="73"/>
    </row>
    <row r="134" spans="3:17" s="47" customFormat="1" x14ac:dyDescent="0.25">
      <c r="C134" s="196"/>
      <c r="D134" s="196"/>
      <c r="E134" s="196"/>
      <c r="F134" s="196"/>
      <c r="G134" s="208"/>
      <c r="H134" s="208"/>
      <c r="I134" s="196"/>
      <c r="J134" s="196"/>
      <c r="K134" s="196"/>
      <c r="L134" s="30"/>
      <c r="M134" s="211"/>
      <c r="O134" s="11"/>
      <c r="P134" s="11"/>
      <c r="Q134" s="73"/>
    </row>
    <row r="135" spans="3:17" s="47" customFormat="1" x14ac:dyDescent="0.25">
      <c r="C135" s="196"/>
      <c r="D135" s="196"/>
      <c r="E135" s="196"/>
      <c r="F135" s="196"/>
      <c r="G135" s="208"/>
      <c r="H135" s="208"/>
      <c r="I135" s="196"/>
      <c r="J135" s="196"/>
      <c r="K135" s="196"/>
      <c r="L135" s="30"/>
      <c r="M135" s="211"/>
      <c r="O135" s="11"/>
      <c r="P135" s="11"/>
      <c r="Q135" s="73"/>
    </row>
    <row r="136" spans="3:17" s="47" customFormat="1" x14ac:dyDescent="0.25">
      <c r="C136" s="196"/>
      <c r="D136" s="196"/>
      <c r="E136" s="196"/>
      <c r="F136" s="196"/>
      <c r="G136" s="208"/>
      <c r="H136" s="208"/>
      <c r="I136" s="196"/>
      <c r="J136" s="196"/>
      <c r="K136" s="196"/>
      <c r="L136" s="30"/>
      <c r="M136" s="211"/>
      <c r="O136" s="11"/>
      <c r="P136" s="11"/>
      <c r="Q136" s="73"/>
    </row>
    <row r="137" spans="3:17" s="47" customFormat="1" x14ac:dyDescent="0.25">
      <c r="C137" s="196"/>
      <c r="D137" s="196"/>
      <c r="E137" s="196"/>
      <c r="F137" s="196"/>
      <c r="G137" s="208"/>
      <c r="H137" s="208"/>
      <c r="I137" s="196"/>
      <c r="J137" s="196"/>
      <c r="K137" s="196"/>
      <c r="L137" s="30"/>
      <c r="M137" s="211"/>
      <c r="O137" s="11"/>
      <c r="P137" s="11"/>
      <c r="Q137" s="73"/>
    </row>
    <row r="138" spans="3:17" s="47" customFormat="1" x14ac:dyDescent="0.25">
      <c r="C138" s="196"/>
      <c r="D138" s="196"/>
      <c r="E138" s="196"/>
      <c r="F138" s="196"/>
      <c r="G138" s="208"/>
      <c r="H138" s="208"/>
      <c r="I138" s="196"/>
      <c r="J138" s="196"/>
      <c r="K138" s="196"/>
      <c r="L138" s="30"/>
      <c r="M138" s="211"/>
      <c r="O138" s="11"/>
      <c r="P138" s="11"/>
      <c r="Q138" s="73"/>
    </row>
    <row r="139" spans="3:17" s="47" customFormat="1" x14ac:dyDescent="0.25">
      <c r="C139" s="196"/>
      <c r="D139" s="196"/>
      <c r="E139" s="196"/>
      <c r="F139" s="196"/>
      <c r="G139" s="208"/>
      <c r="H139" s="208"/>
      <c r="I139" s="196"/>
      <c r="J139" s="196"/>
      <c r="K139" s="196"/>
      <c r="L139" s="30"/>
      <c r="M139" s="211"/>
      <c r="O139" s="11"/>
      <c r="P139" s="11"/>
      <c r="Q139" s="73"/>
    </row>
    <row r="140" spans="3:17" s="47" customFormat="1" x14ac:dyDescent="0.25">
      <c r="C140" s="196"/>
      <c r="D140" s="196"/>
      <c r="E140" s="196"/>
      <c r="F140" s="196"/>
      <c r="G140" s="208"/>
      <c r="H140" s="208"/>
      <c r="I140" s="196"/>
      <c r="J140" s="196"/>
      <c r="K140" s="196"/>
      <c r="L140" s="30"/>
      <c r="M140" s="211"/>
      <c r="O140" s="11"/>
      <c r="P140" s="11"/>
      <c r="Q140" s="73"/>
    </row>
    <row r="141" spans="3:17" s="47" customFormat="1" x14ac:dyDescent="0.25">
      <c r="C141" s="196"/>
      <c r="D141" s="196"/>
      <c r="E141" s="196"/>
      <c r="F141" s="196"/>
      <c r="G141" s="208"/>
      <c r="H141" s="208"/>
      <c r="I141" s="196"/>
      <c r="J141" s="196"/>
      <c r="K141" s="196"/>
      <c r="L141" s="30"/>
      <c r="M141" s="211"/>
      <c r="O141" s="11"/>
      <c r="P141" s="11"/>
      <c r="Q141" s="73"/>
    </row>
    <row r="142" spans="3:17" s="47" customFormat="1" x14ac:dyDescent="0.25">
      <c r="C142" s="196"/>
      <c r="D142" s="196"/>
      <c r="E142" s="196"/>
      <c r="F142" s="196"/>
      <c r="G142" s="208"/>
      <c r="H142" s="208"/>
      <c r="I142" s="196"/>
      <c r="J142" s="196"/>
      <c r="K142" s="196"/>
      <c r="L142" s="30"/>
      <c r="M142" s="211"/>
      <c r="O142" s="11"/>
      <c r="P142" s="11"/>
      <c r="Q142" s="73"/>
    </row>
    <row r="143" spans="3:17" s="47" customFormat="1" x14ac:dyDescent="0.25">
      <c r="C143" s="196"/>
      <c r="D143" s="196"/>
      <c r="E143" s="196"/>
      <c r="F143" s="196"/>
      <c r="G143" s="208"/>
      <c r="H143" s="208"/>
      <c r="I143" s="196"/>
      <c r="J143" s="196"/>
      <c r="K143" s="196"/>
      <c r="L143" s="30"/>
      <c r="M143" s="211"/>
      <c r="O143" s="11"/>
      <c r="P143" s="11"/>
      <c r="Q143" s="73"/>
    </row>
    <row r="144" spans="3:17" s="47" customFormat="1" x14ac:dyDescent="0.25">
      <c r="C144" s="196"/>
      <c r="D144" s="196"/>
      <c r="E144" s="196"/>
      <c r="F144" s="196"/>
      <c r="G144" s="208"/>
      <c r="H144" s="208"/>
      <c r="I144" s="196"/>
      <c r="J144" s="196"/>
      <c r="K144" s="196"/>
      <c r="L144" s="30"/>
      <c r="M144" s="211"/>
      <c r="O144" s="11"/>
      <c r="P144" s="11"/>
      <c r="Q144" s="73"/>
    </row>
    <row r="145" spans="3:17" s="47" customFormat="1" x14ac:dyDescent="0.25">
      <c r="C145" s="196"/>
      <c r="D145" s="196"/>
      <c r="E145" s="196"/>
      <c r="F145" s="196"/>
      <c r="G145" s="208"/>
      <c r="H145" s="208"/>
      <c r="I145" s="196"/>
      <c r="J145" s="196"/>
      <c r="K145" s="196"/>
      <c r="L145" s="30"/>
      <c r="M145" s="211"/>
      <c r="O145" s="11"/>
      <c r="P145" s="11"/>
      <c r="Q145" s="73"/>
    </row>
    <row r="146" spans="3:17" s="47" customFormat="1" x14ac:dyDescent="0.25">
      <c r="C146" s="196"/>
      <c r="D146" s="196"/>
      <c r="E146" s="196"/>
      <c r="F146" s="196"/>
      <c r="G146" s="208"/>
      <c r="H146" s="208"/>
      <c r="I146" s="196"/>
      <c r="J146" s="196"/>
      <c r="K146" s="196"/>
      <c r="L146" s="30"/>
      <c r="M146" s="211"/>
      <c r="O146" s="11"/>
      <c r="P146" s="11"/>
      <c r="Q146" s="73"/>
    </row>
    <row r="147" spans="3:17" s="47" customFormat="1" x14ac:dyDescent="0.25">
      <c r="C147" s="11"/>
      <c r="D147" s="11"/>
      <c r="E147" s="11"/>
      <c r="F147" s="69"/>
      <c r="G147" s="158"/>
      <c r="H147" s="12"/>
      <c r="I147" s="69"/>
      <c r="J147" s="69"/>
      <c r="K147" s="69"/>
      <c r="L147" s="30"/>
      <c r="M147" s="211"/>
      <c r="O147" s="11"/>
      <c r="P147" s="11"/>
      <c r="Q147" s="73"/>
    </row>
    <row r="148" spans="3:17" s="47" customFormat="1" x14ac:dyDescent="0.25">
      <c r="C148" s="11"/>
      <c r="D148" s="11"/>
      <c r="E148" s="11"/>
      <c r="F148" s="69"/>
      <c r="G148" s="158"/>
      <c r="H148" s="12"/>
      <c r="I148" s="69"/>
      <c r="J148" s="69"/>
      <c r="K148" s="69"/>
      <c r="L148" s="30"/>
      <c r="M148" s="211"/>
      <c r="O148" s="11"/>
      <c r="P148" s="11"/>
      <c r="Q148" s="73"/>
    </row>
  </sheetData>
  <mergeCells count="1">
    <mergeCell ref="K7:L7"/>
  </mergeCells>
  <printOptions horizontalCentered="1"/>
  <pageMargins left="0.5" right="0.5" top="1" bottom="1" header="0.75" footer="0.5"/>
  <pageSetup scale="73" fitToHeight="8" orientation="landscape" blackAndWhite="1" r:id="rId1"/>
  <headerFooter alignWithMargins="0">
    <oddFooter>&amp;RExhibit JDT-14
                   Page &amp;P of &amp;N</oddFooter>
  </headerFooter>
  <rowBreaks count="2" manualBreakCount="2">
    <brk id="44" min="1" max="16" man="1"/>
    <brk id="84" min="1" max="1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topLeftCell="A181" zoomScaleNormal="100" workbookViewId="0">
      <selection activeCell="H224" sqref="H224"/>
    </sheetView>
  </sheetViews>
  <sheetFormatPr defaultColWidth="9.1796875" defaultRowHeight="12.5" x14ac:dyDescent="0.25"/>
  <cols>
    <col min="1" max="1" width="2.453125" style="11" customWidth="1"/>
    <col min="2" max="2" width="31.7265625" style="11" customWidth="1"/>
    <col min="3" max="3" width="9.7265625" style="11" customWidth="1"/>
    <col min="4" max="4" width="12.7265625" style="158" bestFit="1" customWidth="1"/>
    <col min="5" max="5" width="10.453125" style="120" customWidth="1"/>
    <col min="6" max="6" width="13.26953125" style="69" customWidth="1"/>
    <col min="7" max="7" width="3" style="103" customWidth="1"/>
    <col min="8" max="8" width="10.453125" style="264" customWidth="1"/>
    <col min="9" max="9" width="13.26953125" style="69" customWidth="1"/>
    <col min="10" max="10" width="2.81640625" style="69" customWidth="1"/>
    <col min="11" max="11" width="13.1796875" style="69" customWidth="1"/>
    <col min="12" max="12" width="10.453125" style="261" customWidth="1"/>
    <col min="13" max="13" width="2.81640625" style="167" customWidth="1"/>
    <col min="14" max="14" width="2.1796875" style="216" customWidth="1"/>
    <col min="15" max="15" width="14.54296875" style="11" bestFit="1" customWidth="1"/>
    <col min="16" max="16" width="2.81640625" style="11" customWidth="1"/>
    <col min="17" max="17" width="8.81640625" style="11" customWidth="1"/>
    <col min="18" max="16384" width="9.1796875" style="11"/>
  </cols>
  <sheetData>
    <row r="1" spans="1:17" x14ac:dyDescent="0.25">
      <c r="B1" s="10"/>
      <c r="C1" s="10"/>
      <c r="D1" s="160"/>
      <c r="E1" s="213"/>
      <c r="F1" s="60"/>
      <c r="G1" s="214"/>
      <c r="H1" s="215"/>
      <c r="I1" s="60"/>
      <c r="J1" s="60"/>
      <c r="K1" s="60"/>
      <c r="L1" s="162"/>
      <c r="M1" s="162"/>
      <c r="N1" s="163"/>
      <c r="O1" s="10"/>
      <c r="P1" s="10"/>
      <c r="Q1" s="10"/>
    </row>
    <row r="2" spans="1:17" ht="13" x14ac:dyDescent="0.3">
      <c r="B2" s="4" t="s">
        <v>0</v>
      </c>
      <c r="C2" s="4"/>
      <c r="D2" s="215"/>
      <c r="E2" s="60"/>
      <c r="F2" s="60"/>
      <c r="G2" s="215"/>
      <c r="H2" s="215"/>
      <c r="I2" s="60"/>
      <c r="J2" s="60"/>
      <c r="K2" s="60"/>
      <c r="L2" s="60"/>
      <c r="M2" s="162"/>
      <c r="N2" s="163"/>
      <c r="O2" s="10"/>
      <c r="P2" s="10"/>
      <c r="Q2" s="10"/>
    </row>
    <row r="3" spans="1:17" ht="13" x14ac:dyDescent="0.3">
      <c r="B3" s="4" t="str">
        <f>'Exh. JDT-14 Pg. 1 (BR-11)'!$B$2</f>
        <v>2019 Gas General Rate Case Filing</v>
      </c>
      <c r="C3" s="4"/>
      <c r="D3" s="215"/>
      <c r="E3" s="60"/>
      <c r="F3" s="60"/>
      <c r="G3" s="215"/>
      <c r="H3" s="215"/>
      <c r="I3" s="60"/>
      <c r="J3" s="60"/>
      <c r="K3" s="60"/>
      <c r="L3" s="60"/>
      <c r="M3" s="162"/>
      <c r="N3" s="163"/>
      <c r="O3" s="10"/>
      <c r="P3" s="10"/>
      <c r="Q3" s="10"/>
    </row>
    <row r="4" spans="1:17" ht="13" x14ac:dyDescent="0.3">
      <c r="B4" s="4" t="s">
        <v>150</v>
      </c>
      <c r="C4" s="4"/>
      <c r="D4" s="215"/>
      <c r="E4" s="60"/>
      <c r="F4" s="60"/>
      <c r="G4" s="215"/>
      <c r="H4" s="215"/>
      <c r="I4" s="60"/>
      <c r="J4" s="60"/>
      <c r="K4" s="60"/>
      <c r="L4" s="60"/>
      <c r="M4" s="162"/>
      <c r="N4" s="163"/>
      <c r="O4" s="10"/>
      <c r="P4" s="10"/>
      <c r="Q4" s="10"/>
    </row>
    <row r="5" spans="1:17" ht="13" x14ac:dyDescent="0.3">
      <c r="B5" s="4" t="str">
        <f>'Exh. JDT-14 Pg. 1 (BR-11)'!B4</f>
        <v>Test Year Ended December 31, 2018</v>
      </c>
      <c r="C5" s="4"/>
      <c r="D5" s="160"/>
      <c r="E5" s="213"/>
      <c r="F5" s="60"/>
      <c r="G5" s="214"/>
      <c r="H5" s="215"/>
      <c r="I5" s="60"/>
      <c r="J5" s="60"/>
      <c r="K5" s="60"/>
      <c r="L5" s="162"/>
      <c r="M5" s="162"/>
      <c r="N5" s="163"/>
      <c r="O5" s="66"/>
      <c r="P5" s="10"/>
      <c r="Q5" s="10"/>
    </row>
    <row r="6" spans="1:17" s="51" customFormat="1" x14ac:dyDescent="0.25">
      <c r="B6" s="20"/>
      <c r="C6" s="66"/>
      <c r="D6" s="103"/>
      <c r="E6" s="184"/>
      <c r="F6" s="70"/>
      <c r="G6" s="103"/>
      <c r="H6" s="6"/>
      <c r="I6" s="70"/>
      <c r="J6" s="70"/>
      <c r="K6" s="70"/>
      <c r="L6" s="216"/>
      <c r="M6" s="171"/>
      <c r="N6" s="171"/>
    </row>
    <row r="7" spans="1:17" x14ac:dyDescent="0.25">
      <c r="B7" s="74"/>
      <c r="C7" s="75"/>
      <c r="D7" s="217" t="s">
        <v>88</v>
      </c>
      <c r="E7" s="80" t="s">
        <v>89</v>
      </c>
      <c r="F7" s="78"/>
      <c r="G7" s="217"/>
      <c r="H7" s="218" t="s">
        <v>8</v>
      </c>
      <c r="I7" s="78"/>
      <c r="J7" s="81"/>
      <c r="K7" s="168" t="s">
        <v>90</v>
      </c>
      <c r="L7" s="169"/>
      <c r="M7" s="171"/>
      <c r="N7" s="163"/>
      <c r="O7" s="17" t="s">
        <v>29</v>
      </c>
      <c r="Q7" s="84" t="s">
        <v>91</v>
      </c>
    </row>
    <row r="8" spans="1:17" x14ac:dyDescent="0.25">
      <c r="B8" s="85" t="s">
        <v>92</v>
      </c>
      <c r="C8" s="219" t="s">
        <v>93</v>
      </c>
      <c r="D8" s="156" t="s">
        <v>94</v>
      </c>
      <c r="E8" s="220" t="s">
        <v>31</v>
      </c>
      <c r="F8" s="86" t="s">
        <v>95</v>
      </c>
      <c r="G8" s="156"/>
      <c r="H8" s="190" t="s">
        <v>31</v>
      </c>
      <c r="I8" s="86" t="s">
        <v>95</v>
      </c>
      <c r="J8" s="86"/>
      <c r="K8" s="86" t="s">
        <v>96</v>
      </c>
      <c r="L8" s="87" t="s">
        <v>97</v>
      </c>
      <c r="M8" s="171"/>
      <c r="N8" s="88"/>
      <c r="O8" s="22" t="s">
        <v>36</v>
      </c>
      <c r="Q8" s="89" t="s">
        <v>4</v>
      </c>
    </row>
    <row r="9" spans="1:17" x14ac:dyDescent="0.25">
      <c r="A9" s="51"/>
      <c r="B9" s="119"/>
      <c r="C9" s="108"/>
      <c r="D9" s="103"/>
      <c r="E9" s="184"/>
      <c r="F9" s="70"/>
      <c r="G9" s="131"/>
      <c r="H9" s="6"/>
      <c r="I9" s="177"/>
      <c r="J9" s="177"/>
      <c r="K9" s="70"/>
      <c r="L9" s="221"/>
      <c r="M9" s="171"/>
      <c r="O9" s="51"/>
    </row>
    <row r="10" spans="1:17" ht="13" x14ac:dyDescent="0.3">
      <c r="B10" s="90" t="s">
        <v>151</v>
      </c>
      <c r="C10" s="174"/>
      <c r="D10" s="175"/>
      <c r="E10" s="222"/>
      <c r="F10" s="95"/>
      <c r="G10" s="223"/>
      <c r="H10" s="224"/>
      <c r="I10" s="225"/>
      <c r="J10" s="225"/>
      <c r="K10" s="95"/>
      <c r="L10" s="96"/>
      <c r="M10" s="171"/>
      <c r="N10" s="171"/>
    </row>
    <row r="11" spans="1:17" x14ac:dyDescent="0.25">
      <c r="B11" s="97"/>
      <c r="C11" s="51"/>
      <c r="D11" s="103"/>
      <c r="E11" s="184"/>
      <c r="F11" s="99"/>
      <c r="G11" s="131"/>
      <c r="H11" s="6"/>
      <c r="I11" s="72"/>
      <c r="J11" s="177"/>
      <c r="K11" s="99"/>
      <c r="L11" s="100"/>
      <c r="M11" s="171"/>
      <c r="N11" s="171"/>
      <c r="O11" s="7" t="s">
        <v>152</v>
      </c>
    </row>
    <row r="12" spans="1:17" x14ac:dyDescent="0.25">
      <c r="B12" s="119" t="s">
        <v>100</v>
      </c>
      <c r="C12" s="108" t="s">
        <v>101</v>
      </c>
      <c r="D12" s="103">
        <v>329.5178182456545</v>
      </c>
      <c r="E12" s="6">
        <v>548.57000000000005</v>
      </c>
      <c r="F12" s="99">
        <f>ROUND(D12*E12,2)</f>
        <v>180763.59</v>
      </c>
      <c r="H12" s="6">
        <v>595.08000000000004</v>
      </c>
      <c r="I12" s="72">
        <f>ROUND(D12*H12,2)</f>
        <v>196089.46</v>
      </c>
      <c r="J12" s="177"/>
      <c r="K12" s="99">
        <f>I12-F12</f>
        <v>15325.869999999995</v>
      </c>
      <c r="L12" s="100"/>
      <c r="M12" s="171"/>
      <c r="N12" s="171"/>
      <c r="O12" s="105">
        <f>'Exh. JDT-14 Pg. 1 (BR-11)'!N16</f>
        <v>880210.08548334264</v>
      </c>
      <c r="Q12" s="52">
        <f>H12/E12-1</f>
        <v>8.4784074958528466E-2</v>
      </c>
    </row>
    <row r="13" spans="1:17" x14ac:dyDescent="0.25">
      <c r="B13" s="97" t="s">
        <v>131</v>
      </c>
      <c r="C13" s="51" t="s">
        <v>132</v>
      </c>
      <c r="D13" s="103">
        <v>86412.906999999992</v>
      </c>
      <c r="E13" s="6">
        <v>1.21</v>
      </c>
      <c r="F13" s="99">
        <f>ROUND(D13*E13,2)</f>
        <v>104559.62</v>
      </c>
      <c r="H13" s="6">
        <v>1.3</v>
      </c>
      <c r="I13" s="72">
        <f>ROUND(D13*H13,2)</f>
        <v>112336.78</v>
      </c>
      <c r="J13" s="177"/>
      <c r="K13" s="99">
        <f>I13-F13</f>
        <v>7777.1600000000035</v>
      </c>
      <c r="L13" s="100"/>
      <c r="M13" s="171"/>
      <c r="N13" s="171"/>
      <c r="O13" s="106" t="s">
        <v>104</v>
      </c>
      <c r="Q13" s="52">
        <f>H13/E13-1</f>
        <v>7.4380165289256173E-2</v>
      </c>
    </row>
    <row r="14" spans="1:17" x14ac:dyDescent="0.25">
      <c r="B14" s="97" t="s">
        <v>124</v>
      </c>
      <c r="C14" s="51" t="s">
        <v>103</v>
      </c>
      <c r="D14" s="103">
        <f>D21</f>
        <v>16184434.068649083</v>
      </c>
      <c r="E14" s="5">
        <v>7.4700000000000001E-3</v>
      </c>
      <c r="F14" s="99">
        <f>E14*D14</f>
        <v>120897.72249280865</v>
      </c>
      <c r="H14" s="5">
        <v>7.1900000000000002E-3</v>
      </c>
      <c r="I14" s="72">
        <f>ROUND(D14*H14,2)</f>
        <v>116366.08</v>
      </c>
      <c r="J14" s="70"/>
      <c r="K14" s="99">
        <f>I14-F14</f>
        <v>-4531.642492808649</v>
      </c>
      <c r="L14" s="100"/>
      <c r="M14" s="171"/>
      <c r="N14" s="171"/>
      <c r="O14" s="110">
        <f>K21+K42-O12</f>
        <v>-53.427976150996983</v>
      </c>
      <c r="Q14" s="52">
        <f>H14/E14-1</f>
        <v>-3.7483266398929072E-2</v>
      </c>
    </row>
    <row r="15" spans="1:17" x14ac:dyDescent="0.25">
      <c r="B15" s="97" t="s">
        <v>153</v>
      </c>
      <c r="C15" s="51"/>
      <c r="D15" s="103"/>
      <c r="E15" s="5"/>
      <c r="F15" s="133">
        <v>0</v>
      </c>
      <c r="H15" s="5"/>
      <c r="I15" s="99">
        <f>F15</f>
        <v>0</v>
      </c>
      <c r="J15" s="70"/>
      <c r="K15" s="99">
        <f>I15-F15</f>
        <v>0</v>
      </c>
      <c r="L15" s="100"/>
      <c r="M15" s="171"/>
      <c r="N15" s="171"/>
      <c r="O15" s="180"/>
    </row>
    <row r="16" spans="1:17" x14ac:dyDescent="0.25">
      <c r="B16" s="97"/>
      <c r="C16" s="51"/>
      <c r="D16" s="103"/>
      <c r="E16" s="5"/>
      <c r="F16" s="99"/>
      <c r="H16" s="5"/>
      <c r="I16" s="72"/>
      <c r="J16" s="177"/>
      <c r="K16" s="99"/>
      <c r="L16" s="100"/>
      <c r="M16" s="171"/>
      <c r="N16" s="171"/>
      <c r="O16" s="116">
        <v>0.124043</v>
      </c>
    </row>
    <row r="17" spans="2:17" x14ac:dyDescent="0.25">
      <c r="B17" s="97" t="s">
        <v>133</v>
      </c>
      <c r="C17" s="51"/>
      <c r="D17" s="103"/>
      <c r="E17" s="5"/>
      <c r="F17" s="99"/>
      <c r="H17" s="5"/>
      <c r="I17" s="72"/>
      <c r="J17" s="177"/>
      <c r="K17" s="99"/>
      <c r="L17" s="100"/>
      <c r="M17" s="171"/>
      <c r="N17" s="171"/>
      <c r="O17" s="226"/>
    </row>
    <row r="18" spans="2:17" x14ac:dyDescent="0.25">
      <c r="B18" s="97" t="s">
        <v>154</v>
      </c>
      <c r="C18" s="51" t="s">
        <v>103</v>
      </c>
      <c r="D18" s="103">
        <v>7617621.6729999995</v>
      </c>
      <c r="E18" s="5">
        <v>9.9360000000000004E-2</v>
      </c>
      <c r="F18" s="99">
        <f>ROUND(D18*E18,2)</f>
        <v>756886.89</v>
      </c>
      <c r="H18" s="5">
        <f>ROUND(E18*(1+$O$16),5)</f>
        <v>0.11168</v>
      </c>
      <c r="I18" s="72">
        <f>ROUND(D18*H18,2)</f>
        <v>850735.99</v>
      </c>
      <c r="J18" s="177"/>
      <c r="K18" s="99">
        <f>I18-F18</f>
        <v>93849.099999999977</v>
      </c>
      <c r="L18" s="100"/>
      <c r="M18" s="171"/>
      <c r="N18" s="171"/>
      <c r="P18" s="187"/>
      <c r="Q18" s="52">
        <f>H18/E18-1</f>
        <v>0.12399355877616736</v>
      </c>
    </row>
    <row r="19" spans="2:17" x14ac:dyDescent="0.25">
      <c r="B19" s="97" t="s">
        <v>155</v>
      </c>
      <c r="C19" s="51" t="s">
        <v>103</v>
      </c>
      <c r="D19" s="103">
        <v>4021281.8230000003</v>
      </c>
      <c r="E19" s="5">
        <v>4.9169999999999998E-2</v>
      </c>
      <c r="F19" s="99">
        <f>ROUND(D19*E19,2)</f>
        <v>197726.43</v>
      </c>
      <c r="H19" s="5">
        <f>ROUND(E19*(1+$O$16),5)</f>
        <v>5.527E-2</v>
      </c>
      <c r="I19" s="72">
        <f>ROUND(D19*H19,2)</f>
        <v>222256.25</v>
      </c>
      <c r="J19" s="177"/>
      <c r="K19" s="99">
        <f>I19-F19</f>
        <v>24529.820000000007</v>
      </c>
      <c r="L19" s="100"/>
      <c r="M19" s="171"/>
      <c r="N19" s="171"/>
      <c r="O19" s="5"/>
      <c r="P19" s="5"/>
      <c r="Q19" s="52">
        <f>H19/E19-1</f>
        <v>0.12405938580435238</v>
      </c>
    </row>
    <row r="20" spans="2:17" x14ac:dyDescent="0.25">
      <c r="B20" s="97" t="s">
        <v>156</v>
      </c>
      <c r="C20" s="51" t="s">
        <v>103</v>
      </c>
      <c r="D20" s="103">
        <v>4545530.572649084</v>
      </c>
      <c r="E20" s="5">
        <v>4.7039999999999998E-2</v>
      </c>
      <c r="F20" s="99">
        <f>ROUND(D20*E20,2)</f>
        <v>213821.76</v>
      </c>
      <c r="H20" s="5">
        <f>ROUND(E20*(1+$O$16),5)</f>
        <v>5.287E-2</v>
      </c>
      <c r="I20" s="72">
        <f>ROUND(D20*H20,2)</f>
        <v>240322.2</v>
      </c>
      <c r="J20" s="177"/>
      <c r="K20" s="99">
        <f>I20-F20</f>
        <v>26500.440000000002</v>
      </c>
      <c r="L20" s="104"/>
      <c r="M20" s="171"/>
      <c r="N20" s="171"/>
      <c r="O20" s="5"/>
      <c r="P20" s="5"/>
      <c r="Q20" s="52">
        <f>H20/E20-1</f>
        <v>0.12393707482993199</v>
      </c>
    </row>
    <row r="21" spans="2:17" x14ac:dyDescent="0.25">
      <c r="B21" s="119" t="s">
        <v>108</v>
      </c>
      <c r="C21" s="108"/>
      <c r="D21" s="175">
        <f>SUM(D18:D20)</f>
        <v>16184434.068649083</v>
      </c>
      <c r="E21" s="70"/>
      <c r="F21" s="200">
        <f>SUM(F12:F20)</f>
        <v>1574656.0124928085</v>
      </c>
      <c r="H21" s="6"/>
      <c r="I21" s="200">
        <f>SUM(I12:I20)</f>
        <v>1738106.76</v>
      </c>
      <c r="J21" s="177"/>
      <c r="K21" s="200">
        <f>SUM(K12:K20)</f>
        <v>163450.74750719132</v>
      </c>
      <c r="L21" s="227">
        <f>K21/F21</f>
        <v>0.10380092300186597</v>
      </c>
      <c r="M21" s="171"/>
      <c r="N21" s="171"/>
      <c r="O21" s="143"/>
      <c r="P21" s="21"/>
      <c r="Q21" s="201"/>
    </row>
    <row r="22" spans="2:17" ht="12.75" customHeight="1" x14ac:dyDescent="0.25">
      <c r="B22" s="119"/>
      <c r="C22" s="108"/>
      <c r="D22" s="103"/>
      <c r="E22" s="70"/>
      <c r="F22" s="72"/>
      <c r="H22" s="6"/>
      <c r="I22" s="72"/>
      <c r="J22" s="177"/>
      <c r="K22" s="99"/>
      <c r="L22" s="100"/>
      <c r="M22" s="171"/>
      <c r="N22" s="171"/>
      <c r="O22" s="228"/>
      <c r="P22" s="18"/>
      <c r="Q22" s="206"/>
    </row>
    <row r="23" spans="2:17" ht="12.75" customHeight="1" x14ac:dyDescent="0.25">
      <c r="B23" s="97" t="s">
        <v>105</v>
      </c>
      <c r="C23" s="108"/>
      <c r="D23" s="103"/>
      <c r="E23" s="70"/>
      <c r="F23" s="72"/>
      <c r="H23" s="6"/>
      <c r="I23" s="72"/>
      <c r="J23" s="177"/>
      <c r="K23" s="99"/>
      <c r="L23" s="100"/>
      <c r="M23" s="171"/>
      <c r="N23" s="171"/>
      <c r="O23" s="228"/>
      <c r="P23" s="18"/>
      <c r="Q23" s="206"/>
    </row>
    <row r="24" spans="2:17" x14ac:dyDescent="0.25">
      <c r="B24" s="97" t="s">
        <v>139</v>
      </c>
      <c r="C24" s="51" t="s">
        <v>103</v>
      </c>
      <c r="D24" s="229">
        <f>D21</f>
        <v>16184434.068649083</v>
      </c>
      <c r="E24" s="5">
        <v>0.2702</v>
      </c>
      <c r="F24" s="72">
        <f>D24*E24</f>
        <v>4373034.0853489824</v>
      </c>
      <c r="G24" s="230"/>
      <c r="H24" s="5">
        <f>E24</f>
        <v>0.2702</v>
      </c>
      <c r="I24" s="72">
        <f>$D24*H24</f>
        <v>4373034.0853489824</v>
      </c>
      <c r="J24" s="177"/>
      <c r="K24" s="99">
        <f>I24-F24</f>
        <v>0</v>
      </c>
      <c r="L24" s="100"/>
      <c r="M24" s="171"/>
      <c r="N24" s="198"/>
    </row>
    <row r="25" spans="2:17" x14ac:dyDescent="0.25">
      <c r="B25" s="97" t="s">
        <v>131</v>
      </c>
      <c r="C25" s="51" t="s">
        <v>132</v>
      </c>
      <c r="D25" s="229">
        <f>D13</f>
        <v>86412.906999999992</v>
      </c>
      <c r="E25" s="6">
        <v>1.05</v>
      </c>
      <c r="F25" s="72">
        <f>D25*E25</f>
        <v>90733.552349999998</v>
      </c>
      <c r="G25" s="230"/>
      <c r="H25" s="6">
        <f>E25</f>
        <v>1.05</v>
      </c>
      <c r="I25" s="72">
        <f>$D25*H25</f>
        <v>90733.552349999998</v>
      </c>
      <c r="J25" s="177"/>
      <c r="K25" s="99">
        <f>I25-F25</f>
        <v>0</v>
      </c>
      <c r="L25" s="104"/>
      <c r="M25" s="171"/>
      <c r="N25" s="171"/>
    </row>
    <row r="26" spans="2:17" x14ac:dyDescent="0.25">
      <c r="B26" s="119" t="s">
        <v>140</v>
      </c>
      <c r="C26" s="108"/>
      <c r="D26" s="54"/>
      <c r="E26" s="70"/>
      <c r="F26" s="200">
        <f>SUM(F24:F25)</f>
        <v>4463767.6376989819</v>
      </c>
      <c r="G26" s="54"/>
      <c r="H26" s="6"/>
      <c r="I26" s="200">
        <f>SUM(I24:I25)</f>
        <v>4463767.6376989819</v>
      </c>
      <c r="J26" s="70"/>
      <c r="K26" s="200">
        <f>SUM(K24:K25)</f>
        <v>0</v>
      </c>
      <c r="L26" s="227">
        <f>ROUND(K26/F26,5)</f>
        <v>0</v>
      </c>
      <c r="M26" s="171"/>
      <c r="N26" s="171"/>
      <c r="O26" s="228"/>
      <c r="P26" s="18"/>
      <c r="Q26" s="206"/>
    </row>
    <row r="27" spans="2:17" x14ac:dyDescent="0.25">
      <c r="B27" s="97"/>
      <c r="C27" s="51"/>
      <c r="D27" s="103"/>
      <c r="E27" s="6"/>
      <c r="F27" s="72"/>
      <c r="H27" s="6"/>
      <c r="I27" s="72"/>
      <c r="J27" s="177"/>
      <c r="K27" s="99"/>
      <c r="L27" s="104"/>
      <c r="M27" s="171"/>
      <c r="N27" s="171"/>
    </row>
    <row r="28" spans="2:17" x14ac:dyDescent="0.25">
      <c r="B28" s="97" t="s">
        <v>106</v>
      </c>
      <c r="C28" s="51"/>
      <c r="D28" s="103"/>
      <c r="E28" s="5"/>
      <c r="F28" s="200">
        <f>F21+F26</f>
        <v>6038423.6501917904</v>
      </c>
      <c r="H28" s="6"/>
      <c r="I28" s="200">
        <f>I21+I26</f>
        <v>6201874.3976989817</v>
      </c>
      <c r="J28" s="177"/>
      <c r="K28" s="200">
        <f>K21+K26</f>
        <v>163450.74750719132</v>
      </c>
      <c r="L28" s="227">
        <f>K28/F28</f>
        <v>2.706844649795313E-2</v>
      </c>
      <c r="M28" s="171"/>
      <c r="N28" s="171"/>
    </row>
    <row r="29" spans="2:17" x14ac:dyDescent="0.25">
      <c r="B29" s="188"/>
      <c r="C29" s="153"/>
      <c r="D29" s="124"/>
      <c r="E29" s="231"/>
      <c r="F29" s="193"/>
      <c r="G29" s="124"/>
      <c r="H29" s="232"/>
      <c r="I29" s="193"/>
      <c r="J29" s="233"/>
      <c r="K29" s="193"/>
      <c r="L29" s="194"/>
      <c r="M29" s="171"/>
      <c r="N29" s="171"/>
    </row>
    <row r="30" spans="2:17" x14ac:dyDescent="0.25">
      <c r="B30" s="54"/>
      <c r="C30" s="54"/>
      <c r="D30" s="103"/>
      <c r="E30" s="5"/>
      <c r="F30" s="127"/>
      <c r="H30" s="6"/>
      <c r="I30" s="133"/>
      <c r="J30" s="234"/>
      <c r="K30" s="127"/>
      <c r="L30" s="42"/>
      <c r="M30" s="171"/>
      <c r="N30" s="171"/>
    </row>
    <row r="31" spans="2:17" ht="13" x14ac:dyDescent="0.3">
      <c r="B31" s="90" t="s">
        <v>157</v>
      </c>
      <c r="C31" s="174"/>
      <c r="D31" s="175"/>
      <c r="E31" s="222"/>
      <c r="F31" s="95"/>
      <c r="G31" s="223"/>
      <c r="H31" s="224"/>
      <c r="I31" s="225"/>
      <c r="J31" s="225"/>
      <c r="K31" s="95"/>
      <c r="L31" s="96"/>
      <c r="M31" s="171"/>
      <c r="N31" s="171"/>
      <c r="O31" s="235"/>
      <c r="P31" s="102"/>
      <c r="Q31" s="103"/>
    </row>
    <row r="32" spans="2:17" x14ac:dyDescent="0.25">
      <c r="B32" s="97"/>
      <c r="C32" s="51"/>
      <c r="D32" s="103"/>
      <c r="E32" s="184"/>
      <c r="F32" s="99"/>
      <c r="G32" s="131"/>
      <c r="H32" s="6"/>
      <c r="I32" s="72"/>
      <c r="J32" s="177"/>
      <c r="K32" s="99"/>
      <c r="L32" s="100"/>
      <c r="M32" s="171"/>
      <c r="N32" s="171"/>
      <c r="O32" s="54"/>
      <c r="P32" s="54"/>
      <c r="Q32" s="103"/>
    </row>
    <row r="33" spans="2:17" x14ac:dyDescent="0.25">
      <c r="B33" s="119" t="s">
        <v>100</v>
      </c>
      <c r="C33" s="108" t="s">
        <v>101</v>
      </c>
      <c r="D33" s="103">
        <v>1199.4001036779719</v>
      </c>
      <c r="E33" s="6">
        <v>877.69</v>
      </c>
      <c r="F33" s="99">
        <f>ROUND(D33*E33,2)</f>
        <v>1052701.48</v>
      </c>
      <c r="H33" s="6">
        <v>903.09</v>
      </c>
      <c r="I33" s="72">
        <f>ROUND(D33*H33,2)</f>
        <v>1083166.24</v>
      </c>
      <c r="J33" s="177"/>
      <c r="K33" s="99">
        <f>I33-F33</f>
        <v>30464.760000000009</v>
      </c>
      <c r="L33" s="100"/>
      <c r="M33" s="171"/>
      <c r="N33" s="171"/>
      <c r="O33" s="102"/>
      <c r="P33" s="102"/>
      <c r="Q33" s="52">
        <f>H33/E33-1</f>
        <v>2.8939602821041577E-2</v>
      </c>
    </row>
    <row r="34" spans="2:17" x14ac:dyDescent="0.25">
      <c r="B34" s="97" t="s">
        <v>131</v>
      </c>
      <c r="C34" s="51" t="s">
        <v>132</v>
      </c>
      <c r="D34" s="103">
        <v>697056</v>
      </c>
      <c r="E34" s="6">
        <v>1.21</v>
      </c>
      <c r="F34" s="99">
        <f>ROUND(D34*E34,2)</f>
        <v>843437.76</v>
      </c>
      <c r="H34" s="6">
        <f>$H$13</f>
        <v>1.3</v>
      </c>
      <c r="I34" s="72">
        <f>ROUND(D34*H34,2)</f>
        <v>906172.8</v>
      </c>
      <c r="J34" s="177"/>
      <c r="K34" s="99">
        <f>I34-F34</f>
        <v>62735.040000000037</v>
      </c>
      <c r="L34" s="100"/>
      <c r="M34" s="171"/>
      <c r="N34" s="171"/>
      <c r="O34" s="54"/>
      <c r="P34" s="54"/>
      <c r="Q34" s="52">
        <f>H34/E34-1</f>
        <v>7.4380165289256173E-2</v>
      </c>
    </row>
    <row r="35" spans="2:17" x14ac:dyDescent="0.25">
      <c r="B35" s="97" t="s">
        <v>153</v>
      </c>
      <c r="C35" s="51"/>
      <c r="D35" s="103"/>
      <c r="E35" s="6"/>
      <c r="F35" s="72">
        <v>12284.61</v>
      </c>
      <c r="H35" s="6"/>
      <c r="I35" s="72">
        <f>F35</f>
        <v>12284.61</v>
      </c>
      <c r="J35" s="177"/>
      <c r="K35" s="99">
        <f>I35-F35</f>
        <v>0</v>
      </c>
      <c r="L35" s="100"/>
      <c r="M35" s="171"/>
      <c r="N35" s="171"/>
      <c r="O35" s="54"/>
      <c r="P35" s="54"/>
      <c r="Q35" s="103"/>
    </row>
    <row r="36" spans="2:17" x14ac:dyDescent="0.25">
      <c r="B36" s="97"/>
      <c r="C36" s="51"/>
      <c r="D36" s="103"/>
      <c r="E36" s="5"/>
      <c r="F36" s="51"/>
      <c r="H36" s="5"/>
      <c r="I36" s="51"/>
      <c r="J36" s="70"/>
      <c r="K36" s="99"/>
      <c r="L36" s="100"/>
      <c r="M36" s="171"/>
      <c r="N36" s="171"/>
      <c r="O36" s="54"/>
      <c r="P36" s="54"/>
      <c r="Q36" s="103"/>
    </row>
    <row r="37" spans="2:17" x14ac:dyDescent="0.25">
      <c r="B37" s="97"/>
      <c r="C37" s="51"/>
      <c r="D37" s="103"/>
      <c r="E37" s="5"/>
      <c r="F37" s="99"/>
      <c r="H37" s="5"/>
      <c r="I37" s="72"/>
      <c r="J37" s="177"/>
      <c r="K37" s="99"/>
      <c r="L37" s="100"/>
      <c r="M37" s="171"/>
      <c r="N37" s="171"/>
      <c r="O37" s="51"/>
      <c r="P37" s="54"/>
      <c r="Q37" s="103"/>
    </row>
    <row r="38" spans="2:17" x14ac:dyDescent="0.25">
      <c r="B38" s="97" t="s">
        <v>133</v>
      </c>
      <c r="C38" s="51"/>
      <c r="D38" s="103"/>
      <c r="E38" s="5"/>
      <c r="F38" s="99"/>
      <c r="H38" s="5"/>
      <c r="I38" s="72"/>
      <c r="J38" s="177"/>
      <c r="K38" s="99"/>
      <c r="L38" s="100"/>
      <c r="M38" s="171"/>
      <c r="N38" s="171"/>
      <c r="O38" s="54"/>
      <c r="P38" s="54"/>
      <c r="Q38" s="103"/>
    </row>
    <row r="39" spans="2:17" x14ac:dyDescent="0.25">
      <c r="B39" s="97" t="s">
        <v>154</v>
      </c>
      <c r="C39" s="51" t="s">
        <v>103</v>
      </c>
      <c r="D39" s="103">
        <v>28123063.680000003</v>
      </c>
      <c r="E39" s="5">
        <v>9.9360000000000004E-2</v>
      </c>
      <c r="F39" s="99">
        <f>ROUND(D39*E39,2)</f>
        <v>2794307.61</v>
      </c>
      <c r="H39" s="5">
        <f>H18</f>
        <v>0.11168</v>
      </c>
      <c r="I39" s="72">
        <f>ROUND(D39*H39,2)</f>
        <v>3140783.75</v>
      </c>
      <c r="J39" s="177"/>
      <c r="K39" s="99">
        <f>I39-F39</f>
        <v>346476.14000000013</v>
      </c>
      <c r="L39" s="100"/>
      <c r="M39" s="171"/>
      <c r="N39" s="171"/>
      <c r="O39" s="54"/>
      <c r="P39" s="54"/>
      <c r="Q39" s="52">
        <f>H39/E39-1</f>
        <v>0.12399355877616736</v>
      </c>
    </row>
    <row r="40" spans="2:17" x14ac:dyDescent="0.25">
      <c r="B40" s="97" t="s">
        <v>155</v>
      </c>
      <c r="C40" s="51" t="s">
        <v>103</v>
      </c>
      <c r="D40" s="103">
        <v>18732272.719999999</v>
      </c>
      <c r="E40" s="5">
        <v>4.9169999999999998E-2</v>
      </c>
      <c r="F40" s="99">
        <f>ROUND(D40*E40,2)</f>
        <v>921065.85</v>
      </c>
      <c r="H40" s="5">
        <f>H19</f>
        <v>5.527E-2</v>
      </c>
      <c r="I40" s="72">
        <f>ROUND(D40*H40,2)</f>
        <v>1035332.71</v>
      </c>
      <c r="J40" s="177"/>
      <c r="K40" s="99">
        <f>I40-F40</f>
        <v>114266.85999999999</v>
      </c>
      <c r="L40" s="100"/>
      <c r="M40" s="171"/>
      <c r="N40" s="171"/>
      <c r="O40" s="54"/>
      <c r="P40" s="54"/>
      <c r="Q40" s="52">
        <f>H40/E40-1</f>
        <v>0.12405938580435238</v>
      </c>
    </row>
    <row r="41" spans="2:17" x14ac:dyDescent="0.25">
      <c r="B41" s="97" t="s">
        <v>158</v>
      </c>
      <c r="C41" s="51" t="s">
        <v>103</v>
      </c>
      <c r="D41" s="103">
        <v>27918200.734971084</v>
      </c>
      <c r="E41" s="5">
        <v>4.7039999999999998E-2</v>
      </c>
      <c r="F41" s="193">
        <f>ROUND(D41*E41,2)</f>
        <v>1313272.1599999999</v>
      </c>
      <c r="H41" s="5">
        <f>H20</f>
        <v>5.287E-2</v>
      </c>
      <c r="I41" s="72">
        <f>ROUND(D41*H41,2)</f>
        <v>1476035.27</v>
      </c>
      <c r="J41" s="177"/>
      <c r="K41" s="99">
        <f>I41-F41</f>
        <v>162763.1100000001</v>
      </c>
      <c r="L41" s="104"/>
      <c r="M41" s="171"/>
      <c r="N41" s="171"/>
      <c r="O41" s="54"/>
      <c r="P41" s="54"/>
      <c r="Q41" s="52">
        <f>H41/E41-1</f>
        <v>0.12393707482993199</v>
      </c>
    </row>
    <row r="42" spans="2:17" x14ac:dyDescent="0.25">
      <c r="B42" s="119" t="s">
        <v>108</v>
      </c>
      <c r="C42" s="108"/>
      <c r="D42" s="175">
        <f>SUM(D39:D41)</f>
        <v>74773537.134971082</v>
      </c>
      <c r="E42" s="70"/>
      <c r="F42" s="200">
        <f>SUM(F33:F41)</f>
        <v>6937069.4699999997</v>
      </c>
      <c r="H42" s="6"/>
      <c r="I42" s="200">
        <f>SUM(I33:I41)</f>
        <v>7653775.3800000008</v>
      </c>
      <c r="J42" s="177"/>
      <c r="K42" s="200">
        <f>SUM(K33:K41)</f>
        <v>716705.91000000027</v>
      </c>
      <c r="L42" s="227">
        <f>K42/F42</f>
        <v>0.10331537158442212</v>
      </c>
      <c r="M42" s="171"/>
      <c r="N42" s="171"/>
      <c r="O42" s="54"/>
      <c r="P42" s="54"/>
      <c r="Q42" s="103"/>
    </row>
    <row r="43" spans="2:17" x14ac:dyDescent="0.25">
      <c r="B43" s="119"/>
      <c r="C43" s="108"/>
      <c r="D43" s="103"/>
      <c r="E43" s="70"/>
      <c r="F43" s="72"/>
      <c r="H43" s="6"/>
      <c r="I43" s="72"/>
      <c r="J43" s="177"/>
      <c r="K43" s="99"/>
      <c r="L43" s="100"/>
      <c r="M43" s="171"/>
      <c r="N43" s="171"/>
      <c r="O43" s="102"/>
      <c r="P43" s="54"/>
      <c r="Q43" s="103"/>
    </row>
    <row r="44" spans="2:17" x14ac:dyDescent="0.25">
      <c r="B44" s="97" t="s">
        <v>126</v>
      </c>
      <c r="C44" s="51" t="s">
        <v>103</v>
      </c>
      <c r="D44" s="229">
        <f>D42</f>
        <v>74773537.134971082</v>
      </c>
      <c r="E44" s="5">
        <v>6.9999999999999999E-4</v>
      </c>
      <c r="F44" s="72">
        <f>E44*D44</f>
        <v>52341.475994479755</v>
      </c>
      <c r="G44" s="230"/>
      <c r="H44" s="5">
        <v>1E-3</v>
      </c>
      <c r="I44" s="99">
        <f>H44*D44</f>
        <v>74773.537134971077</v>
      </c>
      <c r="J44" s="177"/>
      <c r="K44" s="99">
        <f>I44-F44</f>
        <v>22432.061140491322</v>
      </c>
      <c r="L44" s="100"/>
      <c r="M44" s="171"/>
      <c r="N44" s="171"/>
      <c r="O44" s="102"/>
      <c r="P44" s="102"/>
      <c r="Q44" s="103"/>
    </row>
    <row r="45" spans="2:17" x14ac:dyDescent="0.25">
      <c r="B45" s="119" t="s">
        <v>106</v>
      </c>
      <c r="C45" s="51"/>
      <c r="D45" s="103"/>
      <c r="E45" s="6"/>
      <c r="F45" s="200">
        <f>F44+F42</f>
        <v>6989410.9459944796</v>
      </c>
      <c r="G45" s="54"/>
      <c r="H45" s="6"/>
      <c r="I45" s="200">
        <f>I44+I42</f>
        <v>7728548.9171349723</v>
      </c>
      <c r="J45" s="70"/>
      <c r="K45" s="200">
        <f>K44+K42</f>
        <v>739137.97114049154</v>
      </c>
      <c r="L45" s="227">
        <f>ROUND(K45/F45,5)</f>
        <v>0.10575</v>
      </c>
      <c r="M45" s="171"/>
      <c r="N45" s="171"/>
      <c r="O45" s="236"/>
      <c r="P45" s="54"/>
      <c r="Q45" s="230"/>
    </row>
    <row r="46" spans="2:17" x14ac:dyDescent="0.25">
      <c r="B46" s="188"/>
      <c r="C46" s="153"/>
      <c r="D46" s="124"/>
      <c r="E46" s="231"/>
      <c r="F46" s="193"/>
      <c r="G46" s="124"/>
      <c r="H46" s="232"/>
      <c r="I46" s="237"/>
      <c r="J46" s="233"/>
      <c r="K46" s="193"/>
      <c r="L46" s="194"/>
      <c r="M46" s="171"/>
      <c r="N46" s="171"/>
      <c r="O46" s="54"/>
      <c r="P46" s="54"/>
      <c r="Q46" s="103"/>
    </row>
    <row r="47" spans="2:17" x14ac:dyDescent="0.25">
      <c r="B47" s="51"/>
      <c r="C47" s="51"/>
      <c r="D47" s="103"/>
      <c r="E47" s="184"/>
      <c r="F47" s="99"/>
      <c r="H47" s="6"/>
      <c r="I47" s="72"/>
      <c r="J47" s="177"/>
      <c r="K47" s="99"/>
      <c r="L47" s="41"/>
      <c r="M47" s="171"/>
      <c r="N47" s="171"/>
      <c r="O47" s="54"/>
      <c r="P47" s="54"/>
      <c r="Q47" s="103"/>
    </row>
    <row r="48" spans="2:17" ht="13" x14ac:dyDescent="0.3">
      <c r="B48" s="128" t="s">
        <v>159</v>
      </c>
      <c r="C48" s="174"/>
      <c r="D48" s="175"/>
      <c r="E48" s="222"/>
      <c r="F48" s="95"/>
      <c r="G48" s="223"/>
      <c r="H48" s="224"/>
      <c r="I48" s="225"/>
      <c r="J48" s="225"/>
      <c r="K48" s="95"/>
      <c r="L48" s="96"/>
      <c r="M48" s="171"/>
      <c r="N48" s="171"/>
      <c r="O48" s="54"/>
      <c r="P48" s="54"/>
      <c r="Q48" s="103"/>
    </row>
    <row r="49" spans="2:17" x14ac:dyDescent="0.25">
      <c r="B49" s="97"/>
      <c r="C49" s="51"/>
      <c r="D49" s="103"/>
      <c r="E49" s="5"/>
      <c r="F49" s="127"/>
      <c r="G49" s="131"/>
      <c r="H49" s="6"/>
      <c r="I49" s="133"/>
      <c r="J49" s="234"/>
      <c r="K49" s="127"/>
      <c r="L49" s="132"/>
      <c r="M49" s="238"/>
      <c r="N49" s="171"/>
      <c r="O49" s="54"/>
      <c r="P49" s="54"/>
      <c r="Q49" s="103"/>
    </row>
    <row r="50" spans="2:17" x14ac:dyDescent="0.25">
      <c r="B50" s="119" t="s">
        <v>100</v>
      </c>
      <c r="C50" s="108" t="s">
        <v>101</v>
      </c>
      <c r="D50" s="103">
        <f>D33+D12</f>
        <v>1528.9179219236264</v>
      </c>
      <c r="E50" s="6"/>
      <c r="F50" s="127">
        <f>F12+F33</f>
        <v>1233465.07</v>
      </c>
      <c r="H50" s="6"/>
      <c r="I50" s="127">
        <f>I12+I33</f>
        <v>1279255.7</v>
      </c>
      <c r="J50" s="234"/>
      <c r="K50" s="127">
        <f>I50-F50</f>
        <v>45790.629999999888</v>
      </c>
      <c r="L50" s="132"/>
      <c r="M50" s="238"/>
      <c r="N50" s="171"/>
      <c r="O50" s="54"/>
      <c r="P50" s="54"/>
      <c r="Q50" s="52"/>
    </row>
    <row r="51" spans="2:17" x14ac:dyDescent="0.25">
      <c r="B51" s="97" t="s">
        <v>131</v>
      </c>
      <c r="C51" s="51" t="s">
        <v>132</v>
      </c>
      <c r="D51" s="103">
        <f>D34+D13</f>
        <v>783468.90700000001</v>
      </c>
      <c r="E51" s="6"/>
      <c r="F51" s="127">
        <f>F13+F34</f>
        <v>947997.38</v>
      </c>
      <c r="H51" s="6"/>
      <c r="I51" s="127">
        <f>I13+I34</f>
        <v>1018509.5800000001</v>
      </c>
      <c r="J51" s="234"/>
      <c r="K51" s="127">
        <f>I51-F51</f>
        <v>70512.20000000007</v>
      </c>
      <c r="L51" s="132"/>
      <c r="M51" s="238"/>
      <c r="N51" s="171"/>
      <c r="O51" s="54"/>
      <c r="P51" s="54"/>
      <c r="Q51" s="52"/>
    </row>
    <row r="52" spans="2:17" x14ac:dyDescent="0.25">
      <c r="B52" s="97" t="s">
        <v>124</v>
      </c>
      <c r="C52" s="51" t="s">
        <v>103</v>
      </c>
      <c r="D52" s="103">
        <f>D35+D14</f>
        <v>16184434.068649083</v>
      </c>
      <c r="E52" s="6"/>
      <c r="F52" s="127">
        <f>F14</f>
        <v>120897.72249280865</v>
      </c>
      <c r="H52" s="6"/>
      <c r="I52" s="127">
        <f>I14</f>
        <v>116366.08</v>
      </c>
      <c r="J52" s="234"/>
      <c r="K52" s="127">
        <f>I52-F52</f>
        <v>-4531.642492808649</v>
      </c>
      <c r="L52" s="132"/>
      <c r="M52" s="238"/>
      <c r="N52" s="171"/>
      <c r="O52" s="54"/>
      <c r="P52" s="54"/>
      <c r="Q52" s="52"/>
    </row>
    <row r="53" spans="2:17" x14ac:dyDescent="0.25">
      <c r="B53" s="97" t="s">
        <v>153</v>
      </c>
      <c r="C53" s="51"/>
      <c r="D53" s="103"/>
      <c r="E53" s="6"/>
      <c r="F53" s="133">
        <f>F15+F35</f>
        <v>12284.61</v>
      </c>
      <c r="H53" s="6"/>
      <c r="I53" s="133">
        <f>I15+I35</f>
        <v>12284.61</v>
      </c>
      <c r="J53" s="234"/>
      <c r="K53" s="127">
        <f>I53-F53</f>
        <v>0</v>
      </c>
      <c r="L53" s="132"/>
      <c r="M53" s="238"/>
      <c r="N53" s="171"/>
      <c r="O53" s="54"/>
      <c r="P53" s="54"/>
      <c r="Q53" s="103"/>
    </row>
    <row r="54" spans="2:17" x14ac:dyDescent="0.25">
      <c r="B54" s="97"/>
      <c r="C54" s="51"/>
      <c r="D54" s="103"/>
      <c r="E54" s="5"/>
      <c r="F54" s="54"/>
      <c r="H54" s="5"/>
      <c r="I54" s="54"/>
      <c r="J54" s="6"/>
      <c r="K54" s="127"/>
      <c r="L54" s="132"/>
      <c r="M54" s="238"/>
      <c r="N54" s="171"/>
      <c r="O54" s="54"/>
      <c r="P54" s="54"/>
      <c r="Q54" s="103"/>
    </row>
    <row r="55" spans="2:17" x14ac:dyDescent="0.25">
      <c r="B55" s="97" t="s">
        <v>133</v>
      </c>
      <c r="C55" s="51"/>
      <c r="D55" s="103"/>
      <c r="E55" s="5"/>
      <c r="F55" s="127"/>
      <c r="H55" s="5"/>
      <c r="I55" s="127"/>
      <c r="J55" s="234"/>
      <c r="K55" s="127"/>
      <c r="L55" s="132"/>
      <c r="M55" s="238"/>
      <c r="N55" s="171"/>
      <c r="O55" s="54"/>
      <c r="P55" s="54"/>
      <c r="Q55" s="103"/>
    </row>
    <row r="56" spans="2:17" x14ac:dyDescent="0.25">
      <c r="B56" s="97" t="s">
        <v>154</v>
      </c>
      <c r="C56" s="51" t="s">
        <v>103</v>
      </c>
      <c r="D56" s="103">
        <f>D39+D18</f>
        <v>35740685.353</v>
      </c>
      <c r="E56" s="5"/>
      <c r="F56" s="127">
        <f>F18+F39</f>
        <v>3551194.5</v>
      </c>
      <c r="H56" s="5"/>
      <c r="I56" s="127">
        <f>I18+I39</f>
        <v>3991519.74</v>
      </c>
      <c r="J56" s="234"/>
      <c r="K56" s="127">
        <f>I56-F56</f>
        <v>440325.24000000022</v>
      </c>
      <c r="L56" s="132"/>
      <c r="M56" s="238"/>
      <c r="N56" s="171"/>
      <c r="O56" s="54"/>
      <c r="P56" s="54"/>
      <c r="Q56" s="103"/>
    </row>
    <row r="57" spans="2:17" x14ac:dyDescent="0.25">
      <c r="B57" s="97" t="s">
        <v>155</v>
      </c>
      <c r="C57" s="51" t="s">
        <v>103</v>
      </c>
      <c r="D57" s="103">
        <f>D40+D19</f>
        <v>22753554.542999998</v>
      </c>
      <c r="E57" s="5"/>
      <c r="F57" s="127">
        <f>F19+F40</f>
        <v>1118792.28</v>
      </c>
      <c r="H57" s="5"/>
      <c r="I57" s="127">
        <f>I19+I40</f>
        <v>1257588.96</v>
      </c>
      <c r="J57" s="234"/>
      <c r="K57" s="127">
        <f>I57-F57</f>
        <v>138796.67999999993</v>
      </c>
      <c r="L57" s="132"/>
      <c r="M57" s="238"/>
      <c r="N57" s="171"/>
      <c r="O57" s="54"/>
      <c r="P57" s="54"/>
      <c r="Q57" s="103"/>
    </row>
    <row r="58" spans="2:17" x14ac:dyDescent="0.25">
      <c r="B58" s="97" t="s">
        <v>156</v>
      </c>
      <c r="C58" s="51" t="s">
        <v>103</v>
      </c>
      <c r="D58" s="103">
        <f>D41+D20</f>
        <v>32463731.307620168</v>
      </c>
      <c r="E58" s="5"/>
      <c r="F58" s="123">
        <f>F20+F41</f>
        <v>1527093.92</v>
      </c>
      <c r="H58" s="5"/>
      <c r="I58" s="123">
        <f>I20+I41</f>
        <v>1716357.47</v>
      </c>
      <c r="J58" s="234"/>
      <c r="K58" s="127">
        <f>I58-F58</f>
        <v>189263.55000000005</v>
      </c>
      <c r="L58" s="136"/>
      <c r="M58" s="238"/>
      <c r="N58" s="171"/>
      <c r="O58" s="54"/>
      <c r="P58" s="54"/>
      <c r="Q58" s="103"/>
    </row>
    <row r="59" spans="2:17" x14ac:dyDescent="0.25">
      <c r="B59" s="119" t="s">
        <v>108</v>
      </c>
      <c r="C59" s="108"/>
      <c r="D59" s="175">
        <f>SUM(D56:D58)</f>
        <v>90957971.203620166</v>
      </c>
      <c r="E59" s="6"/>
      <c r="F59" s="239">
        <f>SUM(F50:F58)</f>
        <v>8511725.4824928083</v>
      </c>
      <c r="H59" s="6"/>
      <c r="I59" s="239">
        <f>SUM(I50:I58)</f>
        <v>9391882.1400000006</v>
      </c>
      <c r="J59" s="234"/>
      <c r="K59" s="239">
        <f>SUM(K50:K58)</f>
        <v>880156.65750719153</v>
      </c>
      <c r="L59" s="227">
        <f>K59/F59</f>
        <v>0.1034051978435543</v>
      </c>
      <c r="M59" s="238"/>
      <c r="N59" s="171"/>
      <c r="O59" s="54"/>
      <c r="P59" s="54"/>
      <c r="Q59" s="103"/>
    </row>
    <row r="60" spans="2:17" x14ac:dyDescent="0.25">
      <c r="B60" s="119"/>
      <c r="C60" s="108"/>
      <c r="D60" s="103"/>
      <c r="E60" s="6"/>
      <c r="F60" s="133"/>
      <c r="H60" s="6"/>
      <c r="I60" s="133"/>
      <c r="J60" s="234"/>
      <c r="K60" s="127"/>
      <c r="L60" s="132"/>
      <c r="M60" s="238"/>
      <c r="N60" s="171"/>
      <c r="O60" s="54"/>
      <c r="P60" s="54"/>
      <c r="Q60" s="103"/>
    </row>
    <row r="61" spans="2:17" x14ac:dyDescent="0.25">
      <c r="B61" s="97" t="s">
        <v>105</v>
      </c>
      <c r="C61" s="108"/>
      <c r="D61" s="103"/>
      <c r="E61" s="6"/>
      <c r="F61" s="133"/>
      <c r="H61" s="6"/>
      <c r="I61" s="133"/>
      <c r="J61" s="234"/>
      <c r="K61" s="127"/>
      <c r="L61" s="132"/>
      <c r="M61" s="238"/>
      <c r="N61" s="171"/>
      <c r="O61" s="54"/>
      <c r="P61" s="54"/>
      <c r="Q61" s="103"/>
    </row>
    <row r="62" spans="2:17" x14ac:dyDescent="0.25">
      <c r="B62" s="97" t="s">
        <v>139</v>
      </c>
      <c r="C62" s="108"/>
      <c r="D62" s="103">
        <f>D24</f>
        <v>16184434.068649083</v>
      </c>
      <c r="E62" s="6"/>
      <c r="F62" s="133">
        <f>F24</f>
        <v>4373034.0853489824</v>
      </c>
      <c r="H62" s="6"/>
      <c r="I62" s="133">
        <f>I24</f>
        <v>4373034.0853489824</v>
      </c>
      <c r="J62" s="234"/>
      <c r="K62" s="127">
        <f>I62-F62</f>
        <v>0</v>
      </c>
      <c r="L62" s="132"/>
      <c r="M62" s="238"/>
      <c r="N62" s="171"/>
      <c r="O62" s="54"/>
      <c r="P62" s="54"/>
      <c r="Q62" s="103"/>
    </row>
    <row r="63" spans="2:17" x14ac:dyDescent="0.25">
      <c r="B63" s="97" t="s">
        <v>131</v>
      </c>
      <c r="C63" s="108"/>
      <c r="D63" s="103">
        <f>D25</f>
        <v>86412.906999999992</v>
      </c>
      <c r="E63" s="6"/>
      <c r="F63" s="133">
        <f>F25</f>
        <v>90733.552349999998</v>
      </c>
      <c r="H63" s="6"/>
      <c r="I63" s="133">
        <f>I25</f>
        <v>90733.552349999998</v>
      </c>
      <c r="J63" s="234"/>
      <c r="K63" s="127">
        <f>I63-F63</f>
        <v>0</v>
      </c>
      <c r="L63" s="132"/>
      <c r="M63" s="238"/>
      <c r="N63" s="171"/>
      <c r="O63" s="54"/>
      <c r="P63" s="54"/>
      <c r="Q63" s="103"/>
    </row>
    <row r="64" spans="2:17" x14ac:dyDescent="0.25">
      <c r="B64" s="97" t="s">
        <v>126</v>
      </c>
      <c r="C64" s="51" t="s">
        <v>103</v>
      </c>
      <c r="D64" s="103">
        <f>D44</f>
        <v>74773537.134971082</v>
      </c>
      <c r="E64" s="6"/>
      <c r="F64" s="133">
        <f>F44</f>
        <v>52341.475994479755</v>
      </c>
      <c r="H64" s="6"/>
      <c r="I64" s="133">
        <f>I44</f>
        <v>74773.537134971077</v>
      </c>
      <c r="J64" s="234"/>
      <c r="K64" s="127">
        <f>I64-F64</f>
        <v>22432.061140491322</v>
      </c>
      <c r="L64" s="132"/>
      <c r="M64" s="238"/>
      <c r="N64" s="171"/>
      <c r="O64" s="54"/>
      <c r="P64" s="54"/>
      <c r="Q64" s="103"/>
    </row>
    <row r="65" spans="1:17" x14ac:dyDescent="0.25">
      <c r="B65" s="119" t="s">
        <v>140</v>
      </c>
      <c r="C65" s="108"/>
      <c r="D65" s="103"/>
      <c r="E65" s="6"/>
      <c r="F65" s="239">
        <f>SUM(F62:F64)</f>
        <v>4516109.1136934618</v>
      </c>
      <c r="H65" s="6"/>
      <c r="I65" s="239">
        <f>SUM(I62:I64)</f>
        <v>4538541.1748339534</v>
      </c>
      <c r="J65" s="234"/>
      <c r="K65" s="239">
        <f>SUM(K62:K64)</f>
        <v>22432.061140491322</v>
      </c>
      <c r="L65" s="227">
        <f>K65/F65</f>
        <v>4.9671211602204737E-3</v>
      </c>
      <c r="M65" s="238"/>
      <c r="N65" s="171"/>
      <c r="O65" s="54"/>
      <c r="P65" s="54"/>
      <c r="Q65" s="103"/>
    </row>
    <row r="66" spans="1:17" x14ac:dyDescent="0.25">
      <c r="B66" s="119"/>
      <c r="C66" s="108"/>
      <c r="D66" s="103"/>
      <c r="E66" s="6"/>
      <c r="F66" s="133"/>
      <c r="H66" s="6"/>
      <c r="I66" s="133"/>
      <c r="J66" s="234"/>
      <c r="K66" s="127"/>
      <c r="L66" s="132"/>
      <c r="M66" s="238"/>
      <c r="N66" s="171"/>
      <c r="O66" s="54"/>
      <c r="P66" s="54"/>
      <c r="Q66" s="103"/>
    </row>
    <row r="67" spans="1:17" x14ac:dyDescent="0.25">
      <c r="B67" s="97" t="s">
        <v>106</v>
      </c>
      <c r="C67" s="51"/>
      <c r="D67" s="103"/>
      <c r="E67" s="6"/>
      <c r="F67" s="239">
        <f>F59+F65</f>
        <v>13027834.596186269</v>
      </c>
      <c r="H67" s="6"/>
      <c r="I67" s="239">
        <f>I59+I65</f>
        <v>13930423.314833954</v>
      </c>
      <c r="J67" s="234"/>
      <c r="K67" s="239">
        <f>K59+K65</f>
        <v>902588.71864768281</v>
      </c>
      <c r="L67" s="227">
        <f>K67/F67</f>
        <v>6.9281561105473663E-2</v>
      </c>
      <c r="M67" s="238"/>
      <c r="N67" s="171"/>
    </row>
    <row r="68" spans="1:17" x14ac:dyDescent="0.25">
      <c r="B68" s="188"/>
      <c r="C68" s="153"/>
      <c r="D68" s="124"/>
      <c r="E68" s="240"/>
      <c r="F68" s="123"/>
      <c r="G68" s="124"/>
      <c r="H68" s="232"/>
      <c r="I68" s="241"/>
      <c r="J68" s="242"/>
      <c r="K68" s="123"/>
      <c r="L68" s="125"/>
      <c r="M68" s="238"/>
      <c r="N68" s="171"/>
    </row>
    <row r="69" spans="1:17" x14ac:dyDescent="0.25">
      <c r="A69" s="51"/>
      <c r="B69" s="51"/>
      <c r="C69" s="51"/>
      <c r="D69" s="103"/>
      <c r="E69" s="184"/>
      <c r="F69" s="99"/>
      <c r="H69" s="6"/>
      <c r="I69" s="72"/>
      <c r="J69" s="177"/>
      <c r="K69" s="99"/>
      <c r="L69" s="41"/>
      <c r="M69" s="171"/>
      <c r="N69" s="171"/>
      <c r="O69" s="51"/>
    </row>
    <row r="70" spans="1:17" ht="13" x14ac:dyDescent="0.3">
      <c r="B70" s="90" t="s">
        <v>160</v>
      </c>
      <c r="C70" s="174"/>
      <c r="D70" s="175"/>
      <c r="E70" s="222"/>
      <c r="F70" s="95"/>
      <c r="G70" s="175"/>
      <c r="H70" s="224"/>
      <c r="I70" s="200"/>
      <c r="J70" s="225"/>
      <c r="K70" s="95"/>
      <c r="L70" s="109"/>
      <c r="M70" s="171"/>
      <c r="N70" s="171"/>
      <c r="O70" s="51"/>
    </row>
    <row r="71" spans="1:17" x14ac:dyDescent="0.25">
      <c r="B71" s="97"/>
      <c r="C71" s="51"/>
      <c r="D71" s="103"/>
      <c r="E71" s="184"/>
      <c r="F71" s="99"/>
      <c r="G71" s="131"/>
      <c r="H71" s="6"/>
      <c r="I71" s="72"/>
      <c r="J71" s="177"/>
      <c r="K71" s="99"/>
      <c r="L71" s="100"/>
      <c r="M71" s="171"/>
      <c r="N71" s="171"/>
      <c r="O71" s="7" t="s">
        <v>161</v>
      </c>
    </row>
    <row r="72" spans="1:17" x14ac:dyDescent="0.25">
      <c r="B72" s="119" t="s">
        <v>100</v>
      </c>
      <c r="C72" s="108" t="s">
        <v>101</v>
      </c>
      <c r="D72" s="103">
        <v>2661.5565121011946</v>
      </c>
      <c r="E72" s="6">
        <v>139.36000000000001</v>
      </c>
      <c r="F72" s="99">
        <f>ROUND(D72*E72,2)</f>
        <v>370914.52</v>
      </c>
      <c r="H72" s="6">
        <v>148.82</v>
      </c>
      <c r="I72" s="72">
        <f>ROUND(D72*H72,2)</f>
        <v>396092.84</v>
      </c>
      <c r="J72" s="177"/>
      <c r="K72" s="99">
        <f>I72-F72</f>
        <v>25178.320000000007</v>
      </c>
      <c r="L72" s="100"/>
      <c r="M72" s="171"/>
      <c r="N72" s="171"/>
      <c r="O72" s="105">
        <f>'Exh. JDT-14 Pg. 1 (BR-11)'!N17</f>
        <v>0</v>
      </c>
      <c r="Q72" s="52">
        <f>H72/E72-1</f>
        <v>6.7881745120550896E-2</v>
      </c>
    </row>
    <row r="73" spans="1:17" x14ac:dyDescent="0.25">
      <c r="B73" s="97" t="s">
        <v>131</v>
      </c>
      <c r="C73" s="51" t="s">
        <v>132</v>
      </c>
      <c r="D73" s="103">
        <v>82401.308999999994</v>
      </c>
      <c r="E73" s="6">
        <v>1.22</v>
      </c>
      <c r="F73" s="99">
        <f>ROUND(D73*E73,2)</f>
        <v>100529.60000000001</v>
      </c>
      <c r="H73" s="6">
        <v>1.35</v>
      </c>
      <c r="I73" s="72">
        <f>ROUND(D73*H73,2)</f>
        <v>111241.77</v>
      </c>
      <c r="J73" s="177"/>
      <c r="K73" s="99">
        <f>I73-F73</f>
        <v>10712.169999999998</v>
      </c>
      <c r="L73" s="100"/>
      <c r="M73" s="171"/>
      <c r="N73" s="171"/>
      <c r="O73" s="106" t="s">
        <v>104</v>
      </c>
      <c r="Q73" s="52">
        <f>H73/E73-1</f>
        <v>0.10655737704918034</v>
      </c>
    </row>
    <row r="74" spans="1:17" x14ac:dyDescent="0.25">
      <c r="B74" s="97" t="s">
        <v>124</v>
      </c>
      <c r="C74" s="51" t="s">
        <v>103</v>
      </c>
      <c r="D74" s="103">
        <f>D80</f>
        <v>9397200.2729263548</v>
      </c>
      <c r="E74" s="5">
        <v>9.0699999999999999E-3</v>
      </c>
      <c r="F74" s="99">
        <f>ROUND(D74*E74,2)</f>
        <v>85232.61</v>
      </c>
      <c r="H74" s="5">
        <v>1.2460000000000001E-2</v>
      </c>
      <c r="I74" s="72">
        <f>ROUND(D80*H74,2)</f>
        <v>117089.12</v>
      </c>
      <c r="J74" s="177"/>
      <c r="K74" s="99">
        <f>I74-F74</f>
        <v>31856.509999999995</v>
      </c>
      <c r="L74" s="100"/>
      <c r="M74" s="171"/>
      <c r="N74" s="171"/>
      <c r="O74" s="110">
        <f>K80+K99-O72</f>
        <v>7.8399999999837746</v>
      </c>
      <c r="Q74" s="52">
        <f>H74/E74-1</f>
        <v>0.37375964718853361</v>
      </c>
    </row>
    <row r="75" spans="1:17" x14ac:dyDescent="0.25">
      <c r="B75" s="97" t="s">
        <v>153</v>
      </c>
      <c r="C75" s="51"/>
      <c r="D75" s="103"/>
      <c r="E75" s="5"/>
      <c r="F75" s="72">
        <v>35297.54</v>
      </c>
      <c r="H75" s="5"/>
      <c r="I75" s="72">
        <f>F75</f>
        <v>35297.54</v>
      </c>
      <c r="J75" s="177"/>
      <c r="K75" s="99">
        <f>I75-F75</f>
        <v>0</v>
      </c>
      <c r="L75" s="100"/>
      <c r="M75" s="171"/>
      <c r="N75" s="171"/>
      <c r="O75" s="226"/>
    </row>
    <row r="76" spans="1:17" x14ac:dyDescent="0.25">
      <c r="B76" s="97"/>
      <c r="C76" s="51"/>
      <c r="D76" s="103"/>
      <c r="E76" s="5"/>
      <c r="F76" s="99"/>
      <c r="H76" s="5"/>
      <c r="I76" s="72"/>
      <c r="J76" s="177"/>
      <c r="K76" s="99"/>
      <c r="L76" s="100"/>
      <c r="M76" s="171"/>
      <c r="N76" s="171"/>
      <c r="O76" s="116">
        <v>-4.786E-2</v>
      </c>
      <c r="P76" s="18"/>
      <c r="Q76" s="18"/>
    </row>
    <row r="77" spans="1:17" x14ac:dyDescent="0.25">
      <c r="B77" s="97" t="s">
        <v>133</v>
      </c>
      <c r="C77" s="51"/>
      <c r="D77" s="103"/>
      <c r="E77" s="5"/>
      <c r="F77" s="99"/>
      <c r="H77" s="5"/>
      <c r="I77" s="72"/>
      <c r="J77" s="177"/>
      <c r="K77" s="99"/>
      <c r="L77" s="100"/>
      <c r="M77" s="171"/>
      <c r="N77" s="171"/>
      <c r="O77" s="141"/>
      <c r="P77" s="17"/>
      <c r="Q77" s="18"/>
    </row>
    <row r="78" spans="1:17" x14ac:dyDescent="0.25">
      <c r="B78" s="130" t="s">
        <v>162</v>
      </c>
      <c r="C78" s="54" t="s">
        <v>103</v>
      </c>
      <c r="D78" s="103">
        <v>2054251.2670000002</v>
      </c>
      <c r="E78" s="5">
        <v>0.19273999999999999</v>
      </c>
      <c r="F78" s="99">
        <f>ROUND(D78*E78,2)</f>
        <v>395936.39</v>
      </c>
      <c r="H78" s="5">
        <f>ROUND(E78*(1+$O$76),5)</f>
        <v>0.18351999999999999</v>
      </c>
      <c r="I78" s="72">
        <f>ROUND(D78*H78,2)</f>
        <v>376996.19</v>
      </c>
      <c r="J78" s="177"/>
      <c r="K78" s="99">
        <f>I78-F78</f>
        <v>-18940.200000000012</v>
      </c>
      <c r="L78" s="100"/>
      <c r="M78" s="171"/>
      <c r="N78" s="171"/>
      <c r="P78" s="18"/>
      <c r="Q78" s="52">
        <f>H78/E78-1</f>
        <v>-4.7836463629760351E-2</v>
      </c>
    </row>
    <row r="79" spans="1:17" ht="12.75" customHeight="1" x14ac:dyDescent="0.25">
      <c r="B79" s="130" t="s">
        <v>163</v>
      </c>
      <c r="C79" s="54" t="s">
        <v>103</v>
      </c>
      <c r="D79" s="103">
        <v>7342949.0059263539</v>
      </c>
      <c r="E79" s="5">
        <v>0.13664000000000001</v>
      </c>
      <c r="F79" s="99">
        <f>ROUND(D79*E79,2)</f>
        <v>1003340.55</v>
      </c>
      <c r="H79" s="5">
        <f>ROUND(E79*(1+$O$76),5)</f>
        <v>0.13009999999999999</v>
      </c>
      <c r="I79" s="72">
        <f>ROUND(D79*H79,2)</f>
        <v>955317.67</v>
      </c>
      <c r="J79" s="177"/>
      <c r="K79" s="99">
        <f>I79-F79</f>
        <v>-48022.880000000005</v>
      </c>
      <c r="L79" s="100"/>
      <c r="M79" s="171"/>
      <c r="N79" s="171"/>
      <c r="O79" s="141"/>
      <c r="P79" s="18"/>
      <c r="Q79" s="52">
        <f>H79/E79-1</f>
        <v>-4.7862997658079776E-2</v>
      </c>
    </row>
    <row r="80" spans="1:17" ht="12.75" customHeight="1" x14ac:dyDescent="0.25">
      <c r="B80" s="119" t="s">
        <v>108</v>
      </c>
      <c r="C80" s="51" t="s">
        <v>103</v>
      </c>
      <c r="D80" s="175">
        <f>SUM(D78:D79)</f>
        <v>9397200.2729263548</v>
      </c>
      <c r="E80" s="184"/>
      <c r="F80" s="200">
        <f>SUM(F72:F79)</f>
        <v>1991251.21</v>
      </c>
      <c r="H80" s="6"/>
      <c r="I80" s="200">
        <f>SUM(I72:I79)</f>
        <v>1992035.13</v>
      </c>
      <c r="J80" s="177"/>
      <c r="K80" s="200">
        <f>SUM(K72:K79)</f>
        <v>783.9199999999837</v>
      </c>
      <c r="L80" s="96">
        <f>K80/F80</f>
        <v>3.936821211021304E-4</v>
      </c>
      <c r="M80" s="171"/>
      <c r="N80" s="171"/>
      <c r="O80" s="205"/>
      <c r="P80" s="18"/>
      <c r="Q80" s="206"/>
    </row>
    <row r="81" spans="1:17" x14ac:dyDescent="0.25">
      <c r="B81" s="119"/>
      <c r="C81" s="108"/>
      <c r="D81" s="103"/>
      <c r="E81" s="184"/>
      <c r="F81" s="72"/>
      <c r="H81" s="6"/>
      <c r="I81" s="72"/>
      <c r="J81" s="177"/>
      <c r="K81" s="99"/>
      <c r="L81" s="104"/>
      <c r="M81" s="171"/>
      <c r="N81" s="198"/>
      <c r="O81" s="228"/>
      <c r="P81" s="18"/>
      <c r="Q81" s="206"/>
    </row>
    <row r="82" spans="1:17" x14ac:dyDescent="0.25">
      <c r="B82" s="97" t="s">
        <v>105</v>
      </c>
      <c r="C82" s="108"/>
      <c r="D82" s="103"/>
      <c r="E82" s="184"/>
      <c r="F82" s="72"/>
      <c r="H82" s="6"/>
      <c r="I82" s="72"/>
      <c r="J82" s="177"/>
      <c r="K82" s="99"/>
      <c r="L82" s="104"/>
      <c r="M82" s="171"/>
      <c r="N82" s="171"/>
    </row>
    <row r="83" spans="1:17" x14ac:dyDescent="0.25">
      <c r="B83" s="97" t="s">
        <v>139</v>
      </c>
      <c r="C83" s="51" t="s">
        <v>103</v>
      </c>
      <c r="D83" s="229">
        <f>D80</f>
        <v>9397200.2729263548</v>
      </c>
      <c r="E83" s="5">
        <v>0.26795999999999998</v>
      </c>
      <c r="F83" s="72">
        <f>+D83*E83</f>
        <v>2518073.785133346</v>
      </c>
      <c r="G83" s="230"/>
      <c r="H83" s="5">
        <f>E83</f>
        <v>0.26795999999999998</v>
      </c>
      <c r="I83" s="72">
        <f>+D83*H83</f>
        <v>2518073.785133346</v>
      </c>
      <c r="J83" s="177"/>
      <c r="K83" s="99">
        <f>I83-F83</f>
        <v>0</v>
      </c>
      <c r="L83" s="100"/>
      <c r="M83" s="171"/>
      <c r="N83" s="171"/>
      <c r="O83" s="228"/>
      <c r="P83" s="18"/>
      <c r="Q83" s="206"/>
    </row>
    <row r="84" spans="1:17" x14ac:dyDescent="0.25">
      <c r="B84" s="97" t="s">
        <v>131</v>
      </c>
      <c r="C84" s="51" t="s">
        <v>132</v>
      </c>
      <c r="D84" s="229">
        <f>D73</f>
        <v>82401.308999999994</v>
      </c>
      <c r="E84" s="6">
        <v>1.05</v>
      </c>
      <c r="F84" s="72">
        <f>D84*E84</f>
        <v>86521.374450000003</v>
      </c>
      <c r="G84" s="230"/>
      <c r="H84" s="6">
        <f>E84</f>
        <v>1.05</v>
      </c>
      <c r="I84" s="72">
        <f>D84*H84</f>
        <v>86521.374450000003</v>
      </c>
      <c r="J84" s="177"/>
      <c r="K84" s="99">
        <f>I84-F84</f>
        <v>0</v>
      </c>
      <c r="L84" s="104"/>
      <c r="M84" s="171"/>
      <c r="N84" s="171"/>
    </row>
    <row r="85" spans="1:17" x14ac:dyDescent="0.25">
      <c r="B85" s="119" t="s">
        <v>140</v>
      </c>
      <c r="C85" s="108"/>
      <c r="D85" s="54"/>
      <c r="E85" s="70"/>
      <c r="F85" s="200">
        <f>SUM(F83:F84)</f>
        <v>2604595.159583346</v>
      </c>
      <c r="G85" s="54"/>
      <c r="H85" s="6"/>
      <c r="I85" s="200">
        <f>SUM(I83:I84)</f>
        <v>2604595.159583346</v>
      </c>
      <c r="J85" s="70"/>
      <c r="K85" s="200">
        <f>SUM(K83:K84)</f>
        <v>0</v>
      </c>
      <c r="L85" s="96">
        <f>ROUND(K85/F85,5)</f>
        <v>0</v>
      </c>
      <c r="M85" s="171"/>
      <c r="N85" s="171"/>
    </row>
    <row r="86" spans="1:17" x14ac:dyDescent="0.25">
      <c r="B86" s="97"/>
      <c r="C86" s="51"/>
      <c r="D86" s="103"/>
      <c r="E86" s="184"/>
      <c r="F86" s="72"/>
      <c r="H86" s="6"/>
      <c r="I86" s="72"/>
      <c r="J86" s="177"/>
      <c r="K86" s="99"/>
      <c r="L86" s="104"/>
      <c r="M86" s="171"/>
      <c r="N86" s="171"/>
    </row>
    <row r="87" spans="1:17" s="51" customFormat="1" x14ac:dyDescent="0.25">
      <c r="B87" s="97" t="s">
        <v>106</v>
      </c>
      <c r="D87" s="103"/>
      <c r="E87" s="70"/>
      <c r="F87" s="200">
        <f>F85+F80</f>
        <v>4595846.3695833459</v>
      </c>
      <c r="G87" s="103"/>
      <c r="H87" s="6"/>
      <c r="I87" s="200">
        <f>I85+I80</f>
        <v>4596630.2895833459</v>
      </c>
      <c r="J87" s="177"/>
      <c r="K87" s="200">
        <f>K85+K80</f>
        <v>783.9199999999837</v>
      </c>
      <c r="L87" s="96">
        <f>K87/F87</f>
        <v>1.7057141100020124E-4</v>
      </c>
      <c r="M87" s="171"/>
      <c r="N87" s="171"/>
    </row>
    <row r="88" spans="1:17" x14ac:dyDescent="0.25">
      <c r="A88" s="51"/>
      <c r="B88" s="188"/>
      <c r="C88" s="153"/>
      <c r="D88" s="124"/>
      <c r="E88" s="243"/>
      <c r="F88" s="123"/>
      <c r="G88" s="124"/>
      <c r="H88" s="232"/>
      <c r="I88" s="241"/>
      <c r="J88" s="233"/>
      <c r="K88" s="193"/>
      <c r="L88" s="155"/>
      <c r="M88" s="171"/>
      <c r="N88" s="171"/>
    </row>
    <row r="89" spans="1:17" s="51" customFormat="1" x14ac:dyDescent="0.25">
      <c r="D89" s="103"/>
      <c r="E89" s="244"/>
      <c r="F89" s="127"/>
      <c r="G89" s="103"/>
      <c r="H89" s="6"/>
      <c r="I89" s="133"/>
      <c r="J89" s="177"/>
      <c r="K89" s="99"/>
      <c r="L89" s="245"/>
      <c r="M89" s="171"/>
      <c r="N89" s="171"/>
    </row>
    <row r="90" spans="1:17" ht="13" x14ac:dyDescent="0.3">
      <c r="A90" s="51"/>
      <c r="B90" s="90" t="s">
        <v>164</v>
      </c>
      <c r="C90" s="174"/>
      <c r="D90" s="175"/>
      <c r="E90" s="222"/>
      <c r="F90" s="95"/>
      <c r="G90" s="175"/>
      <c r="H90" s="224"/>
      <c r="I90" s="200"/>
      <c r="J90" s="225"/>
      <c r="K90" s="95"/>
      <c r="L90" s="109"/>
      <c r="M90" s="171"/>
      <c r="N90" s="171"/>
    </row>
    <row r="91" spans="1:17" x14ac:dyDescent="0.25">
      <c r="A91" s="51"/>
      <c r="B91" s="97"/>
      <c r="C91" s="51"/>
      <c r="D91" s="103"/>
      <c r="E91" s="184"/>
      <c r="F91" s="99"/>
      <c r="G91" s="131"/>
      <c r="H91" s="6"/>
      <c r="I91" s="72"/>
      <c r="J91" s="177"/>
      <c r="K91" s="99"/>
      <c r="L91" s="100"/>
      <c r="M91" s="171"/>
      <c r="N91" s="171"/>
    </row>
    <row r="92" spans="1:17" x14ac:dyDescent="0.25">
      <c r="A92" s="51"/>
      <c r="B92" s="119" t="s">
        <v>100</v>
      </c>
      <c r="C92" s="108" t="s">
        <v>101</v>
      </c>
      <c r="D92" s="103">
        <v>22.033330326537975</v>
      </c>
      <c r="E92" s="6">
        <v>443.44</v>
      </c>
      <c r="F92" s="99">
        <f>ROUND(D92*E92,2)</f>
        <v>9770.4599999999991</v>
      </c>
      <c r="H92" s="6">
        <v>457.76</v>
      </c>
      <c r="I92" s="72">
        <f>ROUND(D92*H92,2)</f>
        <v>10085.98</v>
      </c>
      <c r="J92" s="177"/>
      <c r="K92" s="99">
        <f>I92-F92</f>
        <v>315.52000000000044</v>
      </c>
      <c r="L92" s="100"/>
      <c r="M92" s="171"/>
      <c r="N92" s="171"/>
      <c r="Q92" s="52">
        <f>H92/E92-1</f>
        <v>3.2292982139635606E-2</v>
      </c>
    </row>
    <row r="93" spans="1:17" x14ac:dyDescent="0.25">
      <c r="A93" s="51"/>
      <c r="B93" s="97" t="s">
        <v>131</v>
      </c>
      <c r="C93" s="51" t="s">
        <v>132</v>
      </c>
      <c r="D93" s="103">
        <v>9750</v>
      </c>
      <c r="E93" s="6">
        <v>1.22</v>
      </c>
      <c r="F93" s="99">
        <f>ROUND(D93*E93,2)</f>
        <v>11895</v>
      </c>
      <c r="H93" s="6">
        <f>H73</f>
        <v>1.35</v>
      </c>
      <c r="I93" s="72">
        <f>ROUND(D93*H93,2)</f>
        <v>13162.5</v>
      </c>
      <c r="J93" s="177"/>
      <c r="K93" s="99">
        <f>I93-F93</f>
        <v>1267.5</v>
      </c>
      <c r="L93" s="100"/>
      <c r="M93" s="171"/>
      <c r="N93" s="171"/>
      <c r="Q93" s="52">
        <f>H93/E93-1</f>
        <v>0.10655737704918034</v>
      </c>
    </row>
    <row r="94" spans="1:17" x14ac:dyDescent="0.25">
      <c r="A94" s="51"/>
      <c r="B94" s="97" t="s">
        <v>153</v>
      </c>
      <c r="C94" s="51"/>
      <c r="D94" s="103"/>
      <c r="E94" s="5"/>
      <c r="F94" s="72">
        <v>0</v>
      </c>
      <c r="H94" s="5"/>
      <c r="I94" s="72">
        <f>F94</f>
        <v>0</v>
      </c>
      <c r="J94" s="177"/>
      <c r="K94" s="99">
        <f>I94-F94</f>
        <v>0</v>
      </c>
      <c r="L94" s="100"/>
      <c r="M94" s="171"/>
      <c r="N94" s="171"/>
    </row>
    <row r="95" spans="1:17" x14ac:dyDescent="0.25">
      <c r="A95" s="51"/>
      <c r="B95" s="97"/>
      <c r="C95" s="51"/>
      <c r="D95" s="103"/>
      <c r="E95" s="5"/>
      <c r="F95" s="99"/>
      <c r="H95" s="5"/>
      <c r="I95" s="72"/>
      <c r="J95" s="177"/>
      <c r="K95" s="99"/>
      <c r="L95" s="100"/>
      <c r="M95" s="171"/>
      <c r="N95" s="171"/>
    </row>
    <row r="96" spans="1:17" x14ac:dyDescent="0.25">
      <c r="A96" s="51"/>
      <c r="B96" s="97" t="s">
        <v>133</v>
      </c>
      <c r="C96" s="51"/>
      <c r="D96" s="103"/>
      <c r="E96" s="5"/>
      <c r="F96" s="99"/>
      <c r="H96" s="5"/>
      <c r="I96" s="72"/>
      <c r="J96" s="177"/>
      <c r="K96" s="99"/>
      <c r="L96" s="100"/>
      <c r="M96" s="171"/>
      <c r="N96" s="171"/>
    </row>
    <row r="97" spans="1:17" x14ac:dyDescent="0.25">
      <c r="A97" s="51"/>
      <c r="B97" s="130" t="s">
        <v>162</v>
      </c>
      <c r="C97" s="54" t="s">
        <v>103</v>
      </c>
      <c r="D97" s="103">
        <v>23011.74</v>
      </c>
      <c r="E97" s="5">
        <v>0.19273999999999999</v>
      </c>
      <c r="F97" s="99">
        <f>ROUND(D97*E97,2)</f>
        <v>4435.28</v>
      </c>
      <c r="H97" s="5">
        <f>H78</f>
        <v>0.18351999999999999</v>
      </c>
      <c r="I97" s="72">
        <f>ROUND(D97*H97,2)</f>
        <v>4223.1099999999997</v>
      </c>
      <c r="J97" s="177"/>
      <c r="K97" s="99">
        <f>I97-F97</f>
        <v>-212.17000000000007</v>
      </c>
      <c r="L97" s="100"/>
      <c r="M97" s="171"/>
      <c r="N97" s="171"/>
      <c r="Q97" s="52">
        <f>H97/E97-1</f>
        <v>-4.7836463629760351E-2</v>
      </c>
    </row>
    <row r="98" spans="1:17" x14ac:dyDescent="0.25">
      <c r="A98" s="51"/>
      <c r="B98" s="130" t="s">
        <v>163</v>
      </c>
      <c r="C98" s="54" t="s">
        <v>103</v>
      </c>
      <c r="D98" s="103">
        <v>328276.40999999997</v>
      </c>
      <c r="E98" s="5">
        <v>0.13664000000000001</v>
      </c>
      <c r="F98" s="99">
        <f>ROUND(D98*E98,2)</f>
        <v>44855.69</v>
      </c>
      <c r="H98" s="5">
        <f>H79</f>
        <v>0.13009999999999999</v>
      </c>
      <c r="I98" s="72">
        <f>ROUND(D98*H98,2)</f>
        <v>42708.76</v>
      </c>
      <c r="J98" s="177"/>
      <c r="K98" s="99">
        <f>I98-F98</f>
        <v>-2146.9300000000003</v>
      </c>
      <c r="L98" s="100"/>
      <c r="M98" s="171"/>
      <c r="N98" s="171"/>
      <c r="Q98" s="52">
        <f>H98/E98-1</f>
        <v>-4.7862997658079776E-2</v>
      </c>
    </row>
    <row r="99" spans="1:17" x14ac:dyDescent="0.25">
      <c r="A99" s="51"/>
      <c r="B99" s="119" t="s">
        <v>108</v>
      </c>
      <c r="C99" s="51" t="s">
        <v>103</v>
      </c>
      <c r="D99" s="175">
        <f>SUM(D97:D98)</f>
        <v>351288.14999999997</v>
      </c>
      <c r="E99" s="184"/>
      <c r="F99" s="200">
        <f>SUM(F92:F98)</f>
        <v>70956.429999999993</v>
      </c>
      <c r="H99" s="6"/>
      <c r="I99" s="200">
        <f>SUM(I92:I98)</f>
        <v>70180.350000000006</v>
      </c>
      <c r="J99" s="177"/>
      <c r="K99" s="200">
        <f>SUM(K92:K98)</f>
        <v>-776.07999999999993</v>
      </c>
      <c r="L99" s="96"/>
      <c r="M99" s="171"/>
      <c r="N99" s="171"/>
    </row>
    <row r="100" spans="1:17" x14ac:dyDescent="0.25">
      <c r="A100" s="51"/>
      <c r="B100" s="119"/>
      <c r="C100" s="108"/>
      <c r="D100" s="103"/>
      <c r="E100" s="184"/>
      <c r="F100" s="72"/>
      <c r="H100" s="6"/>
      <c r="I100" s="72"/>
      <c r="J100" s="177"/>
      <c r="K100" s="99"/>
      <c r="L100" s="104"/>
      <c r="M100" s="171"/>
      <c r="N100" s="171"/>
    </row>
    <row r="101" spans="1:17" x14ac:dyDescent="0.25">
      <c r="A101" s="51"/>
      <c r="B101" s="97" t="s">
        <v>126</v>
      </c>
      <c r="C101" s="51" t="s">
        <v>103</v>
      </c>
      <c r="D101" s="229">
        <f>D99</f>
        <v>351288.14999999997</v>
      </c>
      <c r="E101" s="5">
        <v>6.9999999999999999E-4</v>
      </c>
      <c r="F101" s="72">
        <f>E101*D101</f>
        <v>245.90170499999996</v>
      </c>
      <c r="G101" s="230"/>
      <c r="H101" s="5">
        <v>1E-3</v>
      </c>
      <c r="I101" s="99">
        <f>H101*D101</f>
        <v>351.28814999999997</v>
      </c>
      <c r="J101" s="177"/>
      <c r="K101" s="99">
        <f>I101-F101</f>
        <v>105.38644500000001</v>
      </c>
      <c r="L101" s="100"/>
      <c r="M101" s="171"/>
      <c r="N101" s="171"/>
    </row>
    <row r="102" spans="1:17" x14ac:dyDescent="0.25">
      <c r="A102" s="51"/>
      <c r="B102" s="119" t="s">
        <v>106</v>
      </c>
      <c r="C102" s="51"/>
      <c r="D102" s="103"/>
      <c r="E102" s="6"/>
      <c r="F102" s="200">
        <f>F101+F99</f>
        <v>71202.33170499999</v>
      </c>
      <c r="G102" s="200"/>
      <c r="H102" s="6"/>
      <c r="I102" s="200">
        <f>I101+I99</f>
        <v>70531.638149999999</v>
      </c>
      <c r="J102" s="70"/>
      <c r="K102" s="200">
        <f>K101+K99</f>
        <v>-670.69355499999995</v>
      </c>
      <c r="L102" s="109"/>
      <c r="M102" s="171"/>
      <c r="N102" s="171"/>
    </row>
    <row r="103" spans="1:17" x14ac:dyDescent="0.25">
      <c r="A103" s="51"/>
      <c r="B103" s="188"/>
      <c r="C103" s="153"/>
      <c r="D103" s="124"/>
      <c r="E103" s="231"/>
      <c r="F103" s="193"/>
      <c r="G103" s="124"/>
      <c r="H103" s="232"/>
      <c r="I103" s="237"/>
      <c r="J103" s="233"/>
      <c r="K103" s="193"/>
      <c r="L103" s="194"/>
      <c r="M103" s="171"/>
      <c r="N103" s="171"/>
    </row>
    <row r="104" spans="1:17" s="51" customFormat="1" x14ac:dyDescent="0.25">
      <c r="D104" s="103"/>
      <c r="E104" s="244"/>
      <c r="F104" s="127"/>
      <c r="G104" s="103"/>
      <c r="H104" s="6"/>
      <c r="I104" s="133"/>
      <c r="J104" s="177"/>
      <c r="K104" s="99"/>
      <c r="L104" s="245"/>
      <c r="M104" s="171"/>
      <c r="N104" s="171"/>
    </row>
    <row r="105" spans="1:17" ht="13" x14ac:dyDescent="0.3">
      <c r="A105" s="51"/>
      <c r="B105" s="90" t="s">
        <v>165</v>
      </c>
      <c r="C105" s="174"/>
      <c r="D105" s="175"/>
      <c r="E105" s="222"/>
      <c r="F105" s="95"/>
      <c r="G105" s="175"/>
      <c r="H105" s="224"/>
      <c r="I105" s="200"/>
      <c r="J105" s="225"/>
      <c r="K105" s="95"/>
      <c r="L105" s="109"/>
      <c r="M105" s="171"/>
      <c r="N105" s="171"/>
    </row>
    <row r="106" spans="1:17" x14ac:dyDescent="0.25">
      <c r="A106" s="51"/>
      <c r="B106" s="97"/>
      <c r="C106" s="51"/>
      <c r="D106" s="103"/>
      <c r="E106" s="184"/>
      <c r="F106" s="99"/>
      <c r="G106" s="131"/>
      <c r="H106" s="6"/>
      <c r="I106" s="72"/>
      <c r="J106" s="177"/>
      <c r="K106" s="99"/>
      <c r="L106" s="100"/>
      <c r="M106" s="171"/>
      <c r="N106" s="171"/>
    </row>
    <row r="107" spans="1:17" x14ac:dyDescent="0.25">
      <c r="A107" s="51"/>
      <c r="B107" s="119" t="s">
        <v>100</v>
      </c>
      <c r="C107" s="108" t="s">
        <v>101</v>
      </c>
      <c r="D107" s="103">
        <f>D72+D92</f>
        <v>2683.5898424277325</v>
      </c>
      <c r="E107" s="6"/>
      <c r="F107" s="99">
        <f>F72+F92</f>
        <v>380684.98000000004</v>
      </c>
      <c r="H107" s="6"/>
      <c r="I107" s="99">
        <f>I72+I92</f>
        <v>406178.82</v>
      </c>
      <c r="J107" s="177"/>
      <c r="K107" s="99">
        <f>I107-F107</f>
        <v>25493.839999999967</v>
      </c>
      <c r="L107" s="100"/>
      <c r="M107" s="171"/>
      <c r="N107" s="171"/>
    </row>
    <row r="108" spans="1:17" x14ac:dyDescent="0.25">
      <c r="A108" s="51"/>
      <c r="B108" s="97" t="s">
        <v>131</v>
      </c>
      <c r="C108" s="51" t="s">
        <v>132</v>
      </c>
      <c r="D108" s="103">
        <f>D73+D93</f>
        <v>92151.308999999994</v>
      </c>
      <c r="E108" s="6"/>
      <c r="F108" s="99">
        <f>F73+F93</f>
        <v>112424.6</v>
      </c>
      <c r="H108" s="6"/>
      <c r="I108" s="99">
        <f>I73+I93</f>
        <v>124404.27</v>
      </c>
      <c r="J108" s="177"/>
      <c r="K108" s="99">
        <f>I108-F108</f>
        <v>11979.669999999998</v>
      </c>
      <c r="L108" s="100"/>
      <c r="M108" s="171"/>
      <c r="N108" s="171"/>
    </row>
    <row r="109" spans="1:17" x14ac:dyDescent="0.25">
      <c r="A109" s="51"/>
      <c r="B109" s="97" t="s">
        <v>124</v>
      </c>
      <c r="C109" s="51" t="s">
        <v>103</v>
      </c>
      <c r="D109" s="103">
        <f>D74</f>
        <v>9397200.2729263548</v>
      </c>
      <c r="E109" s="5"/>
      <c r="F109" s="99">
        <f>F74</f>
        <v>85232.61</v>
      </c>
      <c r="H109" s="5"/>
      <c r="I109" s="99">
        <f>I74</f>
        <v>117089.12</v>
      </c>
      <c r="J109" s="177"/>
      <c r="K109" s="99">
        <f>I109-F109</f>
        <v>31856.509999999995</v>
      </c>
      <c r="L109" s="100"/>
      <c r="M109" s="171"/>
      <c r="N109" s="171"/>
    </row>
    <row r="110" spans="1:17" x14ac:dyDescent="0.25">
      <c r="A110" s="51"/>
      <c r="B110" s="97" t="s">
        <v>153</v>
      </c>
      <c r="C110" s="51"/>
      <c r="D110" s="103"/>
      <c r="E110" s="5"/>
      <c r="F110" s="72">
        <f>F75+F94</f>
        <v>35297.54</v>
      </c>
      <c r="H110" s="5"/>
      <c r="I110" s="72">
        <f>I75+I94</f>
        <v>35297.54</v>
      </c>
      <c r="J110" s="177"/>
      <c r="K110" s="99">
        <f>I110-F110</f>
        <v>0</v>
      </c>
      <c r="L110" s="100"/>
      <c r="M110" s="171"/>
      <c r="N110" s="171"/>
    </row>
    <row r="111" spans="1:17" x14ac:dyDescent="0.25">
      <c r="A111" s="51"/>
      <c r="B111" s="97"/>
      <c r="C111" s="51"/>
      <c r="D111" s="103"/>
      <c r="E111" s="5"/>
      <c r="F111" s="99"/>
      <c r="H111" s="5"/>
      <c r="I111" s="99"/>
      <c r="J111" s="177"/>
      <c r="K111" s="99"/>
      <c r="L111" s="100"/>
      <c r="M111" s="171"/>
      <c r="N111" s="171"/>
    </row>
    <row r="112" spans="1:17" x14ac:dyDescent="0.25">
      <c r="A112" s="51"/>
      <c r="B112" s="97" t="s">
        <v>133</v>
      </c>
      <c r="C112" s="51"/>
      <c r="D112" s="103"/>
      <c r="E112" s="5"/>
      <c r="F112" s="99"/>
      <c r="H112" s="5"/>
      <c r="I112" s="99"/>
      <c r="J112" s="177"/>
      <c r="K112" s="99"/>
      <c r="L112" s="100"/>
      <c r="M112" s="171"/>
      <c r="N112" s="171"/>
    </row>
    <row r="113" spans="1:15" x14ac:dyDescent="0.25">
      <c r="A113" s="51"/>
      <c r="B113" s="130" t="s">
        <v>162</v>
      </c>
      <c r="C113" s="54" t="s">
        <v>103</v>
      </c>
      <c r="D113" s="103">
        <f>D78+D97</f>
        <v>2077263.0070000002</v>
      </c>
      <c r="E113" s="5"/>
      <c r="F113" s="99">
        <f>F78+F97</f>
        <v>400371.67000000004</v>
      </c>
      <c r="H113" s="5"/>
      <c r="I113" s="99">
        <f>I78+I97</f>
        <v>381219.3</v>
      </c>
      <c r="J113" s="177"/>
      <c r="K113" s="99">
        <f>I113-F113</f>
        <v>-19152.370000000054</v>
      </c>
      <c r="L113" s="100"/>
      <c r="M113" s="171"/>
      <c r="N113" s="171"/>
    </row>
    <row r="114" spans="1:15" x14ac:dyDescent="0.25">
      <c r="A114" s="51"/>
      <c r="B114" s="130" t="s">
        <v>163</v>
      </c>
      <c r="C114" s="54" t="s">
        <v>103</v>
      </c>
      <c r="D114" s="103">
        <f>D79+D98</f>
        <v>7671225.415926354</v>
      </c>
      <c r="E114" s="5"/>
      <c r="F114" s="99">
        <f>F79+F98</f>
        <v>1048196.24</v>
      </c>
      <c r="H114" s="5"/>
      <c r="I114" s="99">
        <f>I79+I98</f>
        <v>998026.43</v>
      </c>
      <c r="J114" s="177"/>
      <c r="K114" s="99">
        <f>I114-F114</f>
        <v>-50169.809999999939</v>
      </c>
      <c r="L114" s="100"/>
      <c r="M114" s="171"/>
      <c r="N114" s="171"/>
    </row>
    <row r="115" spans="1:15" x14ac:dyDescent="0.25">
      <c r="A115" s="51"/>
      <c r="B115" s="119" t="s">
        <v>108</v>
      </c>
      <c r="C115" s="51" t="s">
        <v>103</v>
      </c>
      <c r="D115" s="175">
        <f>SUM(D113:D114)</f>
        <v>9748488.4229263552</v>
      </c>
      <c r="E115" s="184"/>
      <c r="F115" s="200">
        <f>SUM(F107:F114)</f>
        <v>2062207.6400000001</v>
      </c>
      <c r="H115" s="6"/>
      <c r="I115" s="200">
        <f>SUM(I107:I114)</f>
        <v>2062215.48</v>
      </c>
      <c r="J115" s="177"/>
      <c r="K115" s="200">
        <f>SUM(K107:K114)</f>
        <v>7.8399999999674037</v>
      </c>
      <c r="L115" s="96">
        <f>K115/F115</f>
        <v>3.8017510205555261E-6</v>
      </c>
      <c r="M115" s="171"/>
      <c r="N115" s="171"/>
    </row>
    <row r="116" spans="1:15" x14ac:dyDescent="0.25">
      <c r="A116" s="51"/>
      <c r="B116" s="119"/>
      <c r="C116" s="108"/>
      <c r="D116" s="103"/>
      <c r="E116" s="184"/>
      <c r="F116" s="72"/>
      <c r="H116" s="6"/>
      <c r="I116" s="72"/>
      <c r="J116" s="177"/>
      <c r="K116" s="99"/>
      <c r="L116" s="104"/>
      <c r="M116" s="171"/>
      <c r="N116" s="171"/>
    </row>
    <row r="117" spans="1:15" x14ac:dyDescent="0.25">
      <c r="A117" s="51"/>
      <c r="B117" s="97" t="s">
        <v>105</v>
      </c>
      <c r="C117" s="108"/>
      <c r="D117" s="103"/>
      <c r="E117" s="184"/>
      <c r="F117" s="72"/>
      <c r="H117" s="6"/>
      <c r="I117" s="72"/>
      <c r="J117" s="177"/>
      <c r="K117" s="99"/>
      <c r="L117" s="104"/>
      <c r="M117" s="171"/>
      <c r="N117" s="171"/>
    </row>
    <row r="118" spans="1:15" x14ac:dyDescent="0.25">
      <c r="A118" s="51"/>
      <c r="B118" s="97" t="s">
        <v>139</v>
      </c>
      <c r="C118" s="51" t="s">
        <v>103</v>
      </c>
      <c r="D118" s="229">
        <f>D115</f>
        <v>9748488.4229263552</v>
      </c>
      <c r="E118" s="5"/>
      <c r="F118" s="72">
        <f>F83</f>
        <v>2518073.785133346</v>
      </c>
      <c r="G118" s="230"/>
      <c r="H118" s="5"/>
      <c r="I118" s="72">
        <f>I83</f>
        <v>2518073.785133346</v>
      </c>
      <c r="J118" s="177"/>
      <c r="K118" s="99">
        <f>I118-F118</f>
        <v>0</v>
      </c>
      <c r="L118" s="100"/>
      <c r="M118" s="171"/>
      <c r="N118" s="171"/>
    </row>
    <row r="119" spans="1:15" x14ac:dyDescent="0.25">
      <c r="A119" s="51"/>
      <c r="B119" s="97" t="s">
        <v>131</v>
      </c>
      <c r="C119" s="51" t="s">
        <v>132</v>
      </c>
      <c r="D119" s="229">
        <f>D108</f>
        <v>92151.308999999994</v>
      </c>
      <c r="E119" s="6"/>
      <c r="F119" s="72">
        <f>F84</f>
        <v>86521.374450000003</v>
      </c>
      <c r="G119" s="230"/>
      <c r="H119" s="6"/>
      <c r="I119" s="72">
        <f>I84</f>
        <v>86521.374450000003</v>
      </c>
      <c r="J119" s="177"/>
      <c r="K119" s="99">
        <f>I119-F119</f>
        <v>0</v>
      </c>
      <c r="L119" s="104"/>
      <c r="M119" s="171"/>
      <c r="N119" s="171"/>
    </row>
    <row r="120" spans="1:15" x14ac:dyDescent="0.25">
      <c r="A120" s="51"/>
      <c r="B120" s="97" t="s">
        <v>126</v>
      </c>
      <c r="C120" s="51" t="s">
        <v>103</v>
      </c>
      <c r="D120" s="229">
        <f>D118</f>
        <v>9748488.4229263552</v>
      </c>
      <c r="E120" s="6"/>
      <c r="F120" s="72">
        <f>F101</f>
        <v>245.90170499999996</v>
      </c>
      <c r="G120" s="230"/>
      <c r="H120" s="6"/>
      <c r="I120" s="72">
        <f>I101</f>
        <v>351.28814999999997</v>
      </c>
      <c r="J120" s="177"/>
      <c r="K120" s="99">
        <f>I120-F120</f>
        <v>105.38644500000001</v>
      </c>
      <c r="L120" s="104"/>
      <c r="M120" s="171"/>
      <c r="N120" s="171"/>
    </row>
    <row r="121" spans="1:15" x14ac:dyDescent="0.25">
      <c r="A121" s="51"/>
      <c r="B121" s="119" t="s">
        <v>140</v>
      </c>
      <c r="C121" s="108"/>
      <c r="D121" s="54"/>
      <c r="E121" s="70"/>
      <c r="F121" s="200">
        <f>SUM(F118:F120)</f>
        <v>2604841.0612883461</v>
      </c>
      <c r="G121" s="54"/>
      <c r="H121" s="6"/>
      <c r="I121" s="200">
        <f>SUM(I118:I120)</f>
        <v>2604946.4477333459</v>
      </c>
      <c r="J121" s="70"/>
      <c r="K121" s="200">
        <f>SUM(K118:K120)</f>
        <v>105.38644500000001</v>
      </c>
      <c r="L121" s="96">
        <f>ROUND(K121/F121,5)</f>
        <v>4.0000000000000003E-5</v>
      </c>
      <c r="M121" s="171"/>
      <c r="N121" s="171"/>
    </row>
    <row r="122" spans="1:15" x14ac:dyDescent="0.25">
      <c r="A122" s="51"/>
      <c r="B122" s="119"/>
      <c r="C122" s="108"/>
      <c r="D122" s="54"/>
      <c r="E122" s="70"/>
      <c r="F122" s="72"/>
      <c r="G122" s="54"/>
      <c r="H122" s="6"/>
      <c r="I122" s="72"/>
      <c r="J122" s="70"/>
      <c r="K122" s="72"/>
      <c r="L122" s="100"/>
      <c r="M122" s="171"/>
      <c r="N122" s="171"/>
    </row>
    <row r="123" spans="1:15" x14ac:dyDescent="0.25">
      <c r="A123" s="51"/>
      <c r="B123" s="119" t="s">
        <v>106</v>
      </c>
      <c r="C123" s="108"/>
      <c r="D123" s="54"/>
      <c r="E123" s="70"/>
      <c r="F123" s="200">
        <f>F115+F121</f>
        <v>4667048.7012883462</v>
      </c>
      <c r="G123" s="54"/>
      <c r="H123" s="6"/>
      <c r="I123" s="200">
        <f>I115+I121</f>
        <v>4667161.9277333459</v>
      </c>
      <c r="J123" s="70"/>
      <c r="K123" s="200">
        <f>K115+K121</f>
        <v>113.22644499996741</v>
      </c>
      <c r="L123" s="96">
        <f>ROUND(K123/F123,5)</f>
        <v>2.0000000000000002E-5</v>
      </c>
      <c r="M123" s="171"/>
      <c r="N123" s="171"/>
    </row>
    <row r="124" spans="1:15" x14ac:dyDescent="0.25">
      <c r="A124" s="51"/>
      <c r="B124" s="188"/>
      <c r="C124" s="153"/>
      <c r="D124" s="124"/>
      <c r="E124" s="231"/>
      <c r="F124" s="193"/>
      <c r="G124" s="124"/>
      <c r="H124" s="232"/>
      <c r="I124" s="237"/>
      <c r="J124" s="233"/>
      <c r="K124" s="193"/>
      <c r="L124" s="155"/>
      <c r="M124" s="171"/>
      <c r="N124" s="171"/>
    </row>
    <row r="125" spans="1:15" s="51" customFormat="1" x14ac:dyDescent="0.25">
      <c r="B125" s="54"/>
      <c r="C125" s="54"/>
      <c r="D125" s="103"/>
      <c r="E125" s="244"/>
      <c r="F125" s="127"/>
      <c r="G125" s="103"/>
      <c r="H125" s="6"/>
      <c r="I125" s="133"/>
      <c r="J125" s="234"/>
      <c r="K125" s="127"/>
      <c r="L125" s="27"/>
      <c r="M125" s="171"/>
      <c r="N125" s="171"/>
    </row>
    <row r="126" spans="1:15" s="51" customFormat="1" x14ac:dyDescent="0.25">
      <c r="B126" s="54"/>
      <c r="C126" s="54"/>
      <c r="D126" s="103"/>
      <c r="E126" s="5"/>
      <c r="F126" s="127"/>
      <c r="G126" s="103"/>
      <c r="H126" s="6"/>
      <c r="I126" s="133"/>
      <c r="J126" s="234"/>
      <c r="K126" s="127"/>
      <c r="L126" s="27"/>
      <c r="M126" s="171"/>
      <c r="N126" s="171"/>
    </row>
    <row r="127" spans="1:15" ht="13" x14ac:dyDescent="0.3">
      <c r="B127" s="90" t="s">
        <v>166</v>
      </c>
      <c r="C127" s="174"/>
      <c r="D127" s="175"/>
      <c r="E127" s="222"/>
      <c r="F127" s="95"/>
      <c r="G127" s="175"/>
      <c r="H127" s="224"/>
      <c r="I127" s="200"/>
      <c r="J127" s="225"/>
      <c r="K127" s="95"/>
      <c r="L127" s="96"/>
      <c r="M127" s="171"/>
      <c r="N127" s="171"/>
      <c r="O127" s="51"/>
    </row>
    <row r="128" spans="1:15" x14ac:dyDescent="0.25">
      <c r="B128" s="97"/>
      <c r="C128" s="51"/>
      <c r="D128" s="103"/>
      <c r="E128" s="184"/>
      <c r="F128" s="99"/>
      <c r="H128" s="6"/>
      <c r="I128" s="72"/>
      <c r="J128" s="177"/>
      <c r="K128" s="99"/>
      <c r="L128" s="100"/>
      <c r="M128" s="171"/>
      <c r="N128" s="171"/>
      <c r="O128" s="7" t="s">
        <v>167</v>
      </c>
    </row>
    <row r="129" spans="2:17" x14ac:dyDescent="0.25">
      <c r="B129" s="119" t="s">
        <v>100</v>
      </c>
      <c r="C129" s="108" t="s">
        <v>101</v>
      </c>
      <c r="D129" s="103">
        <v>60.025001175986063</v>
      </c>
      <c r="E129" s="6">
        <v>557.39</v>
      </c>
      <c r="F129" s="99">
        <f>ROUND(D129*E129,2)</f>
        <v>33457.339999999997</v>
      </c>
      <c r="H129" s="6">
        <v>606.5</v>
      </c>
      <c r="I129" s="72">
        <f>ROUND(D129*H129,2)</f>
        <v>36405.160000000003</v>
      </c>
      <c r="J129" s="177"/>
      <c r="K129" s="99">
        <f>I129-F129</f>
        <v>2947.820000000007</v>
      </c>
      <c r="L129" s="148"/>
      <c r="M129" s="171"/>
      <c r="N129" s="171"/>
      <c r="O129" s="106">
        <f>'Exh. JDT-14 Pg. 1 (BR-11)'!N18</f>
        <v>1432876.7969129127</v>
      </c>
      <c r="Q129" s="52">
        <f>H129/E129-1</f>
        <v>8.8107070453363079E-2</v>
      </c>
    </row>
    <row r="130" spans="2:17" x14ac:dyDescent="0.25">
      <c r="B130" s="97" t="s">
        <v>131</v>
      </c>
      <c r="C130" s="51" t="s">
        <v>132</v>
      </c>
      <c r="D130" s="103">
        <v>0</v>
      </c>
      <c r="E130" s="6">
        <v>1.38</v>
      </c>
      <c r="F130" s="99">
        <f>ROUND(D130*E130,2)</f>
        <v>0</v>
      </c>
      <c r="H130" s="6">
        <v>1.45</v>
      </c>
      <c r="I130" s="72">
        <f>ROUND(D130*H130,2)</f>
        <v>0</v>
      </c>
      <c r="J130" s="177"/>
      <c r="K130" s="99">
        <f>I130-F130</f>
        <v>0</v>
      </c>
      <c r="L130" s="148"/>
      <c r="M130" s="171"/>
      <c r="N130" s="171"/>
      <c r="O130" s="106" t="s">
        <v>104</v>
      </c>
      <c r="Q130" s="52">
        <f>H130/E130-1</f>
        <v>5.0724637681159424E-2</v>
      </c>
    </row>
    <row r="131" spans="2:17" x14ac:dyDescent="0.25">
      <c r="B131" s="97" t="s">
        <v>124</v>
      </c>
      <c r="C131" s="51"/>
      <c r="D131" s="103">
        <f>D141</f>
        <v>23337042.118500695</v>
      </c>
      <c r="E131" s="5">
        <v>5.94E-3</v>
      </c>
      <c r="F131" s="99">
        <f>ROUND(D131*E131,2)</f>
        <v>138622.03</v>
      </c>
      <c r="H131" s="5">
        <v>8.4499999999999992E-3</v>
      </c>
      <c r="I131" s="99">
        <f>ROUND(D131*H131,2)</f>
        <v>197198.01</v>
      </c>
      <c r="J131" s="177"/>
      <c r="K131" s="99">
        <f>I131-F131</f>
        <v>58575.98000000001</v>
      </c>
      <c r="L131" s="148"/>
      <c r="M131" s="171"/>
      <c r="N131" s="171"/>
      <c r="O131" s="110">
        <f>+K141+K164-O129</f>
        <v>-107.24691291293129</v>
      </c>
      <c r="Q131" s="52">
        <f>H131/E131-1</f>
        <v>0.42255892255892236</v>
      </c>
    </row>
    <row r="132" spans="2:17" x14ac:dyDescent="0.25">
      <c r="B132" s="130" t="s">
        <v>153</v>
      </c>
      <c r="C132" s="54"/>
      <c r="D132" s="103"/>
      <c r="E132" s="6"/>
      <c r="F132" s="133">
        <v>34827.85</v>
      </c>
      <c r="H132" s="5" t="s">
        <v>86</v>
      </c>
      <c r="I132" s="72">
        <f>F132</f>
        <v>34827.85</v>
      </c>
      <c r="J132" s="177"/>
      <c r="K132" s="99">
        <f>I132-F132</f>
        <v>0</v>
      </c>
      <c r="L132" s="148"/>
      <c r="M132" s="171"/>
      <c r="N132" s="171"/>
      <c r="O132" s="246"/>
    </row>
    <row r="133" spans="2:17" x14ac:dyDescent="0.25">
      <c r="B133" s="97"/>
      <c r="C133" s="51"/>
      <c r="D133" s="103"/>
      <c r="E133" s="70"/>
      <c r="F133" s="99"/>
      <c r="H133" s="5"/>
      <c r="I133" s="72"/>
      <c r="J133" s="177"/>
      <c r="K133" s="137"/>
      <c r="L133" s="148"/>
      <c r="M133" s="171"/>
      <c r="N133" s="171"/>
      <c r="O133" s="116">
        <v>0.34708299999999997</v>
      </c>
    </row>
    <row r="134" spans="2:17" x14ac:dyDescent="0.25">
      <c r="B134" s="97" t="s">
        <v>133</v>
      </c>
      <c r="C134" s="51"/>
      <c r="D134" s="103"/>
      <c r="E134" s="70"/>
      <c r="F134" s="99"/>
      <c r="H134" s="5"/>
      <c r="I134" s="72"/>
      <c r="J134" s="177"/>
      <c r="K134" s="137"/>
      <c r="L134" s="148"/>
      <c r="M134" s="171"/>
      <c r="N134" s="171"/>
      <c r="O134" s="247"/>
      <c r="P134" s="18"/>
      <c r="Q134" s="18"/>
    </row>
    <row r="135" spans="2:17" x14ac:dyDescent="0.25">
      <c r="B135" s="97" t="s">
        <v>154</v>
      </c>
      <c r="C135" s="51" t="s">
        <v>103</v>
      </c>
      <c r="D135" s="103">
        <v>1500625.1839999999</v>
      </c>
      <c r="E135" s="5">
        <v>0.1391</v>
      </c>
      <c r="F135" s="99">
        <f t="shared" ref="F135:F140" si="0">ROUND(D135*E135,2)</f>
        <v>208736.96</v>
      </c>
      <c r="H135" s="5">
        <f t="shared" ref="H135:H140" si="1">ROUND(E135*(1+$O$133),5)</f>
        <v>0.18737999999999999</v>
      </c>
      <c r="I135" s="72">
        <f t="shared" ref="I135:I140" si="2">ROUND(D135*H135,2)</f>
        <v>281187.15000000002</v>
      </c>
      <c r="J135" s="177"/>
      <c r="K135" s="99">
        <f t="shared" ref="K135:K140" si="3">I135-F135</f>
        <v>72450.190000000031</v>
      </c>
      <c r="L135" s="148"/>
      <c r="M135" s="171"/>
      <c r="N135" s="171"/>
      <c r="O135" s="137"/>
      <c r="P135" s="17"/>
      <c r="Q135" s="52">
        <f t="shared" ref="Q135:Q140" si="4">H135/E135-1</f>
        <v>0.34708842559309838</v>
      </c>
    </row>
    <row r="136" spans="2:17" x14ac:dyDescent="0.25">
      <c r="B136" s="97" t="s">
        <v>155</v>
      </c>
      <c r="C136" s="51" t="s">
        <v>103</v>
      </c>
      <c r="D136" s="103">
        <v>1470839.4029999999</v>
      </c>
      <c r="E136" s="5">
        <v>8.4059999999999996E-2</v>
      </c>
      <c r="F136" s="99">
        <f t="shared" si="0"/>
        <v>123638.76</v>
      </c>
      <c r="H136" s="5">
        <f t="shared" si="1"/>
        <v>0.11323999999999999</v>
      </c>
      <c r="I136" s="72">
        <f t="shared" si="2"/>
        <v>166557.85</v>
      </c>
      <c r="J136" s="177"/>
      <c r="K136" s="99">
        <f t="shared" si="3"/>
        <v>42919.090000000011</v>
      </c>
      <c r="L136" s="148"/>
      <c r="M136" s="171"/>
      <c r="N136" s="171"/>
      <c r="O136" s="135"/>
      <c r="P136" s="51"/>
      <c r="Q136" s="52">
        <f t="shared" si="4"/>
        <v>0.34713300023792537</v>
      </c>
    </row>
    <row r="137" spans="2:17" x14ac:dyDescent="0.25">
      <c r="B137" s="97" t="s">
        <v>158</v>
      </c>
      <c r="C137" s="51" t="s">
        <v>103</v>
      </c>
      <c r="D137" s="103">
        <v>2603460.2510000002</v>
      </c>
      <c r="E137" s="5">
        <v>5.3490000000000003E-2</v>
      </c>
      <c r="F137" s="99">
        <f t="shared" si="0"/>
        <v>139259.09</v>
      </c>
      <c r="H137" s="5">
        <f t="shared" si="1"/>
        <v>7.2059999999999999E-2</v>
      </c>
      <c r="I137" s="72">
        <f t="shared" si="2"/>
        <v>187605.35</v>
      </c>
      <c r="J137" s="177"/>
      <c r="K137" s="99">
        <f t="shared" si="3"/>
        <v>48346.260000000009</v>
      </c>
      <c r="L137" s="100"/>
      <c r="M137" s="171"/>
      <c r="N137" s="171"/>
      <c r="O137" s="108"/>
      <c r="P137" s="108"/>
      <c r="Q137" s="52">
        <f t="shared" si="4"/>
        <v>0.34716769489624211</v>
      </c>
    </row>
    <row r="138" spans="2:17" x14ac:dyDescent="0.25">
      <c r="B138" s="97" t="s">
        <v>168</v>
      </c>
      <c r="C138" s="51" t="s">
        <v>103</v>
      </c>
      <c r="D138" s="103">
        <v>3197116.5289999996</v>
      </c>
      <c r="E138" s="5">
        <v>3.4299999999999997E-2</v>
      </c>
      <c r="F138" s="99">
        <f t="shared" si="0"/>
        <v>109661.1</v>
      </c>
      <c r="H138" s="5">
        <f t="shared" si="1"/>
        <v>4.6199999999999998E-2</v>
      </c>
      <c r="I138" s="72">
        <f t="shared" si="2"/>
        <v>147706.78</v>
      </c>
      <c r="J138" s="177"/>
      <c r="K138" s="99">
        <f t="shared" si="3"/>
        <v>38045.679999999993</v>
      </c>
      <c r="L138" s="100"/>
      <c r="M138" s="171"/>
      <c r="N138" s="171"/>
      <c r="O138" s="51"/>
      <c r="P138" s="51"/>
      <c r="Q138" s="52">
        <f t="shared" si="4"/>
        <v>0.34693877551020424</v>
      </c>
    </row>
    <row r="139" spans="2:17" x14ac:dyDescent="0.25">
      <c r="B139" s="97" t="s">
        <v>169</v>
      </c>
      <c r="C139" s="51" t="s">
        <v>103</v>
      </c>
      <c r="D139" s="103">
        <v>3739136.7420000001</v>
      </c>
      <c r="E139" s="5">
        <v>2.4680000000000001E-2</v>
      </c>
      <c r="F139" s="99">
        <f t="shared" si="0"/>
        <v>92281.89</v>
      </c>
      <c r="H139" s="5">
        <f t="shared" si="1"/>
        <v>3.3250000000000002E-2</v>
      </c>
      <c r="I139" s="72">
        <f t="shared" si="2"/>
        <v>124326.3</v>
      </c>
      <c r="J139" s="177"/>
      <c r="K139" s="99">
        <f t="shared" si="3"/>
        <v>32044.410000000003</v>
      </c>
      <c r="L139" s="100"/>
      <c r="M139" s="171"/>
      <c r="N139" s="171"/>
      <c r="P139" s="51"/>
      <c r="Q139" s="52">
        <f t="shared" si="4"/>
        <v>0.3472447325769854</v>
      </c>
    </row>
    <row r="140" spans="2:17" x14ac:dyDescent="0.25">
      <c r="B140" s="97" t="s">
        <v>170</v>
      </c>
      <c r="C140" s="51" t="s">
        <v>103</v>
      </c>
      <c r="D140" s="103">
        <v>10825864.009500694</v>
      </c>
      <c r="E140" s="5">
        <v>1.9029999999999998E-2</v>
      </c>
      <c r="F140" s="99">
        <f t="shared" si="0"/>
        <v>206016.19</v>
      </c>
      <c r="H140" s="5">
        <f t="shared" si="1"/>
        <v>2.563E-2</v>
      </c>
      <c r="I140" s="72">
        <f t="shared" si="2"/>
        <v>277466.89</v>
      </c>
      <c r="J140" s="177"/>
      <c r="K140" s="99">
        <f t="shared" si="3"/>
        <v>71450.700000000012</v>
      </c>
      <c r="L140" s="100"/>
      <c r="M140" s="171"/>
      <c r="N140" s="171"/>
      <c r="O140" s="51"/>
      <c r="P140" s="108"/>
      <c r="Q140" s="52">
        <f t="shared" si="4"/>
        <v>0.34682080924855496</v>
      </c>
    </row>
    <row r="141" spans="2:17" x14ac:dyDescent="0.25">
      <c r="B141" s="119" t="s">
        <v>108</v>
      </c>
      <c r="C141" s="51" t="s">
        <v>103</v>
      </c>
      <c r="D141" s="175">
        <f>SUM(D135:D140)</f>
        <v>23337042.118500695</v>
      </c>
      <c r="E141" s="184"/>
      <c r="F141" s="200">
        <f>SUM(F129:F140)</f>
        <v>1086501.21</v>
      </c>
      <c r="H141" s="6"/>
      <c r="I141" s="200">
        <f>SUM(I129:I140)</f>
        <v>1453281.3399999999</v>
      </c>
      <c r="J141" s="177"/>
      <c r="K141" s="200">
        <f>I141-F141</f>
        <v>366780.12999999989</v>
      </c>
      <c r="L141" s="96">
        <f>K141/F141</f>
        <v>0.3375791270402726</v>
      </c>
      <c r="M141" s="171"/>
      <c r="N141" s="171"/>
      <c r="O141" s="51"/>
      <c r="P141" s="41"/>
      <c r="Q141" s="30"/>
    </row>
    <row r="142" spans="2:17" x14ac:dyDescent="0.25">
      <c r="B142" s="119"/>
      <c r="C142" s="108"/>
      <c r="D142" s="103"/>
      <c r="E142" s="184"/>
      <c r="F142" s="99"/>
      <c r="H142" s="6"/>
      <c r="I142" s="72"/>
      <c r="J142" s="177"/>
      <c r="K142" s="99"/>
      <c r="L142" s="104"/>
      <c r="M142" s="171"/>
      <c r="N142" s="198"/>
      <c r="O142" s="248"/>
      <c r="P142" s="51"/>
      <c r="Q142" s="103"/>
    </row>
    <row r="143" spans="2:17" x14ac:dyDescent="0.25">
      <c r="B143" s="97" t="s">
        <v>105</v>
      </c>
      <c r="C143" s="108"/>
      <c r="D143" s="103"/>
      <c r="E143" s="184"/>
      <c r="F143" s="99"/>
      <c r="H143" s="6"/>
      <c r="I143" s="72"/>
      <c r="J143" s="177"/>
      <c r="K143" s="99"/>
      <c r="L143" s="104"/>
      <c r="M143" s="171"/>
      <c r="N143" s="171"/>
      <c r="O143" s="108"/>
      <c r="P143" s="108"/>
      <c r="Q143" s="54"/>
    </row>
    <row r="144" spans="2:17" x14ac:dyDescent="0.25">
      <c r="B144" s="97" t="s">
        <v>139</v>
      </c>
      <c r="C144" s="51" t="s">
        <v>103</v>
      </c>
      <c r="D144" s="229">
        <f>D141</f>
        <v>23337042.118500695</v>
      </c>
      <c r="E144" s="5">
        <v>0.27044000000000001</v>
      </c>
      <c r="F144" s="72">
        <f>+E144*D144</f>
        <v>6311269.6705273278</v>
      </c>
      <c r="G144" s="230"/>
      <c r="H144" s="5">
        <f>E144</f>
        <v>0.27044000000000001</v>
      </c>
      <c r="I144" s="72">
        <f>+H144*D144</f>
        <v>6311269.6705273278</v>
      </c>
      <c r="J144" s="177"/>
      <c r="K144" s="99">
        <f>I144-F144</f>
        <v>0</v>
      </c>
      <c r="L144" s="100"/>
      <c r="M144" s="171"/>
      <c r="N144" s="171"/>
      <c r="O144" s="51"/>
      <c r="P144" s="51"/>
      <c r="Q144" s="54"/>
    </row>
    <row r="145" spans="1:17" x14ac:dyDescent="0.25">
      <c r="B145" s="97" t="s">
        <v>131</v>
      </c>
      <c r="C145" s="51" t="s">
        <v>132</v>
      </c>
      <c r="D145" s="229">
        <f>D130</f>
        <v>0</v>
      </c>
      <c r="E145" s="6">
        <v>1.05</v>
      </c>
      <c r="F145" s="72">
        <f>D145*E145</f>
        <v>0</v>
      </c>
      <c r="G145" s="230"/>
      <c r="H145" s="6">
        <f>E145</f>
        <v>1.05</v>
      </c>
      <c r="I145" s="72">
        <f>D145*H145</f>
        <v>0</v>
      </c>
      <c r="J145" s="177"/>
      <c r="K145" s="99">
        <f>I145-F145</f>
        <v>0</v>
      </c>
      <c r="L145" s="104"/>
      <c r="M145" s="171"/>
      <c r="N145" s="171"/>
      <c r="O145" s="108"/>
      <c r="P145" s="108"/>
      <c r="Q145" s="54"/>
    </row>
    <row r="146" spans="1:17" x14ac:dyDescent="0.25">
      <c r="B146" s="119" t="s">
        <v>140</v>
      </c>
      <c r="C146" s="108"/>
      <c r="D146" s="54"/>
      <c r="E146" s="70"/>
      <c r="F146" s="200">
        <f>SUM(F144:F145)</f>
        <v>6311269.6705273278</v>
      </c>
      <c r="G146" s="54"/>
      <c r="H146" s="6"/>
      <c r="I146" s="200">
        <f>SUM(I144:I145)</f>
        <v>6311269.6705273278</v>
      </c>
      <c r="J146" s="200"/>
      <c r="K146" s="200">
        <f>I146-F146</f>
        <v>0</v>
      </c>
      <c r="L146" s="96">
        <f>ROUND(K146/F146,5)</f>
        <v>0</v>
      </c>
      <c r="M146" s="171"/>
      <c r="N146" s="171"/>
      <c r="O146" s="51"/>
      <c r="P146" s="51"/>
      <c r="Q146" s="54"/>
    </row>
    <row r="147" spans="1:17" x14ac:dyDescent="0.25">
      <c r="B147" s="97"/>
      <c r="C147" s="51"/>
      <c r="D147" s="103"/>
      <c r="E147" s="70"/>
      <c r="F147" s="72"/>
      <c r="H147" s="6"/>
      <c r="I147" s="72"/>
      <c r="J147" s="72"/>
      <c r="K147" s="99"/>
      <c r="L147" s="104"/>
      <c r="M147" s="171"/>
      <c r="N147" s="171"/>
      <c r="O147" s="108"/>
      <c r="P147" s="51"/>
      <c r="Q147" s="103"/>
    </row>
    <row r="148" spans="1:17" x14ac:dyDescent="0.25">
      <c r="B148" s="97" t="s">
        <v>106</v>
      </c>
      <c r="C148" s="51"/>
      <c r="D148" s="103"/>
      <c r="E148" s="70"/>
      <c r="F148" s="200">
        <f>F141+F146</f>
        <v>7397770.8805273278</v>
      </c>
      <c r="H148" s="6"/>
      <c r="I148" s="200">
        <f>I141+I146</f>
        <v>7764551.0105273277</v>
      </c>
      <c r="J148" s="177"/>
      <c r="K148" s="200">
        <f>K141+K146</f>
        <v>366780.12999999989</v>
      </c>
      <c r="L148" s="96">
        <f>K148/F148</f>
        <v>4.9579817477917766E-2</v>
      </c>
      <c r="M148" s="171"/>
      <c r="N148" s="171"/>
      <c r="O148" s="51"/>
      <c r="P148" s="51"/>
      <c r="Q148" s="103"/>
    </row>
    <row r="149" spans="1:17" x14ac:dyDescent="0.25">
      <c r="A149" s="51"/>
      <c r="B149" s="188"/>
      <c r="C149" s="153"/>
      <c r="D149" s="124"/>
      <c r="E149" s="240"/>
      <c r="F149" s="123"/>
      <c r="G149" s="124"/>
      <c r="H149" s="232"/>
      <c r="I149" s="237"/>
      <c r="J149" s="233"/>
      <c r="K149" s="193"/>
      <c r="L149" s="155"/>
      <c r="M149" s="171"/>
      <c r="N149" s="171"/>
      <c r="O149" s="108"/>
      <c r="P149" s="51"/>
      <c r="Q149" s="103"/>
    </row>
    <row r="150" spans="1:17" x14ac:dyDescent="0.25">
      <c r="A150" s="51"/>
      <c r="B150" s="51"/>
      <c r="C150" s="51"/>
      <c r="D150" s="103"/>
      <c r="E150" s="5"/>
      <c r="F150" s="127"/>
      <c r="H150" s="6"/>
      <c r="I150" s="72"/>
      <c r="J150" s="177"/>
      <c r="K150" s="99"/>
      <c r="L150" s="245"/>
      <c r="M150" s="171"/>
      <c r="N150" s="171"/>
      <c r="O150" s="51"/>
      <c r="P150" s="51"/>
      <c r="Q150" s="103"/>
    </row>
    <row r="151" spans="1:17" ht="13" x14ac:dyDescent="0.3">
      <c r="A151" s="51"/>
      <c r="B151" s="90" t="s">
        <v>171</v>
      </c>
      <c r="C151" s="174"/>
      <c r="D151" s="175"/>
      <c r="E151" s="222"/>
      <c r="F151" s="95"/>
      <c r="G151" s="175"/>
      <c r="H151" s="224"/>
      <c r="I151" s="200"/>
      <c r="J151" s="225"/>
      <c r="K151" s="95"/>
      <c r="L151" s="96"/>
      <c r="M151" s="171"/>
      <c r="N151" s="171"/>
      <c r="O151" s="51"/>
      <c r="P151" s="51"/>
      <c r="Q151" s="103"/>
    </row>
    <row r="152" spans="1:17" x14ac:dyDescent="0.25">
      <c r="A152" s="51"/>
      <c r="B152" s="97"/>
      <c r="C152" s="51"/>
      <c r="D152" s="103"/>
      <c r="E152" s="184"/>
      <c r="F152" s="99"/>
      <c r="H152" s="6"/>
      <c r="I152" s="72"/>
      <c r="J152" s="177"/>
      <c r="K152" s="99"/>
      <c r="L152" s="100"/>
      <c r="M152" s="171"/>
      <c r="N152" s="171"/>
      <c r="O152" s="51"/>
      <c r="P152" s="51"/>
      <c r="Q152" s="103"/>
    </row>
    <row r="153" spans="1:17" x14ac:dyDescent="0.25">
      <c r="A153" s="51"/>
      <c r="B153" s="119" t="s">
        <v>100</v>
      </c>
      <c r="C153" s="108" t="s">
        <v>101</v>
      </c>
      <c r="D153" s="103">
        <v>118.76667017913593</v>
      </c>
      <c r="E153" s="6">
        <v>891.83</v>
      </c>
      <c r="F153" s="99">
        <f>ROUND(D153*E153,2)</f>
        <v>105919.67999999999</v>
      </c>
      <c r="H153" s="6">
        <v>918.31</v>
      </c>
      <c r="I153" s="72">
        <f>ROUND(D153*H153,2)</f>
        <v>109064.62</v>
      </c>
      <c r="J153" s="177"/>
      <c r="K153" s="99">
        <f>I153-F153</f>
        <v>3144.9400000000023</v>
      </c>
      <c r="L153" s="148"/>
      <c r="M153" s="171"/>
      <c r="N153" s="171"/>
      <c r="O153" s="51"/>
      <c r="P153" s="51"/>
      <c r="Q153" s="52">
        <f>H153/E153-1</f>
        <v>2.9691757397710239E-2</v>
      </c>
    </row>
    <row r="154" spans="1:17" x14ac:dyDescent="0.25">
      <c r="A154" s="51"/>
      <c r="B154" s="97" t="s">
        <v>131</v>
      </c>
      <c r="C154" s="51" t="s">
        <v>132</v>
      </c>
      <c r="D154" s="103">
        <v>308558</v>
      </c>
      <c r="E154" s="6">
        <v>1.38</v>
      </c>
      <c r="F154" s="99">
        <f>ROUND(D154*E154,2)</f>
        <v>425810.04</v>
      </c>
      <c r="H154" s="6">
        <f>H130</f>
        <v>1.45</v>
      </c>
      <c r="I154" s="72">
        <f>ROUND(D154*H154,2)</f>
        <v>447409.1</v>
      </c>
      <c r="J154" s="177"/>
      <c r="K154" s="99">
        <f>I154-F154</f>
        <v>21599.059999999998</v>
      </c>
      <c r="L154" s="148"/>
      <c r="M154" s="171"/>
      <c r="N154" s="171"/>
      <c r="Q154" s="52">
        <f>H154/E154-1</f>
        <v>5.0724637681159424E-2</v>
      </c>
    </row>
    <row r="155" spans="1:17" x14ac:dyDescent="0.25">
      <c r="A155" s="51"/>
      <c r="B155" s="97" t="s">
        <v>153</v>
      </c>
      <c r="C155" s="51"/>
      <c r="D155" s="103"/>
      <c r="E155" s="6"/>
      <c r="F155" s="133">
        <v>0</v>
      </c>
      <c r="H155" s="6"/>
      <c r="I155" s="72">
        <f>F155</f>
        <v>0</v>
      </c>
      <c r="J155" s="177"/>
      <c r="K155" s="137"/>
      <c r="L155" s="148"/>
      <c r="M155" s="171"/>
      <c r="N155" s="171"/>
    </row>
    <row r="156" spans="1:17" x14ac:dyDescent="0.25">
      <c r="A156" s="51"/>
      <c r="B156" s="130"/>
      <c r="C156" s="51"/>
      <c r="D156" s="103"/>
      <c r="E156" s="5"/>
      <c r="F156" s="99"/>
      <c r="H156" s="5"/>
      <c r="I156" s="72"/>
      <c r="J156" s="177"/>
      <c r="K156" s="137"/>
      <c r="L156" s="148"/>
      <c r="M156" s="171"/>
      <c r="N156" s="171"/>
    </row>
    <row r="157" spans="1:17" x14ac:dyDescent="0.25">
      <c r="A157" s="51"/>
      <c r="B157" s="97" t="s">
        <v>133</v>
      </c>
      <c r="C157" s="51"/>
      <c r="D157" s="103"/>
      <c r="E157" s="70"/>
      <c r="F157" s="99"/>
      <c r="H157" s="5"/>
      <c r="I157" s="72"/>
      <c r="J157" s="177"/>
      <c r="K157" s="137"/>
      <c r="L157" s="148"/>
      <c r="M157" s="171"/>
      <c r="N157" s="171"/>
    </row>
    <row r="158" spans="1:17" x14ac:dyDescent="0.25">
      <c r="A158" s="51"/>
      <c r="B158" s="97" t="s">
        <v>154</v>
      </c>
      <c r="C158" s="51" t="s">
        <v>103</v>
      </c>
      <c r="D158" s="103">
        <v>3000000</v>
      </c>
      <c r="E158" s="5">
        <v>0.1391</v>
      </c>
      <c r="F158" s="127">
        <f t="shared" ref="F158:F163" si="5">ROUND(D158*E158,2)</f>
        <v>417300</v>
      </c>
      <c r="H158" s="5">
        <f t="shared" ref="H158:H163" si="6">H135</f>
        <v>0.18737999999999999</v>
      </c>
      <c r="I158" s="72">
        <f t="shared" ref="I158:I163" si="7">ROUND(D158*H158,2)</f>
        <v>562140</v>
      </c>
      <c r="J158" s="177"/>
      <c r="K158" s="99">
        <f t="shared" ref="K158:K163" si="8">I158-F158</f>
        <v>144840</v>
      </c>
      <c r="L158" s="249"/>
      <c r="M158" s="171"/>
      <c r="N158" s="171"/>
      <c r="Q158" s="52">
        <f t="shared" ref="Q158:Q163" si="9">H158/E158-1</f>
        <v>0.34708842559309838</v>
      </c>
    </row>
    <row r="159" spans="1:17" x14ac:dyDescent="0.25">
      <c r="A159" s="51"/>
      <c r="B159" s="97" t="s">
        <v>155</v>
      </c>
      <c r="C159" s="51" t="s">
        <v>103</v>
      </c>
      <c r="D159" s="103">
        <v>3000000</v>
      </c>
      <c r="E159" s="5">
        <v>8.4059999999999996E-2</v>
      </c>
      <c r="F159" s="127">
        <f t="shared" si="5"/>
        <v>252180</v>
      </c>
      <c r="H159" s="5">
        <f t="shared" si="6"/>
        <v>0.11323999999999999</v>
      </c>
      <c r="I159" s="72">
        <f t="shared" si="7"/>
        <v>339720</v>
      </c>
      <c r="J159" s="177"/>
      <c r="K159" s="99">
        <f t="shared" si="8"/>
        <v>87540</v>
      </c>
      <c r="L159" s="249"/>
      <c r="M159" s="171"/>
      <c r="N159" s="171"/>
      <c r="Q159" s="52">
        <f t="shared" si="9"/>
        <v>0.34713300023792537</v>
      </c>
    </row>
    <row r="160" spans="1:17" x14ac:dyDescent="0.25">
      <c r="A160" s="51"/>
      <c r="B160" s="97" t="s">
        <v>158</v>
      </c>
      <c r="C160" s="51" t="s">
        <v>103</v>
      </c>
      <c r="D160" s="103">
        <v>5983755.4799999995</v>
      </c>
      <c r="E160" s="5">
        <v>5.3490000000000003E-2</v>
      </c>
      <c r="F160" s="127">
        <f t="shared" si="5"/>
        <v>320071.08</v>
      </c>
      <c r="H160" s="5">
        <f t="shared" si="6"/>
        <v>7.2059999999999999E-2</v>
      </c>
      <c r="I160" s="72">
        <f t="shared" si="7"/>
        <v>431189.42</v>
      </c>
      <c r="J160" s="177"/>
      <c r="K160" s="99">
        <f t="shared" si="8"/>
        <v>111118.33999999997</v>
      </c>
      <c r="L160" s="249"/>
      <c r="M160" s="171"/>
      <c r="N160" s="171"/>
      <c r="Q160" s="52">
        <f t="shared" si="9"/>
        <v>0.34716769489624211</v>
      </c>
    </row>
    <row r="161" spans="1:17" x14ac:dyDescent="0.25">
      <c r="A161" s="51"/>
      <c r="B161" s="97" t="s">
        <v>168</v>
      </c>
      <c r="C161" s="51" t="s">
        <v>103</v>
      </c>
      <c r="D161" s="103">
        <v>11737512.85</v>
      </c>
      <c r="E161" s="5">
        <v>3.4299999999999997E-2</v>
      </c>
      <c r="F161" s="127">
        <f t="shared" si="5"/>
        <v>402596.69</v>
      </c>
      <c r="H161" s="5">
        <f t="shared" si="6"/>
        <v>4.6199999999999998E-2</v>
      </c>
      <c r="I161" s="72">
        <f t="shared" si="7"/>
        <v>542273.09</v>
      </c>
      <c r="J161" s="177"/>
      <c r="K161" s="99">
        <f t="shared" si="8"/>
        <v>139676.39999999997</v>
      </c>
      <c r="L161" s="249"/>
      <c r="M161" s="171"/>
      <c r="N161" s="171"/>
      <c r="Q161" s="52">
        <f t="shared" si="9"/>
        <v>0.34693877551020424</v>
      </c>
    </row>
    <row r="162" spans="1:17" x14ac:dyDescent="0.25">
      <c r="A162" s="51"/>
      <c r="B162" s="97" t="s">
        <v>169</v>
      </c>
      <c r="C162" s="51" t="s">
        <v>103</v>
      </c>
      <c r="D162" s="103">
        <v>26253607.010000002</v>
      </c>
      <c r="E162" s="5">
        <v>2.4680000000000001E-2</v>
      </c>
      <c r="F162" s="127">
        <f t="shared" si="5"/>
        <v>647939.02</v>
      </c>
      <c r="H162" s="5">
        <f t="shared" si="6"/>
        <v>3.3250000000000002E-2</v>
      </c>
      <c r="I162" s="72">
        <f t="shared" si="7"/>
        <v>872932.43</v>
      </c>
      <c r="J162" s="177"/>
      <c r="K162" s="99">
        <f t="shared" si="8"/>
        <v>224993.41000000003</v>
      </c>
      <c r="L162" s="249"/>
      <c r="M162" s="171"/>
      <c r="N162" s="171"/>
      <c r="Q162" s="52">
        <f t="shared" si="9"/>
        <v>0.3472447325769854</v>
      </c>
    </row>
    <row r="163" spans="1:17" x14ac:dyDescent="0.25">
      <c r="A163" s="51"/>
      <c r="B163" s="97" t="s">
        <v>170</v>
      </c>
      <c r="C163" s="51" t="s">
        <v>103</v>
      </c>
      <c r="D163" s="103">
        <v>50466253.034701243</v>
      </c>
      <c r="E163" s="5">
        <v>1.9029999999999998E-2</v>
      </c>
      <c r="F163" s="127">
        <f t="shared" si="5"/>
        <v>960372.8</v>
      </c>
      <c r="H163" s="5">
        <f t="shared" si="6"/>
        <v>2.563E-2</v>
      </c>
      <c r="I163" s="72">
        <f t="shared" si="7"/>
        <v>1293450.07</v>
      </c>
      <c r="J163" s="177"/>
      <c r="K163" s="99">
        <f t="shared" si="8"/>
        <v>333077.27</v>
      </c>
      <c r="L163" s="249"/>
      <c r="M163" s="171"/>
      <c r="N163" s="171"/>
      <c r="Q163" s="52">
        <f t="shared" si="9"/>
        <v>0.34682080924855496</v>
      </c>
    </row>
    <row r="164" spans="1:17" x14ac:dyDescent="0.25">
      <c r="A164" s="51"/>
      <c r="B164" s="119" t="s">
        <v>108</v>
      </c>
      <c r="C164" s="51"/>
      <c r="D164" s="175">
        <f>SUM(D158:D163)</f>
        <v>100441128.37470125</v>
      </c>
      <c r="E164" s="5"/>
      <c r="F164" s="239">
        <f>SUM(F153:F163)</f>
        <v>3532189.3099999996</v>
      </c>
      <c r="H164" s="5"/>
      <c r="I164" s="239">
        <f>SUM(I153:I163)</f>
        <v>4598178.7300000004</v>
      </c>
      <c r="J164" s="177"/>
      <c r="K164" s="239">
        <f>SUM(K153:K163)</f>
        <v>1065989.42</v>
      </c>
      <c r="L164" s="96">
        <f>K164/F164</f>
        <v>0.30179283340846758</v>
      </c>
      <c r="M164" s="171"/>
      <c r="N164" s="171"/>
    </row>
    <row r="165" spans="1:17" x14ac:dyDescent="0.25">
      <c r="A165" s="51"/>
      <c r="B165" s="97"/>
      <c r="C165" s="108"/>
      <c r="D165" s="103"/>
      <c r="E165" s="5"/>
      <c r="F165" s="99"/>
      <c r="H165" s="6"/>
      <c r="I165" s="72"/>
      <c r="J165" s="177"/>
      <c r="K165" s="99"/>
      <c r="L165" s="104"/>
      <c r="M165" s="171"/>
      <c r="N165" s="171"/>
    </row>
    <row r="166" spans="1:17" x14ac:dyDescent="0.25">
      <c r="A166" s="51"/>
      <c r="B166" s="119" t="s">
        <v>126</v>
      </c>
      <c r="C166" s="51" t="s">
        <v>103</v>
      </c>
      <c r="D166" s="229">
        <f>D164</f>
        <v>100441128.37470125</v>
      </c>
      <c r="E166" s="5">
        <v>6.9999999999999999E-4</v>
      </c>
      <c r="F166" s="72">
        <f>+E166*D166</f>
        <v>70308.789862290869</v>
      </c>
      <c r="G166" s="230"/>
      <c r="H166" s="5">
        <v>1E-3</v>
      </c>
      <c r="I166" s="72">
        <f>+H166*D166</f>
        <v>100441.12837470125</v>
      </c>
      <c r="J166" s="177"/>
      <c r="K166" s="99">
        <f>I166-F166</f>
        <v>30132.338512410381</v>
      </c>
      <c r="L166" s="100"/>
      <c r="M166" s="171"/>
      <c r="N166" s="171"/>
    </row>
    <row r="167" spans="1:17" x14ac:dyDescent="0.25">
      <c r="A167" s="51"/>
      <c r="B167" s="97" t="s">
        <v>106</v>
      </c>
      <c r="C167" s="51"/>
      <c r="D167" s="103"/>
      <c r="E167" s="70"/>
      <c r="F167" s="200">
        <f>F166+F164</f>
        <v>3602498.0998622905</v>
      </c>
      <c r="H167" s="6"/>
      <c r="I167" s="200">
        <f>I166+I164</f>
        <v>4698619.8583747018</v>
      </c>
      <c r="J167" s="177"/>
      <c r="K167" s="200">
        <f>K166+K164</f>
        <v>1096121.7585124103</v>
      </c>
      <c r="L167" s="96">
        <f>K167/F167</f>
        <v>0.30426713023229929</v>
      </c>
      <c r="M167" s="171"/>
      <c r="N167" s="171"/>
      <c r="O167" s="157"/>
    </row>
    <row r="168" spans="1:17" s="51" customFormat="1" x14ac:dyDescent="0.25">
      <c r="B168" s="188"/>
      <c r="C168" s="153"/>
      <c r="D168" s="124"/>
      <c r="E168" s="240"/>
      <c r="F168" s="123"/>
      <c r="G168" s="124"/>
      <c r="H168" s="232"/>
      <c r="I168" s="237"/>
      <c r="J168" s="233"/>
      <c r="K168" s="193"/>
      <c r="L168" s="155"/>
      <c r="M168" s="171"/>
      <c r="N168" s="171"/>
    </row>
    <row r="169" spans="1:17" s="51" customFormat="1" x14ac:dyDescent="0.25">
      <c r="D169" s="103"/>
      <c r="E169" s="5"/>
      <c r="F169" s="127"/>
      <c r="G169" s="103"/>
      <c r="H169" s="6"/>
      <c r="I169" s="72"/>
      <c r="J169" s="177"/>
      <c r="K169" s="99"/>
      <c r="L169" s="245"/>
      <c r="M169" s="171"/>
      <c r="N169" s="171"/>
    </row>
    <row r="170" spans="1:17" ht="13" x14ac:dyDescent="0.3">
      <c r="A170" s="51"/>
      <c r="B170" s="128" t="s">
        <v>172</v>
      </c>
      <c r="C170" s="250"/>
      <c r="D170" s="175"/>
      <c r="E170" s="251"/>
      <c r="F170" s="179"/>
      <c r="G170" s="175"/>
      <c r="H170" s="224"/>
      <c r="I170" s="239"/>
      <c r="J170" s="252"/>
      <c r="K170" s="179"/>
      <c r="L170" s="227"/>
      <c r="M170" s="171"/>
      <c r="N170" s="171"/>
    </row>
    <row r="171" spans="1:17" x14ac:dyDescent="0.25">
      <c r="A171" s="51"/>
      <c r="B171" s="130"/>
      <c r="C171" s="54"/>
      <c r="D171" s="103"/>
      <c r="E171" s="5"/>
      <c r="F171" s="127"/>
      <c r="H171" s="6"/>
      <c r="I171" s="133"/>
      <c r="J171" s="234"/>
      <c r="K171" s="127"/>
      <c r="L171" s="132"/>
      <c r="M171" s="171"/>
      <c r="N171" s="171"/>
    </row>
    <row r="172" spans="1:17" x14ac:dyDescent="0.25">
      <c r="A172" s="51"/>
      <c r="B172" s="101" t="s">
        <v>100</v>
      </c>
      <c r="C172" s="102" t="s">
        <v>101</v>
      </c>
      <c r="D172" s="103">
        <f>D153+D129</f>
        <v>178.79167135512199</v>
      </c>
      <c r="E172" s="6"/>
      <c r="F172" s="127">
        <f>F153+F129</f>
        <v>139377.01999999999</v>
      </c>
      <c r="H172" s="6"/>
      <c r="I172" s="127">
        <f>I153+I129</f>
        <v>145469.78</v>
      </c>
      <c r="J172" s="234"/>
      <c r="K172" s="133">
        <f>I172-F172</f>
        <v>6092.7600000000093</v>
      </c>
      <c r="L172" s="253"/>
      <c r="M172" s="171"/>
      <c r="N172" s="171"/>
    </row>
    <row r="173" spans="1:17" x14ac:dyDescent="0.25">
      <c r="A173" s="51"/>
      <c r="B173" s="130" t="s">
        <v>131</v>
      </c>
      <c r="C173" s="54" t="s">
        <v>132</v>
      </c>
      <c r="D173" s="103">
        <f>D154+D130</f>
        <v>308558</v>
      </c>
      <c r="E173" s="6"/>
      <c r="F173" s="127">
        <f>F154+F130</f>
        <v>425810.04</v>
      </c>
      <c r="H173" s="6"/>
      <c r="I173" s="127">
        <f>I154+I130</f>
        <v>447409.1</v>
      </c>
      <c r="J173" s="234"/>
      <c r="K173" s="133">
        <f>I173-F173</f>
        <v>21599.059999999998</v>
      </c>
      <c r="L173" s="253"/>
      <c r="M173" s="171"/>
      <c r="N173" s="171"/>
    </row>
    <row r="174" spans="1:17" x14ac:dyDescent="0.25">
      <c r="A174" s="51"/>
      <c r="B174" s="130" t="s">
        <v>124</v>
      </c>
      <c r="C174" s="54"/>
      <c r="D174" s="103"/>
      <c r="E174" s="6"/>
      <c r="F174" s="127">
        <f>F131</f>
        <v>138622.03</v>
      </c>
      <c r="H174" s="6"/>
      <c r="I174" s="127">
        <f>I131</f>
        <v>197198.01</v>
      </c>
      <c r="J174" s="234"/>
      <c r="K174" s="133">
        <f>I174-F174</f>
        <v>58575.98000000001</v>
      </c>
      <c r="L174" s="253"/>
      <c r="M174" s="171"/>
      <c r="N174" s="171"/>
    </row>
    <row r="175" spans="1:17" x14ac:dyDescent="0.25">
      <c r="A175" s="51"/>
      <c r="B175" s="130" t="s">
        <v>153</v>
      </c>
      <c r="C175" s="54"/>
      <c r="D175" s="103"/>
      <c r="E175" s="6"/>
      <c r="F175" s="133">
        <f>F155+F132</f>
        <v>34827.85</v>
      </c>
      <c r="H175" s="6"/>
      <c r="I175" s="133">
        <f>I155+I132</f>
        <v>34827.85</v>
      </c>
      <c r="J175" s="234"/>
      <c r="K175" s="133">
        <f>I175-F175</f>
        <v>0</v>
      </c>
      <c r="L175" s="253"/>
      <c r="M175" s="171"/>
      <c r="N175" s="171"/>
    </row>
    <row r="176" spans="1:17" x14ac:dyDescent="0.25">
      <c r="A176" s="51"/>
      <c r="B176" s="130"/>
      <c r="C176" s="54"/>
      <c r="D176" s="103"/>
      <c r="E176" s="6"/>
      <c r="F176" s="133"/>
      <c r="H176" s="5"/>
      <c r="I176" s="133"/>
      <c r="J176" s="234"/>
      <c r="K176" s="133"/>
      <c r="L176" s="253"/>
      <c r="M176" s="171"/>
      <c r="N176" s="171"/>
    </row>
    <row r="177" spans="1:16" ht="12" customHeight="1" x14ac:dyDescent="0.25">
      <c r="A177" s="51"/>
      <c r="B177" s="130" t="s">
        <v>133</v>
      </c>
      <c r="C177" s="54"/>
      <c r="D177" s="103"/>
      <c r="E177" s="6"/>
      <c r="F177" s="127"/>
      <c r="H177" s="5"/>
      <c r="I177" s="127"/>
      <c r="J177" s="234"/>
      <c r="K177" s="133"/>
      <c r="L177" s="253"/>
      <c r="M177" s="171"/>
      <c r="N177" s="171"/>
    </row>
    <row r="178" spans="1:16" x14ac:dyDescent="0.25">
      <c r="A178" s="51"/>
      <c r="B178" s="130" t="s">
        <v>154</v>
      </c>
      <c r="C178" s="54" t="s">
        <v>103</v>
      </c>
      <c r="D178" s="103">
        <f t="shared" ref="D178:D183" si="10">D158+D135</f>
        <v>4500625.1840000004</v>
      </c>
      <c r="E178" s="5"/>
      <c r="F178" s="127">
        <f t="shared" ref="F178:F183" si="11">F158+F135</f>
        <v>626036.96</v>
      </c>
      <c r="H178" s="5"/>
      <c r="I178" s="127">
        <f t="shared" ref="I178:I183" si="12">I158+I135</f>
        <v>843327.15</v>
      </c>
      <c r="J178" s="234"/>
      <c r="K178" s="133">
        <f t="shared" ref="K178:K183" si="13">I178-F178</f>
        <v>217290.19000000006</v>
      </c>
      <c r="L178" s="253"/>
      <c r="M178" s="171"/>
      <c r="N178" s="171"/>
    </row>
    <row r="179" spans="1:16" x14ac:dyDescent="0.25">
      <c r="A179" s="51"/>
      <c r="B179" s="130" t="s">
        <v>155</v>
      </c>
      <c r="C179" s="54" t="s">
        <v>103</v>
      </c>
      <c r="D179" s="103">
        <f t="shared" si="10"/>
        <v>4470839.4029999999</v>
      </c>
      <c r="E179" s="5"/>
      <c r="F179" s="127">
        <f t="shared" si="11"/>
        <v>375818.76</v>
      </c>
      <c r="H179" s="5"/>
      <c r="I179" s="127">
        <f t="shared" si="12"/>
        <v>506277.85</v>
      </c>
      <c r="J179" s="234"/>
      <c r="K179" s="133">
        <f t="shared" si="13"/>
        <v>130459.08999999997</v>
      </c>
      <c r="L179" s="253"/>
      <c r="M179" s="171"/>
      <c r="N179" s="171"/>
    </row>
    <row r="180" spans="1:16" x14ac:dyDescent="0.25">
      <c r="A180" s="51"/>
      <c r="B180" s="130" t="s">
        <v>158</v>
      </c>
      <c r="C180" s="54" t="s">
        <v>103</v>
      </c>
      <c r="D180" s="103">
        <f t="shared" si="10"/>
        <v>8587215.7309999987</v>
      </c>
      <c r="E180" s="5"/>
      <c r="F180" s="127">
        <f t="shared" si="11"/>
        <v>459330.17000000004</v>
      </c>
      <c r="H180" s="5"/>
      <c r="I180" s="127">
        <f t="shared" si="12"/>
        <v>618794.77</v>
      </c>
      <c r="J180" s="234"/>
      <c r="K180" s="133">
        <f t="shared" si="13"/>
        <v>159464.59999999998</v>
      </c>
      <c r="L180" s="132"/>
      <c r="M180" s="171"/>
      <c r="N180" s="171"/>
    </row>
    <row r="181" spans="1:16" x14ac:dyDescent="0.25">
      <c r="A181" s="51"/>
      <c r="B181" s="130" t="s">
        <v>168</v>
      </c>
      <c r="C181" s="54" t="s">
        <v>103</v>
      </c>
      <c r="D181" s="103">
        <f t="shared" si="10"/>
        <v>14934629.378999999</v>
      </c>
      <c r="E181" s="5"/>
      <c r="F181" s="127">
        <f t="shared" si="11"/>
        <v>512257.79000000004</v>
      </c>
      <c r="H181" s="5"/>
      <c r="I181" s="127">
        <f t="shared" si="12"/>
        <v>689979.87</v>
      </c>
      <c r="J181" s="234"/>
      <c r="K181" s="133">
        <f t="shared" si="13"/>
        <v>177722.07999999996</v>
      </c>
      <c r="L181" s="132"/>
      <c r="M181" s="171"/>
      <c r="N181" s="171"/>
    </row>
    <row r="182" spans="1:16" x14ac:dyDescent="0.25">
      <c r="A182" s="51"/>
      <c r="B182" s="130" t="s">
        <v>169</v>
      </c>
      <c r="C182" s="54" t="s">
        <v>103</v>
      </c>
      <c r="D182" s="103">
        <f t="shared" si="10"/>
        <v>29992743.752</v>
      </c>
      <c r="E182" s="5"/>
      <c r="F182" s="127">
        <f t="shared" si="11"/>
        <v>740220.91</v>
      </c>
      <c r="H182" s="5"/>
      <c r="I182" s="127">
        <f t="shared" si="12"/>
        <v>997258.7300000001</v>
      </c>
      <c r="J182" s="234"/>
      <c r="K182" s="133">
        <f t="shared" si="13"/>
        <v>257037.82000000007</v>
      </c>
      <c r="L182" s="132"/>
      <c r="M182" s="171"/>
      <c r="N182" s="171"/>
    </row>
    <row r="183" spans="1:16" x14ac:dyDescent="0.25">
      <c r="A183" s="51"/>
      <c r="B183" s="130" t="s">
        <v>170</v>
      </c>
      <c r="C183" s="54" t="s">
        <v>103</v>
      </c>
      <c r="D183" s="103">
        <f t="shared" si="10"/>
        <v>61292117.04420194</v>
      </c>
      <c r="E183" s="5"/>
      <c r="F183" s="127">
        <f t="shared" si="11"/>
        <v>1166388.99</v>
      </c>
      <c r="H183" s="5"/>
      <c r="I183" s="127">
        <f t="shared" si="12"/>
        <v>1570916.96</v>
      </c>
      <c r="J183" s="234"/>
      <c r="K183" s="133">
        <f t="shared" si="13"/>
        <v>404527.97</v>
      </c>
      <c r="L183" s="132"/>
      <c r="M183" s="171"/>
      <c r="N183" s="171"/>
    </row>
    <row r="184" spans="1:16" x14ac:dyDescent="0.25">
      <c r="A184" s="51"/>
      <c r="B184" s="119" t="s">
        <v>108</v>
      </c>
      <c r="C184" s="54" t="s">
        <v>103</v>
      </c>
      <c r="D184" s="175">
        <f>SUM(D178:D183)</f>
        <v>123778170.49320194</v>
      </c>
      <c r="E184" s="5"/>
      <c r="F184" s="179">
        <f>SUM(F172:F183)</f>
        <v>4618690.5200000005</v>
      </c>
      <c r="H184" s="6"/>
      <c r="I184" s="179">
        <f>SUM(I172:I183)</f>
        <v>6051460.0700000003</v>
      </c>
      <c r="J184" s="234"/>
      <c r="K184" s="179">
        <f>SUM(K172:K183)</f>
        <v>1432769.55</v>
      </c>
      <c r="L184" s="227">
        <f>K184/F184</f>
        <v>0.31021120462515855</v>
      </c>
      <c r="M184" s="171"/>
      <c r="N184" s="171"/>
      <c r="P184" s="41"/>
    </row>
    <row r="185" spans="1:16" x14ac:dyDescent="0.25">
      <c r="A185" s="51"/>
      <c r="B185" s="101"/>
      <c r="C185" s="102"/>
      <c r="D185" s="103"/>
      <c r="E185" s="5"/>
      <c r="F185" s="127"/>
      <c r="H185" s="6"/>
      <c r="I185" s="133"/>
      <c r="J185" s="234"/>
      <c r="K185" s="127"/>
      <c r="L185" s="136"/>
      <c r="M185" s="171"/>
      <c r="N185" s="171"/>
    </row>
    <row r="186" spans="1:16" x14ac:dyDescent="0.25">
      <c r="A186" s="51"/>
      <c r="B186" s="130" t="s">
        <v>105</v>
      </c>
      <c r="C186" s="102"/>
      <c r="D186" s="103"/>
      <c r="E186" s="5"/>
      <c r="F186" s="127"/>
      <c r="H186" s="6"/>
      <c r="I186" s="133"/>
      <c r="J186" s="234"/>
      <c r="K186" s="127"/>
      <c r="L186" s="136"/>
      <c r="M186" s="171"/>
      <c r="N186" s="171"/>
    </row>
    <row r="187" spans="1:16" x14ac:dyDescent="0.25">
      <c r="A187" s="51"/>
      <c r="B187" s="130" t="s">
        <v>139</v>
      </c>
      <c r="C187" s="102"/>
      <c r="D187" s="103"/>
      <c r="E187" s="5"/>
      <c r="F187" s="127">
        <f>F144</f>
        <v>6311269.6705273278</v>
      </c>
      <c r="H187" s="6"/>
      <c r="I187" s="127">
        <f>I144</f>
        <v>6311269.6705273278</v>
      </c>
      <c r="J187" s="234"/>
      <c r="K187" s="133">
        <f>I187-F187</f>
        <v>0</v>
      </c>
      <c r="L187" s="136"/>
      <c r="M187" s="171"/>
      <c r="N187" s="171"/>
    </row>
    <row r="188" spans="1:16" x14ac:dyDescent="0.25">
      <c r="A188" s="51"/>
      <c r="B188" s="130" t="s">
        <v>131</v>
      </c>
      <c r="C188" s="102"/>
      <c r="D188" s="103"/>
      <c r="E188" s="5"/>
      <c r="F188" s="127">
        <f>F145</f>
        <v>0</v>
      </c>
      <c r="H188" s="6"/>
      <c r="I188" s="127">
        <f>I145</f>
        <v>0</v>
      </c>
      <c r="J188" s="234"/>
      <c r="K188" s="133">
        <f>I188-F188</f>
        <v>0</v>
      </c>
      <c r="L188" s="136"/>
      <c r="M188" s="171"/>
      <c r="N188" s="171"/>
    </row>
    <row r="189" spans="1:16" x14ac:dyDescent="0.25">
      <c r="A189" s="51"/>
      <c r="B189" s="130" t="s">
        <v>126</v>
      </c>
      <c r="C189" s="54" t="s">
        <v>103</v>
      </c>
      <c r="D189" s="103">
        <f>D166</f>
        <v>100441128.37470125</v>
      </c>
      <c r="E189" s="5"/>
      <c r="F189" s="133">
        <f>F166</f>
        <v>70308.789862290869</v>
      </c>
      <c r="G189" s="230"/>
      <c r="H189" s="5"/>
      <c r="I189" s="133">
        <f>I166</f>
        <v>100441.12837470125</v>
      </c>
      <c r="J189" s="234"/>
      <c r="K189" s="133">
        <f>I189-F189</f>
        <v>30132.338512410381</v>
      </c>
      <c r="L189" s="132"/>
      <c r="M189" s="171"/>
      <c r="N189" s="171"/>
    </row>
    <row r="190" spans="1:16" x14ac:dyDescent="0.25">
      <c r="A190" s="51"/>
      <c r="B190" s="119" t="s">
        <v>140</v>
      </c>
      <c r="C190" s="54"/>
      <c r="D190" s="230"/>
      <c r="E190" s="5"/>
      <c r="F190" s="239">
        <f>SUM(F187:F189)</f>
        <v>6381578.4603896188</v>
      </c>
      <c r="G190" s="230"/>
      <c r="H190" s="5"/>
      <c r="I190" s="239">
        <f>SUM(I187:I189)</f>
        <v>6411710.7989020292</v>
      </c>
      <c r="J190" s="239"/>
      <c r="K190" s="239">
        <f>SUM(K187:K189)</f>
        <v>30132.338512410381</v>
      </c>
      <c r="L190" s="227">
        <f>K190/F190</f>
        <v>4.7217688694797758E-3</v>
      </c>
      <c r="M190" s="171"/>
      <c r="N190" s="171"/>
    </row>
    <row r="191" spans="1:16" x14ac:dyDescent="0.25">
      <c r="A191" s="51"/>
      <c r="B191" s="101"/>
      <c r="C191" s="54"/>
      <c r="D191" s="230"/>
      <c r="E191" s="5"/>
      <c r="F191" s="133"/>
      <c r="G191" s="230"/>
      <c r="H191" s="5"/>
      <c r="I191" s="133"/>
      <c r="J191" s="234"/>
      <c r="K191" s="127"/>
      <c r="L191" s="132"/>
      <c r="M191" s="171"/>
      <c r="N191" s="171"/>
    </row>
    <row r="192" spans="1:16" x14ac:dyDescent="0.25">
      <c r="A192" s="51"/>
      <c r="B192" s="101" t="s">
        <v>106</v>
      </c>
      <c r="C192" s="102"/>
      <c r="D192" s="127"/>
      <c r="E192" s="6"/>
      <c r="F192" s="179">
        <f>F184+F190</f>
        <v>11000268.980389619</v>
      </c>
      <c r="G192" s="54"/>
      <c r="H192" s="6"/>
      <c r="I192" s="179">
        <f>I184+I190</f>
        <v>12463170.868902029</v>
      </c>
      <c r="J192" s="6"/>
      <c r="K192" s="179">
        <f>K184+K190</f>
        <v>1462901.8885124105</v>
      </c>
      <c r="L192" s="254">
        <f>ROUND(K192/F192,5)</f>
        <v>0.13299</v>
      </c>
      <c r="M192" s="171"/>
      <c r="N192" s="171"/>
    </row>
    <row r="193" spans="1:15" x14ac:dyDescent="0.25">
      <c r="A193" s="51"/>
      <c r="B193" s="188"/>
      <c r="C193" s="153"/>
      <c r="D193" s="124"/>
      <c r="E193" s="154"/>
      <c r="F193" s="237"/>
      <c r="G193" s="124"/>
      <c r="H193" s="232"/>
      <c r="I193" s="241"/>
      <c r="J193" s="233"/>
      <c r="K193" s="193"/>
      <c r="L193" s="194"/>
      <c r="M193" s="171"/>
      <c r="N193" s="171"/>
    </row>
    <row r="194" spans="1:15" x14ac:dyDescent="0.25">
      <c r="A194" s="51"/>
      <c r="B194" s="51"/>
      <c r="C194" s="51"/>
      <c r="D194" s="103"/>
      <c r="E194" s="5"/>
      <c r="F194" s="127"/>
      <c r="H194" s="6"/>
      <c r="I194" s="72"/>
      <c r="J194" s="177"/>
      <c r="K194" s="99"/>
      <c r="L194" s="245"/>
      <c r="M194" s="171"/>
      <c r="N194" s="171"/>
    </row>
    <row r="195" spans="1:15" ht="13" x14ac:dyDescent="0.3">
      <c r="B195" s="67" t="s">
        <v>173</v>
      </c>
      <c r="C195" s="51"/>
      <c r="D195" s="103"/>
      <c r="E195" s="184"/>
      <c r="F195" s="70"/>
      <c r="H195" s="5"/>
      <c r="I195" s="70"/>
      <c r="J195" s="70"/>
      <c r="K195" s="70"/>
      <c r="L195" s="52"/>
      <c r="M195" s="171"/>
      <c r="N195" s="171"/>
      <c r="O195" s="180"/>
    </row>
    <row r="196" spans="1:15" x14ac:dyDescent="0.25">
      <c r="C196" s="51"/>
      <c r="D196" s="156" t="s">
        <v>103</v>
      </c>
      <c r="E196" s="184"/>
      <c r="F196" s="207" t="s">
        <v>89</v>
      </c>
      <c r="G196" s="158"/>
      <c r="H196" s="12"/>
      <c r="I196" s="207" t="s">
        <v>8</v>
      </c>
      <c r="J196" s="157"/>
      <c r="K196" s="207" t="s">
        <v>116</v>
      </c>
      <c r="L196" s="52"/>
      <c r="M196" s="171"/>
      <c r="N196" s="171"/>
      <c r="O196" s="180"/>
    </row>
    <row r="197" spans="1:15" ht="13" x14ac:dyDescent="0.3">
      <c r="B197" s="67" t="s">
        <v>144</v>
      </c>
      <c r="C197" s="51"/>
      <c r="D197" s="103"/>
      <c r="E197" s="184"/>
      <c r="F197" s="255"/>
      <c r="G197" s="256"/>
      <c r="H197" s="256"/>
      <c r="I197" s="255"/>
      <c r="J197" s="255"/>
      <c r="K197" s="255"/>
      <c r="L197" s="52"/>
      <c r="M197" s="171"/>
      <c r="N197" s="171"/>
      <c r="O197" s="180"/>
    </row>
    <row r="198" spans="1:15" x14ac:dyDescent="0.25">
      <c r="B198" s="11" t="s">
        <v>174</v>
      </c>
      <c r="C198" s="51"/>
      <c r="D198" s="68"/>
      <c r="E198" s="184"/>
      <c r="F198" s="255">
        <f>F26+F44</f>
        <v>4516109.1136934618</v>
      </c>
      <c r="G198" s="256"/>
      <c r="H198" s="256"/>
      <c r="I198" s="255">
        <f>I26+I44</f>
        <v>4538541.1748339534</v>
      </c>
      <c r="J198" s="255"/>
      <c r="K198" s="255">
        <f>I198-F198</f>
        <v>22432.061140491627</v>
      </c>
      <c r="L198" s="52"/>
      <c r="M198" s="171"/>
      <c r="N198" s="171"/>
      <c r="O198" s="180"/>
    </row>
    <row r="199" spans="1:15" x14ac:dyDescent="0.25">
      <c r="B199" s="11" t="s">
        <v>175</v>
      </c>
      <c r="C199" s="51"/>
      <c r="D199" s="68"/>
      <c r="E199" s="184"/>
      <c r="F199" s="255">
        <f>F85+F101</f>
        <v>2604841.0612883461</v>
      </c>
      <c r="G199" s="256"/>
      <c r="H199" s="256"/>
      <c r="I199" s="255">
        <f>I85+I101</f>
        <v>2604946.4477333459</v>
      </c>
      <c r="J199" s="255"/>
      <c r="K199" s="255">
        <f>I199-F199</f>
        <v>105.38644499983639</v>
      </c>
      <c r="L199" s="52"/>
      <c r="M199" s="171"/>
      <c r="N199" s="171"/>
      <c r="O199" s="180"/>
    </row>
    <row r="200" spans="1:15" x14ac:dyDescent="0.25">
      <c r="B200" s="11" t="s">
        <v>176</v>
      </c>
      <c r="C200" s="51"/>
      <c r="D200" s="68"/>
      <c r="E200" s="184"/>
      <c r="F200" s="255">
        <f>F146+F166</f>
        <v>6381578.4603896188</v>
      </c>
      <c r="G200" s="256"/>
      <c r="H200" s="256"/>
      <c r="I200" s="255">
        <f>I146+I166</f>
        <v>6411710.7989020292</v>
      </c>
      <c r="J200" s="255"/>
      <c r="K200" s="255">
        <f>I200-F200</f>
        <v>30132.33851241041</v>
      </c>
      <c r="L200" s="52"/>
      <c r="M200" s="171"/>
      <c r="N200" s="171"/>
      <c r="O200" s="180"/>
    </row>
    <row r="201" spans="1:15" x14ac:dyDescent="0.25">
      <c r="B201" s="11" t="s">
        <v>14</v>
      </c>
      <c r="C201" s="51"/>
      <c r="D201" s="68"/>
      <c r="E201" s="184"/>
      <c r="F201" s="257">
        <f>SUM(F198:F200)</f>
        <v>13502528.635371428</v>
      </c>
      <c r="G201" s="256"/>
      <c r="H201" s="256"/>
      <c r="I201" s="257">
        <f>SUM(I198:I200)</f>
        <v>13555198.421469329</v>
      </c>
      <c r="J201" s="255"/>
      <c r="K201" s="257">
        <f>SUM(K198:K200)</f>
        <v>52669.786097901873</v>
      </c>
      <c r="L201" s="52"/>
      <c r="M201" s="171"/>
      <c r="N201" s="171"/>
      <c r="O201" s="180"/>
    </row>
    <row r="202" spans="1:15" x14ac:dyDescent="0.25">
      <c r="C202" s="51"/>
      <c r="D202" s="68"/>
      <c r="E202" s="184"/>
      <c r="F202" s="255"/>
      <c r="G202" s="256"/>
      <c r="H202" s="256"/>
      <c r="I202" s="255"/>
      <c r="J202" s="255"/>
      <c r="K202" s="255"/>
      <c r="L202" s="52"/>
      <c r="M202" s="171"/>
      <c r="N202" s="171"/>
      <c r="O202" s="180"/>
    </row>
    <row r="203" spans="1:15" ht="13" x14ac:dyDescent="0.3">
      <c r="B203" s="67" t="s">
        <v>147</v>
      </c>
      <c r="C203" s="51"/>
      <c r="D203" s="68"/>
      <c r="E203" s="184"/>
      <c r="F203" s="255"/>
      <c r="G203" s="256"/>
      <c r="H203" s="256"/>
      <c r="I203" s="255"/>
      <c r="J203" s="255"/>
      <c r="K203" s="255"/>
      <c r="L203" s="52"/>
      <c r="M203" s="171"/>
      <c r="N203" s="171"/>
      <c r="O203" s="180"/>
    </row>
    <row r="204" spans="1:15" x14ac:dyDescent="0.25">
      <c r="B204" s="11" t="s">
        <v>174</v>
      </c>
      <c r="C204" s="51"/>
      <c r="D204" s="68"/>
      <c r="E204" s="184"/>
      <c r="F204" s="255">
        <f>F21+F42</f>
        <v>8511725.4824928083</v>
      </c>
      <c r="G204" s="256"/>
      <c r="H204" s="256"/>
      <c r="I204" s="255">
        <f>I21+I42</f>
        <v>9391882.1400000006</v>
      </c>
      <c r="J204" s="255"/>
      <c r="K204" s="255">
        <f>I204-F204</f>
        <v>880156.65750719234</v>
      </c>
      <c r="L204" s="52"/>
      <c r="M204" s="171"/>
      <c r="N204" s="171"/>
      <c r="O204" s="180"/>
    </row>
    <row r="205" spans="1:15" x14ac:dyDescent="0.25">
      <c r="B205" s="11" t="s">
        <v>175</v>
      </c>
      <c r="C205" s="51"/>
      <c r="D205" s="68"/>
      <c r="E205" s="184"/>
      <c r="F205" s="255">
        <f>F80+F99</f>
        <v>2062207.64</v>
      </c>
      <c r="G205" s="256"/>
      <c r="H205" s="256"/>
      <c r="I205" s="255">
        <f>I80+I99</f>
        <v>2062215.48</v>
      </c>
      <c r="J205" s="255"/>
      <c r="K205" s="255">
        <f>I205-F205</f>
        <v>7.840000000083819</v>
      </c>
      <c r="L205" s="52"/>
      <c r="M205" s="171"/>
      <c r="N205" s="171"/>
      <c r="O205" s="180"/>
    </row>
    <row r="206" spans="1:15" x14ac:dyDescent="0.25">
      <c r="B206" s="11" t="s">
        <v>176</v>
      </c>
      <c r="C206" s="51"/>
      <c r="D206" s="68"/>
      <c r="E206" s="184"/>
      <c r="F206" s="255">
        <f>F141+F164</f>
        <v>4618690.5199999996</v>
      </c>
      <c r="G206" s="256"/>
      <c r="H206" s="256"/>
      <c r="I206" s="255">
        <f>I141+I164</f>
        <v>6051460.0700000003</v>
      </c>
      <c r="J206" s="255"/>
      <c r="K206" s="255">
        <f>I206-F206</f>
        <v>1432769.5500000007</v>
      </c>
      <c r="L206" s="52"/>
      <c r="M206" s="171"/>
      <c r="N206" s="171"/>
      <c r="O206" s="180"/>
    </row>
    <row r="207" spans="1:15" x14ac:dyDescent="0.25">
      <c r="B207" s="11" t="s">
        <v>14</v>
      </c>
      <c r="C207" s="51"/>
      <c r="D207" s="68"/>
      <c r="E207" s="184"/>
      <c r="F207" s="257">
        <f>SUM(F204:F206)</f>
        <v>15192623.642492808</v>
      </c>
      <c r="G207" s="256"/>
      <c r="H207" s="256"/>
      <c r="I207" s="257">
        <f>SUM(I204:I206)</f>
        <v>17505557.690000001</v>
      </c>
      <c r="J207" s="255"/>
      <c r="K207" s="257">
        <f>SUM(K204:K206)</f>
        <v>2312934.0475071929</v>
      </c>
      <c r="L207" s="52"/>
      <c r="M207" s="171"/>
      <c r="N207" s="171"/>
      <c r="O207" s="180"/>
    </row>
    <row r="208" spans="1:15" x14ac:dyDescent="0.25">
      <c r="C208" s="51"/>
      <c r="D208" s="68"/>
      <c r="E208" s="184"/>
      <c r="F208" s="255"/>
      <c r="G208" s="256"/>
      <c r="H208" s="256"/>
      <c r="I208" s="255"/>
      <c r="J208" s="255"/>
      <c r="K208" s="255"/>
      <c r="L208" s="52"/>
      <c r="M208" s="171"/>
      <c r="N208" s="171"/>
      <c r="O208" s="180"/>
    </row>
    <row r="209" spans="2:15" ht="13" x14ac:dyDescent="0.3">
      <c r="B209" s="67" t="s">
        <v>149</v>
      </c>
      <c r="C209" s="51"/>
      <c r="D209" s="68"/>
      <c r="E209" s="184"/>
      <c r="F209" s="255"/>
      <c r="G209" s="256"/>
      <c r="H209" s="256"/>
      <c r="I209" s="255"/>
      <c r="J209" s="255"/>
      <c r="K209" s="255"/>
      <c r="L209" s="52"/>
      <c r="M209" s="171"/>
      <c r="N209" s="171"/>
      <c r="O209" s="180"/>
    </row>
    <row r="210" spans="2:15" x14ac:dyDescent="0.25">
      <c r="B210" s="11" t="s">
        <v>174</v>
      </c>
      <c r="C210" s="51"/>
      <c r="D210" s="68">
        <f>D59</f>
        <v>90957971.203620166</v>
      </c>
      <c r="E210" s="184"/>
      <c r="F210" s="255">
        <f>F198+F204</f>
        <v>13027834.596186269</v>
      </c>
      <c r="G210" s="256"/>
      <c r="H210" s="256"/>
      <c r="I210" s="255">
        <f>I198+I204</f>
        <v>13930423.314833954</v>
      </c>
      <c r="J210" s="255"/>
      <c r="K210" s="255">
        <f>I210-F210</f>
        <v>902588.7186476849</v>
      </c>
      <c r="L210" s="52"/>
      <c r="M210" s="171"/>
      <c r="N210" s="171"/>
      <c r="O210" s="180"/>
    </row>
    <row r="211" spans="2:15" x14ac:dyDescent="0.25">
      <c r="B211" s="11" t="s">
        <v>175</v>
      </c>
      <c r="C211" s="51"/>
      <c r="D211" s="68">
        <f>D115</f>
        <v>9748488.4229263552</v>
      </c>
      <c r="E211" s="184"/>
      <c r="F211" s="255">
        <f>F199+F205</f>
        <v>4667048.7012883462</v>
      </c>
      <c r="G211" s="256"/>
      <c r="H211" s="256"/>
      <c r="I211" s="255">
        <f>I199+I205</f>
        <v>4667161.9277333459</v>
      </c>
      <c r="J211" s="255"/>
      <c r="K211" s="255">
        <f>I211-F211</f>
        <v>113.22644499968737</v>
      </c>
      <c r="L211" s="52"/>
      <c r="M211" s="171"/>
      <c r="N211" s="171"/>
      <c r="O211" s="180"/>
    </row>
    <row r="212" spans="2:15" x14ac:dyDescent="0.25">
      <c r="B212" s="11" t="s">
        <v>176</v>
      </c>
      <c r="C212" s="51"/>
      <c r="D212" s="68">
        <f>D184</f>
        <v>123778170.49320194</v>
      </c>
      <c r="E212" s="184"/>
      <c r="F212" s="255">
        <f>F200+F206</f>
        <v>11000268.980389617</v>
      </c>
      <c r="G212" s="256"/>
      <c r="H212" s="256"/>
      <c r="I212" s="255">
        <f>I200+I206</f>
        <v>12463170.868902029</v>
      </c>
      <c r="J212" s="255"/>
      <c r="K212" s="255">
        <f>I212-F212</f>
        <v>1462901.8885124121</v>
      </c>
      <c r="L212" s="52"/>
      <c r="M212" s="171"/>
      <c r="N212" s="171"/>
      <c r="O212" s="180"/>
    </row>
    <row r="213" spans="2:15" x14ac:dyDescent="0.25">
      <c r="B213" s="11" t="s">
        <v>14</v>
      </c>
      <c r="C213" s="51"/>
      <c r="D213" s="94">
        <f>SUM(D210:D212)</f>
        <v>224484630.11974847</v>
      </c>
      <c r="E213" s="184"/>
      <c r="F213" s="257">
        <f>SUM(F210:F212)</f>
        <v>28695152.277864233</v>
      </c>
      <c r="G213" s="256"/>
      <c r="H213" s="256"/>
      <c r="I213" s="257">
        <f>SUM(I210:I212)</f>
        <v>31060756.111469328</v>
      </c>
      <c r="J213" s="255"/>
      <c r="K213" s="257">
        <f>SUM(K210:K212)</f>
        <v>2365603.8336050967</v>
      </c>
      <c r="L213" s="52"/>
      <c r="M213" s="171"/>
      <c r="N213" s="171"/>
      <c r="O213" s="180"/>
    </row>
    <row r="214" spans="2:15" x14ac:dyDescent="0.25">
      <c r="C214" s="51"/>
      <c r="D214" s="68"/>
      <c r="E214" s="184"/>
      <c r="F214" s="255"/>
      <c r="G214" s="256"/>
      <c r="H214" s="256"/>
      <c r="I214" s="255"/>
      <c r="J214" s="255"/>
      <c r="K214" s="255"/>
      <c r="L214" s="52"/>
      <c r="M214" s="171"/>
      <c r="N214" s="171"/>
      <c r="O214" s="180"/>
    </row>
    <row r="215" spans="2:15" ht="13" x14ac:dyDescent="0.3">
      <c r="B215" s="67" t="s">
        <v>177</v>
      </c>
      <c r="E215" s="26"/>
      <c r="F215" s="258"/>
      <c r="G215" s="259"/>
      <c r="H215" s="260"/>
      <c r="I215" s="258"/>
      <c r="J215" s="258"/>
      <c r="K215" s="258"/>
      <c r="O215" s="157"/>
    </row>
    <row r="216" spans="2:15" x14ac:dyDescent="0.25">
      <c r="B216" s="69" t="s">
        <v>14</v>
      </c>
      <c r="D216" s="26">
        <f>'Exh. JDT-14 Pgs. 2-3 (BR-11)'!D13+'Exh. JDT-14 Pgs. 2-3 (BR-11)'!D24+'Exh. JDT-14 Pgs. 2-3 (BR-11)'!D37+'Exh. JDT-14 Pgs. 4-6 (BR-11)'!D36+'Exh. JDT-14 Pgs. 4-6 (BR-11)'!D95+'Exh. JDT-14 Pgs. 7-12 (BR-11)'!D59+'Exh. JDT-14 Pgs. 7-12 (BR-11)'!D115+'Exh. JDT-14 Pgs. 7-12 (BR-11)'!D184</f>
        <v>1154247841.2448504</v>
      </c>
      <c r="E216" s="103"/>
      <c r="F216" s="258">
        <f>'Exh. JDT-14 Pgs. 2-3 (BR-11)'!F18+'Exh. JDT-14 Pgs. 2-3 (BR-11)'!F29+'Exh. JDT-14 Pgs. 2-3 (BR-11)'!F41+'Exh. JDT-14 Pgs. 4-6 (BR-11)'!F41+'Exh. JDT-14 Pgs. 4-6 (BR-11)'!F105+'Exh. JDT-14 Pgs. 7-12 (BR-11)'!F67+'Exh. JDT-14 Pgs. 7-12 (BR-11)'!F123+'Exh. JDT-14 Pgs. 7-12 (BR-11)'!F192</f>
        <v>749083007.88678718</v>
      </c>
      <c r="G216" s="256"/>
      <c r="H216" s="260"/>
      <c r="I216" s="258">
        <f>'Exh. JDT-14 Pgs. 2-3 (BR-11)'!I18+'Exh. JDT-14 Pgs. 2-3 (BR-11)'!I29+'Exh. JDT-14 Pgs. 2-3 (BR-11)'!I41+'Exh. JDT-14 Pgs. 4-6 (BR-11)'!I41+'Exh. JDT-14 Pgs. 4-6 (BR-11)'!I105+'Exh. JDT-14 Pgs. 7-12 (BR-11)'!I67+'Exh. JDT-14 Pgs. 7-12 (BR-11)'!I123+'Exh. JDT-14 Pgs. 7-12 (BR-11)'!I192</f>
        <v>847428305.27351284</v>
      </c>
      <c r="J216" s="258"/>
      <c r="K216" s="258">
        <f>I216-F216</f>
        <v>98345297.386725664</v>
      </c>
      <c r="L216" s="262">
        <f>K216/F216</f>
        <v>0.13128758275289712</v>
      </c>
      <c r="O216" s="157"/>
    </row>
    <row r="217" spans="2:15" x14ac:dyDescent="0.25">
      <c r="B217" s="69" t="s">
        <v>178</v>
      </c>
      <c r="D217" s="158">
        <f>'Exh. JDT-14 Pg. 1 (BR-11)'!F19</f>
        <v>37056427.854413897</v>
      </c>
      <c r="E217" s="103"/>
      <c r="F217" s="263">
        <f>'Exh. JDT-14 Pg. 1 (BR-11)'!C19</f>
        <v>1718916.583166973</v>
      </c>
      <c r="G217" s="256"/>
      <c r="H217" s="260"/>
      <c r="I217" s="263">
        <f>'Exh. JDT-14 Pg. 1 (BR-11)'!S19</f>
        <v>1757519.5213237838</v>
      </c>
      <c r="J217" s="258"/>
      <c r="K217" s="258">
        <f>I217-F217</f>
        <v>38602.938156810822</v>
      </c>
      <c r="L217" s="262">
        <f>K217/F217</f>
        <v>2.2457714664482348E-2</v>
      </c>
      <c r="O217" s="157"/>
    </row>
    <row r="218" spans="2:15" x14ac:dyDescent="0.25">
      <c r="B218" s="69" t="s">
        <v>179</v>
      </c>
      <c r="E218" s="103"/>
      <c r="F218" s="263">
        <f>'Exh. JDT-14 Pg. 1 (BR-11)'!C20</f>
        <v>5310380.6899999985</v>
      </c>
      <c r="G218" s="256"/>
      <c r="H218" s="260"/>
      <c r="I218" s="263">
        <f>'Exh. JDT-14 Pg. 1 (BR-11)'!S20</f>
        <v>4866556.6399999987</v>
      </c>
      <c r="J218" s="258"/>
      <c r="K218" s="258">
        <f>I218-F218</f>
        <v>-443824.04999999981</v>
      </c>
      <c r="L218" s="262">
        <f>K218/F218</f>
        <v>-8.3576691749381898E-2</v>
      </c>
      <c r="O218" s="157"/>
    </row>
    <row r="219" spans="2:15" x14ac:dyDescent="0.25">
      <c r="B219" s="69" t="s">
        <v>180</v>
      </c>
      <c r="D219" s="175">
        <f>SUM(D216:D218)</f>
        <v>1191304269.0992644</v>
      </c>
      <c r="E219" s="103"/>
      <c r="F219" s="257">
        <f>SUM(F216:F218)</f>
        <v>756112305.15995419</v>
      </c>
      <c r="G219" s="256"/>
      <c r="H219" s="260"/>
      <c r="I219" s="257">
        <f>SUM(I216:I218)</f>
        <v>854052381.43483663</v>
      </c>
      <c r="J219" s="258"/>
      <c r="K219" s="257">
        <f>SUM(K216:K218)</f>
        <v>97940076.274882481</v>
      </c>
      <c r="L219" s="262">
        <f>K219/F219</f>
        <v>0.12953112336157979</v>
      </c>
      <c r="O219" s="157"/>
    </row>
    <row r="220" spans="2:15" x14ac:dyDescent="0.25">
      <c r="B220" s="264"/>
      <c r="C220" s="12"/>
      <c r="E220" s="103"/>
      <c r="F220" s="46"/>
      <c r="G220" s="256"/>
      <c r="H220" s="260"/>
      <c r="I220" s="46"/>
      <c r="J220" s="258"/>
      <c r="K220" s="46"/>
      <c r="L220" s="262"/>
    </row>
    <row r="221" spans="2:15" x14ac:dyDescent="0.25">
      <c r="B221" s="11" t="s">
        <v>120</v>
      </c>
      <c r="E221" s="103"/>
      <c r="F221" s="255"/>
      <c r="G221" s="256"/>
      <c r="H221" s="260"/>
      <c r="I221" s="255"/>
      <c r="J221" s="258"/>
      <c r="K221" s="255"/>
    </row>
    <row r="222" spans="2:15" x14ac:dyDescent="0.25">
      <c r="F222" s="255"/>
      <c r="G222" s="256"/>
      <c r="H222" s="260"/>
      <c r="I222" s="255"/>
      <c r="J222" s="258"/>
      <c r="K222" s="255"/>
    </row>
    <row r="223" spans="2:15" s="120" customFormat="1" x14ac:dyDescent="0.25">
      <c r="F223" s="69"/>
      <c r="G223" s="103"/>
      <c r="H223" s="264"/>
      <c r="I223" s="69"/>
      <c r="J223" s="69"/>
      <c r="K223" s="69"/>
      <c r="L223" s="261"/>
      <c r="M223" s="167"/>
      <c r="N223" s="216"/>
    </row>
  </sheetData>
  <mergeCells count="1">
    <mergeCell ref="K7:L7"/>
  </mergeCells>
  <printOptions horizontalCentered="1"/>
  <pageMargins left="0.5" right="0.5" top="1" bottom="1" header="0.75" footer="0.5"/>
  <pageSetup scale="74" fitToHeight="2" orientation="landscape" blackAndWhite="1" r:id="rId1"/>
  <headerFooter alignWithMargins="0">
    <oddFooter>&amp;RExhibit JDT-14
                   Page &amp;P of &amp;N</oddFooter>
  </headerFooter>
  <rowBreaks count="5" manualBreakCount="5">
    <brk id="46" max="16383" man="1"/>
    <brk id="88" min="1" max="16" man="1"/>
    <brk id="125" min="1" max="16" man="1"/>
    <brk id="168" max="16383" man="1"/>
    <brk id="194" min="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opLeftCell="B1" zoomScaleNormal="100" workbookViewId="0">
      <selection activeCell="I34" sqref="I34"/>
    </sheetView>
  </sheetViews>
  <sheetFormatPr defaultColWidth="9.1796875" defaultRowHeight="12.5" x14ac:dyDescent="0.25"/>
  <cols>
    <col min="1" max="1" width="2.453125" style="12" customWidth="1"/>
    <col min="2" max="2" width="9.54296875" style="12" customWidth="1"/>
    <col min="3" max="3" width="43.26953125" style="12" customWidth="1"/>
    <col min="4" max="5" width="10.453125" style="12" customWidth="1"/>
    <col min="6" max="6" width="14.453125" style="12" customWidth="1"/>
    <col min="7" max="7" width="2.81640625" style="12" customWidth="1"/>
    <col min="8" max="8" width="10.453125" style="12" customWidth="1"/>
    <col min="9" max="9" width="14.453125" style="12" bestFit="1" customWidth="1"/>
    <col min="10" max="10" width="13.54296875" style="12" customWidth="1"/>
    <col min="11" max="11" width="2.81640625" style="12" customWidth="1"/>
    <col min="12" max="12" width="18.7265625" style="12" bestFit="1" customWidth="1"/>
    <col min="13" max="13" width="2.81640625" style="12" customWidth="1"/>
    <col min="14" max="14" width="8.81640625" style="54" customWidth="1"/>
    <col min="15" max="15" width="8.81640625" style="54" bestFit="1" customWidth="1"/>
    <col min="16" max="16" width="14.7265625" style="12" customWidth="1"/>
    <col min="17" max="17" width="15.26953125" style="12" customWidth="1"/>
    <col min="18" max="19" width="14" style="12" customWidth="1"/>
    <col min="20" max="20" width="9.1796875" style="12"/>
    <col min="21" max="21" width="14" style="12" customWidth="1"/>
    <col min="22" max="16384" width="9.1796875" style="12"/>
  </cols>
  <sheetData>
    <row r="1" spans="1:21" x14ac:dyDescent="0.25">
      <c r="P1" s="54"/>
    </row>
    <row r="2" spans="1:21" ht="13" x14ac:dyDescent="0.3">
      <c r="B2" s="4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265"/>
      <c r="P2" s="54"/>
    </row>
    <row r="3" spans="1:21" ht="13" x14ac:dyDescent="0.3">
      <c r="B3" s="4" t="str">
        <f>'Exh. JDT-14 Pg. 1 (BR-11)'!$B$2</f>
        <v>2019 Gas General Rate Case Filing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265"/>
      <c r="P3" s="54"/>
    </row>
    <row r="4" spans="1:21" ht="13" x14ac:dyDescent="0.3">
      <c r="B4" s="4" t="s">
        <v>181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265"/>
      <c r="P4" s="54"/>
    </row>
    <row r="5" spans="1:21" s="15" customFormat="1" ht="13" x14ac:dyDescent="0.3">
      <c r="A5" s="266"/>
      <c r="B5" s="267" t="str">
        <f>'Exh. JDT-14 Pg. 1 (BR-11)'!B4</f>
        <v>Test Year Ended December 31, 2018</v>
      </c>
      <c r="C5" s="267"/>
      <c r="D5" s="267"/>
      <c r="E5" s="267"/>
      <c r="F5" s="267"/>
      <c r="G5" s="267"/>
      <c r="H5" s="267"/>
      <c r="I5" s="267"/>
      <c r="J5" s="4"/>
      <c r="K5" s="4"/>
      <c r="L5" s="58"/>
      <c r="M5" s="58"/>
      <c r="N5" s="265"/>
      <c r="O5" s="16"/>
      <c r="P5" s="16"/>
      <c r="Q5" s="21"/>
      <c r="R5" s="21"/>
      <c r="S5" s="21"/>
      <c r="T5" s="21"/>
      <c r="U5" s="21"/>
    </row>
    <row r="6" spans="1:21" s="15" customFormat="1" x14ac:dyDescent="0.25">
      <c r="A6" s="266"/>
      <c r="B6" s="16"/>
      <c r="C6" s="16"/>
      <c r="D6" s="16"/>
      <c r="E6" s="16"/>
      <c r="F6" s="16"/>
      <c r="G6" s="16"/>
      <c r="H6" s="16"/>
      <c r="I6" s="16"/>
      <c r="J6" s="18"/>
      <c r="K6" s="18"/>
      <c r="M6" s="21"/>
      <c r="N6" s="16"/>
      <c r="O6" s="266"/>
      <c r="P6" s="16"/>
      <c r="Q6" s="21"/>
      <c r="R6" s="21"/>
      <c r="S6" s="21"/>
      <c r="T6" s="21"/>
      <c r="U6" s="21"/>
    </row>
    <row r="7" spans="1:21" s="15" customFormat="1" x14ac:dyDescent="0.25">
      <c r="A7" s="266"/>
      <c r="B7" s="16"/>
      <c r="C7" s="16"/>
      <c r="D7" s="16"/>
      <c r="E7" s="16"/>
      <c r="F7" s="16"/>
      <c r="G7" s="16"/>
      <c r="H7" s="16"/>
      <c r="I7" s="16"/>
      <c r="J7" s="18"/>
      <c r="K7" s="18"/>
      <c r="M7" s="21"/>
      <c r="N7" s="16"/>
      <c r="O7" s="16"/>
      <c r="P7" s="16"/>
      <c r="Q7" s="21"/>
      <c r="R7" s="21"/>
      <c r="S7" s="21"/>
      <c r="T7" s="21"/>
      <c r="U7" s="21"/>
    </row>
    <row r="8" spans="1:21" s="15" customFormat="1" x14ac:dyDescent="0.25">
      <c r="B8" s="16"/>
      <c r="C8" s="16"/>
      <c r="D8" s="16"/>
      <c r="E8" s="16"/>
      <c r="F8" s="16" t="s">
        <v>38</v>
      </c>
      <c r="G8" s="16"/>
      <c r="H8" s="16"/>
      <c r="I8" s="16" t="s">
        <v>38</v>
      </c>
      <c r="J8" s="18"/>
      <c r="K8" s="18"/>
      <c r="M8" s="21"/>
      <c r="N8" s="16"/>
      <c r="O8" s="16"/>
      <c r="P8" s="16"/>
      <c r="Q8" s="21"/>
      <c r="R8" s="21"/>
      <c r="S8" s="21"/>
      <c r="T8" s="21"/>
      <c r="U8" s="21"/>
    </row>
    <row r="9" spans="1:21" s="15" customFormat="1" x14ac:dyDescent="0.25">
      <c r="B9" s="16" t="s">
        <v>182</v>
      </c>
      <c r="C9" s="16"/>
      <c r="D9" s="16" t="s">
        <v>183</v>
      </c>
      <c r="E9" s="16" t="s">
        <v>89</v>
      </c>
      <c r="F9" s="16" t="s">
        <v>184</v>
      </c>
      <c r="G9" s="16"/>
      <c r="H9" s="16" t="s">
        <v>8</v>
      </c>
      <c r="I9" s="16" t="s">
        <v>184</v>
      </c>
      <c r="J9" s="18" t="s">
        <v>8</v>
      </c>
      <c r="K9" s="18"/>
      <c r="L9" s="17" t="s">
        <v>29</v>
      </c>
      <c r="M9" s="21"/>
      <c r="N9" s="84" t="s">
        <v>91</v>
      </c>
      <c r="O9" s="16"/>
      <c r="P9" s="16"/>
      <c r="Q9" s="21"/>
      <c r="R9" s="21"/>
      <c r="S9" s="21"/>
      <c r="T9" s="21"/>
      <c r="U9" s="21"/>
    </row>
    <row r="10" spans="1:21" s="15" customFormat="1" x14ac:dyDescent="0.25">
      <c r="B10" s="23" t="s">
        <v>185</v>
      </c>
      <c r="C10" s="23" t="s">
        <v>92</v>
      </c>
      <c r="D10" s="23" t="s">
        <v>186</v>
      </c>
      <c r="E10" s="23" t="s">
        <v>31</v>
      </c>
      <c r="F10" s="23" t="s">
        <v>187</v>
      </c>
      <c r="G10" s="23"/>
      <c r="H10" s="23" t="s">
        <v>31</v>
      </c>
      <c r="I10" s="23" t="s">
        <v>188</v>
      </c>
      <c r="J10" s="23" t="s">
        <v>36</v>
      </c>
      <c r="K10" s="16"/>
      <c r="L10" s="22" t="s">
        <v>36</v>
      </c>
      <c r="M10" s="21"/>
      <c r="N10" s="89" t="s">
        <v>4</v>
      </c>
      <c r="O10" s="16"/>
      <c r="P10" s="16"/>
      <c r="Q10" s="21"/>
      <c r="R10" s="21"/>
      <c r="S10" s="21"/>
      <c r="T10" s="21"/>
      <c r="U10" s="21"/>
    </row>
    <row r="11" spans="1:21" x14ac:dyDescent="0.25">
      <c r="B11" s="268" t="s">
        <v>40</v>
      </c>
      <c r="C11" s="268" t="s">
        <v>41</v>
      </c>
      <c r="D11" s="268" t="s">
        <v>42</v>
      </c>
      <c r="E11" s="268" t="s">
        <v>43</v>
      </c>
      <c r="F11" s="268" t="s">
        <v>44</v>
      </c>
      <c r="G11" s="268"/>
      <c r="H11" s="268" t="s">
        <v>45</v>
      </c>
      <c r="I11" s="268" t="s">
        <v>46</v>
      </c>
      <c r="J11" s="268" t="s">
        <v>47</v>
      </c>
      <c r="K11" s="268"/>
      <c r="L11" s="21" t="s">
        <v>48</v>
      </c>
      <c r="N11" s="268" t="s">
        <v>49</v>
      </c>
      <c r="P11" s="54"/>
    </row>
    <row r="12" spans="1:21" ht="12.75" customHeight="1" x14ac:dyDescent="0.25">
      <c r="B12" s="12" t="s">
        <v>189</v>
      </c>
      <c r="C12" s="12" t="s">
        <v>190</v>
      </c>
      <c r="D12" s="269">
        <v>12263</v>
      </c>
      <c r="E12" s="159">
        <v>7.37</v>
      </c>
      <c r="F12" s="25">
        <f>D12*E12</f>
        <v>90378.31</v>
      </c>
      <c r="G12" s="270"/>
      <c r="H12" s="271">
        <f t="shared" ref="H12:H28" si="0">ROUND(E12*(1+$L$17),2)</f>
        <v>6.75</v>
      </c>
      <c r="I12" s="25">
        <f>D12*H12</f>
        <v>82775.25</v>
      </c>
      <c r="J12" s="25">
        <f>I12-F12</f>
        <v>-7603.0599999999977</v>
      </c>
      <c r="K12" s="2"/>
      <c r="L12" s="272" t="s">
        <v>191</v>
      </c>
      <c r="M12" s="273"/>
      <c r="N12" s="9">
        <f>H12/E12-1</f>
        <v>-8.4124830393487171E-2</v>
      </c>
      <c r="O12" s="271"/>
      <c r="P12" s="271"/>
      <c r="Q12" s="273"/>
      <c r="R12" s="273"/>
      <c r="S12" s="273"/>
      <c r="U12" s="273"/>
    </row>
    <row r="13" spans="1:21" x14ac:dyDescent="0.25">
      <c r="B13" s="12" t="s">
        <v>192</v>
      </c>
      <c r="C13" s="12" t="s">
        <v>193</v>
      </c>
      <c r="D13" s="269">
        <v>190792</v>
      </c>
      <c r="E13" s="159">
        <v>12.09</v>
      </c>
      <c r="F13" s="25">
        <f>D13*E13</f>
        <v>2306675.2799999998</v>
      </c>
      <c r="G13" s="274"/>
      <c r="H13" s="271">
        <f t="shared" si="0"/>
        <v>11.08</v>
      </c>
      <c r="I13" s="25">
        <f>D13*H13</f>
        <v>2113975.36</v>
      </c>
      <c r="J13" s="25">
        <f t="shared" ref="J13:J24" si="1">I13-F13</f>
        <v>-192699.91999999993</v>
      </c>
      <c r="K13" s="274"/>
      <c r="L13" s="106">
        <f>'Exh. JDT-14 Pg. 1 (BR-11)'!N20</f>
        <v>-443836.14119762927</v>
      </c>
      <c r="M13" s="273"/>
      <c r="N13" s="9">
        <f t="shared" ref="N13:N28" si="2">H13/E13-1</f>
        <v>-8.3540115798180326E-2</v>
      </c>
      <c r="O13" s="271"/>
      <c r="P13" s="271"/>
      <c r="Q13" s="273"/>
      <c r="R13" s="273"/>
      <c r="S13" s="273"/>
      <c r="T13" s="273"/>
      <c r="U13" s="273"/>
    </row>
    <row r="14" spans="1:21" x14ac:dyDescent="0.25">
      <c r="B14" s="12" t="s">
        <v>194</v>
      </c>
      <c r="C14" s="12" t="s">
        <v>195</v>
      </c>
      <c r="D14" s="269">
        <v>36011</v>
      </c>
      <c r="E14" s="159">
        <v>17.149999999999999</v>
      </c>
      <c r="F14" s="25">
        <f t="shared" ref="F14:F28" si="3">D14*E14</f>
        <v>617588.64999999991</v>
      </c>
      <c r="G14" s="274"/>
      <c r="H14" s="271">
        <f t="shared" si="0"/>
        <v>15.72</v>
      </c>
      <c r="I14" s="25">
        <f t="shared" ref="I14:I28" si="4">D14*H14</f>
        <v>566092.92000000004</v>
      </c>
      <c r="J14" s="25">
        <f t="shared" si="1"/>
        <v>-51495.729999999865</v>
      </c>
      <c r="K14" s="274"/>
      <c r="L14" s="275" t="s">
        <v>104</v>
      </c>
      <c r="M14" s="273"/>
      <c r="N14" s="9">
        <f t="shared" si="2"/>
        <v>-8.3381924198250634E-2</v>
      </c>
      <c r="O14" s="271"/>
      <c r="P14" s="271"/>
      <c r="Q14" s="273"/>
      <c r="R14" s="273"/>
      <c r="S14" s="273"/>
      <c r="T14" s="273"/>
      <c r="U14" s="273"/>
    </row>
    <row r="15" spans="1:21" x14ac:dyDescent="0.25">
      <c r="B15" s="12" t="s">
        <v>196</v>
      </c>
      <c r="C15" s="12" t="s">
        <v>197</v>
      </c>
      <c r="D15" s="269">
        <v>7959</v>
      </c>
      <c r="E15" s="159">
        <v>16.78</v>
      </c>
      <c r="F15" s="25">
        <f t="shared" si="3"/>
        <v>133552.02000000002</v>
      </c>
      <c r="G15" s="274"/>
      <c r="H15" s="271">
        <f t="shared" si="0"/>
        <v>15.38</v>
      </c>
      <c r="I15" s="25">
        <f>D15*H15</f>
        <v>122409.42000000001</v>
      </c>
      <c r="J15" s="25">
        <f>I15-F15</f>
        <v>-11142.600000000006</v>
      </c>
      <c r="K15" s="274"/>
      <c r="L15" s="110">
        <f>J29-L13</f>
        <v>12.091197629400995</v>
      </c>
      <c r="M15" s="273"/>
      <c r="N15" s="9">
        <f t="shared" si="2"/>
        <v>-8.3432657926102549E-2</v>
      </c>
      <c r="O15" s="271"/>
      <c r="P15" s="271"/>
      <c r="Q15" s="273"/>
      <c r="R15" s="273"/>
      <c r="S15" s="273"/>
      <c r="T15" s="273"/>
      <c r="U15" s="273"/>
    </row>
    <row r="16" spans="1:21" x14ac:dyDescent="0.25">
      <c r="B16" s="12" t="s">
        <v>198</v>
      </c>
      <c r="C16" s="12" t="s">
        <v>199</v>
      </c>
      <c r="D16" s="269">
        <v>40377</v>
      </c>
      <c r="E16" s="159">
        <v>5.83</v>
      </c>
      <c r="F16" s="25">
        <f t="shared" si="3"/>
        <v>235397.91</v>
      </c>
      <c r="G16" s="274"/>
      <c r="H16" s="271">
        <f t="shared" si="0"/>
        <v>5.34</v>
      </c>
      <c r="I16" s="25">
        <f t="shared" si="4"/>
        <v>215613.18</v>
      </c>
      <c r="J16" s="25">
        <f t="shared" si="1"/>
        <v>-19784.73000000001</v>
      </c>
      <c r="K16" s="274"/>
      <c r="L16" s="276"/>
      <c r="M16" s="273"/>
      <c r="N16" s="9">
        <f t="shared" si="2"/>
        <v>-8.4048027444253881E-2</v>
      </c>
      <c r="O16" s="271"/>
      <c r="P16" s="271"/>
      <c r="Q16" s="273"/>
      <c r="R16" s="273"/>
      <c r="S16" s="273"/>
      <c r="T16" s="273"/>
      <c r="U16" s="273"/>
    </row>
    <row r="17" spans="2:21" x14ac:dyDescent="0.25">
      <c r="B17" s="12" t="s">
        <v>200</v>
      </c>
      <c r="C17" s="12" t="s">
        <v>201</v>
      </c>
      <c r="D17" s="269">
        <v>2345</v>
      </c>
      <c r="E17" s="159">
        <v>10.57</v>
      </c>
      <c r="F17" s="25">
        <f t="shared" si="3"/>
        <v>24786.65</v>
      </c>
      <c r="G17" s="274"/>
      <c r="H17" s="271">
        <f t="shared" si="0"/>
        <v>9.69</v>
      </c>
      <c r="I17" s="25">
        <f t="shared" si="4"/>
        <v>22723.05</v>
      </c>
      <c r="J17" s="25">
        <f t="shared" si="1"/>
        <v>-2063.6000000000022</v>
      </c>
      <c r="K17" s="274"/>
      <c r="L17" s="116">
        <v>-8.3589999999999998E-2</v>
      </c>
      <c r="M17" s="273"/>
      <c r="N17" s="9">
        <f t="shared" si="2"/>
        <v>-8.3254493850520417E-2</v>
      </c>
      <c r="O17" s="271"/>
      <c r="P17" s="271"/>
      <c r="Q17" s="273"/>
      <c r="R17" s="273"/>
      <c r="S17" s="273"/>
      <c r="T17" s="273"/>
      <c r="U17" s="273"/>
    </row>
    <row r="18" spans="2:21" x14ac:dyDescent="0.25">
      <c r="B18" s="12" t="s">
        <v>202</v>
      </c>
      <c r="C18" s="12" t="s">
        <v>203</v>
      </c>
      <c r="D18" s="269">
        <v>1384</v>
      </c>
      <c r="E18" s="159">
        <v>14.9</v>
      </c>
      <c r="F18" s="25">
        <f t="shared" si="3"/>
        <v>20621.600000000002</v>
      </c>
      <c r="G18" s="274"/>
      <c r="H18" s="271">
        <f t="shared" si="0"/>
        <v>13.65</v>
      </c>
      <c r="I18" s="25">
        <f t="shared" si="4"/>
        <v>18891.600000000002</v>
      </c>
      <c r="J18" s="25">
        <f t="shared" si="1"/>
        <v>-1730</v>
      </c>
      <c r="K18" s="274"/>
      <c r="M18" s="273"/>
      <c r="N18" s="9">
        <f t="shared" si="2"/>
        <v>-8.3892617449664475E-2</v>
      </c>
      <c r="O18" s="187"/>
      <c r="P18" s="271"/>
      <c r="Q18" s="273"/>
      <c r="R18" s="273"/>
      <c r="S18" s="273"/>
      <c r="T18" s="273"/>
      <c r="U18" s="273"/>
    </row>
    <row r="19" spans="2:21" x14ac:dyDescent="0.25">
      <c r="B19" s="12" t="s">
        <v>204</v>
      </c>
      <c r="C19" s="12" t="s">
        <v>205</v>
      </c>
      <c r="D19" s="269">
        <v>1036</v>
      </c>
      <c r="E19" s="159">
        <v>19.600000000000001</v>
      </c>
      <c r="F19" s="25">
        <f t="shared" si="3"/>
        <v>20305.600000000002</v>
      </c>
      <c r="G19" s="274"/>
      <c r="H19" s="271">
        <f t="shared" si="0"/>
        <v>17.96</v>
      </c>
      <c r="I19" s="25">
        <f t="shared" si="4"/>
        <v>18606.560000000001</v>
      </c>
      <c r="J19" s="25">
        <f t="shared" si="1"/>
        <v>-1699.0400000000009</v>
      </c>
      <c r="K19" s="274"/>
      <c r="L19" s="273"/>
      <c r="M19" s="273"/>
      <c r="N19" s="9">
        <f t="shared" si="2"/>
        <v>-8.3673469387755106E-2</v>
      </c>
      <c r="O19" s="187"/>
      <c r="P19" s="271"/>
      <c r="Q19" s="273"/>
      <c r="R19" s="273"/>
      <c r="S19" s="273"/>
      <c r="T19" s="273"/>
      <c r="U19" s="273"/>
    </row>
    <row r="20" spans="2:21" x14ac:dyDescent="0.25">
      <c r="B20" s="12" t="s">
        <v>206</v>
      </c>
      <c r="C20" s="12" t="s">
        <v>207</v>
      </c>
      <c r="D20" s="269">
        <v>2711</v>
      </c>
      <c r="E20" s="159">
        <v>19.600000000000001</v>
      </c>
      <c r="F20" s="25">
        <f t="shared" si="3"/>
        <v>53135.600000000006</v>
      </c>
      <c r="G20" s="274"/>
      <c r="H20" s="271">
        <f t="shared" si="0"/>
        <v>17.96</v>
      </c>
      <c r="I20" s="25">
        <f t="shared" si="4"/>
        <v>48689.560000000005</v>
      </c>
      <c r="J20" s="25">
        <f t="shared" si="1"/>
        <v>-4446.0400000000009</v>
      </c>
      <c r="K20" s="274"/>
      <c r="L20" s="273"/>
      <c r="M20" s="273"/>
      <c r="N20" s="9">
        <f t="shared" si="2"/>
        <v>-8.3673469387755106E-2</v>
      </c>
      <c r="O20" s="187"/>
      <c r="P20" s="271"/>
      <c r="Q20" s="273"/>
      <c r="R20" s="273"/>
      <c r="S20" s="273"/>
      <c r="T20" s="273"/>
      <c r="U20" s="273"/>
    </row>
    <row r="21" spans="2:21" x14ac:dyDescent="0.25">
      <c r="B21" s="12" t="s">
        <v>208</v>
      </c>
      <c r="C21" s="12" t="s">
        <v>209</v>
      </c>
      <c r="D21" s="269">
        <v>157</v>
      </c>
      <c r="E21" s="159">
        <v>30.95</v>
      </c>
      <c r="F21" s="25">
        <f t="shared" si="3"/>
        <v>4859.1499999999996</v>
      </c>
      <c r="G21" s="274"/>
      <c r="H21" s="271">
        <f t="shared" si="0"/>
        <v>28.36</v>
      </c>
      <c r="I21" s="25">
        <f t="shared" si="4"/>
        <v>4452.5199999999995</v>
      </c>
      <c r="J21" s="25">
        <f t="shared" si="1"/>
        <v>-406.63000000000011</v>
      </c>
      <c r="K21" s="274"/>
      <c r="L21" s="273"/>
      <c r="M21" s="273"/>
      <c r="N21" s="9">
        <f t="shared" si="2"/>
        <v>-8.3683360258481443E-2</v>
      </c>
      <c r="O21" s="187"/>
      <c r="P21" s="271"/>
      <c r="Q21" s="273"/>
      <c r="R21" s="273"/>
      <c r="S21" s="273"/>
      <c r="T21" s="273"/>
      <c r="U21" s="273"/>
    </row>
    <row r="22" spans="2:21" x14ac:dyDescent="0.25">
      <c r="B22" s="12" t="s">
        <v>210</v>
      </c>
      <c r="C22" s="12" t="s">
        <v>211</v>
      </c>
      <c r="D22" s="269">
        <v>6638</v>
      </c>
      <c r="E22" s="159">
        <v>40.51</v>
      </c>
      <c r="F22" s="25">
        <f t="shared" si="3"/>
        <v>268905.38</v>
      </c>
      <c r="G22" s="274"/>
      <c r="H22" s="271">
        <f t="shared" si="0"/>
        <v>37.119999999999997</v>
      </c>
      <c r="I22" s="25">
        <f t="shared" si="4"/>
        <v>246402.55999999997</v>
      </c>
      <c r="J22" s="25">
        <f t="shared" si="1"/>
        <v>-22502.820000000036</v>
      </c>
      <c r="K22" s="274"/>
      <c r="L22" s="273"/>
      <c r="M22" s="273"/>
      <c r="N22" s="9">
        <f t="shared" si="2"/>
        <v>-8.3683041224389076E-2</v>
      </c>
      <c r="O22" s="187"/>
      <c r="P22" s="271"/>
      <c r="Q22" s="273"/>
      <c r="R22" s="273"/>
      <c r="S22" s="273"/>
      <c r="T22" s="273"/>
      <c r="U22" s="273"/>
    </row>
    <row r="23" spans="2:21" x14ac:dyDescent="0.25">
      <c r="B23" s="12" t="s">
        <v>212</v>
      </c>
      <c r="C23" s="12" t="s">
        <v>213</v>
      </c>
      <c r="D23" s="269">
        <v>4526</v>
      </c>
      <c r="E23" s="159">
        <v>54.25</v>
      </c>
      <c r="F23" s="25">
        <f t="shared" si="3"/>
        <v>245535.5</v>
      </c>
      <c r="G23" s="274"/>
      <c r="H23" s="271">
        <f t="shared" si="0"/>
        <v>49.72</v>
      </c>
      <c r="I23" s="25">
        <f t="shared" si="4"/>
        <v>225032.72</v>
      </c>
      <c r="J23" s="25">
        <f t="shared" si="1"/>
        <v>-20502.78</v>
      </c>
      <c r="K23" s="274"/>
      <c r="L23" s="273"/>
      <c r="M23" s="273"/>
      <c r="N23" s="9">
        <f t="shared" si="2"/>
        <v>-8.3502304147465511E-2</v>
      </c>
      <c r="O23" s="187"/>
      <c r="P23" s="271"/>
      <c r="Q23" s="273"/>
      <c r="R23" s="273"/>
      <c r="S23" s="273"/>
      <c r="T23" s="273"/>
      <c r="U23" s="273"/>
    </row>
    <row r="24" spans="2:21" x14ac:dyDescent="0.25">
      <c r="B24" s="12" t="s">
        <v>214</v>
      </c>
      <c r="C24" s="12" t="s">
        <v>215</v>
      </c>
      <c r="D24" s="269">
        <v>13159</v>
      </c>
      <c r="E24" s="159">
        <v>63.09</v>
      </c>
      <c r="F24" s="25">
        <f t="shared" si="3"/>
        <v>830201.31</v>
      </c>
      <c r="G24" s="274"/>
      <c r="H24" s="271">
        <f t="shared" si="0"/>
        <v>57.82</v>
      </c>
      <c r="I24" s="25">
        <f t="shared" si="4"/>
        <v>760853.38</v>
      </c>
      <c r="J24" s="25">
        <f t="shared" si="1"/>
        <v>-69347.930000000051</v>
      </c>
      <c r="K24" s="274"/>
      <c r="L24" s="273"/>
      <c r="M24" s="273"/>
      <c r="N24" s="9">
        <f t="shared" si="2"/>
        <v>-8.3531462989380301E-2</v>
      </c>
      <c r="O24" s="187"/>
      <c r="P24" s="271"/>
      <c r="Q24" s="273"/>
      <c r="R24" s="273"/>
      <c r="S24" s="273"/>
      <c r="T24" s="273"/>
      <c r="U24" s="273"/>
    </row>
    <row r="25" spans="2:21" x14ac:dyDescent="0.25">
      <c r="B25" s="12" t="s">
        <v>216</v>
      </c>
      <c r="C25" s="12" t="s">
        <v>217</v>
      </c>
      <c r="D25" s="269">
        <v>11501</v>
      </c>
      <c r="E25" s="159">
        <v>10.16</v>
      </c>
      <c r="F25" s="25">
        <f t="shared" si="3"/>
        <v>116850.16</v>
      </c>
      <c r="G25" s="274"/>
      <c r="H25" s="271">
        <f t="shared" si="0"/>
        <v>9.31</v>
      </c>
      <c r="I25" s="25">
        <f t="shared" si="4"/>
        <v>107074.31000000001</v>
      </c>
      <c r="J25" s="25">
        <f>I25-F25</f>
        <v>-9775.8499999999913</v>
      </c>
      <c r="K25" s="274"/>
      <c r="M25" s="273"/>
      <c r="N25" s="9">
        <f t="shared" si="2"/>
        <v>-8.3661417322834608E-2</v>
      </c>
      <c r="O25" s="271"/>
      <c r="P25" s="271"/>
      <c r="Q25" s="273"/>
      <c r="R25" s="273"/>
      <c r="S25" s="273"/>
      <c r="T25" s="273"/>
      <c r="U25" s="273"/>
    </row>
    <row r="26" spans="2:21" x14ac:dyDescent="0.25">
      <c r="B26" s="12" t="s">
        <v>218</v>
      </c>
      <c r="C26" s="12" t="s">
        <v>219</v>
      </c>
      <c r="D26" s="269">
        <v>844</v>
      </c>
      <c r="E26" s="159">
        <v>27.71</v>
      </c>
      <c r="F26" s="25">
        <f t="shared" si="3"/>
        <v>23387.24</v>
      </c>
      <c r="G26" s="274"/>
      <c r="H26" s="271">
        <f t="shared" si="0"/>
        <v>25.39</v>
      </c>
      <c r="I26" s="25">
        <f t="shared" si="4"/>
        <v>21429.16</v>
      </c>
      <c r="J26" s="25">
        <f>I26-F26</f>
        <v>-1958.0800000000017</v>
      </c>
      <c r="K26" s="274"/>
      <c r="M26" s="273"/>
      <c r="N26" s="9">
        <f t="shared" si="2"/>
        <v>-8.372428726091663E-2</v>
      </c>
      <c r="O26" s="271"/>
      <c r="P26" s="271"/>
      <c r="Q26" s="273"/>
      <c r="R26" s="273"/>
      <c r="S26" s="273"/>
      <c r="T26" s="273"/>
      <c r="U26" s="273"/>
    </row>
    <row r="27" spans="2:21" x14ac:dyDescent="0.25">
      <c r="B27" s="12" t="s">
        <v>220</v>
      </c>
      <c r="C27" s="12" t="s">
        <v>221</v>
      </c>
      <c r="D27" s="269">
        <v>541</v>
      </c>
      <c r="E27" s="159">
        <v>37.58</v>
      </c>
      <c r="F27" s="25">
        <f t="shared" si="3"/>
        <v>20330.78</v>
      </c>
      <c r="G27" s="274"/>
      <c r="H27" s="271">
        <f t="shared" si="0"/>
        <v>34.44</v>
      </c>
      <c r="I27" s="25">
        <f t="shared" si="4"/>
        <v>18632.039999999997</v>
      </c>
      <c r="J27" s="25">
        <f>I27-F27</f>
        <v>-1698.7400000000016</v>
      </c>
      <c r="K27" s="274"/>
      <c r="M27" s="273"/>
      <c r="N27" s="9">
        <f t="shared" si="2"/>
        <v>-8.355508249068655E-2</v>
      </c>
      <c r="O27" s="271"/>
      <c r="P27" s="271"/>
      <c r="Q27" s="273"/>
      <c r="R27" s="273"/>
      <c r="S27" s="273"/>
      <c r="T27" s="273"/>
      <c r="U27" s="273"/>
    </row>
    <row r="28" spans="2:21" x14ac:dyDescent="0.25">
      <c r="B28" s="12" t="s">
        <v>222</v>
      </c>
      <c r="C28" s="12" t="s">
        <v>223</v>
      </c>
      <c r="D28" s="269">
        <v>19205</v>
      </c>
      <c r="E28" s="159">
        <v>15.51</v>
      </c>
      <c r="F28" s="25">
        <f t="shared" si="3"/>
        <v>297869.55</v>
      </c>
      <c r="G28" s="274"/>
      <c r="H28" s="271">
        <f t="shared" si="0"/>
        <v>14.21</v>
      </c>
      <c r="I28" s="25">
        <f t="shared" si="4"/>
        <v>272903.05</v>
      </c>
      <c r="J28" s="25">
        <f>I28-F28</f>
        <v>-24966.5</v>
      </c>
      <c r="K28" s="274"/>
      <c r="M28" s="273"/>
      <c r="N28" s="9">
        <f t="shared" si="2"/>
        <v>-8.3816892327530534E-2</v>
      </c>
      <c r="O28" s="271"/>
      <c r="P28" s="271"/>
      <c r="Q28" s="273"/>
      <c r="R28" s="273"/>
      <c r="S28" s="273"/>
      <c r="T28" s="273"/>
      <c r="U28" s="273"/>
    </row>
    <row r="29" spans="2:21" x14ac:dyDescent="0.25">
      <c r="C29" s="12" t="s">
        <v>14</v>
      </c>
      <c r="D29" s="175">
        <f>SUM(D12:D28)</f>
        <v>351449</v>
      </c>
      <c r="F29" s="43">
        <f>SUM(F12:F28)</f>
        <v>5310380.6900000004</v>
      </c>
      <c r="G29" s="276"/>
      <c r="H29" s="273"/>
      <c r="I29" s="43">
        <f>SUM(I12:I28)</f>
        <v>4866556.6399999997</v>
      </c>
      <c r="J29" s="43">
        <f>SUM(J12:J28)</f>
        <v>-443824.04999999987</v>
      </c>
      <c r="K29" s="53"/>
      <c r="O29" s="187"/>
      <c r="P29" s="276"/>
    </row>
    <row r="30" spans="2:21" s="54" customFormat="1" x14ac:dyDescent="0.25">
      <c r="E30" s="276"/>
      <c r="F30" s="276"/>
      <c r="G30" s="276"/>
      <c r="H30" s="276"/>
      <c r="I30" s="276"/>
      <c r="J30" s="276"/>
      <c r="K30" s="276"/>
    </row>
    <row r="31" spans="2:21" s="54" customFormat="1" x14ac:dyDescent="0.25">
      <c r="E31" s="158"/>
      <c r="I31" s="16"/>
      <c r="J31" s="277"/>
      <c r="K31" s="277"/>
    </row>
    <row r="32" spans="2:21" x14ac:dyDescent="0.25">
      <c r="E32" s="158"/>
      <c r="O32" s="278"/>
      <c r="P32" s="271"/>
      <c r="Q32" s="273"/>
      <c r="R32" s="273"/>
      <c r="S32" s="273"/>
    </row>
    <row r="33" spans="5:19" x14ac:dyDescent="0.25">
      <c r="E33" s="158"/>
      <c r="P33" s="271"/>
      <c r="Q33" s="273"/>
      <c r="R33" s="273"/>
      <c r="S33" s="273"/>
    </row>
    <row r="34" spans="5:19" x14ac:dyDescent="0.25">
      <c r="E34" s="158"/>
      <c r="I34" s="273"/>
      <c r="J34" s="273"/>
      <c r="K34" s="273"/>
      <c r="O34" s="279"/>
      <c r="P34" s="49"/>
      <c r="Q34" s="49"/>
      <c r="R34" s="3"/>
      <c r="S34" s="3"/>
    </row>
    <row r="35" spans="5:19" x14ac:dyDescent="0.25">
      <c r="E35" s="158"/>
      <c r="P35" s="54"/>
    </row>
  </sheetData>
  <printOptions horizontalCentered="1"/>
  <pageMargins left="0.5" right="0.5" top="1" bottom="1" header="0.75" footer="0.5"/>
  <pageSetup scale="78" orientation="landscape" blackAndWhite="1" r:id="rId1"/>
  <headerFooter alignWithMargins="0">
    <oddFooter>&amp;RExhibit JDT-14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D3313D-C8AB-496F-BE4C-E8968C6BCA32}"/>
</file>

<file path=customXml/itemProps2.xml><?xml version="1.0" encoding="utf-8"?>
<ds:datastoreItem xmlns:ds="http://schemas.openxmlformats.org/officeDocument/2006/customXml" ds:itemID="{DF63E92D-D98B-4919-8DF9-AEC96BB89C0C}"/>
</file>

<file path=customXml/itemProps3.xml><?xml version="1.0" encoding="utf-8"?>
<ds:datastoreItem xmlns:ds="http://schemas.openxmlformats.org/officeDocument/2006/customXml" ds:itemID="{E21A40DD-28DD-4117-AD2F-FF4275E3AD4E}"/>
</file>

<file path=customXml/itemProps4.xml><?xml version="1.0" encoding="utf-8"?>
<ds:datastoreItem xmlns:ds="http://schemas.openxmlformats.org/officeDocument/2006/customXml" ds:itemID="{F3947E7A-453F-4BBA-AA29-CDB5CEC97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Exh. JDT-14 Pg. 1 (BR-11)</vt:lpstr>
      <vt:lpstr>Exh. JDT-14 Pgs. 2-3 (BR-11)</vt:lpstr>
      <vt:lpstr>Exh. JDT-14 Pgs. 4-6 (BR-11)</vt:lpstr>
      <vt:lpstr>Exh. JDT-14 Pgs. 7-12 (BR-11)</vt:lpstr>
      <vt:lpstr>Exh. JDT-14 Pg. 13 (BR-11)</vt:lpstr>
      <vt:lpstr>'Exh. JDT-14 Pg. 1 (BR-11)'!Print_Area</vt:lpstr>
      <vt:lpstr>'Exh. JDT-14 Pg. 13 (BR-11)'!Print_Area</vt:lpstr>
      <vt:lpstr>'Exh. JDT-14 Pgs. 2-3 (BR-11)'!Print_Area</vt:lpstr>
      <vt:lpstr>'Exh. JDT-14 Pgs. 4-6 (BR-11)'!Print_Area</vt:lpstr>
      <vt:lpstr>'Exh. JDT-14 Pgs. 7-12 (BR-11)'!Print_Area</vt:lpstr>
      <vt:lpstr>'Exh. JDT-14 Pg. 1 (BR-11)'!Print_Titles</vt:lpstr>
      <vt:lpstr>'Exh. JDT-14 Pgs. 2-3 (BR-11)'!Print_Titles</vt:lpstr>
      <vt:lpstr>'Exh. JDT-14 Pgs. 4-6 (BR-11)'!Print_Titles</vt:lpstr>
      <vt:lpstr>'Exh. JDT-14 Pgs. 7-12 (BR-11)'!Print_Titles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2020-02-28T02:40:47Z</cp:lastPrinted>
  <dcterms:created xsi:type="dcterms:W3CDTF">2020-02-28T02:35:49Z</dcterms:created>
  <dcterms:modified xsi:type="dcterms:W3CDTF">2020-02-28T02:42:45Z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