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210" windowWidth="20100" windowHeight="9090"/>
  </bookViews>
  <sheets>
    <sheet name="GRC Impacts" sheetId="1" r:id="rId1"/>
    <sheet name="SCHEDULE IMPACTS===&gt;" sheetId="35" r:id="rId2"/>
    <sheet name="Exhibit No.__(JAP-Sch 7 Imp)" sheetId="36" r:id="rId3"/>
    <sheet name="Exhibit No.__(JAP-Sch 24 Imp)" sheetId="37" r:id="rId4"/>
    <sheet name="Exhibit No.__(JAP-Sch 25 Imp)" sheetId="38" r:id="rId5"/>
    <sheet name="Exhibit No.__(JAP-Sch 26 Imp)" sheetId="39" r:id="rId6"/>
    <sheet name="Exhibit No.__(JAP-Sch 29 Imp)" sheetId="40" r:id="rId7"/>
    <sheet name="Exhibit No.__(JAP-Sch 31 Imp)" sheetId="41" r:id="rId8"/>
    <sheet name="Exhibit No.__(JAP-Sch 46 Imp)" sheetId="42" r:id="rId9"/>
    <sheet name="Exhibit No.__(JAP-Sch 49 Imp)" sheetId="43" r:id="rId10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3">'Exhibit No.__(JAP-Sch 24 Imp)'!$A$1:$Y$46</definedName>
    <definedName name="_xlnm.Print_Area" localSheetId="4">'Exhibit No.__(JAP-Sch 25 Imp)'!$A$1:$Q$63</definedName>
    <definedName name="_xlnm.Print_Area" localSheetId="5">'Exhibit No.__(JAP-Sch 26 Imp)'!$A$1:$Q$49</definedName>
    <definedName name="_xlnm.Print_Area" localSheetId="6">'Exhibit No.__(JAP-Sch 29 Imp)'!$B$1:$Q$75</definedName>
    <definedName name="_xlnm.Print_Area" localSheetId="7">'Exhibit No.__(JAP-Sch 31 Imp)'!$A$1:$Q$49</definedName>
    <definedName name="_xlnm.Print_Area" localSheetId="8">'Exhibit No.__(JAP-Sch 46 Imp)'!$A$1:$P$41</definedName>
    <definedName name="_xlnm.Print_Area" localSheetId="9">'Exhibit No.__(JAP-Sch 49 Imp)'!$A$1:$Q$41</definedName>
    <definedName name="_xlnm.Print_Area" localSheetId="2">'Exhibit No.__(JAP-Sch 7 Imp)'!$A$1:$S$44</definedName>
    <definedName name="_xlnm.Print_Area" localSheetId="0">'GRC Impacts'!$A$1:$AC$37</definedName>
    <definedName name="_xlnm.Print_Titles" localSheetId="0">'GRC Impacts'!$A:$B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iterate="1" calcOnSave="0"/>
</workbook>
</file>

<file path=xl/calcChain.xml><?xml version="1.0" encoding="utf-8"?>
<calcChain xmlns="http://schemas.openxmlformats.org/spreadsheetml/2006/main">
  <c r="O31" i="1" l="1"/>
  <c r="N13" i="43" l="1"/>
  <c r="N13" i="42"/>
  <c r="O10" i="41" l="1"/>
  <c r="O18" i="41"/>
  <c r="O11" i="40" l="1"/>
  <c r="O10" i="39"/>
  <c r="O18" i="39"/>
  <c r="O23" i="40"/>
  <c r="O10" i="40"/>
  <c r="O27" i="40"/>
  <c r="O24" i="40"/>
  <c r="O21" i="38"/>
  <c r="O10" i="38"/>
  <c r="O20" i="38"/>
  <c r="O24" i="38"/>
  <c r="Q32" i="36"/>
  <c r="Q29" i="36"/>
  <c r="P30" i="43"/>
  <c r="P30" i="42"/>
  <c r="Q44" i="41"/>
  <c r="Q68" i="40"/>
  <c r="Q44" i="39"/>
  <c r="Y36" i="37"/>
  <c r="Q35" i="36"/>
  <c r="Q59" i="38" l="1"/>
  <c r="P21" i="43" l="1"/>
  <c r="P21" i="42"/>
  <c r="Q29" i="41"/>
  <c r="Q45" i="40"/>
  <c r="Q29" i="39"/>
  <c r="Y23" i="37"/>
  <c r="Q24" i="36"/>
  <c r="P22" i="43" l="1"/>
  <c r="P22" i="42"/>
  <c r="Q30" i="41"/>
  <c r="Q46" i="40"/>
  <c r="Q30" i="39"/>
  <c r="Y24" i="37"/>
  <c r="Q25" i="36"/>
  <c r="P23" i="43"/>
  <c r="P23" i="42"/>
  <c r="Q31" i="41"/>
  <c r="Q47" i="40"/>
  <c r="Q31" i="39"/>
  <c r="Y25" i="37"/>
  <c r="Q26" i="36"/>
  <c r="P24" i="43" l="1"/>
  <c r="P24" i="42"/>
  <c r="Q32" i="41"/>
  <c r="Q48" i="40"/>
  <c r="Q32" i="39"/>
  <c r="Y26" i="37"/>
  <c r="Q27" i="36"/>
  <c r="O9" i="36" l="1"/>
  <c r="V10" i="37" l="1"/>
  <c r="U10" i="37"/>
  <c r="Q44" i="38" l="1"/>
  <c r="Y27" i="37"/>
  <c r="O14" i="41"/>
  <c r="Q69" i="40"/>
  <c r="Q45" i="39"/>
  <c r="Q36" i="36"/>
  <c r="O12" i="39" l="1"/>
  <c r="P31" i="42"/>
  <c r="N14" i="42"/>
  <c r="Y37" i="37"/>
  <c r="U12" i="37"/>
  <c r="P31" i="43"/>
  <c r="N14" i="43"/>
  <c r="Q60" i="38"/>
  <c r="Q45" i="41"/>
  <c r="O12" i="41"/>
  <c r="Q46" i="39"/>
  <c r="O15" i="39"/>
  <c r="O14" i="39"/>
  <c r="Q46" i="41"/>
  <c r="O15" i="41"/>
  <c r="Q33" i="39"/>
  <c r="Q49" i="40"/>
  <c r="P25" i="42"/>
  <c r="Q33" i="41"/>
  <c r="P25" i="43"/>
  <c r="Q28" i="36"/>
  <c r="U13" i="37"/>
  <c r="W7" i="1" l="1"/>
  <c r="M18" i="43" l="1"/>
  <c r="M17" i="43"/>
  <c r="M18" i="42"/>
  <c r="M17" i="42"/>
  <c r="N26" i="41"/>
  <c r="N25" i="41"/>
  <c r="N24" i="41"/>
  <c r="N23" i="41"/>
  <c r="N22" i="41"/>
  <c r="N21" i="41"/>
  <c r="N42" i="40" l="1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B12" i="41" s="1"/>
  <c r="B14" i="41" s="1"/>
  <c r="E11" i="41"/>
  <c r="E12" i="41"/>
  <c r="P12" i="41"/>
  <c r="P14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B26" i="40" s="1"/>
  <c r="E25" i="40"/>
  <c r="P25" i="40"/>
  <c r="E26" i="40"/>
  <c r="P27" i="40"/>
  <c r="E28" i="40"/>
  <c r="B29" i="40"/>
  <c r="E29" i="40"/>
  <c r="B30" i="40"/>
  <c r="E30" i="40"/>
  <c r="E32" i="40"/>
  <c r="B33" i="40"/>
  <c r="B34" i="40" s="1"/>
  <c r="E33" i="40"/>
  <c r="E34" i="40"/>
  <c r="E36" i="40"/>
  <c r="B37" i="40"/>
  <c r="E37" i="40"/>
  <c r="B38" i="40"/>
  <c r="E38" i="40"/>
  <c r="E10" i="39"/>
  <c r="P10" i="39"/>
  <c r="B11" i="39"/>
  <c r="B12" i="39" s="1"/>
  <c r="B14" i="39" s="1"/>
  <c r="E11" i="39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E14" i="41" l="1"/>
  <c r="B15" i="41"/>
  <c r="B18" i="37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Q37" i="36" l="1"/>
  <c r="O11" i="36"/>
  <c r="O12" i="36"/>
  <c r="Q70" i="40" l="1"/>
  <c r="O14" i="40"/>
  <c r="O18" i="40"/>
  <c r="O17" i="40"/>
  <c r="O13" i="40"/>
  <c r="A10" i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l="1"/>
  <c r="A22" i="1" s="1"/>
  <c r="A23" i="1" s="1"/>
  <c r="A24" i="1" s="1"/>
  <c r="A25" i="1" s="1"/>
  <c r="A26" i="1" s="1"/>
  <c r="A27" i="1" s="1"/>
  <c r="A28" i="1" s="1"/>
  <c r="V35" i="1"/>
  <c r="A29" i="1" l="1"/>
  <c r="A30" i="1" s="1"/>
  <c r="A31" i="1" s="1"/>
  <c r="A32" i="1" s="1"/>
  <c r="A33" i="1" s="1"/>
  <c r="A34" i="1" s="1"/>
  <c r="A35" i="1" s="1"/>
  <c r="A36" i="1" s="1"/>
  <c r="A37" i="1" s="1"/>
  <c r="V7" i="1"/>
  <c r="U7" i="1"/>
  <c r="Q42" i="38" l="1"/>
  <c r="Q43" i="38"/>
  <c r="Q41" i="38" l="1"/>
  <c r="Q40" i="38"/>
  <c r="O12" i="38" l="1"/>
  <c r="O16" i="38"/>
  <c r="O13" i="38"/>
  <c r="O25" i="1"/>
  <c r="O21" i="1"/>
  <c r="O10" i="1"/>
  <c r="O16" i="1" l="1"/>
  <c r="O33" i="1" l="1"/>
  <c r="O37" i="1" s="1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2" i="37"/>
  <c r="V19" i="37"/>
  <c r="V13" i="37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U35" i="1" l="1"/>
  <c r="P35" i="1" l="1"/>
  <c r="T35" i="1" l="1"/>
  <c r="Q9" i="36" l="1"/>
  <c r="S9" i="36" s="1"/>
  <c r="Q11" i="36" l="1"/>
  <c r="S11" i="36" l="1"/>
  <c r="H14" i="36"/>
  <c r="H10" i="36"/>
  <c r="H15" i="36"/>
  <c r="H18" i="36"/>
  <c r="H19" i="36"/>
  <c r="H11" i="36"/>
  <c r="H9" i="36"/>
  <c r="H13" i="36"/>
  <c r="H17" i="36"/>
  <c r="L13" i="36" l="1"/>
  <c r="J13" i="36"/>
  <c r="L18" i="36"/>
  <c r="J18" i="36"/>
  <c r="L9" i="36"/>
  <c r="J9" i="36"/>
  <c r="J15" i="36"/>
  <c r="L15" i="36"/>
  <c r="L11" i="36"/>
  <c r="J11" i="36"/>
  <c r="J10" i="36"/>
  <c r="L10" i="36"/>
  <c r="J17" i="36"/>
  <c r="L17" i="36"/>
  <c r="L19" i="36"/>
  <c r="J19" i="36"/>
  <c r="J14" i="36"/>
  <c r="L14" i="36"/>
  <c r="W30" i="1" l="1"/>
  <c r="V30" i="1"/>
  <c r="U30" i="1"/>
  <c r="P30" i="1"/>
  <c r="T30" i="1" l="1"/>
  <c r="Q30" i="1"/>
  <c r="X30" i="1"/>
  <c r="Y30" i="1" l="1"/>
  <c r="Z30" i="1"/>
  <c r="AA30" i="1" l="1"/>
  <c r="AB30" i="1"/>
  <c r="AC30" i="1" l="1"/>
  <c r="P13" i="42" l="1"/>
  <c r="R13" i="42" s="1"/>
  <c r="P14" i="43" l="1"/>
  <c r="I14" i="43" l="1"/>
  <c r="K14" i="43" s="1"/>
  <c r="I23" i="43"/>
  <c r="K23" i="43" s="1"/>
  <c r="I22" i="43"/>
  <c r="K22" i="43" s="1"/>
  <c r="I15" i="43"/>
  <c r="K15" i="43" s="1"/>
  <c r="I21" i="43"/>
  <c r="K21" i="43" s="1"/>
  <c r="R14" i="43"/>
  <c r="I18" i="43"/>
  <c r="K18" i="43" s="1"/>
  <c r="I17" i="43"/>
  <c r="K17" i="43" s="1"/>
  <c r="I19" i="43"/>
  <c r="K19" i="43" s="1"/>
  <c r="I13" i="43"/>
  <c r="K13" i="43" s="1"/>
  <c r="P14" i="42" l="1"/>
  <c r="I14" i="42" s="1"/>
  <c r="K14" i="42" s="1"/>
  <c r="I21" i="42" l="1"/>
  <c r="K21" i="42" s="1"/>
  <c r="I23" i="42"/>
  <c r="K23" i="42" s="1"/>
  <c r="I19" i="42"/>
  <c r="K19" i="42" s="1"/>
  <c r="I29" i="42"/>
  <c r="K29" i="42" s="1"/>
  <c r="I34" i="42"/>
  <c r="K34" i="42" s="1"/>
  <c r="I13" i="42"/>
  <c r="K13" i="42" s="1"/>
  <c r="R14" i="42"/>
  <c r="I15" i="42"/>
  <c r="K15" i="42" s="1"/>
  <c r="I22" i="42"/>
  <c r="K22" i="42" s="1"/>
  <c r="I18" i="42"/>
  <c r="K18" i="42" s="1"/>
  <c r="I17" i="42"/>
  <c r="K17" i="42" s="1"/>
  <c r="I31" i="42"/>
  <c r="K31" i="42" s="1"/>
  <c r="I26" i="42"/>
  <c r="K26" i="42" s="1"/>
  <c r="I27" i="42"/>
  <c r="K27" i="42" s="1"/>
  <c r="I30" i="42"/>
  <c r="K30" i="42" s="1"/>
  <c r="I33" i="42"/>
  <c r="K33" i="42" s="1"/>
  <c r="I35" i="42"/>
  <c r="K35" i="42" s="1"/>
  <c r="I25" i="42"/>
  <c r="K25" i="42" s="1"/>
  <c r="V27" i="1" l="1"/>
  <c r="W27" i="1"/>
  <c r="U27" i="1" l="1"/>
  <c r="X27" i="1" s="1"/>
  <c r="P27" i="1"/>
  <c r="T27" i="1" l="1"/>
  <c r="C31" i="1" l="1"/>
  <c r="H31" i="1" l="1"/>
  <c r="G31" i="1"/>
  <c r="I31" i="1"/>
  <c r="F31" i="1"/>
  <c r="J31" i="1"/>
  <c r="M31" i="1"/>
  <c r="N31" i="1"/>
  <c r="P29" i="1" l="1"/>
  <c r="U29" i="1"/>
  <c r="E31" i="1"/>
  <c r="W29" i="1"/>
  <c r="W31" i="1" s="1"/>
  <c r="L31" i="1"/>
  <c r="V29" i="1"/>
  <c r="V31" i="1" s="1"/>
  <c r="K31" i="1"/>
  <c r="X29" i="1" l="1"/>
  <c r="X31" i="1" s="1"/>
  <c r="U31" i="1"/>
  <c r="T29" i="1"/>
  <c r="T31" i="1" s="1"/>
  <c r="P31" i="1"/>
  <c r="W24" i="1" l="1"/>
  <c r="V24" i="1"/>
  <c r="C25" i="1"/>
  <c r="U24" i="1" l="1"/>
  <c r="X24" i="1" s="1"/>
  <c r="P24" i="1"/>
  <c r="T24" i="1" s="1"/>
  <c r="H25" i="1" l="1"/>
  <c r="J25" i="1"/>
  <c r="G25" i="1"/>
  <c r="N25" i="1"/>
  <c r="M25" i="1"/>
  <c r="I25" i="1"/>
  <c r="F25" i="1"/>
  <c r="E25" i="1" l="1"/>
  <c r="P23" i="1"/>
  <c r="U23" i="1"/>
  <c r="K25" i="1"/>
  <c r="V23" i="1"/>
  <c r="V25" i="1" s="1"/>
  <c r="V19" i="1"/>
  <c r="W19" i="1"/>
  <c r="L25" i="1"/>
  <c r="W23" i="1"/>
  <c r="W25" i="1" s="1"/>
  <c r="X23" i="1" l="1"/>
  <c r="X25" i="1" s="1"/>
  <c r="U25" i="1"/>
  <c r="P25" i="1"/>
  <c r="T23" i="1"/>
  <c r="T25" i="1" s="1"/>
  <c r="U19" i="1"/>
  <c r="X19" i="1" s="1"/>
  <c r="P19" i="1"/>
  <c r="T19" i="1" l="1"/>
  <c r="D31" i="1" l="1"/>
  <c r="Q29" i="1"/>
  <c r="Q31" i="1" s="1"/>
  <c r="Q24" i="1" l="1"/>
  <c r="O16" i="41" l="1"/>
  <c r="G11" i="41" l="1"/>
  <c r="G20" i="41"/>
  <c r="G12" i="41"/>
  <c r="G26" i="41"/>
  <c r="G16" i="41"/>
  <c r="G19" i="41"/>
  <c r="G15" i="41"/>
  <c r="G35" i="41"/>
  <c r="G22" i="41"/>
  <c r="G32" i="41"/>
  <c r="G36" i="41"/>
  <c r="G27" i="41"/>
  <c r="G18" i="41"/>
  <c r="G31" i="41"/>
  <c r="G24" i="41"/>
  <c r="G14" i="41"/>
  <c r="G10" i="41"/>
  <c r="G23" i="41"/>
  <c r="G28" i="41"/>
  <c r="G34" i="41"/>
  <c r="G30" i="41"/>
  <c r="O19" i="40"/>
  <c r="O15" i="40"/>
  <c r="O16" i="39"/>
  <c r="O25" i="40"/>
  <c r="G24" i="39" l="1"/>
  <c r="G30" i="39"/>
  <c r="G23" i="39"/>
  <c r="G22" i="39"/>
  <c r="G14" i="39"/>
  <c r="G18" i="39"/>
  <c r="G19" i="39"/>
  <c r="G15" i="39"/>
  <c r="G12" i="39"/>
  <c r="G20" i="39"/>
  <c r="G32" i="39"/>
  <c r="G11" i="39"/>
  <c r="G27" i="39"/>
  <c r="G16" i="39"/>
  <c r="G28" i="39"/>
  <c r="G34" i="39"/>
  <c r="G10" i="39"/>
  <c r="G36" i="39"/>
  <c r="G35" i="39"/>
  <c r="G26" i="39"/>
  <c r="G31" i="39"/>
  <c r="G36" i="40"/>
  <c r="G13" i="40"/>
  <c r="G26" i="40"/>
  <c r="G20" i="40"/>
  <c r="G30" i="40"/>
  <c r="G37" i="40"/>
  <c r="G28" i="40"/>
  <c r="G15" i="40"/>
  <c r="G25" i="40"/>
  <c r="G17" i="40"/>
  <c r="G32" i="40"/>
  <c r="G38" i="40"/>
  <c r="G19" i="40"/>
  <c r="G16" i="40"/>
  <c r="G24" i="40"/>
  <c r="G34" i="40"/>
  <c r="G33" i="40"/>
  <c r="G29" i="40"/>
  <c r="G11" i="40"/>
  <c r="G21" i="40"/>
  <c r="G12" i="40"/>
  <c r="D25" i="1"/>
  <c r="Q23" i="1"/>
  <c r="Q25" i="1" s="1"/>
  <c r="Q19" i="1" l="1"/>
  <c r="O14" i="38" l="1"/>
  <c r="G10" i="38" l="1"/>
  <c r="G11" i="38"/>
  <c r="G12" i="38"/>
  <c r="O22" i="38"/>
  <c r="G16" i="38" s="1"/>
  <c r="G26" i="38" l="1"/>
  <c r="G22" i="38"/>
  <c r="G14" i="38"/>
  <c r="G24" i="38"/>
  <c r="G15" i="38"/>
  <c r="G32" i="38"/>
  <c r="G18" i="38"/>
  <c r="G28" i="38"/>
  <c r="G19" i="38"/>
  <c r="G35" i="38"/>
  <c r="G31" i="38"/>
  <c r="G20" i="38"/>
  <c r="G27" i="38"/>
  <c r="G30" i="38"/>
  <c r="G34" i="38"/>
  <c r="G36" i="38"/>
  <c r="G23" i="38"/>
  <c r="Q27" i="1" l="1"/>
  <c r="W15" i="1" l="1"/>
  <c r="V15" i="1"/>
  <c r="D10" i="1"/>
  <c r="C10" i="1" l="1"/>
  <c r="P15" i="1"/>
  <c r="U15" i="1"/>
  <c r="X15" i="1" s="1"/>
  <c r="W20" i="1"/>
  <c r="V20" i="1"/>
  <c r="U20" i="1" l="1"/>
  <c r="X20" i="1" s="1"/>
  <c r="P20" i="1"/>
  <c r="Q15" i="1"/>
  <c r="T15" i="1"/>
  <c r="G10" i="1" l="1"/>
  <c r="J10" i="1"/>
  <c r="M10" i="1"/>
  <c r="H10" i="1"/>
  <c r="W35" i="1"/>
  <c r="X35" i="1" s="1"/>
  <c r="I10" i="1"/>
  <c r="F10" i="1"/>
  <c r="N10" i="1"/>
  <c r="T20" i="1"/>
  <c r="Q20" i="1"/>
  <c r="P9" i="1" l="1"/>
  <c r="E10" i="1"/>
  <c r="U9" i="1"/>
  <c r="V9" i="1"/>
  <c r="V10" i="1" s="1"/>
  <c r="K10" i="1"/>
  <c r="L10" i="1"/>
  <c r="W9" i="1"/>
  <c r="W10" i="1" s="1"/>
  <c r="Q35" i="1"/>
  <c r="Q9" i="1" l="1"/>
  <c r="Q10" i="1" s="1"/>
  <c r="P10" i="1"/>
  <c r="T9" i="1"/>
  <c r="T10" i="1" s="1"/>
  <c r="U10" i="1"/>
  <c r="X9" i="1"/>
  <c r="X10" i="1" s="1"/>
  <c r="D21" i="1" l="1"/>
  <c r="C21" i="1" l="1"/>
  <c r="W14" i="1"/>
  <c r="V14" i="1"/>
  <c r="C16" i="1"/>
  <c r="V13" i="1"/>
  <c r="W13" i="1"/>
  <c r="C33" i="1" l="1"/>
  <c r="C37" i="1" s="1"/>
  <c r="D16" i="1"/>
  <c r="D33" i="1" s="1"/>
  <c r="D37" i="1" s="1"/>
  <c r="V20" i="37"/>
  <c r="U14" i="37"/>
  <c r="U13" i="1"/>
  <c r="X13" i="1" s="1"/>
  <c r="P13" i="1"/>
  <c r="U14" i="1"/>
  <c r="X14" i="1" s="1"/>
  <c r="P14" i="1"/>
  <c r="G21" i="1" l="1"/>
  <c r="F21" i="1"/>
  <c r="H21" i="1"/>
  <c r="J16" i="1"/>
  <c r="M21" i="1"/>
  <c r="G16" i="1"/>
  <c r="F16" i="1"/>
  <c r="F33" i="1" s="1"/>
  <c r="F37" i="1" s="1"/>
  <c r="Q14" i="1"/>
  <c r="T14" i="1"/>
  <c r="T13" i="1"/>
  <c r="Q13" i="1"/>
  <c r="AF13" i="1" s="1"/>
  <c r="N21" i="1"/>
  <c r="J21" i="1"/>
  <c r="N16" i="1"/>
  <c r="I21" i="1"/>
  <c r="M16" i="1"/>
  <c r="M33" i="1" s="1"/>
  <c r="M37" i="1" s="1"/>
  <c r="I16" i="1"/>
  <c r="I33" i="1" s="1"/>
  <c r="I37" i="1" s="1"/>
  <c r="D12" i="37"/>
  <c r="D19" i="37"/>
  <c r="D20" i="37"/>
  <c r="D26" i="37"/>
  <c r="D30" i="37"/>
  <c r="D31" i="37"/>
  <c r="D39" i="37"/>
  <c r="V14" i="37"/>
  <c r="D40" i="37"/>
  <c r="D38" i="37"/>
  <c r="D24" i="37"/>
  <c r="D32" i="37"/>
  <c r="D35" i="37"/>
  <c r="D36" i="37"/>
  <c r="D18" i="37"/>
  <c r="D14" i="37"/>
  <c r="D10" i="37"/>
  <c r="D11" i="37"/>
  <c r="D28" i="37"/>
  <c r="D22" i="37"/>
  <c r="D34" i="37"/>
  <c r="D15" i="37"/>
  <c r="D16" i="37"/>
  <c r="D23" i="37"/>
  <c r="D27" i="37"/>
  <c r="H16" i="1"/>
  <c r="H33" i="1" s="1"/>
  <c r="H37" i="1" s="1"/>
  <c r="N33" i="1" l="1"/>
  <c r="N37" i="1" s="1"/>
  <c r="F11" i="37"/>
  <c r="F22" i="37"/>
  <c r="F36" i="37"/>
  <c r="F32" i="37"/>
  <c r="F15" i="37"/>
  <c r="F28" i="37"/>
  <c r="F20" i="37"/>
  <c r="F14" i="37"/>
  <c r="F31" i="37"/>
  <c r="F19" i="37"/>
  <c r="F10" i="37"/>
  <c r="F34" i="37"/>
  <c r="F35" i="37"/>
  <c r="F16" i="37"/>
  <c r="F39" i="37"/>
  <c r="F30" i="37"/>
  <c r="F24" i="37"/>
  <c r="F26" i="37"/>
  <c r="F12" i="37"/>
  <c r="F18" i="37"/>
  <c r="F38" i="37"/>
  <c r="F27" i="37"/>
  <c r="F23" i="37"/>
  <c r="F40" i="37"/>
  <c r="W12" i="1"/>
  <c r="W16" i="1" s="1"/>
  <c r="L16" i="1"/>
  <c r="V18" i="1"/>
  <c r="V21" i="1" s="1"/>
  <c r="K21" i="1"/>
  <c r="G33" i="1"/>
  <c r="G37" i="1" s="1"/>
  <c r="J33" i="1"/>
  <c r="J37" i="1" s="1"/>
  <c r="U18" i="1"/>
  <c r="P18" i="1"/>
  <c r="E21" i="1"/>
  <c r="P12" i="1"/>
  <c r="E16" i="1"/>
  <c r="U12" i="1"/>
  <c r="W18" i="1"/>
  <c r="W21" i="1" s="1"/>
  <c r="L21" i="1"/>
  <c r="V12" i="1"/>
  <c r="V16" i="1" s="1"/>
  <c r="K16" i="1"/>
  <c r="C40" i="1"/>
  <c r="K33" i="1" l="1"/>
  <c r="K37" i="1" s="1"/>
  <c r="P16" i="1"/>
  <c r="T12" i="1"/>
  <c r="T16" i="1" s="1"/>
  <c r="Q12" i="1"/>
  <c r="Q16" i="1" s="1"/>
  <c r="X12" i="1"/>
  <c r="X16" i="1" s="1"/>
  <c r="U16" i="1"/>
  <c r="P21" i="1"/>
  <c r="Q18" i="1"/>
  <c r="T18" i="1"/>
  <c r="T21" i="1" s="1"/>
  <c r="L33" i="1"/>
  <c r="L37" i="1" s="1"/>
  <c r="V33" i="1"/>
  <c r="V37" i="1" s="1"/>
  <c r="E33" i="1"/>
  <c r="E37" i="1" s="1"/>
  <c r="U21" i="1"/>
  <c r="X18" i="1"/>
  <c r="X21" i="1" s="1"/>
  <c r="W33" i="1"/>
  <c r="W37" i="1" s="1"/>
  <c r="T33" i="1" l="1"/>
  <c r="T37" i="1" s="1"/>
  <c r="U33" i="1"/>
  <c r="U37" i="1" s="1"/>
  <c r="P33" i="1"/>
  <c r="P37" i="1" s="1"/>
  <c r="X33" i="1"/>
  <c r="X37" i="1" s="1"/>
  <c r="AF18" i="1"/>
  <c r="Q21" i="1"/>
  <c r="Q33" i="1" s="1"/>
  <c r="Q37" i="1" s="1"/>
  <c r="Y29" i="1" l="1"/>
  <c r="Z29" i="1"/>
  <c r="S31" i="1"/>
  <c r="AB29" i="1" l="1"/>
  <c r="Z31" i="1"/>
  <c r="AB31" i="1" s="1"/>
  <c r="AA29" i="1"/>
  <c r="Y31" i="1"/>
  <c r="AC29" i="1" l="1"/>
  <c r="AA31" i="1"/>
  <c r="AC31" i="1" s="1"/>
  <c r="Y35" i="1" l="1"/>
  <c r="AA35" i="1" s="1"/>
  <c r="Z35" i="1"/>
  <c r="AB35" i="1" l="1"/>
  <c r="AC35" i="1"/>
  <c r="Q18" i="39" l="1"/>
  <c r="S18" i="39" s="1"/>
  <c r="Q16" i="41"/>
  <c r="S16" i="41" s="1"/>
  <c r="Q10" i="38" l="1"/>
  <c r="Y10" i="37"/>
  <c r="Q18" i="41"/>
  <c r="S18" i="41" s="1"/>
  <c r="Q12" i="36"/>
  <c r="Q16" i="38"/>
  <c r="S16" i="38" s="1"/>
  <c r="Q10" i="39"/>
  <c r="X10" i="37"/>
  <c r="Q14" i="41"/>
  <c r="S14" i="41" s="1"/>
  <c r="Q15" i="41"/>
  <c r="S15" i="41" s="1"/>
  <c r="Q12" i="41"/>
  <c r="S12" i="41" s="1"/>
  <c r="Q10" i="41"/>
  <c r="Q12" i="39"/>
  <c r="S12" i="39" s="1"/>
  <c r="Q17" i="40" l="1"/>
  <c r="S17" i="40" s="1"/>
  <c r="Q27" i="40"/>
  <c r="S27" i="40" s="1"/>
  <c r="H23" i="36"/>
  <c r="H24" i="36"/>
  <c r="H35" i="36"/>
  <c r="H32" i="36"/>
  <c r="H31" i="36"/>
  <c r="H28" i="36"/>
  <c r="H25" i="36"/>
  <c r="H26" i="36"/>
  <c r="S12" i="36"/>
  <c r="H20" i="36"/>
  <c r="H29" i="36"/>
  <c r="H22" i="36"/>
  <c r="H34" i="36"/>
  <c r="H36" i="36"/>
  <c r="H30" i="36"/>
  <c r="Q24" i="40"/>
  <c r="S24" i="40" s="1"/>
  <c r="Q10" i="40"/>
  <c r="Q15" i="39"/>
  <c r="S15" i="39" s="1"/>
  <c r="Q18" i="40"/>
  <c r="S18" i="40" s="1"/>
  <c r="X12" i="37"/>
  <c r="Y18" i="37"/>
  <c r="Y19" i="37"/>
  <c r="X13" i="37"/>
  <c r="S10" i="39"/>
  <c r="AB10" i="37"/>
  <c r="Q14" i="40"/>
  <c r="S14" i="40" s="1"/>
  <c r="Q11" i="40"/>
  <c r="S10" i="41"/>
  <c r="I31" i="41"/>
  <c r="K31" i="41" s="1"/>
  <c r="I11" i="41"/>
  <c r="K11" i="41" s="1"/>
  <c r="I16" i="41"/>
  <c r="K16" i="41" s="1"/>
  <c r="I34" i="41"/>
  <c r="K34" i="41" s="1"/>
  <c r="I27" i="41"/>
  <c r="K27" i="41" s="1"/>
  <c r="I12" i="41"/>
  <c r="K12" i="41" s="1"/>
  <c r="I26" i="41"/>
  <c r="K26" i="41" s="1"/>
  <c r="I15" i="41"/>
  <c r="K15" i="41" s="1"/>
  <c r="I18" i="41"/>
  <c r="K18" i="41" s="1"/>
  <c r="I30" i="41"/>
  <c r="K30" i="41" s="1"/>
  <c r="I14" i="41"/>
  <c r="K14" i="41" s="1"/>
  <c r="I22" i="41"/>
  <c r="K22" i="41" s="1"/>
  <c r="I10" i="41"/>
  <c r="K10" i="41" s="1"/>
  <c r="I19" i="41"/>
  <c r="K19" i="41" s="1"/>
  <c r="I24" i="41"/>
  <c r="K24" i="41" s="1"/>
  <c r="I28" i="41"/>
  <c r="K28" i="41" s="1"/>
  <c r="I35" i="41"/>
  <c r="K35" i="41" s="1"/>
  <c r="I20" i="41"/>
  <c r="K20" i="41" s="1"/>
  <c r="I36" i="41"/>
  <c r="K36" i="41" s="1"/>
  <c r="I32" i="41"/>
  <c r="K32" i="41" s="1"/>
  <c r="I23" i="41"/>
  <c r="K23" i="41" s="1"/>
  <c r="AA10" i="37"/>
  <c r="S10" i="38"/>
  <c r="Q23" i="40"/>
  <c r="S23" i="40" s="1"/>
  <c r="Q14" i="39"/>
  <c r="S14" i="39" s="1"/>
  <c r="Q13" i="40"/>
  <c r="S13" i="40" s="1"/>
  <c r="Q19" i="40"/>
  <c r="S19" i="40" s="1"/>
  <c r="Q25" i="40"/>
  <c r="S25" i="40" s="1"/>
  <c r="Q15" i="40"/>
  <c r="S15" i="40" s="1"/>
  <c r="Y23" i="1" l="1"/>
  <c r="S25" i="1"/>
  <c r="Z23" i="1"/>
  <c r="Y12" i="37"/>
  <c r="AB12" i="37" s="1"/>
  <c r="AA12" i="37"/>
  <c r="L22" i="36"/>
  <c r="J22" i="36"/>
  <c r="J26" i="36"/>
  <c r="L26" i="36"/>
  <c r="L32" i="36"/>
  <c r="J32" i="36"/>
  <c r="P13" i="43"/>
  <c r="Z24" i="1"/>
  <c r="AB24" i="1" s="1"/>
  <c r="Y24" i="1"/>
  <c r="AA24" i="1" s="1"/>
  <c r="AC24" i="1" s="1"/>
  <c r="Y13" i="37"/>
  <c r="AB13" i="37" s="1"/>
  <c r="AA13" i="37"/>
  <c r="I19" i="40"/>
  <c r="K19" i="40" s="1"/>
  <c r="I11" i="40"/>
  <c r="K11" i="40" s="1"/>
  <c r="S10" i="40"/>
  <c r="I21" i="40"/>
  <c r="K21" i="40" s="1"/>
  <c r="I15" i="40"/>
  <c r="K15" i="40" s="1"/>
  <c r="I20" i="40"/>
  <c r="K20" i="40" s="1"/>
  <c r="I13" i="40"/>
  <c r="K13" i="40" s="1"/>
  <c r="I17" i="40"/>
  <c r="K17" i="40" s="1"/>
  <c r="I16" i="40"/>
  <c r="K16" i="40" s="1"/>
  <c r="I12" i="40"/>
  <c r="K12" i="40" s="1"/>
  <c r="L30" i="36"/>
  <c r="J30" i="36"/>
  <c r="L29" i="36"/>
  <c r="J29" i="36"/>
  <c r="L25" i="36"/>
  <c r="J25" i="36"/>
  <c r="J35" i="36"/>
  <c r="L35" i="36"/>
  <c r="Y18" i="1"/>
  <c r="Z18" i="1"/>
  <c r="S10" i="1"/>
  <c r="Y9" i="1"/>
  <c r="Z9" i="1"/>
  <c r="L36" i="36"/>
  <c r="J36" i="36"/>
  <c r="J20" i="36"/>
  <c r="L20" i="36"/>
  <c r="J28" i="36"/>
  <c r="L28" i="36"/>
  <c r="J24" i="36"/>
  <c r="L24" i="36"/>
  <c r="I24" i="40"/>
  <c r="K24" i="40" s="1"/>
  <c r="I38" i="40"/>
  <c r="K38" i="40" s="1"/>
  <c r="S11" i="40"/>
  <c r="I25" i="40"/>
  <c r="K25" i="40" s="1"/>
  <c r="I32" i="40"/>
  <c r="K32" i="40" s="1"/>
  <c r="I37" i="40"/>
  <c r="K37" i="40" s="1"/>
  <c r="I26" i="40"/>
  <c r="K26" i="40" s="1"/>
  <c r="I29" i="40"/>
  <c r="K29" i="40" s="1"/>
  <c r="I30" i="40"/>
  <c r="K30" i="40" s="1"/>
  <c r="I36" i="40"/>
  <c r="K36" i="40" s="1"/>
  <c r="I33" i="40"/>
  <c r="K33" i="40" s="1"/>
  <c r="I28" i="40"/>
  <c r="K28" i="40" s="1"/>
  <c r="I34" i="40"/>
  <c r="K34" i="40" s="1"/>
  <c r="L34" i="36"/>
  <c r="J34" i="36"/>
  <c r="J31" i="36"/>
  <c r="L31" i="36"/>
  <c r="J23" i="36"/>
  <c r="L23" i="36"/>
  <c r="Q16" i="39"/>
  <c r="Z10" i="1" l="1"/>
  <c r="AB9" i="1"/>
  <c r="S16" i="39"/>
  <c r="I22" i="39"/>
  <c r="K22" i="39" s="1"/>
  <c r="I36" i="39"/>
  <c r="K36" i="39" s="1"/>
  <c r="I27" i="39"/>
  <c r="K27" i="39" s="1"/>
  <c r="I14" i="39"/>
  <c r="K14" i="39" s="1"/>
  <c r="I35" i="39"/>
  <c r="K35" i="39" s="1"/>
  <c r="I16" i="39"/>
  <c r="K16" i="39" s="1"/>
  <c r="I28" i="39"/>
  <c r="K28" i="39" s="1"/>
  <c r="I15" i="39"/>
  <c r="K15" i="39" s="1"/>
  <c r="I30" i="39"/>
  <c r="K30" i="39" s="1"/>
  <c r="I11" i="39"/>
  <c r="K11" i="39" s="1"/>
  <c r="I12" i="39"/>
  <c r="K12" i="39" s="1"/>
  <c r="I18" i="39"/>
  <c r="K18" i="39" s="1"/>
  <c r="I24" i="39"/>
  <c r="K24" i="39" s="1"/>
  <c r="I19" i="39"/>
  <c r="K19" i="39" s="1"/>
  <c r="I23" i="39"/>
  <c r="K23" i="39" s="1"/>
  <c r="I34" i="39"/>
  <c r="K34" i="39" s="1"/>
  <c r="I20" i="39"/>
  <c r="K20" i="39" s="1"/>
  <c r="I31" i="39"/>
  <c r="K31" i="39" s="1"/>
  <c r="I10" i="39"/>
  <c r="K10" i="39" s="1"/>
  <c r="I26" i="39"/>
  <c r="K26" i="39" s="1"/>
  <c r="I32" i="39"/>
  <c r="K32" i="39" s="1"/>
  <c r="Y20" i="37"/>
  <c r="X14" i="37"/>
  <c r="AB23" i="1"/>
  <c r="Z25" i="1"/>
  <c r="AB25" i="1" s="1"/>
  <c r="AB18" i="1"/>
  <c r="AA9" i="1"/>
  <c r="Y10" i="1"/>
  <c r="AA18" i="1"/>
  <c r="R13" i="43"/>
  <c r="I35" i="43"/>
  <c r="K35" i="43" s="1"/>
  <c r="I26" i="43"/>
  <c r="K26" i="43" s="1"/>
  <c r="I29" i="43"/>
  <c r="K29" i="43" s="1"/>
  <c r="I30" i="43"/>
  <c r="K30" i="43" s="1"/>
  <c r="I27" i="43"/>
  <c r="K27" i="43" s="1"/>
  <c r="I33" i="43"/>
  <c r="K33" i="43" s="1"/>
  <c r="I34" i="43"/>
  <c r="K34" i="43" s="1"/>
  <c r="I25" i="43"/>
  <c r="K25" i="43" s="1"/>
  <c r="I31" i="43"/>
  <c r="K31" i="43" s="1"/>
  <c r="Y25" i="1"/>
  <c r="AA23" i="1"/>
  <c r="Y20" i="1" l="1"/>
  <c r="AA20" i="1" s="1"/>
  <c r="AC20" i="1" s="1"/>
  <c r="Z20" i="1"/>
  <c r="AB20" i="1" s="1"/>
  <c r="AC23" i="1"/>
  <c r="AA25" i="1"/>
  <c r="AC25" i="1" s="1"/>
  <c r="Z14" i="1"/>
  <c r="AB14" i="1" s="1"/>
  <c r="Y14" i="1"/>
  <c r="AA14" i="1" s="1"/>
  <c r="AC14" i="1" s="1"/>
  <c r="AC18" i="1"/>
  <c r="Z15" i="1"/>
  <c r="AB15" i="1" s="1"/>
  <c r="Y15" i="1"/>
  <c r="AA15" i="1" s="1"/>
  <c r="AC15" i="1" s="1"/>
  <c r="Z12" i="1"/>
  <c r="Y12" i="1"/>
  <c r="H27" i="37"/>
  <c r="Y14" i="37"/>
  <c r="AA14" i="37"/>
  <c r="H30" i="37"/>
  <c r="H34" i="37"/>
  <c r="H40" i="37"/>
  <c r="H11" i="37"/>
  <c r="H18" i="37"/>
  <c r="H16" i="37"/>
  <c r="H20" i="37"/>
  <c r="H38" i="37"/>
  <c r="H32" i="37"/>
  <c r="H39" i="37"/>
  <c r="H10" i="37"/>
  <c r="H36" i="37"/>
  <c r="H23" i="37"/>
  <c r="H15" i="37"/>
  <c r="H22" i="37"/>
  <c r="H35" i="37"/>
  <c r="H31" i="37"/>
  <c r="H14" i="37"/>
  <c r="H24" i="37"/>
  <c r="H28" i="37"/>
  <c r="H19" i="37"/>
  <c r="H26" i="37"/>
  <c r="H12" i="37"/>
  <c r="AA10" i="1"/>
  <c r="AC9" i="1"/>
  <c r="AB10" i="1"/>
  <c r="L12" i="37" l="1"/>
  <c r="P12" i="37"/>
  <c r="P24" i="37"/>
  <c r="L24" i="37"/>
  <c r="L22" i="37"/>
  <c r="P22" i="37"/>
  <c r="L10" i="37"/>
  <c r="P10" i="37"/>
  <c r="P20" i="37"/>
  <c r="L20" i="37"/>
  <c r="P40" i="37"/>
  <c r="L40" i="37"/>
  <c r="J19" i="37"/>
  <c r="AB14" i="37"/>
  <c r="J18" i="37"/>
  <c r="J28" i="37"/>
  <c r="J32" i="37"/>
  <c r="J38" i="37"/>
  <c r="J15" i="37"/>
  <c r="J27" i="37"/>
  <c r="J31" i="37"/>
  <c r="J16" i="37"/>
  <c r="J22" i="37"/>
  <c r="J10" i="37"/>
  <c r="J40" i="37"/>
  <c r="J30" i="37"/>
  <c r="J35" i="37"/>
  <c r="J34" i="37"/>
  <c r="J24" i="37"/>
  <c r="J14" i="37"/>
  <c r="J12" i="37"/>
  <c r="J26" i="37"/>
  <c r="J36" i="37"/>
  <c r="J39" i="37"/>
  <c r="J11" i="37"/>
  <c r="J20" i="37"/>
  <c r="J23" i="37"/>
  <c r="AB12" i="1"/>
  <c r="L26" i="37"/>
  <c r="P26" i="37"/>
  <c r="P14" i="37"/>
  <c r="L14" i="37"/>
  <c r="P15" i="37"/>
  <c r="L15" i="37"/>
  <c r="P39" i="37"/>
  <c r="L39" i="37"/>
  <c r="P16" i="37"/>
  <c r="L16" i="37"/>
  <c r="P34" i="37"/>
  <c r="L34" i="37"/>
  <c r="P27" i="37"/>
  <c r="L27" i="37"/>
  <c r="P19" i="37"/>
  <c r="L19" i="37"/>
  <c r="P31" i="37"/>
  <c r="L31" i="37"/>
  <c r="L23" i="37"/>
  <c r="P23" i="37"/>
  <c r="L32" i="37"/>
  <c r="P32" i="37"/>
  <c r="L18" i="37"/>
  <c r="P18" i="37"/>
  <c r="L30" i="37"/>
  <c r="P30" i="37"/>
  <c r="AC10" i="1"/>
  <c r="L28" i="37"/>
  <c r="P28" i="37"/>
  <c r="P35" i="37"/>
  <c r="L35" i="37"/>
  <c r="L36" i="37"/>
  <c r="P36" i="37"/>
  <c r="P38" i="37"/>
  <c r="L38" i="37"/>
  <c r="L11" i="37"/>
  <c r="P11" i="37"/>
  <c r="AA12" i="1"/>
  <c r="Q13" i="38" l="1"/>
  <c r="S13" i="38" s="1"/>
  <c r="Q24" i="38"/>
  <c r="S24" i="38" s="1"/>
  <c r="Q12" i="38"/>
  <c r="S12" i="38" s="1"/>
  <c r="N20" i="37"/>
  <c r="R20" i="37"/>
  <c r="N26" i="37"/>
  <c r="R26" i="37"/>
  <c r="N34" i="37"/>
  <c r="R34" i="37"/>
  <c r="N10" i="37"/>
  <c r="R10" i="37"/>
  <c r="N27" i="37"/>
  <c r="R27" i="37"/>
  <c r="R28" i="37"/>
  <c r="N28" i="37"/>
  <c r="Q20" i="38"/>
  <c r="S20" i="38" s="1"/>
  <c r="Z19" i="1"/>
  <c r="Y19" i="1"/>
  <c r="S21" i="1"/>
  <c r="R11" i="37"/>
  <c r="N11" i="37"/>
  <c r="R12" i="37"/>
  <c r="N12" i="37"/>
  <c r="R35" i="37"/>
  <c r="N35" i="37"/>
  <c r="N22" i="37"/>
  <c r="R22" i="37"/>
  <c r="R15" i="37"/>
  <c r="N15" i="37"/>
  <c r="R18" i="37"/>
  <c r="N18" i="37"/>
  <c r="AC12" i="1"/>
  <c r="N39" i="37"/>
  <c r="R39" i="37"/>
  <c r="R14" i="37"/>
  <c r="N14" i="37"/>
  <c r="N30" i="37"/>
  <c r="R30" i="37"/>
  <c r="R16" i="37"/>
  <c r="N16" i="37"/>
  <c r="R38" i="37"/>
  <c r="N38" i="37"/>
  <c r="Q21" i="38"/>
  <c r="S21" i="38" s="1"/>
  <c r="N23" i="37"/>
  <c r="R23" i="37"/>
  <c r="N36" i="37"/>
  <c r="R36" i="37"/>
  <c r="R24" i="37"/>
  <c r="N24" i="37"/>
  <c r="R40" i="37"/>
  <c r="N40" i="37"/>
  <c r="N31" i="37"/>
  <c r="R31" i="37"/>
  <c r="N32" i="37"/>
  <c r="R32" i="37"/>
  <c r="R19" i="37"/>
  <c r="N19" i="37"/>
  <c r="Q14" i="38"/>
  <c r="S14" i="38" l="1"/>
  <c r="I12" i="38"/>
  <c r="K12" i="38" s="1"/>
  <c r="I10" i="38"/>
  <c r="K10" i="38" s="1"/>
  <c r="I11" i="38"/>
  <c r="K11" i="38" s="1"/>
  <c r="AA19" i="1"/>
  <c r="Y21" i="1"/>
  <c r="AB19" i="1"/>
  <c r="Z21" i="1"/>
  <c r="AB21" i="1" s="1"/>
  <c r="Q22" i="38"/>
  <c r="S22" i="38" s="1"/>
  <c r="I28" i="38" l="1"/>
  <c r="K28" i="38" s="1"/>
  <c r="I24" i="38"/>
  <c r="K24" i="38" s="1"/>
  <c r="AC19" i="1"/>
  <c r="AA21" i="1"/>
  <c r="AC21" i="1" s="1"/>
  <c r="AE18" i="1"/>
  <c r="AG18" i="1" s="1"/>
  <c r="I27" i="38"/>
  <c r="K27" i="38" s="1"/>
  <c r="I14" i="38"/>
  <c r="K14" i="38" s="1"/>
  <c r="I16" i="38"/>
  <c r="K16" i="38" s="1"/>
  <c r="I23" i="38"/>
  <c r="K23" i="38" s="1"/>
  <c r="I31" i="38"/>
  <c r="K31" i="38" s="1"/>
  <c r="I22" i="38"/>
  <c r="K22" i="38" s="1"/>
  <c r="I15" i="38"/>
  <c r="K15" i="38" s="1"/>
  <c r="I19" i="38"/>
  <c r="K19" i="38" s="1"/>
  <c r="I34" i="38"/>
  <c r="K34" i="38" s="1"/>
  <c r="I26" i="38"/>
  <c r="K26" i="38" s="1"/>
  <c r="I20" i="38"/>
  <c r="K20" i="38" s="1"/>
  <c r="I32" i="38"/>
  <c r="K32" i="38" s="1"/>
  <c r="I30" i="38"/>
  <c r="K30" i="38" s="1"/>
  <c r="I18" i="38"/>
  <c r="K18" i="38" s="1"/>
  <c r="I36" i="38"/>
  <c r="K36" i="38" s="1"/>
  <c r="I35" i="38"/>
  <c r="K35" i="38" s="1"/>
  <c r="Y13" i="1" l="1"/>
  <c r="Z13" i="1"/>
  <c r="S16" i="1"/>
  <c r="AA13" i="1" l="1"/>
  <c r="Y16" i="1"/>
  <c r="AB13" i="1"/>
  <c r="Z16" i="1"/>
  <c r="AB16" i="1" l="1"/>
  <c r="AE13" i="1"/>
  <c r="AG13" i="1" s="1"/>
  <c r="AC13" i="1"/>
  <c r="AA16" i="1"/>
  <c r="AC16" i="1" l="1"/>
  <c r="Y27" i="1" l="1"/>
  <c r="Z27" i="1"/>
  <c r="S33" i="1"/>
  <c r="S37" i="1" s="1"/>
  <c r="AA27" i="1" l="1"/>
  <c r="Y33" i="1"/>
  <c r="Y37" i="1" s="1"/>
  <c r="AB27" i="1"/>
  <c r="Z33" i="1"/>
  <c r="AC27" i="1" l="1"/>
  <c r="AA33" i="1"/>
  <c r="AB33" i="1"/>
  <c r="Z37" i="1"/>
  <c r="AB37" i="1" s="1"/>
  <c r="AC33" i="1" l="1"/>
  <c r="AA37" i="1"/>
  <c r="AC37" i="1" s="1"/>
</calcChain>
</file>

<file path=xl/sharedStrings.xml><?xml version="1.0" encoding="utf-8"?>
<sst xmlns="http://schemas.openxmlformats.org/spreadsheetml/2006/main" count="496" uniqueCount="240">
  <si>
    <t>Puget Sound Energy</t>
  </si>
  <si>
    <t>Remove:</t>
  </si>
  <si>
    <t>Line No.</t>
  </si>
  <si>
    <t>Tariff</t>
  </si>
  <si>
    <t>Schedule 95
PCORC</t>
  </si>
  <si>
    <t>Schedule 95A
Federal Incentive Credit</t>
  </si>
  <si>
    <t>Schedule 120
Conservation</t>
  </si>
  <si>
    <t>Schedule 129
Low Income</t>
  </si>
  <si>
    <t>Schedule 140
Property Tax</t>
  </si>
  <si>
    <t>Schedule 141
ERF</t>
  </si>
  <si>
    <t>Schedule 194
BPA Res &amp; Farm Credit</t>
  </si>
  <si>
    <t>Residential</t>
  </si>
  <si>
    <t>Total High Voltage</t>
  </si>
  <si>
    <t>50-59</t>
  </si>
  <si>
    <t>449-459</t>
  </si>
  <si>
    <t>Total</t>
  </si>
  <si>
    <t>All Sales</t>
  </si>
  <si>
    <t xml:space="preserve"> </t>
  </si>
  <si>
    <t>Present</t>
  </si>
  <si>
    <t>Proposed</t>
  </si>
  <si>
    <t>Difference</t>
  </si>
  <si>
    <t>%</t>
  </si>
  <si>
    <t>Residential Service</t>
  </si>
  <si>
    <t>GRC Rate Impacts</t>
  </si>
  <si>
    <t>24 (8)</t>
  </si>
  <si>
    <t>26 (12,26P)</t>
  </si>
  <si>
    <t>31 (10)</t>
  </si>
  <si>
    <t>a</t>
  </si>
  <si>
    <t>b</t>
  </si>
  <si>
    <t>c</t>
  </si>
  <si>
    <t>d</t>
  </si>
  <si>
    <t>Schedule 129 - Low Income</t>
  </si>
  <si>
    <t>e</t>
  </si>
  <si>
    <t>f</t>
  </si>
  <si>
    <t>g</t>
  </si>
  <si>
    <t>Schedule 140 - Property Tax</t>
  </si>
  <si>
    <t>25 (11, 7A)</t>
  </si>
  <si>
    <t>Schedule 142 - Decoupling</t>
  </si>
  <si>
    <t>h</t>
  </si>
  <si>
    <t>i</t>
  </si>
  <si>
    <t>j</t>
  </si>
  <si>
    <t>k</t>
  </si>
  <si>
    <t>Total Secondary</t>
  </si>
  <si>
    <t>Total Primary</t>
  </si>
  <si>
    <t>Subtotal
Rider
Rates</t>
  </si>
  <si>
    <t>$ x 1000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</si>
  <si>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</si>
  <si>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</si>
  <si>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</si>
  <si>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</si>
  <si>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</si>
  <si>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</si>
  <si>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</si>
  <si>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</si>
  <si>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</si>
  <si>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</si>
  <si>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</si>
  <si>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</si>
  <si>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</si>
  <si>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</si>
  <si>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</si>
  <si>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</si>
  <si>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</si>
  <si>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</si>
  <si>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</si>
  <si>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</si>
  <si>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</si>
  <si>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</si>
  <si>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</si>
  <si>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</si>
  <si>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</si>
  <si>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</si>
  <si>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</si>
  <si>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</si>
  <si>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</si>
  <si>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</si>
  <si>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</si>
  <si>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</si>
  <si>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</si>
  <si>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</si>
  <si>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</si>
  <si>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</si>
  <si>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</si>
  <si>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</si>
  <si>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</si>
  <si>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</si>
  <si>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</si>
  <si>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</si>
  <si>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</si>
  <si>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</si>
  <si>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</si>
  <si>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</si>
  <si>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</si>
  <si>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</si>
  <si>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</si>
  <si>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</si>
  <si>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</si>
  <si>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</si>
  <si>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</si>
  <si>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</si>
  <si>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</si>
  <si>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</si>
  <si>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</si>
  <si>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</si>
  <si>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</si>
  <si>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</si>
  <si>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</si>
  <si>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</si>
  <si>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</si>
  <si>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</si>
  <si>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</si>
  <si>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</si>
  <si>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</si>
  <si>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</si>
  <si>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</si>
  <si>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</si>
  <si>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</si>
  <si>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</si>
  <si>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</si>
  <si>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</si>
  <si>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</si>
  <si>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</si>
  <si>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</si>
  <si>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</si>
  <si>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</si>
  <si>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</si>
  <si>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</si>
  <si>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</si>
  <si>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</si>
  <si>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</si>
  <si>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</si>
  <si>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</si>
  <si>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</si>
  <si>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</si>
  <si>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</si>
  <si>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</si>
  <si>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</si>
  <si>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</si>
  <si>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</si>
  <si>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</si>
  <si>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</si>
  <si>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</si>
  <si>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</si>
  <si>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</si>
  <si>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</si>
  <si>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Average kWh - First 20,000</t>
  </si>
  <si>
    <t>Residential Net Impact:</t>
  </si>
  <si>
    <t>Net Impact</t>
  </si>
  <si>
    <t>Schedule 142 - Decoupling ($-kW)</t>
  </si>
  <si>
    <t>Average kWh - block 1</t>
  </si>
  <si>
    <t>Average kWh - block 2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</si>
  <si>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</si>
  <si>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</si>
  <si>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</si>
  <si>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</si>
  <si>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</si>
  <si>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</si>
  <si>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</si>
  <si>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</si>
  <si>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</si>
  <si>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</si>
  <si>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</si>
  <si>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</si>
  <si>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</si>
  <si>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</si>
  <si>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</si>
  <si>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</si>
  <si>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</si>
  <si>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</si>
  <si>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</si>
  <si>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</si>
  <si>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</si>
  <si>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Test Year ended December 2018</t>
  </si>
  <si>
    <t>Annual mWh Delivered Sales YE 12-2018</t>
  </si>
  <si>
    <t xml:space="preserve">Schedule 142
Deferral </t>
  </si>
  <si>
    <t>Schedule 141x
Tax</t>
  </si>
  <si>
    <t>Schedule 141y
Tax</t>
  </si>
  <si>
    <t>l</t>
  </si>
  <si>
    <t>m = 
∑ (c…l)</t>
  </si>
  <si>
    <t>n = 
b + m</t>
  </si>
  <si>
    <t>o</t>
  </si>
  <si>
    <t>p = m</t>
  </si>
  <si>
    <t>q = -c</t>
  </si>
  <si>
    <t>r = - h</t>
  </si>
  <si>
    <t>s = - i</t>
  </si>
  <si>
    <t>Schedule 141x - Tax Passback - First 600 kWh</t>
  </si>
  <si>
    <t>Schedule 141x - Tax Passback - Over 600 kWh</t>
  </si>
  <si>
    <t>Schedule 141x - Tax Passback - Basic Charge</t>
  </si>
  <si>
    <t>Schedule 141y - Tax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</si>
  <si>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April 2020</t>
    </r>
  </si>
  <si>
    <t>Schedule 141x - Tax Passback - Basic 3 Phase</t>
  </si>
  <si>
    <t>Schedule 141x - Tax Passback - Winter</t>
  </si>
  <si>
    <t>Schedule 141x - Tax Passback - Basic 1 Phase</t>
  </si>
  <si>
    <t>Schedule 141x - Tax Passback - Summer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</si>
  <si>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</si>
  <si>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</si>
  <si>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</si>
  <si>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</si>
  <si>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t>Schedule 141x - Tax Passback - Winter kWh First 20,000</t>
  </si>
  <si>
    <t>Schedule 141x - Tax Passback - Summer kWh First 20,000</t>
  </si>
  <si>
    <t>Schedule 141x - Tax Passback - kWh Over 20,000</t>
  </si>
  <si>
    <t>Schedule 141x - Tax Passback - Basic</t>
  </si>
  <si>
    <t>Schedule 141x - Tax Passback - Demand Winter</t>
  </si>
  <si>
    <t>Schedule 141x - Tax Passback - Demand Summer</t>
  </si>
  <si>
    <t>Schedule 141 - ERF - kvarh</t>
  </si>
  <si>
    <t>Schedule 141x - Tax Passback - kVarh</t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</si>
  <si>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April 2020</t>
    </r>
  </si>
  <si>
    <t>Schedule 141x - Tax Passback - Reactive Power</t>
  </si>
  <si>
    <t>Schedule 141x - Tax Passback - Energy</t>
  </si>
  <si>
    <t>Schedule 141x - Tax Passback - Basic 3 phase</t>
  </si>
  <si>
    <t>Schedule 141x - Tax Passback - Winter kWh Over 20,000</t>
  </si>
  <si>
    <t>Schedule 141x - Tax Passback - Summer kWh Over 20,000</t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</si>
  <si>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</si>
  <si>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t>Schedule 141 - ERF - Winter kW</t>
  </si>
  <si>
    <t>Schedule 141 - ERF -  Summer kW</t>
  </si>
  <si>
    <t>Schedule 141x - Tax Passback - Winter kW</t>
  </si>
  <si>
    <t>Schedule 141x - Tax Passback - Summer kW</t>
  </si>
  <si>
    <t>Schedule 141 - ERF - Demand</t>
  </si>
  <si>
    <t>Schedule 141x - Tax Passback - Demand</t>
  </si>
  <si>
    <t>Special Contract</t>
  </si>
  <si>
    <t>Total Transportation</t>
  </si>
  <si>
    <t>Schedule 137
REC</t>
  </si>
  <si>
    <t>Rider Revenue Change</t>
  </si>
  <si>
    <t>t = ∑(q…s)</t>
  </si>
  <si>
    <t>u =
o + p + t</t>
  </si>
  <si>
    <t>w = u - n</t>
  </si>
  <si>
    <t>v = o - b</t>
  </si>
  <si>
    <t>x = v / b</t>
  </si>
  <si>
    <t>y = w / n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</si>
  <si>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137, 140, 141 141x, 141y, 142,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</si>
  <si>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95, 95A, 120, 129, 137, 140, 141 141x, 141y, 142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</si>
  <si>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95, 95A, 120, 129, 137, 140, 141 141x, 141y, 142</t>
    </r>
  </si>
  <si>
    <t>Normalized Revenue Before Attrition and After Riders</t>
  </si>
  <si>
    <t>Normalized Revenue Before Attrition and Riders</t>
  </si>
  <si>
    <t>Normalized Revenue After Attrition</t>
  </si>
  <si>
    <t>Revenue Change After Attrition and Riders</t>
  </si>
  <si>
    <t>Revenue Change After Attrition and Before Riders</t>
  </si>
  <si>
    <t>Normalized Revenue After Attrition and Riders</t>
  </si>
  <si>
    <t>% Change (After Attrition)</t>
  </si>
  <si>
    <t>% Change (After Attrition and Riders)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</si>
</sst>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8" formatCode="_(* #,##0.000_);_(* \(#,##0.000\);_(* &quot;-&quot;??_);_(@_)"/>
    <numFmt numFmtId="169" formatCode="0.00_)"/>
    <numFmt numFmtId="173" formatCode="_(&quot;$&quot;* #,##0.000000_);_(&quot;$&quot;* \(#,##0.000000\);_(&quot;$&quot;* &quot;-&quot;??_);_(@_)"/>
    <numFmt numFmtId="177" formatCode="_(&quot;$&quot;* #,##0.00000_);_(&quot;$&quot;* \(#,##0.00000\);_(&quot;$&quot;* &quot;-&quot;??_);_(@_)"/>
    <numFmt numFmtId="178" formatCode="0.000"/>
    <numFmt numFmtId="179" formatCode="_(* #,##0.0000_);_(* \(#,##0.00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vertAlign val="superscript"/>
      <sz val="10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/>
    <xf numFmtId="173" fontId="1" fillId="0" borderId="0" xfId="0" applyNumberFormat="1" applyFont="1" applyFill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7" fontId="1" fillId="0" borderId="7" xfId="0" quotePrefix="1" applyNumberFormat="1" applyFont="1" applyFill="1" applyBorder="1" applyAlignment="1">
      <alignment horizontal="center" wrapText="1"/>
    </xf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5" fontId="5" fillId="0" borderId="0" xfId="0" applyNumberFormat="1" applyFont="1" applyFill="1"/>
    <xf numFmtId="0" fontId="3" fillId="0" borderId="0" xfId="0" applyFont="1" applyFill="1"/>
    <xf numFmtId="169" fontId="5" fillId="0" borderId="1" xfId="0" applyNumberFormat="1" applyFont="1" applyFill="1" applyBorder="1" applyProtection="1"/>
    <xf numFmtId="0" fontId="5" fillId="0" borderId="1" xfId="0" applyFont="1" applyFill="1" applyBorder="1"/>
    <xf numFmtId="7" fontId="5" fillId="0" borderId="1" xfId="0" applyNumberFormat="1" applyFont="1" applyFill="1" applyBorder="1" applyProtection="1"/>
    <xf numFmtId="37" fontId="5" fillId="0" borderId="1" xfId="0" applyNumberFormat="1" applyFont="1" applyFill="1" applyBorder="1" applyProtection="1"/>
    <xf numFmtId="10" fontId="5" fillId="0" borderId="0" xfId="0" applyNumberFormat="1" applyFont="1" applyFill="1" applyProtection="1"/>
    <xf numFmtId="37" fontId="5" fillId="0" borderId="0" xfId="0" applyNumberFormat="1" applyFont="1" applyFill="1" applyProtection="1"/>
    <xf numFmtId="10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7" fontId="5" fillId="0" borderId="0" xfId="0" applyNumberFormat="1" applyFont="1" applyFill="1" applyProtection="1"/>
    <xf numFmtId="169" fontId="5" fillId="0" borderId="0" xfId="0" applyNumberFormat="1" applyFont="1" applyFill="1" applyProtection="1"/>
    <xf numFmtId="166" fontId="5" fillId="0" borderId="0" xfId="0" applyNumberFormat="1" applyFont="1" applyFill="1"/>
    <xf numFmtId="0" fontId="5" fillId="0" borderId="0" xfId="0" applyFont="1" applyFill="1" applyBorder="1"/>
    <xf numFmtId="43" fontId="5" fillId="0" borderId="0" xfId="0" applyNumberFormat="1" applyFont="1" applyFill="1"/>
    <xf numFmtId="0" fontId="5" fillId="0" borderId="5" xfId="0" applyFont="1" applyFill="1" applyBorder="1" applyAlignment="1">
      <alignment horizontal="center"/>
    </xf>
    <xf numFmtId="0" fontId="8" fillId="0" borderId="0" xfId="0" applyFont="1" applyFill="1"/>
    <xf numFmtId="0" fontId="5" fillId="0" borderId="5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Continuous"/>
    </xf>
    <xf numFmtId="0" fontId="5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79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5" fillId="0" borderId="0" xfId="0" applyNumberFormat="1" applyFont="1" applyFill="1"/>
    <xf numFmtId="0" fontId="5" fillId="0" borderId="12" xfId="0" applyFont="1" applyFill="1" applyBorder="1"/>
    <xf numFmtId="0" fontId="5" fillId="0" borderId="12" xfId="0" quotePrefix="1" applyFont="1" applyFill="1" applyBorder="1" applyAlignment="1">
      <alignment horizontal="left"/>
    </xf>
    <xf numFmtId="0" fontId="5" fillId="0" borderId="13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11" fillId="0" borderId="0" xfId="0" applyFont="1" applyFill="1" applyProtection="1"/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5" xfId="0" applyFont="1" applyFill="1" applyBorder="1" applyAlignment="1" applyProtection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0" fontId="2" fillId="0" borderId="1" xfId="0" quotePrefix="1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/>
    <xf numFmtId="0" fontId="4" fillId="0" borderId="0" xfId="0" applyFont="1" applyFill="1" applyAlignment="1" applyProtection="1">
      <alignment horizontal="centerContinuous"/>
    </xf>
    <xf numFmtId="5" fontId="5" fillId="0" borderId="0" xfId="0" applyNumberFormat="1" applyFont="1" applyFill="1" applyProtection="1"/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Alignment="1">
      <alignment horizontal="centerContinuous"/>
    </xf>
    <xf numFmtId="10" fontId="5" fillId="0" borderId="0" xfId="0" applyNumberFormat="1" applyFont="1" applyFill="1"/>
    <xf numFmtId="0" fontId="5" fillId="0" borderId="0" xfId="0" quotePrefix="1" applyFont="1" applyFill="1" applyAlignment="1">
      <alignment horizontal="right"/>
    </xf>
    <xf numFmtId="0" fontId="5" fillId="0" borderId="14" xfId="0" applyFont="1" applyFill="1" applyBorder="1"/>
    <xf numFmtId="0" fontId="5" fillId="0" borderId="13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/>
    <xf numFmtId="0" fontId="5" fillId="0" borderId="9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Continuous"/>
    </xf>
    <xf numFmtId="0" fontId="5" fillId="0" borderId="0" xfId="0" quotePrefix="1" applyFont="1" applyFill="1" applyAlignment="1">
      <alignment horizontal="center"/>
    </xf>
    <xf numFmtId="0" fontId="5" fillId="0" borderId="0" xfId="0" quotePrefix="1" applyFont="1" applyFill="1" applyAlignment="1" applyProtection="1">
      <alignment horizontal="center"/>
    </xf>
    <xf numFmtId="0" fontId="17" fillId="0" borderId="0" xfId="0" applyFont="1" applyFill="1" applyAlignment="1">
      <alignment horizontal="centerContinuous"/>
    </xf>
    <xf numFmtId="0" fontId="1" fillId="0" borderId="1" xfId="0" quotePrefix="1" applyFont="1" applyFill="1" applyBorder="1" applyAlignment="1">
      <alignment horizontal="center" wrapText="1"/>
    </xf>
    <xf numFmtId="44" fontId="5" fillId="0" borderId="0" xfId="0" applyNumberFormat="1" applyFont="1" applyFill="1"/>
    <xf numFmtId="173" fontId="5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44" fontId="5" fillId="0" borderId="0" xfId="2" applyFont="1" applyFill="1"/>
    <xf numFmtId="177" fontId="5" fillId="0" borderId="0" xfId="2" applyNumberFormat="1" applyFont="1" applyFill="1"/>
    <xf numFmtId="173" fontId="5" fillId="0" borderId="0" xfId="2" applyNumberFormat="1" applyFont="1" applyFill="1"/>
    <xf numFmtId="17" fontId="1" fillId="0" borderId="8" xfId="0" quotePrefix="1" applyNumberFormat="1" applyFont="1" applyFill="1" applyBorder="1" applyAlignment="1">
      <alignment horizontal="center" wrapText="1"/>
    </xf>
    <xf numFmtId="0" fontId="1" fillId="0" borderId="0" xfId="10" quotePrefix="1" applyFont="1" applyFill="1" applyAlignment="1">
      <alignment horizontal="center"/>
    </xf>
    <xf numFmtId="0" fontId="6" fillId="0" borderId="0" xfId="0" applyFont="1" applyFill="1" applyAlignment="1"/>
    <xf numFmtId="0" fontId="3" fillId="0" borderId="0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quotePrefix="1" applyFont="1" applyFill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2" fillId="0" borderId="5" xfId="0" quotePrefix="1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9" xfId="0" quotePrefix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5" xfId="0" quotePrefix="1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1" fillId="0" borderId="0" xfId="0" applyFont="1" applyFill="1" applyAlignment="1">
      <alignment vertical="top" wrapText="1"/>
    </xf>
    <xf numFmtId="164" fontId="1" fillId="0" borderId="0" xfId="0" applyNumberFormat="1" applyFont="1" applyFill="1"/>
    <xf numFmtId="165" fontId="1" fillId="0" borderId="0" xfId="0" applyNumberFormat="1" applyFont="1" applyFill="1"/>
    <xf numFmtId="10" fontId="1" fillId="0" borderId="0" xfId="3" applyNumberFormat="1" applyFont="1" applyFill="1"/>
    <xf numFmtId="166" fontId="1" fillId="0" borderId="0" xfId="0" applyNumberFormat="1" applyFont="1" applyFill="1"/>
    <xf numFmtId="164" fontId="1" fillId="0" borderId="2" xfId="0" applyNumberFormat="1" applyFont="1" applyFill="1" applyBorder="1"/>
    <xf numFmtId="10" fontId="1" fillId="0" borderId="2" xfId="3" applyNumberFormat="1" applyFont="1" applyFill="1" applyBorder="1"/>
    <xf numFmtId="164" fontId="1" fillId="0" borderId="0" xfId="9" applyNumberFormat="1" applyFont="1" applyFill="1"/>
    <xf numFmtId="10" fontId="1" fillId="0" borderId="0" xfId="0" applyNumberFormat="1" applyFont="1" applyFill="1"/>
    <xf numFmtId="164" fontId="1" fillId="0" borderId="6" xfId="0" applyNumberFormat="1" applyFont="1" applyFill="1" applyBorder="1"/>
    <xf numFmtId="165" fontId="1" fillId="0" borderId="6" xfId="0" applyNumberFormat="1" applyFont="1" applyFill="1" applyBorder="1"/>
    <xf numFmtId="10" fontId="1" fillId="0" borderId="6" xfId="3" applyNumberFormat="1" applyFont="1" applyFill="1" applyBorder="1"/>
    <xf numFmtId="164" fontId="1" fillId="0" borderId="3" xfId="0" applyNumberFormat="1" applyFont="1" applyFill="1" applyBorder="1"/>
    <xf numFmtId="165" fontId="1" fillId="0" borderId="3" xfId="0" applyNumberFormat="1" applyFont="1" applyFill="1" applyBorder="1"/>
    <xf numFmtId="10" fontId="1" fillId="0" borderId="3" xfId="3" applyNumberFormat="1" applyFont="1" applyFill="1" applyBorder="1"/>
    <xf numFmtId="10" fontId="1" fillId="0" borderId="0" xfId="3" applyNumberFormat="1" applyFont="1" applyFill="1" applyBorder="1"/>
    <xf numFmtId="44" fontId="5" fillId="0" borderId="0" xfId="0" applyNumberFormat="1" applyFont="1" applyFill="1" applyBorder="1"/>
    <xf numFmtId="44" fontId="5" fillId="0" borderId="13" xfId="0" applyNumberFormat="1" applyFont="1" applyFill="1" applyBorder="1"/>
    <xf numFmtId="173" fontId="5" fillId="0" borderId="0" xfId="0" applyNumberFormat="1" applyFont="1" applyFill="1" applyBorder="1"/>
    <xf numFmtId="173" fontId="5" fillId="0" borderId="13" xfId="0" applyNumberFormat="1" applyFont="1" applyFill="1" applyBorder="1"/>
    <xf numFmtId="168" fontId="5" fillId="0" borderId="4" xfId="0" applyNumberFormat="1" applyFont="1" applyFill="1" applyBorder="1"/>
    <xf numFmtId="0" fontId="5" fillId="0" borderId="4" xfId="0" applyFont="1" applyFill="1" applyBorder="1"/>
    <xf numFmtId="168" fontId="5" fillId="0" borderId="15" xfId="0" applyNumberFormat="1" applyFont="1" applyFill="1" applyBorder="1"/>
    <xf numFmtId="7" fontId="5" fillId="0" borderId="13" xfId="0" applyNumberFormat="1" applyFont="1" applyFill="1" applyBorder="1"/>
    <xf numFmtId="177" fontId="5" fillId="0" borderId="13" xfId="0" applyNumberFormat="1" applyFont="1" applyFill="1" applyBorder="1"/>
    <xf numFmtId="0" fontId="5" fillId="0" borderId="15" xfId="0" applyFont="1" applyFill="1" applyBorder="1"/>
    <xf numFmtId="7" fontId="5" fillId="0" borderId="0" xfId="0" applyNumberFormat="1" applyFont="1" applyFill="1" applyBorder="1"/>
    <xf numFmtId="0" fontId="24" fillId="0" borderId="10" xfId="0" applyFont="1" applyFill="1" applyBorder="1" applyAlignment="1">
      <alignment horizontal="right"/>
    </xf>
    <xf numFmtId="0" fontId="24" fillId="0" borderId="10" xfId="0" quotePrefix="1" applyFont="1" applyFill="1" applyBorder="1" applyAlignment="1">
      <alignment horizontal="left"/>
    </xf>
    <xf numFmtId="0" fontId="24" fillId="0" borderId="11" xfId="0" applyFont="1" applyFill="1" applyBorder="1" applyAlignment="1">
      <alignment horizontal="right"/>
    </xf>
    <xf numFmtId="0" fontId="5" fillId="0" borderId="14" xfId="0" quotePrefix="1" applyFont="1" applyFill="1" applyBorder="1" applyAlignment="1">
      <alignment horizontal="left"/>
    </xf>
    <xf numFmtId="44" fontId="5" fillId="0" borderId="4" xfId="0" applyNumberFormat="1" applyFont="1" applyFill="1" applyBorder="1"/>
    <xf numFmtId="44" fontId="5" fillId="0" borderId="15" xfId="0" applyNumberFormat="1" applyFont="1" applyFill="1" applyBorder="1"/>
    <xf numFmtId="178" fontId="5" fillId="0" borderId="0" xfId="0" applyNumberFormat="1" applyFont="1" applyFill="1"/>
  </cellXfs>
  <cellStyles count="11">
    <cellStyle name="Comma" xfId="9" builtinId="3"/>
    <cellStyle name="Comma 10" xfId="6"/>
    <cellStyle name="Comma 2 2" xfId="7"/>
    <cellStyle name="Currency" xfId="2" builtinId="4"/>
    <cellStyle name="Currency 2" xfId="5"/>
    <cellStyle name="Normal" xfId="0" builtinId="0"/>
    <cellStyle name="Normal 11" xfId="1"/>
    <cellStyle name="Normal 2" xfId="4"/>
    <cellStyle name="Normal 2 10" xfId="8"/>
    <cellStyle name="Normal 3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zoomScale="90" zoomScaleNormal="90" workbookViewId="0">
      <pane xSplit="4" ySplit="7" topLeftCell="N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6.28515625" defaultRowHeight="12.75" x14ac:dyDescent="0.2"/>
  <cols>
    <col min="1" max="1" width="4.85546875" style="93" bestFit="1" customWidth="1"/>
    <col min="2" max="2" width="18.7109375" style="93" bestFit="1" customWidth="1"/>
    <col min="3" max="3" width="17.85546875" style="93" bestFit="1" customWidth="1"/>
    <col min="4" max="4" width="15.28515625" style="93" bestFit="1" customWidth="1"/>
    <col min="5" max="5" width="12" style="93" bestFit="1" customWidth="1"/>
    <col min="6" max="6" width="16" style="93" bestFit="1" customWidth="1"/>
    <col min="7" max="11" width="13.140625" style="93" bestFit="1" customWidth="1"/>
    <col min="12" max="13" width="14" style="93" bestFit="1" customWidth="1"/>
    <col min="14" max="15" width="13.140625" style="93" bestFit="1" customWidth="1"/>
    <col min="16" max="16" width="10.140625" style="93" bestFit="1" customWidth="1"/>
    <col min="17" max="17" width="15.7109375" style="93" bestFit="1" customWidth="1"/>
    <col min="18" max="18" width="1.7109375" style="93" customWidth="1"/>
    <col min="19" max="19" width="13.140625" style="93" bestFit="1" customWidth="1"/>
    <col min="20" max="20" width="10.140625" style="93" bestFit="1" customWidth="1"/>
    <col min="21" max="21" width="12" style="93" bestFit="1" customWidth="1"/>
    <col min="22" max="22" width="13.140625" style="93" bestFit="1" customWidth="1"/>
    <col min="23" max="23" width="14" style="93" bestFit="1" customWidth="1"/>
    <col min="24" max="24" width="10.42578125" style="93" bestFit="1" customWidth="1"/>
    <col min="25" max="25" width="13.140625" style="93" bestFit="1" customWidth="1"/>
    <col min="26" max="27" width="12.42578125" style="93" bestFit="1" customWidth="1"/>
    <col min="28" max="28" width="10.28515625" style="93" bestFit="1" customWidth="1"/>
    <col min="29" max="29" width="12.42578125" style="93" bestFit="1" customWidth="1"/>
    <col min="30" max="30" width="6.28515625" style="93"/>
    <col min="31" max="31" width="8.42578125" style="93" bestFit="1" customWidth="1"/>
    <col min="32" max="32" width="9.5703125" style="93" bestFit="1" customWidth="1"/>
    <col min="33" max="33" width="6.7109375" style="93" bestFit="1" customWidth="1"/>
    <col min="34" max="16384" width="6.28515625" style="93"/>
  </cols>
  <sheetData>
    <row r="1" spans="1:35" x14ac:dyDescent="0.2">
      <c r="A1" s="113" t="s">
        <v>0</v>
      </c>
      <c r="B1" s="113"/>
      <c r="C1" s="101"/>
      <c r="D1" s="101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35" x14ac:dyDescent="0.2">
      <c r="A2" s="113" t="s">
        <v>23</v>
      </c>
      <c r="B2" s="113"/>
      <c r="C2" s="101"/>
      <c r="D2" s="101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35" x14ac:dyDescent="0.2">
      <c r="A3" s="113" t="s">
        <v>172</v>
      </c>
      <c r="B3" s="113"/>
      <c r="C3" s="101"/>
      <c r="D3" s="101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35" x14ac:dyDescent="0.2">
      <c r="A4" s="113" t="s">
        <v>45</v>
      </c>
      <c r="B4" s="113"/>
      <c r="C4" s="101"/>
      <c r="D4" s="101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</row>
    <row r="5" spans="1:35" x14ac:dyDescent="0.2">
      <c r="A5" s="109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35" x14ac:dyDescent="0.2">
      <c r="A6" s="10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"/>
      <c r="R6" s="1"/>
      <c r="S6" s="1"/>
      <c r="T6" s="1"/>
      <c r="U6" s="110" t="s">
        <v>1</v>
      </c>
      <c r="V6" s="111"/>
      <c r="W6" s="112"/>
      <c r="X6" s="95"/>
    </row>
    <row r="7" spans="1:35" ht="51" x14ac:dyDescent="0.2">
      <c r="A7" s="2" t="s">
        <v>2</v>
      </c>
      <c r="B7" s="2" t="s">
        <v>3</v>
      </c>
      <c r="C7" s="90" t="s">
        <v>173</v>
      </c>
      <c r="D7" s="3" t="s">
        <v>233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221</v>
      </c>
      <c r="J7" s="3" t="s">
        <v>8</v>
      </c>
      <c r="K7" s="3" t="s">
        <v>9</v>
      </c>
      <c r="L7" s="3" t="s">
        <v>175</v>
      </c>
      <c r="M7" s="3" t="s">
        <v>176</v>
      </c>
      <c r="N7" s="3" t="s">
        <v>174</v>
      </c>
      <c r="O7" s="3" t="s">
        <v>10</v>
      </c>
      <c r="P7" s="3" t="s">
        <v>44</v>
      </c>
      <c r="Q7" s="3" t="s">
        <v>232</v>
      </c>
      <c r="R7" s="9"/>
      <c r="S7" s="3" t="s">
        <v>234</v>
      </c>
      <c r="T7" s="3" t="s">
        <v>44</v>
      </c>
      <c r="U7" s="8" t="str">
        <f>+E7</f>
        <v>Schedule 95
PCORC</v>
      </c>
      <c r="V7" s="3" t="str">
        <f>+K7</f>
        <v>Schedule 141
ERF</v>
      </c>
      <c r="W7" s="99" t="str">
        <f t="shared" ref="W7" si="0">+L7</f>
        <v>Schedule 141x
Tax</v>
      </c>
      <c r="X7" s="3" t="s">
        <v>222</v>
      </c>
      <c r="Y7" s="3" t="s">
        <v>237</v>
      </c>
      <c r="Z7" s="3" t="s">
        <v>236</v>
      </c>
      <c r="AA7" s="3" t="s">
        <v>235</v>
      </c>
      <c r="AB7" s="90" t="s">
        <v>238</v>
      </c>
      <c r="AC7" s="90" t="s">
        <v>239</v>
      </c>
    </row>
    <row r="8" spans="1:35" s="127" customFormat="1" ht="25.5" x14ac:dyDescent="0.2">
      <c r="A8" s="10"/>
      <c r="B8" s="10"/>
      <c r="C8" s="11" t="s">
        <v>27</v>
      </c>
      <c r="D8" s="12" t="s">
        <v>28</v>
      </c>
      <c r="E8" s="12" t="s">
        <v>29</v>
      </c>
      <c r="F8" s="12" t="s">
        <v>30</v>
      </c>
      <c r="G8" s="12" t="s">
        <v>32</v>
      </c>
      <c r="H8" s="12" t="s">
        <v>33</v>
      </c>
      <c r="I8" s="12" t="s">
        <v>33</v>
      </c>
      <c r="J8" s="12" t="s">
        <v>34</v>
      </c>
      <c r="K8" s="12" t="s">
        <v>38</v>
      </c>
      <c r="L8" s="12" t="s">
        <v>39</v>
      </c>
      <c r="M8" s="12" t="s">
        <v>40</v>
      </c>
      <c r="N8" s="12" t="s">
        <v>41</v>
      </c>
      <c r="O8" s="12" t="s">
        <v>177</v>
      </c>
      <c r="P8" s="12" t="s">
        <v>178</v>
      </c>
      <c r="Q8" s="12" t="s">
        <v>179</v>
      </c>
      <c r="R8" s="12"/>
      <c r="S8" s="12" t="s">
        <v>180</v>
      </c>
      <c r="T8" s="12" t="s">
        <v>181</v>
      </c>
      <c r="U8" s="12" t="s">
        <v>182</v>
      </c>
      <c r="V8" s="12" t="s">
        <v>183</v>
      </c>
      <c r="W8" s="12" t="s">
        <v>184</v>
      </c>
      <c r="X8" s="12" t="s">
        <v>223</v>
      </c>
      <c r="Y8" s="12" t="s">
        <v>224</v>
      </c>
      <c r="Z8" s="12" t="s">
        <v>226</v>
      </c>
      <c r="AA8" s="12" t="s">
        <v>225</v>
      </c>
      <c r="AB8" s="12" t="s">
        <v>227</v>
      </c>
      <c r="AC8" s="11" t="s">
        <v>228</v>
      </c>
    </row>
    <row r="9" spans="1:35" x14ac:dyDescent="0.2">
      <c r="A9" s="108">
        <v>1</v>
      </c>
      <c r="B9" s="108">
        <v>7</v>
      </c>
      <c r="C9" s="128">
        <v>10658082.710537091</v>
      </c>
      <c r="D9" s="129">
        <v>1109622.487</v>
      </c>
      <c r="E9" s="129">
        <v>1586</v>
      </c>
      <c r="F9" s="129">
        <v>-20389</v>
      </c>
      <c r="G9" s="129">
        <v>41620</v>
      </c>
      <c r="H9" s="129">
        <v>9543</v>
      </c>
      <c r="I9" s="129">
        <v>-778</v>
      </c>
      <c r="J9" s="129">
        <v>34404</v>
      </c>
      <c r="K9" s="129">
        <v>16584</v>
      </c>
      <c r="L9" s="129">
        <v>-16584</v>
      </c>
      <c r="M9" s="129">
        <v>-13546</v>
      </c>
      <c r="N9" s="129">
        <v>6619</v>
      </c>
      <c r="O9" s="129">
        <v>-77724</v>
      </c>
      <c r="P9" s="129">
        <f>SUM(E9:O9)</f>
        <v>-18665</v>
      </c>
      <c r="Q9" s="129">
        <f>SUM(P9,D9)</f>
        <v>1090957.487</v>
      </c>
      <c r="R9" s="7"/>
      <c r="S9" s="129">
        <v>1193576</v>
      </c>
      <c r="T9" s="129">
        <f>+P9</f>
        <v>-18665</v>
      </c>
      <c r="U9" s="129">
        <f>-E9</f>
        <v>-1586</v>
      </c>
      <c r="V9" s="129">
        <f>-K9</f>
        <v>-16584</v>
      </c>
      <c r="W9" s="129">
        <f t="shared" ref="W9" si="1">-L9</f>
        <v>16584</v>
      </c>
      <c r="X9" s="129">
        <f>SUM(U9:W9)</f>
        <v>-1586</v>
      </c>
      <c r="Y9" s="129">
        <f>SUM(S9,T9,X9)</f>
        <v>1173325</v>
      </c>
      <c r="Z9" s="129">
        <f>+S9-D9</f>
        <v>83953.513000000035</v>
      </c>
      <c r="AA9" s="129">
        <f>+Y9-Q9</f>
        <v>82367.513000000035</v>
      </c>
      <c r="AB9" s="130">
        <f>+Z9/D9</f>
        <v>7.565952743710036E-2</v>
      </c>
      <c r="AC9" s="130">
        <f>+AA9/Q9</f>
        <v>7.5500204161484466E-2</v>
      </c>
      <c r="AD9" s="131"/>
      <c r="AE9" s="131"/>
      <c r="AF9" s="131"/>
      <c r="AG9" s="131"/>
      <c r="AI9" s="5"/>
    </row>
    <row r="10" spans="1:35" x14ac:dyDescent="0.2">
      <c r="A10" s="108">
        <f>+A9+1</f>
        <v>2</v>
      </c>
      <c r="B10" s="108" t="s">
        <v>11</v>
      </c>
      <c r="C10" s="132">
        <f t="shared" ref="C10:Q10" si="2">SUM(C9:C9)</f>
        <v>10658082.710537091</v>
      </c>
      <c r="D10" s="4">
        <f t="shared" si="2"/>
        <v>1109622.487</v>
      </c>
      <c r="E10" s="4">
        <f t="shared" si="2"/>
        <v>1586</v>
      </c>
      <c r="F10" s="4">
        <f t="shared" si="2"/>
        <v>-20389</v>
      </c>
      <c r="G10" s="4">
        <f t="shared" si="2"/>
        <v>41620</v>
      </c>
      <c r="H10" s="4">
        <f t="shared" si="2"/>
        <v>9543</v>
      </c>
      <c r="I10" s="4">
        <f t="shared" ref="I10" si="3">SUM(I9:I9)</f>
        <v>-778</v>
      </c>
      <c r="J10" s="4">
        <f t="shared" si="2"/>
        <v>34404</v>
      </c>
      <c r="K10" s="4">
        <f t="shared" si="2"/>
        <v>16584</v>
      </c>
      <c r="L10" s="4">
        <f t="shared" ref="L10:M10" si="4">SUM(L9:L9)</f>
        <v>-16584</v>
      </c>
      <c r="M10" s="4">
        <f t="shared" si="4"/>
        <v>-13546</v>
      </c>
      <c r="N10" s="4">
        <f t="shared" si="2"/>
        <v>6619</v>
      </c>
      <c r="O10" s="4">
        <f t="shared" si="2"/>
        <v>-77724</v>
      </c>
      <c r="P10" s="4">
        <f t="shared" si="2"/>
        <v>-18665</v>
      </c>
      <c r="Q10" s="4">
        <f t="shared" si="2"/>
        <v>1090957.487</v>
      </c>
      <c r="R10" s="7"/>
      <c r="S10" s="4">
        <f t="shared" ref="S10:AA10" si="5">SUM(S9:S9)</f>
        <v>1193576</v>
      </c>
      <c r="T10" s="4">
        <f t="shared" si="5"/>
        <v>-18665</v>
      </c>
      <c r="U10" s="4">
        <f t="shared" si="5"/>
        <v>-1586</v>
      </c>
      <c r="V10" s="4">
        <f t="shared" si="5"/>
        <v>-16584</v>
      </c>
      <c r="W10" s="4">
        <f t="shared" ref="W10" si="6">SUM(W9:W9)</f>
        <v>16584</v>
      </c>
      <c r="X10" s="4">
        <f t="shared" ref="X10" si="7">SUM(X9:X9)</f>
        <v>-1586</v>
      </c>
      <c r="Y10" s="4">
        <f t="shared" si="5"/>
        <v>1173325</v>
      </c>
      <c r="Z10" s="4">
        <f t="shared" si="5"/>
        <v>83953.513000000035</v>
      </c>
      <c r="AA10" s="4">
        <f t="shared" si="5"/>
        <v>82367.513000000035</v>
      </c>
      <c r="AB10" s="133">
        <f>+Z10/D10</f>
        <v>7.565952743710036E-2</v>
      </c>
      <c r="AC10" s="133">
        <f>+AA10/Q10</f>
        <v>7.5500204161484466E-2</v>
      </c>
      <c r="AD10" s="131"/>
      <c r="AE10" s="131"/>
      <c r="AF10" s="131"/>
      <c r="AG10" s="131"/>
      <c r="AI10" s="5"/>
    </row>
    <row r="11" spans="1:35" x14ac:dyDescent="0.2">
      <c r="A11" s="108">
        <f t="shared" ref="A11:A37" si="8">+A10+1</f>
        <v>3</v>
      </c>
      <c r="B11" s="108"/>
      <c r="C11" s="128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7"/>
      <c r="S11" s="129"/>
      <c r="T11" s="129"/>
      <c r="U11" s="129"/>
      <c r="V11" s="129"/>
      <c r="W11" s="129"/>
      <c r="X11" s="129"/>
      <c r="Y11" s="129"/>
      <c r="Z11" s="129"/>
      <c r="AA11" s="129"/>
      <c r="AB11" s="130"/>
      <c r="AC11" s="130"/>
      <c r="AI11" s="5"/>
    </row>
    <row r="12" spans="1:35" x14ac:dyDescent="0.2">
      <c r="A12" s="108">
        <f t="shared" si="8"/>
        <v>4</v>
      </c>
      <c r="B12" s="109" t="s">
        <v>24</v>
      </c>
      <c r="C12" s="128">
        <v>2700716.8408001168</v>
      </c>
      <c r="D12" s="129">
        <v>263446.49300000002</v>
      </c>
      <c r="E12" s="129">
        <v>343</v>
      </c>
      <c r="F12" s="129">
        <v>-4432</v>
      </c>
      <c r="G12" s="129">
        <v>8988</v>
      </c>
      <c r="H12" s="129">
        <v>2314</v>
      </c>
      <c r="I12" s="129">
        <v>-170</v>
      </c>
      <c r="J12" s="129">
        <v>6603</v>
      </c>
      <c r="K12" s="129">
        <v>2946</v>
      </c>
      <c r="L12" s="129">
        <v>-2946</v>
      </c>
      <c r="M12" s="129">
        <v>-2547</v>
      </c>
      <c r="N12" s="129">
        <v>7608</v>
      </c>
      <c r="O12" s="129">
        <v>-1857</v>
      </c>
      <c r="P12" s="129">
        <f>SUM(E12:O12)</f>
        <v>16850</v>
      </c>
      <c r="Q12" s="129">
        <f>SUM(P12,D12)</f>
        <v>280296.49300000002</v>
      </c>
      <c r="R12" s="7"/>
      <c r="S12" s="129">
        <v>283378</v>
      </c>
      <c r="T12" s="129">
        <f t="shared" ref="T12:T15" si="9">+P12</f>
        <v>16850</v>
      </c>
      <c r="U12" s="129">
        <f>-E12</f>
        <v>-343</v>
      </c>
      <c r="V12" s="129">
        <f>-K12</f>
        <v>-2946</v>
      </c>
      <c r="W12" s="129">
        <f t="shared" ref="W12:W15" si="10">-L12</f>
        <v>2946</v>
      </c>
      <c r="X12" s="129">
        <f>SUM(U12:W12)</f>
        <v>-343</v>
      </c>
      <c r="Y12" s="129">
        <f>SUM(S12,T12,X12)</f>
        <v>299885</v>
      </c>
      <c r="Z12" s="129">
        <f>+S12-D12</f>
        <v>19931.506999999983</v>
      </c>
      <c r="AA12" s="129">
        <f>+Y12-Q12</f>
        <v>19588.506999999983</v>
      </c>
      <c r="AB12" s="130">
        <f>+Z12/D12</f>
        <v>7.5656755848330773E-2</v>
      </c>
      <c r="AC12" s="130">
        <f>+AA12/Q12</f>
        <v>6.988495214601198E-2</v>
      </c>
      <c r="AD12" s="131"/>
      <c r="AE12" s="131"/>
      <c r="AF12" s="131"/>
      <c r="AG12" s="131"/>
      <c r="AI12" s="5"/>
    </row>
    <row r="13" spans="1:35" x14ac:dyDescent="0.2">
      <c r="A13" s="108">
        <f t="shared" si="8"/>
        <v>5</v>
      </c>
      <c r="B13" s="109" t="s">
        <v>36</v>
      </c>
      <c r="C13" s="128">
        <v>2988049.5563074257</v>
      </c>
      <c r="D13" s="129">
        <v>269302.29800000001</v>
      </c>
      <c r="E13" s="129">
        <v>362</v>
      </c>
      <c r="F13" s="129">
        <v>-4685</v>
      </c>
      <c r="G13" s="129">
        <v>9499</v>
      </c>
      <c r="H13" s="129">
        <v>2379</v>
      </c>
      <c r="I13" s="129">
        <v>-179</v>
      </c>
      <c r="J13" s="129">
        <v>6382</v>
      </c>
      <c r="K13" s="129">
        <v>2621</v>
      </c>
      <c r="L13" s="129">
        <v>-2621</v>
      </c>
      <c r="M13" s="129">
        <v>-2591</v>
      </c>
      <c r="N13" s="129">
        <v>-1963</v>
      </c>
      <c r="O13" s="129">
        <v>-1082</v>
      </c>
      <c r="P13" s="129">
        <f>SUM(E13:O13)</f>
        <v>8122</v>
      </c>
      <c r="Q13" s="129">
        <f>SUM(P13,D13)</f>
        <v>277424.29800000001</v>
      </c>
      <c r="R13" s="7"/>
      <c r="S13" s="129">
        <v>284584</v>
      </c>
      <c r="T13" s="129">
        <f t="shared" si="9"/>
        <v>8122</v>
      </c>
      <c r="U13" s="129">
        <f>-E13</f>
        <v>-362</v>
      </c>
      <c r="V13" s="129">
        <f>-K13</f>
        <v>-2621</v>
      </c>
      <c r="W13" s="129">
        <f t="shared" si="10"/>
        <v>2621</v>
      </c>
      <c r="X13" s="129">
        <f>SUM(U13:W13)</f>
        <v>-362</v>
      </c>
      <c r="Y13" s="129">
        <f>SUM(S13,T13,X13)</f>
        <v>292344</v>
      </c>
      <c r="Z13" s="129">
        <f>+S13-D13</f>
        <v>15281.70199999999</v>
      </c>
      <c r="AA13" s="129">
        <f>+Y13-Q13</f>
        <v>14919.70199999999</v>
      </c>
      <c r="AB13" s="130">
        <f>+Z13/D13</f>
        <v>5.6745531373074247E-2</v>
      </c>
      <c r="AC13" s="130">
        <f>+AA13/Q13</f>
        <v>5.3779362902091545E-2</v>
      </c>
      <c r="AD13" s="131"/>
      <c r="AE13" s="134">
        <f>+AA13+AA15</f>
        <v>14990.902999999989</v>
      </c>
      <c r="AF13" s="134">
        <f>+Q13+Q15</f>
        <v>278637.842</v>
      </c>
      <c r="AG13" s="135">
        <f>+AE13/AF13</f>
        <v>5.380067148237528E-2</v>
      </c>
      <c r="AI13" s="5"/>
    </row>
    <row r="14" spans="1:35" x14ac:dyDescent="0.2">
      <c r="A14" s="108">
        <f t="shared" si="8"/>
        <v>6</v>
      </c>
      <c r="B14" s="109" t="s">
        <v>25</v>
      </c>
      <c r="C14" s="128">
        <v>1939505.2731896485</v>
      </c>
      <c r="D14" s="129">
        <v>160178.13800000001</v>
      </c>
      <c r="E14" s="129">
        <v>258</v>
      </c>
      <c r="F14" s="129">
        <v>-3317</v>
      </c>
      <c r="G14" s="129">
        <v>6767</v>
      </c>
      <c r="H14" s="129">
        <v>1390</v>
      </c>
      <c r="I14" s="129">
        <v>-126</v>
      </c>
      <c r="J14" s="129">
        <v>4065</v>
      </c>
      <c r="K14" s="129">
        <v>1561</v>
      </c>
      <c r="L14" s="129">
        <v>-1561</v>
      </c>
      <c r="M14" s="129">
        <v>-1662</v>
      </c>
      <c r="N14" s="129">
        <v>1520</v>
      </c>
      <c r="O14" s="129">
        <v>-124</v>
      </c>
      <c r="P14" s="129">
        <f>SUM(E14:O14)</f>
        <v>8771</v>
      </c>
      <c r="Q14" s="129">
        <f>SUM(P14,D14)</f>
        <v>168949.13800000001</v>
      </c>
      <c r="R14" s="7"/>
      <c r="S14" s="129">
        <v>169266.64300000001</v>
      </c>
      <c r="T14" s="129">
        <f t="shared" si="9"/>
        <v>8771</v>
      </c>
      <c r="U14" s="129">
        <f>-E14</f>
        <v>-258</v>
      </c>
      <c r="V14" s="129">
        <f>-K14</f>
        <v>-1561</v>
      </c>
      <c r="W14" s="129">
        <f t="shared" si="10"/>
        <v>1561</v>
      </c>
      <c r="X14" s="129">
        <f>SUM(U14:W14)</f>
        <v>-258</v>
      </c>
      <c r="Y14" s="129">
        <f>SUM(S14,T14,X14)</f>
        <v>177779.64300000001</v>
      </c>
      <c r="Z14" s="129">
        <f>+S14-D14</f>
        <v>9088.5050000000047</v>
      </c>
      <c r="AA14" s="129">
        <f>+Y14-Q14</f>
        <v>8830.5050000000047</v>
      </c>
      <c r="AB14" s="130">
        <f>+Z14/D14</f>
        <v>5.6739984079475343E-2</v>
      </c>
      <c r="AC14" s="130">
        <f>+AA14/Q14</f>
        <v>5.2267239149808534E-2</v>
      </c>
      <c r="AD14" s="131"/>
      <c r="AE14" s="131"/>
      <c r="AF14" s="131"/>
      <c r="AG14" s="131"/>
      <c r="AI14" s="5"/>
    </row>
    <row r="15" spans="1:35" x14ac:dyDescent="0.2">
      <c r="A15" s="108">
        <f t="shared" si="8"/>
        <v>7</v>
      </c>
      <c r="B15" s="108">
        <v>29</v>
      </c>
      <c r="C15" s="128">
        <v>16475.530158172358</v>
      </c>
      <c r="D15" s="129">
        <v>1290.5440000000001</v>
      </c>
      <c r="E15" s="129">
        <v>2</v>
      </c>
      <c r="F15" s="129">
        <v>-21</v>
      </c>
      <c r="G15" s="129">
        <v>43</v>
      </c>
      <c r="H15" s="129">
        <v>12</v>
      </c>
      <c r="I15" s="129">
        <v>-1</v>
      </c>
      <c r="J15" s="129">
        <v>35</v>
      </c>
      <c r="K15" s="129">
        <v>13</v>
      </c>
      <c r="L15" s="129">
        <v>-13</v>
      </c>
      <c r="M15" s="129">
        <v>-14</v>
      </c>
      <c r="N15" s="129">
        <v>-11</v>
      </c>
      <c r="O15" s="129">
        <v>-122</v>
      </c>
      <c r="P15" s="129">
        <f>SUM(E15:O15)</f>
        <v>-77</v>
      </c>
      <c r="Q15" s="129">
        <f>SUM(P15,D15)</f>
        <v>1213.5440000000001</v>
      </c>
      <c r="R15" s="7"/>
      <c r="S15" s="129">
        <v>1363.7449999999999</v>
      </c>
      <c r="T15" s="129">
        <f t="shared" si="9"/>
        <v>-77</v>
      </c>
      <c r="U15" s="129">
        <f>-E15</f>
        <v>-2</v>
      </c>
      <c r="V15" s="129">
        <f>-K15</f>
        <v>-13</v>
      </c>
      <c r="W15" s="129">
        <f t="shared" si="10"/>
        <v>13</v>
      </c>
      <c r="X15" s="129">
        <f>SUM(U15:W15)</f>
        <v>-2</v>
      </c>
      <c r="Y15" s="129">
        <f>SUM(S15,T15,X15)</f>
        <v>1284.7449999999999</v>
      </c>
      <c r="Z15" s="129">
        <f>+S15-D15</f>
        <v>73.200999999999794</v>
      </c>
      <c r="AA15" s="129">
        <f>+Y15-Q15</f>
        <v>71.200999999999794</v>
      </c>
      <c r="AB15" s="130">
        <f>+Z15/D15</f>
        <v>5.6721041669249392E-2</v>
      </c>
      <c r="AC15" s="130">
        <f>+AA15/Q15</f>
        <v>5.8671955858213456E-2</v>
      </c>
      <c r="AD15" s="131"/>
      <c r="AE15" s="131"/>
      <c r="AF15" s="131"/>
      <c r="AG15" s="131"/>
      <c r="AI15" s="5"/>
    </row>
    <row r="16" spans="1:35" x14ac:dyDescent="0.2">
      <c r="A16" s="108">
        <f t="shared" si="8"/>
        <v>8</v>
      </c>
      <c r="B16" s="109" t="s">
        <v>42</v>
      </c>
      <c r="C16" s="132">
        <f t="shared" ref="C16:Q16" si="11">SUM(C12:C15)</f>
        <v>7644747.2004553629</v>
      </c>
      <c r="D16" s="4">
        <f t="shared" si="11"/>
        <v>694217.473</v>
      </c>
      <c r="E16" s="4">
        <f t="shared" si="11"/>
        <v>965</v>
      </c>
      <c r="F16" s="4">
        <f t="shared" si="11"/>
        <v>-12455</v>
      </c>
      <c r="G16" s="4">
        <f t="shared" si="11"/>
        <v>25297</v>
      </c>
      <c r="H16" s="4">
        <f t="shared" si="11"/>
        <v>6095</v>
      </c>
      <c r="I16" s="4">
        <f t="shared" ref="I16" si="12">SUM(I12:I15)</f>
        <v>-476</v>
      </c>
      <c r="J16" s="4">
        <f t="shared" si="11"/>
        <v>17085</v>
      </c>
      <c r="K16" s="4">
        <f t="shared" si="11"/>
        <v>7141</v>
      </c>
      <c r="L16" s="4">
        <f t="shared" ref="L16:M16" si="13">SUM(L12:L15)</f>
        <v>-7141</v>
      </c>
      <c r="M16" s="4">
        <f t="shared" si="13"/>
        <v>-6814</v>
      </c>
      <c r="N16" s="4">
        <f t="shared" si="11"/>
        <v>7154</v>
      </c>
      <c r="O16" s="4">
        <f t="shared" si="11"/>
        <v>-3185</v>
      </c>
      <c r="P16" s="4">
        <f t="shared" si="11"/>
        <v>33666</v>
      </c>
      <c r="Q16" s="4">
        <f t="shared" si="11"/>
        <v>727883.473</v>
      </c>
      <c r="R16" s="7"/>
      <c r="S16" s="4">
        <f t="shared" ref="S16:AA16" si="14">SUM(S12:S15)</f>
        <v>738592.38800000004</v>
      </c>
      <c r="T16" s="4">
        <f t="shared" si="14"/>
        <v>33666</v>
      </c>
      <c r="U16" s="4">
        <f t="shared" si="14"/>
        <v>-965</v>
      </c>
      <c r="V16" s="4">
        <f t="shared" si="14"/>
        <v>-7141</v>
      </c>
      <c r="W16" s="4">
        <f t="shared" ref="W16" si="15">SUM(W12:W15)</f>
        <v>7141</v>
      </c>
      <c r="X16" s="4">
        <f t="shared" ref="X16" si="16">SUM(X12:X15)</f>
        <v>-965</v>
      </c>
      <c r="Y16" s="4">
        <f t="shared" si="14"/>
        <v>771293.38800000004</v>
      </c>
      <c r="Z16" s="4">
        <f t="shared" si="14"/>
        <v>44374.914999999979</v>
      </c>
      <c r="AA16" s="4">
        <f t="shared" si="14"/>
        <v>43409.914999999979</v>
      </c>
      <c r="AB16" s="133">
        <f>+Z16/D16</f>
        <v>6.3920769392677004E-2</v>
      </c>
      <c r="AC16" s="133">
        <f>+AA16/Q16</f>
        <v>5.9638550139192371E-2</v>
      </c>
      <c r="AD16" s="131"/>
      <c r="AE16" s="131"/>
      <c r="AF16" s="131"/>
      <c r="AG16" s="131"/>
      <c r="AI16" s="5"/>
    </row>
    <row r="17" spans="1:35" x14ac:dyDescent="0.2">
      <c r="A17" s="108">
        <f t="shared" si="8"/>
        <v>9</v>
      </c>
      <c r="B17" s="108"/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7"/>
      <c r="S17" s="129"/>
      <c r="T17" s="129"/>
      <c r="U17" s="129"/>
      <c r="V17" s="129"/>
      <c r="W17" s="129"/>
      <c r="X17" s="129"/>
      <c r="Y17" s="129"/>
      <c r="Z17" s="129"/>
      <c r="AA17" s="129"/>
      <c r="AB17" s="130"/>
      <c r="AC17" s="130"/>
      <c r="AE17" s="131"/>
      <c r="AF17" s="131"/>
      <c r="AI17" s="5"/>
    </row>
    <row r="18" spans="1:35" x14ac:dyDescent="0.2">
      <c r="A18" s="108">
        <f t="shared" si="8"/>
        <v>10</v>
      </c>
      <c r="B18" s="108" t="s">
        <v>26</v>
      </c>
      <c r="C18" s="128">
        <v>1407595.3481703061</v>
      </c>
      <c r="D18" s="129">
        <v>113234.14599999999</v>
      </c>
      <c r="E18" s="129">
        <v>169</v>
      </c>
      <c r="F18" s="129">
        <v>-2172</v>
      </c>
      <c r="G18" s="129">
        <v>4437</v>
      </c>
      <c r="H18" s="129">
        <v>991</v>
      </c>
      <c r="I18" s="129">
        <v>-83</v>
      </c>
      <c r="J18" s="129">
        <v>2784</v>
      </c>
      <c r="K18" s="129">
        <v>1109</v>
      </c>
      <c r="L18" s="129">
        <v>-1109</v>
      </c>
      <c r="M18" s="129">
        <v>-1143</v>
      </c>
      <c r="N18" s="129">
        <v>197</v>
      </c>
      <c r="O18" s="129">
        <v>-227</v>
      </c>
      <c r="P18" s="129">
        <f>SUM(E18:O18)</f>
        <v>4953</v>
      </c>
      <c r="Q18" s="129">
        <f>SUM(P18,D18)</f>
        <v>118187.14599999999</v>
      </c>
      <c r="R18" s="7"/>
      <c r="S18" s="129">
        <v>121801.617</v>
      </c>
      <c r="T18" s="129">
        <f t="shared" ref="T18:T20" si="17">+P18</f>
        <v>4953</v>
      </c>
      <c r="U18" s="129">
        <f>-E18</f>
        <v>-169</v>
      </c>
      <c r="V18" s="129">
        <f>-K18</f>
        <v>-1109</v>
      </c>
      <c r="W18" s="129">
        <f t="shared" ref="W18:W20" si="18">-L18</f>
        <v>1109</v>
      </c>
      <c r="X18" s="129">
        <f>SUM(U18:W18)</f>
        <v>-169</v>
      </c>
      <c r="Y18" s="129">
        <f>SUM(S18,T18,X18)</f>
        <v>126585.617</v>
      </c>
      <c r="Z18" s="129">
        <f>+S18-D18</f>
        <v>8567.471000000005</v>
      </c>
      <c r="AA18" s="129">
        <f>+Y18-Q18</f>
        <v>8398.471000000005</v>
      </c>
      <c r="AB18" s="130">
        <f>+Z18/D18</f>
        <v>7.5661550006302924E-2</v>
      </c>
      <c r="AC18" s="130">
        <f>+AA18/Q18</f>
        <v>7.1060781855245114E-2</v>
      </c>
      <c r="AD18" s="131"/>
      <c r="AE18" s="134">
        <f>+AA18+AA19</f>
        <v>8428.8860000000059</v>
      </c>
      <c r="AF18" s="134">
        <f>+Q18+Q19</f>
        <v>118432.16099999999</v>
      </c>
      <c r="AG18" s="135">
        <f>+AE18/AF18</f>
        <v>7.1170583470143781E-2</v>
      </c>
      <c r="AI18" s="5"/>
    </row>
    <row r="19" spans="1:35" x14ac:dyDescent="0.2">
      <c r="A19" s="108">
        <f t="shared" si="8"/>
        <v>11</v>
      </c>
      <c r="B19" s="108">
        <v>35</v>
      </c>
      <c r="C19" s="128">
        <v>4443.66</v>
      </c>
      <c r="D19" s="129">
        <v>268.01499999999999</v>
      </c>
      <c r="E19" s="129">
        <v>0</v>
      </c>
      <c r="F19" s="129">
        <v>-5</v>
      </c>
      <c r="G19" s="129">
        <v>11</v>
      </c>
      <c r="H19" s="129">
        <v>2</v>
      </c>
      <c r="I19" s="129">
        <v>0</v>
      </c>
      <c r="J19" s="129">
        <v>9</v>
      </c>
      <c r="K19" s="129">
        <v>6</v>
      </c>
      <c r="L19" s="129">
        <v>-6</v>
      </c>
      <c r="M19" s="129">
        <v>-4</v>
      </c>
      <c r="N19" s="129">
        <v>-3</v>
      </c>
      <c r="O19" s="129">
        <v>-33</v>
      </c>
      <c r="P19" s="129">
        <f>SUM(E19:O19)</f>
        <v>-23</v>
      </c>
      <c r="Q19" s="129">
        <f>SUM(P19,D19)</f>
        <v>245.01499999999999</v>
      </c>
      <c r="R19" s="7"/>
      <c r="S19" s="129">
        <v>298.43</v>
      </c>
      <c r="T19" s="129">
        <f t="shared" si="17"/>
        <v>-23</v>
      </c>
      <c r="U19" s="129">
        <f>-E19</f>
        <v>0</v>
      </c>
      <c r="V19" s="129">
        <f>-K19</f>
        <v>-6</v>
      </c>
      <c r="W19" s="129">
        <f t="shared" si="18"/>
        <v>6</v>
      </c>
      <c r="X19" s="129">
        <f>SUM(U19:W19)</f>
        <v>0</v>
      </c>
      <c r="Y19" s="129">
        <f>SUM(S19,T19,X19)</f>
        <v>275.43</v>
      </c>
      <c r="Z19" s="129">
        <f>+S19-D19</f>
        <v>30.41500000000002</v>
      </c>
      <c r="AA19" s="129">
        <f>+Y19-Q19</f>
        <v>30.41500000000002</v>
      </c>
      <c r="AB19" s="130">
        <f>+Z19/D19</f>
        <v>0.11348245434024223</v>
      </c>
      <c r="AC19" s="130">
        <f>+AA19/Q19</f>
        <v>0.12413525702508019</v>
      </c>
      <c r="AD19" s="131"/>
      <c r="AE19" s="131"/>
      <c r="AF19" s="131"/>
      <c r="AG19" s="131"/>
      <c r="AI19" s="5"/>
    </row>
    <row r="20" spans="1:35" x14ac:dyDescent="0.2">
      <c r="A20" s="108">
        <f t="shared" si="8"/>
        <v>12</v>
      </c>
      <c r="B20" s="108">
        <v>43</v>
      </c>
      <c r="C20" s="128">
        <v>123102.08801083639</v>
      </c>
      <c r="D20" s="129">
        <v>10721.509</v>
      </c>
      <c r="E20" s="129">
        <v>12</v>
      </c>
      <c r="F20" s="129">
        <v>-159</v>
      </c>
      <c r="G20" s="129">
        <v>322</v>
      </c>
      <c r="H20" s="129">
        <v>96</v>
      </c>
      <c r="I20" s="129">
        <v>-6</v>
      </c>
      <c r="J20" s="129">
        <v>347</v>
      </c>
      <c r="K20" s="129">
        <v>162</v>
      </c>
      <c r="L20" s="129">
        <v>-162</v>
      </c>
      <c r="M20" s="129">
        <v>-140</v>
      </c>
      <c r="N20" s="129">
        <v>-81</v>
      </c>
      <c r="O20" s="129">
        <v>0</v>
      </c>
      <c r="P20" s="129">
        <f>SUM(E20:O20)</f>
        <v>391</v>
      </c>
      <c r="Q20" s="129">
        <f>SUM(P20,D20)</f>
        <v>11112.509</v>
      </c>
      <c r="R20" s="7"/>
      <c r="S20" s="129">
        <v>11735.416999999999</v>
      </c>
      <c r="T20" s="129">
        <f t="shared" si="17"/>
        <v>391</v>
      </c>
      <c r="U20" s="129">
        <f>-E20</f>
        <v>-12</v>
      </c>
      <c r="V20" s="129">
        <f>-K20</f>
        <v>-162</v>
      </c>
      <c r="W20" s="129">
        <f t="shared" si="18"/>
        <v>162</v>
      </c>
      <c r="X20" s="129">
        <f>SUM(U20:W20)</f>
        <v>-12</v>
      </c>
      <c r="Y20" s="129">
        <f>SUM(S20,T20,X20)</f>
        <v>12114.416999999999</v>
      </c>
      <c r="Z20" s="129">
        <f>+S20-D20</f>
        <v>1013.9079999999994</v>
      </c>
      <c r="AA20" s="129">
        <f>+Y20-Q20</f>
        <v>1001.9079999999994</v>
      </c>
      <c r="AB20" s="130">
        <f>+Z20/D20</f>
        <v>9.4567658339884758E-2</v>
      </c>
      <c r="AC20" s="130">
        <f>+AA20/Q20</f>
        <v>9.0160376922979277E-2</v>
      </c>
      <c r="AD20" s="131"/>
      <c r="AE20" s="131"/>
      <c r="AF20" s="131"/>
      <c r="AG20" s="131"/>
      <c r="AI20" s="5"/>
    </row>
    <row r="21" spans="1:35" x14ac:dyDescent="0.2">
      <c r="A21" s="108">
        <f t="shared" si="8"/>
        <v>13</v>
      </c>
      <c r="B21" s="109" t="s">
        <v>43</v>
      </c>
      <c r="C21" s="132">
        <f t="shared" ref="C21:Q21" si="19">SUM(C18:C20)</f>
        <v>1535141.0961811424</v>
      </c>
      <c r="D21" s="4">
        <f t="shared" si="19"/>
        <v>124223.67</v>
      </c>
      <c r="E21" s="4">
        <f t="shared" si="19"/>
        <v>181</v>
      </c>
      <c r="F21" s="4">
        <f t="shared" si="19"/>
        <v>-2336</v>
      </c>
      <c r="G21" s="4">
        <f t="shared" si="19"/>
        <v>4770</v>
      </c>
      <c r="H21" s="4">
        <f t="shared" si="19"/>
        <v>1089</v>
      </c>
      <c r="I21" s="4">
        <f t="shared" ref="I21" si="20">SUM(I18:I20)</f>
        <v>-89</v>
      </c>
      <c r="J21" s="4">
        <f t="shared" si="19"/>
        <v>3140</v>
      </c>
      <c r="K21" s="4">
        <f t="shared" si="19"/>
        <v>1277</v>
      </c>
      <c r="L21" s="4">
        <f t="shared" ref="L21:M21" si="21">SUM(L18:L20)</f>
        <v>-1277</v>
      </c>
      <c r="M21" s="4">
        <f t="shared" si="21"/>
        <v>-1287</v>
      </c>
      <c r="N21" s="4">
        <f t="shared" si="19"/>
        <v>113</v>
      </c>
      <c r="O21" s="4">
        <f t="shared" si="19"/>
        <v>-260</v>
      </c>
      <c r="P21" s="4">
        <f t="shared" si="19"/>
        <v>5321</v>
      </c>
      <c r="Q21" s="4">
        <f t="shared" si="19"/>
        <v>129544.67</v>
      </c>
      <c r="R21" s="7"/>
      <c r="S21" s="4">
        <f t="shared" ref="S21:AA21" si="22">SUM(S18:S20)</f>
        <v>133835.46399999998</v>
      </c>
      <c r="T21" s="4">
        <f t="shared" si="22"/>
        <v>5321</v>
      </c>
      <c r="U21" s="4">
        <f t="shared" si="22"/>
        <v>-181</v>
      </c>
      <c r="V21" s="4">
        <f t="shared" si="22"/>
        <v>-1277</v>
      </c>
      <c r="W21" s="4">
        <f t="shared" ref="W21" si="23">SUM(W18:W20)</f>
        <v>1277</v>
      </c>
      <c r="X21" s="4">
        <f t="shared" ref="X21" si="24">SUM(X18:X20)</f>
        <v>-181</v>
      </c>
      <c r="Y21" s="4">
        <f t="shared" si="22"/>
        <v>138975.46399999998</v>
      </c>
      <c r="Z21" s="4">
        <f t="shared" si="22"/>
        <v>9611.7940000000053</v>
      </c>
      <c r="AA21" s="4">
        <f t="shared" si="22"/>
        <v>9430.7940000000053</v>
      </c>
      <c r="AB21" s="133">
        <f>+Z21/D21</f>
        <v>7.7374899646742087E-2</v>
      </c>
      <c r="AC21" s="133">
        <f>+AA21/Q21</f>
        <v>7.2799552463254605E-2</v>
      </c>
      <c r="AD21" s="131"/>
      <c r="AE21" s="131"/>
      <c r="AF21" s="131"/>
      <c r="AG21" s="131"/>
      <c r="AI21" s="5"/>
    </row>
    <row r="22" spans="1:35" x14ac:dyDescent="0.2">
      <c r="A22" s="108">
        <f t="shared" si="8"/>
        <v>14</v>
      </c>
      <c r="B22" s="108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7"/>
      <c r="S22" s="129"/>
      <c r="T22" s="129"/>
      <c r="U22" s="129"/>
      <c r="V22" s="129"/>
      <c r="W22" s="129"/>
      <c r="X22" s="129"/>
      <c r="Y22" s="129"/>
      <c r="Z22" s="129"/>
      <c r="AA22" s="129"/>
      <c r="AB22" s="130"/>
      <c r="AC22" s="130"/>
      <c r="AI22" s="5"/>
    </row>
    <row r="23" spans="1:35" x14ac:dyDescent="0.2">
      <c r="A23" s="108">
        <f t="shared" si="8"/>
        <v>15</v>
      </c>
      <c r="B23" s="108">
        <v>46</v>
      </c>
      <c r="C23" s="128">
        <v>78351.491999999998</v>
      </c>
      <c r="D23" s="129">
        <v>5190.4359999999997</v>
      </c>
      <c r="E23" s="129">
        <v>41</v>
      </c>
      <c r="F23" s="129">
        <v>-78</v>
      </c>
      <c r="G23" s="129">
        <v>161</v>
      </c>
      <c r="H23" s="129">
        <v>46</v>
      </c>
      <c r="I23" s="129">
        <v>-3</v>
      </c>
      <c r="J23" s="129">
        <v>122</v>
      </c>
      <c r="K23" s="129">
        <v>52</v>
      </c>
      <c r="L23" s="129">
        <v>-52</v>
      </c>
      <c r="M23" s="129">
        <v>-51</v>
      </c>
      <c r="N23" s="129">
        <v>14</v>
      </c>
      <c r="O23" s="129">
        <v>0</v>
      </c>
      <c r="P23" s="129">
        <f>SUM(E23:O23)</f>
        <v>252</v>
      </c>
      <c r="Q23" s="129">
        <f>SUM(P23,D23)</f>
        <v>5442.4359999999997</v>
      </c>
      <c r="R23" s="7"/>
      <c r="S23" s="129">
        <v>5486.0649999999996</v>
      </c>
      <c r="T23" s="129">
        <f t="shared" ref="T23:T24" si="25">+P23</f>
        <v>252</v>
      </c>
      <c r="U23" s="129">
        <f>-E23</f>
        <v>-41</v>
      </c>
      <c r="V23" s="129">
        <f>-K23</f>
        <v>-52</v>
      </c>
      <c r="W23" s="129">
        <f t="shared" ref="W23:W24" si="26">-L23</f>
        <v>52</v>
      </c>
      <c r="X23" s="129">
        <f>SUM(U23:W23)</f>
        <v>-41</v>
      </c>
      <c r="Y23" s="129">
        <f>SUM(S23,T23,X23)</f>
        <v>5697.0649999999996</v>
      </c>
      <c r="Z23" s="129">
        <f>+S23-D23</f>
        <v>295.62899999999991</v>
      </c>
      <c r="AA23" s="129">
        <f>+Y23-Q23</f>
        <v>254.62899999999991</v>
      </c>
      <c r="AB23" s="130">
        <f>+Z23/D23</f>
        <v>5.6956486892430602E-2</v>
      </c>
      <c r="AC23" s="130">
        <f>+AA23/Q23</f>
        <v>4.6785851041702638E-2</v>
      </c>
      <c r="AD23" s="131"/>
      <c r="AE23" s="131"/>
      <c r="AF23" s="131"/>
      <c r="AG23" s="131"/>
      <c r="AI23" s="5"/>
    </row>
    <row r="24" spans="1:35" x14ac:dyDescent="0.2">
      <c r="A24" s="108">
        <f t="shared" si="8"/>
        <v>16</v>
      </c>
      <c r="B24" s="108">
        <v>49</v>
      </c>
      <c r="C24" s="128">
        <v>542259.32140199991</v>
      </c>
      <c r="D24" s="129">
        <v>34937.811999999998</v>
      </c>
      <c r="E24" s="129">
        <v>302</v>
      </c>
      <c r="F24" s="129">
        <v>-820</v>
      </c>
      <c r="G24" s="129">
        <v>1670</v>
      </c>
      <c r="H24" s="129">
        <v>311</v>
      </c>
      <c r="I24" s="129">
        <v>-31</v>
      </c>
      <c r="J24" s="129">
        <v>845</v>
      </c>
      <c r="K24" s="129">
        <v>342</v>
      </c>
      <c r="L24" s="129">
        <v>-342</v>
      </c>
      <c r="M24" s="129">
        <v>-354</v>
      </c>
      <c r="N24" s="129">
        <v>100</v>
      </c>
      <c r="O24" s="129">
        <v>0</v>
      </c>
      <c r="P24" s="129">
        <f>SUM(E24:O24)</f>
        <v>2023</v>
      </c>
      <c r="Q24" s="129">
        <f>SUM(P24,D24)</f>
        <v>36960.811999999998</v>
      </c>
      <c r="R24" s="7"/>
      <c r="S24" s="129">
        <v>36919.502999999997</v>
      </c>
      <c r="T24" s="129">
        <f t="shared" si="25"/>
        <v>2023</v>
      </c>
      <c r="U24" s="129">
        <f>-E24</f>
        <v>-302</v>
      </c>
      <c r="V24" s="129">
        <f>-K24</f>
        <v>-342</v>
      </c>
      <c r="W24" s="129">
        <f t="shared" si="26"/>
        <v>342</v>
      </c>
      <c r="X24" s="129">
        <f>SUM(U24:W24)</f>
        <v>-302</v>
      </c>
      <c r="Y24" s="129">
        <f>SUM(S24,T24,X24)</f>
        <v>38640.502999999997</v>
      </c>
      <c r="Z24" s="129">
        <f>+S24-D24</f>
        <v>1981.6909999999989</v>
      </c>
      <c r="AA24" s="129">
        <f>+Y24-Q24</f>
        <v>1679.6909999999989</v>
      </c>
      <c r="AB24" s="130">
        <f>+Z24/D24</f>
        <v>5.6720523883979884E-2</v>
      </c>
      <c r="AC24" s="130">
        <f>+AA24/Q24</f>
        <v>4.5445186647955653E-2</v>
      </c>
      <c r="AD24" s="131"/>
      <c r="AE24" s="131"/>
      <c r="AF24" s="131"/>
      <c r="AG24" s="131"/>
      <c r="AI24" s="5"/>
    </row>
    <row r="25" spans="1:35" x14ac:dyDescent="0.2">
      <c r="A25" s="108">
        <f t="shared" si="8"/>
        <v>17</v>
      </c>
      <c r="B25" s="108" t="s">
        <v>12</v>
      </c>
      <c r="C25" s="132">
        <f>SUM(C23:C24)</f>
        <v>620610.81340199988</v>
      </c>
      <c r="D25" s="4">
        <f>SUM(D23:D24)</f>
        <v>40128.248</v>
      </c>
      <c r="E25" s="4">
        <f t="shared" ref="E25:H25" si="27">SUM(E23:E24)</f>
        <v>343</v>
      </c>
      <c r="F25" s="4">
        <f t="shared" si="27"/>
        <v>-898</v>
      </c>
      <c r="G25" s="4">
        <f>SUM(G23:G24)</f>
        <v>1831</v>
      </c>
      <c r="H25" s="4">
        <f t="shared" si="27"/>
        <v>357</v>
      </c>
      <c r="I25" s="4">
        <f t="shared" ref="I25" si="28">SUM(I23:I24)</f>
        <v>-34</v>
      </c>
      <c r="J25" s="4">
        <f>SUM(J23:J24)</f>
        <v>967</v>
      </c>
      <c r="K25" s="4">
        <f t="shared" ref="K25:N25" si="29">SUM(K23:K24)</f>
        <v>394</v>
      </c>
      <c r="L25" s="4">
        <f t="shared" ref="L25:M25" si="30">SUM(L23:L24)</f>
        <v>-394</v>
      </c>
      <c r="M25" s="4">
        <f t="shared" si="30"/>
        <v>-405</v>
      </c>
      <c r="N25" s="4">
        <f t="shared" si="29"/>
        <v>114</v>
      </c>
      <c r="O25" s="4">
        <f t="shared" ref="O25:Y25" si="31">SUM(O23:O24)</f>
        <v>0</v>
      </c>
      <c r="P25" s="4">
        <f t="shared" ref="P25" si="32">SUM(P23:P24)</f>
        <v>2275</v>
      </c>
      <c r="Q25" s="4">
        <f t="shared" si="31"/>
        <v>42403.248</v>
      </c>
      <c r="R25" s="7"/>
      <c r="S25" s="4">
        <f>SUM(S23:S24)</f>
        <v>42405.567999999999</v>
      </c>
      <c r="T25" s="4">
        <f t="shared" ref="T25" si="33">SUM(T23:T24)</f>
        <v>2275</v>
      </c>
      <c r="U25" s="4">
        <f t="shared" si="31"/>
        <v>-343</v>
      </c>
      <c r="V25" s="4">
        <f t="shared" si="31"/>
        <v>-394</v>
      </c>
      <c r="W25" s="4">
        <f t="shared" ref="W25" si="34">SUM(W23:W24)</f>
        <v>394</v>
      </c>
      <c r="X25" s="4">
        <f t="shared" ref="X25" si="35">SUM(X23:X24)</f>
        <v>-343</v>
      </c>
      <c r="Y25" s="4">
        <f t="shared" si="31"/>
        <v>44337.567999999999</v>
      </c>
      <c r="Z25" s="4">
        <f t="shared" ref="Z25:AA25" si="36">SUM(Z23:Z24)</f>
        <v>2277.3199999999988</v>
      </c>
      <c r="AA25" s="4">
        <f t="shared" si="36"/>
        <v>1934.3199999999988</v>
      </c>
      <c r="AB25" s="133">
        <f>+Z25/D25</f>
        <v>5.6751044800161694E-2</v>
      </c>
      <c r="AC25" s="133">
        <f>+AA25/Q25</f>
        <v>4.5617260262704379E-2</v>
      </c>
      <c r="AD25" s="131"/>
      <c r="AE25" s="131"/>
      <c r="AF25" s="131"/>
      <c r="AG25" s="131"/>
      <c r="AI25" s="5"/>
    </row>
    <row r="26" spans="1:35" x14ac:dyDescent="0.2">
      <c r="A26" s="108">
        <f t="shared" si="8"/>
        <v>18</v>
      </c>
      <c r="B26" s="108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7"/>
      <c r="S26" s="129"/>
      <c r="T26" s="129"/>
      <c r="U26" s="129"/>
      <c r="V26" s="129"/>
      <c r="W26" s="129"/>
      <c r="X26" s="129"/>
      <c r="Y26" s="129"/>
      <c r="Z26" s="129"/>
      <c r="AA26" s="129"/>
      <c r="AB26" s="130"/>
      <c r="AC26" s="130"/>
      <c r="AI26" s="5"/>
    </row>
    <row r="27" spans="1:35" x14ac:dyDescent="0.2">
      <c r="A27" s="108">
        <f t="shared" si="8"/>
        <v>19</v>
      </c>
      <c r="B27" s="108" t="s">
        <v>13</v>
      </c>
      <c r="C27" s="132">
        <v>69969.105296000009</v>
      </c>
      <c r="D27" s="4">
        <v>16457.504000000001</v>
      </c>
      <c r="E27" s="4">
        <v>49</v>
      </c>
      <c r="F27" s="4">
        <v>-138</v>
      </c>
      <c r="G27" s="4">
        <v>281</v>
      </c>
      <c r="H27" s="4">
        <v>137</v>
      </c>
      <c r="I27" s="4">
        <v>-5</v>
      </c>
      <c r="J27" s="4">
        <v>641</v>
      </c>
      <c r="K27" s="4">
        <v>245</v>
      </c>
      <c r="L27" s="4">
        <v>-245</v>
      </c>
      <c r="M27" s="4">
        <v>-251</v>
      </c>
      <c r="N27" s="4">
        <v>0</v>
      </c>
      <c r="O27" s="4">
        <v>-44</v>
      </c>
      <c r="P27" s="4">
        <f>SUM(E27:O27)</f>
        <v>670</v>
      </c>
      <c r="Q27" s="4">
        <f>SUM(P27,D27)</f>
        <v>17127.504000000001</v>
      </c>
      <c r="R27" s="7"/>
      <c r="S27" s="4">
        <v>18017.195</v>
      </c>
      <c r="T27" s="4">
        <f>+P27</f>
        <v>670</v>
      </c>
      <c r="U27" s="4">
        <f>-E27</f>
        <v>-49</v>
      </c>
      <c r="V27" s="4">
        <f>-K27</f>
        <v>-245</v>
      </c>
      <c r="W27" s="4">
        <f t="shared" ref="W27" si="37">-L27</f>
        <v>245</v>
      </c>
      <c r="X27" s="4">
        <f>SUM(U27:W27)</f>
        <v>-49</v>
      </c>
      <c r="Y27" s="4">
        <f>SUM(S27,T27,X27)</f>
        <v>18638.195</v>
      </c>
      <c r="Z27" s="4">
        <f>+S27-D27</f>
        <v>1559.6909999999989</v>
      </c>
      <c r="AA27" s="4">
        <f>+Y27-Q27</f>
        <v>1510.6909999999989</v>
      </c>
      <c r="AB27" s="133">
        <f>+Z27/D27</f>
        <v>9.4770810932204477E-2</v>
      </c>
      <c r="AC27" s="133">
        <f>+AA27/Q27</f>
        <v>8.8202635947421115E-2</v>
      </c>
      <c r="AD27" s="131"/>
      <c r="AE27" s="131"/>
      <c r="AF27" s="131"/>
      <c r="AG27" s="131"/>
      <c r="AI27" s="5"/>
    </row>
    <row r="28" spans="1:35" x14ac:dyDescent="0.2">
      <c r="A28" s="108">
        <f t="shared" si="8"/>
        <v>20</v>
      </c>
      <c r="B28" s="108"/>
      <c r="C28" s="128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7"/>
      <c r="S28" s="129"/>
      <c r="T28" s="129"/>
      <c r="U28" s="129"/>
      <c r="V28" s="129"/>
      <c r="W28" s="129"/>
      <c r="X28" s="129"/>
      <c r="Y28" s="129"/>
      <c r="Z28" s="129"/>
      <c r="AA28" s="129"/>
      <c r="AB28" s="130"/>
      <c r="AC28" s="130"/>
      <c r="AI28" s="5"/>
    </row>
    <row r="29" spans="1:35" x14ac:dyDescent="0.2">
      <c r="A29" s="108">
        <f t="shared" si="8"/>
        <v>21</v>
      </c>
      <c r="B29" s="109" t="s">
        <v>14</v>
      </c>
      <c r="C29" s="128">
        <v>2028727.0061700002</v>
      </c>
      <c r="D29" s="129">
        <v>10114.356</v>
      </c>
      <c r="E29" s="129">
        <v>0</v>
      </c>
      <c r="F29" s="129">
        <v>0</v>
      </c>
      <c r="G29" s="129">
        <v>2124</v>
      </c>
      <c r="H29" s="129">
        <v>67</v>
      </c>
      <c r="I29" s="129">
        <v>0</v>
      </c>
      <c r="J29" s="129">
        <v>51</v>
      </c>
      <c r="K29" s="129">
        <v>8</v>
      </c>
      <c r="L29" s="129">
        <v>-8</v>
      </c>
      <c r="M29" s="129">
        <v>-296</v>
      </c>
      <c r="N29" s="129">
        <v>0</v>
      </c>
      <c r="O29" s="129">
        <v>0</v>
      </c>
      <c r="P29" s="129">
        <f>SUM(E29:O29)</f>
        <v>1946</v>
      </c>
      <c r="Q29" s="129">
        <f>SUM(P29,D29)</f>
        <v>12060.356</v>
      </c>
      <c r="R29" s="7"/>
      <c r="S29" s="129">
        <v>10227.156999999999</v>
      </c>
      <c r="T29" s="129">
        <f t="shared" ref="T29:T30" si="38">+P29</f>
        <v>1946</v>
      </c>
      <c r="U29" s="129">
        <f>-E29</f>
        <v>0</v>
      </c>
      <c r="V29" s="129">
        <f>-K29</f>
        <v>-8</v>
      </c>
      <c r="W29" s="129">
        <f t="shared" ref="W29:W30" si="39">-L29</f>
        <v>8</v>
      </c>
      <c r="X29" s="129">
        <f>SUM(U29:W29)</f>
        <v>0</v>
      </c>
      <c r="Y29" s="129">
        <f>SUM(S29,T29,X29)</f>
        <v>12173.156999999999</v>
      </c>
      <c r="Z29" s="129">
        <f>+S29-D29</f>
        <v>112.80099999999948</v>
      </c>
      <c r="AA29" s="129">
        <f>+Y29-Q29</f>
        <v>112.80099999999948</v>
      </c>
      <c r="AB29" s="130">
        <f>+Z29/D29</f>
        <v>1.1152563742071119E-2</v>
      </c>
      <c r="AC29" s="130">
        <f>+AA29/Q29</f>
        <v>9.3530406565112568E-3</v>
      </c>
      <c r="AE29" s="134"/>
      <c r="AF29" s="134"/>
      <c r="AG29" s="135"/>
      <c r="AI29" s="5"/>
    </row>
    <row r="30" spans="1:35" x14ac:dyDescent="0.2">
      <c r="A30" s="108">
        <f t="shared" si="8"/>
        <v>22</v>
      </c>
      <c r="B30" s="109" t="s">
        <v>219</v>
      </c>
      <c r="C30" s="128">
        <v>335987.76400000002</v>
      </c>
      <c r="D30" s="129">
        <v>5493.9070000000002</v>
      </c>
      <c r="E30" s="129">
        <v>0</v>
      </c>
      <c r="F30" s="129">
        <v>0</v>
      </c>
      <c r="G30" s="129">
        <v>1207</v>
      </c>
      <c r="H30" s="129">
        <v>218</v>
      </c>
      <c r="I30" s="129">
        <v>0</v>
      </c>
      <c r="J30" s="129">
        <v>734</v>
      </c>
      <c r="K30" s="129">
        <v>204</v>
      </c>
      <c r="L30" s="129">
        <v>-204</v>
      </c>
      <c r="M30" s="129">
        <v>-288</v>
      </c>
      <c r="N30" s="129">
        <v>1405</v>
      </c>
      <c r="O30" s="129">
        <v>0</v>
      </c>
      <c r="P30" s="129">
        <f>SUM(E30:O30)</f>
        <v>3276</v>
      </c>
      <c r="Q30" s="129">
        <f>SUM(P30,D30)</f>
        <v>8769.9069999999992</v>
      </c>
      <c r="R30" s="7"/>
      <c r="S30" s="129">
        <v>4353.1926800000001</v>
      </c>
      <c r="T30" s="129">
        <f t="shared" si="38"/>
        <v>3276</v>
      </c>
      <c r="U30" s="129">
        <f>-E30</f>
        <v>0</v>
      </c>
      <c r="V30" s="129">
        <f>-K30</f>
        <v>-204</v>
      </c>
      <c r="W30" s="129">
        <f t="shared" si="39"/>
        <v>204</v>
      </c>
      <c r="X30" s="129">
        <f>SUM(U30:W30)</f>
        <v>0</v>
      </c>
      <c r="Y30" s="129">
        <f>SUM(S30,T30,X30)</f>
        <v>7629.1926800000001</v>
      </c>
      <c r="Z30" s="129">
        <f>+S30-D30</f>
        <v>-1140.71432</v>
      </c>
      <c r="AA30" s="129">
        <f>+Y30-Q30</f>
        <v>-1140.7143199999991</v>
      </c>
      <c r="AB30" s="130">
        <f>+Z30/D30</f>
        <v>-0.2076326228310745</v>
      </c>
      <c r="AC30" s="130">
        <f>+AA30/Q30</f>
        <v>-0.1300714272112577</v>
      </c>
      <c r="AI30" s="5"/>
    </row>
    <row r="31" spans="1:35" x14ac:dyDescent="0.2">
      <c r="A31" s="108">
        <f t="shared" si="8"/>
        <v>23</v>
      </c>
      <c r="B31" s="100" t="s">
        <v>220</v>
      </c>
      <c r="C31" s="132">
        <f>SUM(C29:C30)</f>
        <v>2364714.7701700004</v>
      </c>
      <c r="D31" s="4">
        <f>SUM(D29:D30)</f>
        <v>15608.262999999999</v>
      </c>
      <c r="E31" s="4">
        <f t="shared" ref="E31:H31" si="40">SUM(E29:E30)</f>
        <v>0</v>
      </c>
      <c r="F31" s="4">
        <f t="shared" si="40"/>
        <v>0</v>
      </c>
      <c r="G31" s="4">
        <f>SUM(G29:G30)</f>
        <v>3331</v>
      </c>
      <c r="H31" s="4">
        <f t="shared" si="40"/>
        <v>285</v>
      </c>
      <c r="I31" s="4">
        <f t="shared" ref="I31" si="41">SUM(I29:I30)</f>
        <v>0</v>
      </c>
      <c r="J31" s="4">
        <f>SUM(J29:J30)</f>
        <v>785</v>
      </c>
      <c r="K31" s="4">
        <f t="shared" ref="K31:Q31" si="42">SUM(K29:K30)</f>
        <v>212</v>
      </c>
      <c r="L31" s="4">
        <f t="shared" si="42"/>
        <v>-212</v>
      </c>
      <c r="M31" s="4">
        <f t="shared" si="42"/>
        <v>-584</v>
      </c>
      <c r="N31" s="4">
        <f t="shared" si="42"/>
        <v>1405</v>
      </c>
      <c r="O31" s="4">
        <f t="shared" si="42"/>
        <v>0</v>
      </c>
      <c r="P31" s="4">
        <f t="shared" si="42"/>
        <v>5222</v>
      </c>
      <c r="Q31" s="4">
        <f t="shared" si="42"/>
        <v>20830.262999999999</v>
      </c>
      <c r="R31" s="7"/>
      <c r="S31" s="4">
        <f>SUM(S29:S30)</f>
        <v>14580.349679999999</v>
      </c>
      <c r="T31" s="4">
        <f t="shared" ref="T31:W31" si="43">SUM(T29:T30)</f>
        <v>5222</v>
      </c>
      <c r="U31" s="4">
        <f t="shared" si="43"/>
        <v>0</v>
      </c>
      <c r="V31" s="4">
        <f t="shared" si="43"/>
        <v>-212</v>
      </c>
      <c r="W31" s="4">
        <f t="shared" si="43"/>
        <v>212</v>
      </c>
      <c r="X31" s="4">
        <f t="shared" ref="X31:AA31" si="44">SUM(X29:X30)</f>
        <v>0</v>
      </c>
      <c r="Y31" s="4">
        <f t="shared" si="44"/>
        <v>19802.349679999999</v>
      </c>
      <c r="Z31" s="4">
        <f t="shared" si="44"/>
        <v>-1027.9133200000006</v>
      </c>
      <c r="AA31" s="4">
        <f t="shared" si="44"/>
        <v>-1027.9133199999997</v>
      </c>
      <c r="AB31" s="133">
        <f>+Z31/D31</f>
        <v>-6.5856996387106029E-2</v>
      </c>
      <c r="AC31" s="133">
        <f>+AA31/Q31</f>
        <v>-4.9347111939969254E-2</v>
      </c>
      <c r="AD31" s="131"/>
      <c r="AE31" s="131"/>
      <c r="AF31" s="131"/>
      <c r="AG31" s="131"/>
      <c r="AI31" s="5"/>
    </row>
    <row r="32" spans="1:35" x14ac:dyDescent="0.2">
      <c r="A32" s="108">
        <f t="shared" si="8"/>
        <v>24</v>
      </c>
      <c r="B32" s="109"/>
      <c r="C32" s="136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7"/>
      <c r="S32" s="137"/>
      <c r="T32" s="137"/>
      <c r="U32" s="137"/>
      <c r="V32" s="137"/>
      <c r="W32" s="137"/>
      <c r="X32" s="137"/>
      <c r="Y32" s="137"/>
      <c r="Z32" s="137"/>
      <c r="AA32" s="137"/>
      <c r="AB32" s="138"/>
      <c r="AC32" s="138"/>
      <c r="AD32" s="131"/>
      <c r="AE32" s="131"/>
      <c r="AF32" s="131"/>
      <c r="AG32" s="131"/>
      <c r="AI32" s="5"/>
    </row>
    <row r="33" spans="1:35" ht="13.5" thickBot="1" x14ac:dyDescent="0.25">
      <c r="A33" s="108">
        <f t="shared" si="8"/>
        <v>25</v>
      </c>
      <c r="B33" s="108" t="s">
        <v>15</v>
      </c>
      <c r="C33" s="139">
        <f t="shared" ref="C33:Q33" si="45">SUM(C10,C16,C21,C25,C27,C31)</f>
        <v>22893265.696041599</v>
      </c>
      <c r="D33" s="140">
        <f t="shared" si="45"/>
        <v>2000257.6449999998</v>
      </c>
      <c r="E33" s="140">
        <f t="shared" si="45"/>
        <v>3124</v>
      </c>
      <c r="F33" s="140">
        <f t="shared" si="45"/>
        <v>-36216</v>
      </c>
      <c r="G33" s="140">
        <f t="shared" si="45"/>
        <v>77130</v>
      </c>
      <c r="H33" s="140">
        <f t="shared" si="45"/>
        <v>17506</v>
      </c>
      <c r="I33" s="140">
        <f t="shared" si="45"/>
        <v>-1382</v>
      </c>
      <c r="J33" s="140">
        <f t="shared" si="45"/>
        <v>57022</v>
      </c>
      <c r="K33" s="140">
        <f t="shared" si="45"/>
        <v>25853</v>
      </c>
      <c r="L33" s="140">
        <f t="shared" si="45"/>
        <v>-25853</v>
      </c>
      <c r="M33" s="140">
        <f t="shared" si="45"/>
        <v>-22887</v>
      </c>
      <c r="N33" s="140">
        <f t="shared" si="45"/>
        <v>15405</v>
      </c>
      <c r="O33" s="140">
        <f t="shared" si="45"/>
        <v>-81213</v>
      </c>
      <c r="P33" s="140">
        <f t="shared" si="45"/>
        <v>28489</v>
      </c>
      <c r="Q33" s="140">
        <f t="shared" si="45"/>
        <v>2028746.6449999998</v>
      </c>
      <c r="R33" s="7"/>
      <c r="S33" s="140">
        <f t="shared" ref="S33:AA33" si="46">SUM(S10,S16,S21,S25,S27,S31)</f>
        <v>2141006.9646799997</v>
      </c>
      <c r="T33" s="140">
        <f t="shared" si="46"/>
        <v>28489</v>
      </c>
      <c r="U33" s="140">
        <f t="shared" si="46"/>
        <v>-3124</v>
      </c>
      <c r="V33" s="140">
        <f t="shared" si="46"/>
        <v>-25853</v>
      </c>
      <c r="W33" s="140">
        <f t="shared" si="46"/>
        <v>25853</v>
      </c>
      <c r="X33" s="140">
        <f t="shared" si="46"/>
        <v>-3124</v>
      </c>
      <c r="Y33" s="140">
        <f t="shared" si="46"/>
        <v>2166371.9646799997</v>
      </c>
      <c r="Z33" s="140">
        <f t="shared" si="46"/>
        <v>140749.31968000002</v>
      </c>
      <c r="AA33" s="140">
        <f t="shared" si="46"/>
        <v>137625.31968000002</v>
      </c>
      <c r="AB33" s="141">
        <f>+Z33/D33</f>
        <v>7.0365595168116468E-2</v>
      </c>
      <c r="AC33" s="141">
        <f>+AA33/Q33</f>
        <v>6.7837608022267376E-2</v>
      </c>
      <c r="AD33" s="129"/>
      <c r="AE33" s="129"/>
      <c r="AF33" s="129"/>
      <c r="AG33" s="131"/>
      <c r="AI33" s="5"/>
    </row>
    <row r="34" spans="1:35" ht="13.5" thickTop="1" x14ac:dyDescent="0.2">
      <c r="A34" s="108">
        <f t="shared" si="8"/>
        <v>26</v>
      </c>
      <c r="B34" s="108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142"/>
      <c r="AC34" s="142"/>
      <c r="AD34" s="129"/>
      <c r="AE34" s="129"/>
      <c r="AF34" s="129"/>
      <c r="AG34" s="131"/>
      <c r="AI34" s="5"/>
    </row>
    <row r="35" spans="1:35" x14ac:dyDescent="0.2">
      <c r="A35" s="108">
        <f t="shared" si="8"/>
        <v>27</v>
      </c>
      <c r="B35" s="108">
        <v>5</v>
      </c>
      <c r="C35" s="132">
        <v>7197.5754843382783</v>
      </c>
      <c r="D35" s="4">
        <v>328.327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f>SUM(E35:O35)</f>
        <v>0</v>
      </c>
      <c r="Q35" s="4">
        <f>SUM(P35,D35)</f>
        <v>328.327</v>
      </c>
      <c r="R35" s="7"/>
      <c r="S35" s="4">
        <v>690.54429920936445</v>
      </c>
      <c r="T35" s="4">
        <f>+P35</f>
        <v>0</v>
      </c>
      <c r="U35" s="4">
        <f>-E35</f>
        <v>0</v>
      </c>
      <c r="V35" s="4">
        <f>-K35</f>
        <v>0</v>
      </c>
      <c r="W35" s="4">
        <f t="shared" ref="W35" si="47">-L35</f>
        <v>0</v>
      </c>
      <c r="X35" s="4">
        <f>SUM(U35:W35)</f>
        <v>0</v>
      </c>
      <c r="Y35" s="4">
        <f>SUM(S35,T35,X35)</f>
        <v>690.54429920936445</v>
      </c>
      <c r="Z35" s="4">
        <f>+S35-D35</f>
        <v>362.21729920936446</v>
      </c>
      <c r="AA35" s="4">
        <f>+Y35-Q35</f>
        <v>362.21729920936446</v>
      </c>
      <c r="AB35" s="133">
        <f>+Z35/D35</f>
        <v>1.1032211764776105</v>
      </c>
      <c r="AC35" s="133">
        <f>+AA35/Q35</f>
        <v>1.1032211764776105</v>
      </c>
      <c r="AD35" s="129"/>
      <c r="AE35" s="129"/>
      <c r="AF35" s="129"/>
      <c r="AG35" s="131"/>
      <c r="AI35" s="5"/>
    </row>
    <row r="36" spans="1:35" x14ac:dyDescent="0.2">
      <c r="A36" s="108">
        <f t="shared" si="8"/>
        <v>28</v>
      </c>
      <c r="B36" s="108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42"/>
      <c r="AC36" s="142"/>
      <c r="AD36" s="129"/>
      <c r="AE36" s="129"/>
      <c r="AF36" s="129"/>
      <c r="AG36" s="131"/>
      <c r="AI36" s="5"/>
    </row>
    <row r="37" spans="1:35" ht="13.5" thickBot="1" x14ac:dyDescent="0.25">
      <c r="A37" s="108">
        <f t="shared" si="8"/>
        <v>29</v>
      </c>
      <c r="B37" s="108" t="s">
        <v>16</v>
      </c>
      <c r="C37" s="139">
        <f>+C35+C33</f>
        <v>22900463.271525938</v>
      </c>
      <c r="D37" s="140">
        <f>+D35+D33</f>
        <v>2000585.9719999998</v>
      </c>
      <c r="E37" s="140">
        <f t="shared" ref="E37:H37" si="48">+E35+E33</f>
        <v>3124</v>
      </c>
      <c r="F37" s="140">
        <f t="shared" si="48"/>
        <v>-36216</v>
      </c>
      <c r="G37" s="140">
        <f>+G35+G33</f>
        <v>77130</v>
      </c>
      <c r="H37" s="140">
        <f t="shared" si="48"/>
        <v>17506</v>
      </c>
      <c r="I37" s="140">
        <f t="shared" ref="I37" si="49">+I35+I33</f>
        <v>-1382</v>
      </c>
      <c r="J37" s="140">
        <f>+J35+J33</f>
        <v>57022</v>
      </c>
      <c r="K37" s="140">
        <f t="shared" ref="K37:N37" si="50">+K35+K33</f>
        <v>25853</v>
      </c>
      <c r="L37" s="140">
        <f t="shared" ref="L37:M37" si="51">+L35+L33</f>
        <v>-25853</v>
      </c>
      <c r="M37" s="140">
        <f t="shared" si="51"/>
        <v>-22887</v>
      </c>
      <c r="N37" s="140">
        <f t="shared" si="50"/>
        <v>15405</v>
      </c>
      <c r="O37" s="140">
        <f t="shared" ref="O37:Y37" si="52">+O35+O33</f>
        <v>-81213</v>
      </c>
      <c r="P37" s="140">
        <f t="shared" ref="P37" si="53">+P35+P33</f>
        <v>28489</v>
      </c>
      <c r="Q37" s="140">
        <f t="shared" si="52"/>
        <v>2029074.9719999998</v>
      </c>
      <c r="R37" s="7"/>
      <c r="S37" s="140">
        <f>+S35+S33</f>
        <v>2141697.5089792092</v>
      </c>
      <c r="T37" s="140">
        <f t="shared" ref="T37" si="54">+T35+T33</f>
        <v>28489</v>
      </c>
      <c r="U37" s="140">
        <f t="shared" si="52"/>
        <v>-3124</v>
      </c>
      <c r="V37" s="140">
        <f t="shared" si="52"/>
        <v>-25853</v>
      </c>
      <c r="W37" s="140">
        <f t="shared" ref="W37" si="55">+W35+W33</f>
        <v>25853</v>
      </c>
      <c r="X37" s="140">
        <f t="shared" ref="X37" si="56">+X35+X33</f>
        <v>-3124</v>
      </c>
      <c r="Y37" s="140">
        <f t="shared" si="52"/>
        <v>2167062.5089792092</v>
      </c>
      <c r="Z37" s="140">
        <f t="shared" ref="Z37:AA37" si="57">+Z35+Z33</f>
        <v>141111.53697920937</v>
      </c>
      <c r="AA37" s="140">
        <f t="shared" si="57"/>
        <v>137987.53697920937</v>
      </c>
      <c r="AB37" s="141">
        <f>+Z37/D37</f>
        <v>7.053510269200737E-2</v>
      </c>
      <c r="AC37" s="141">
        <f>+AA37/Q37</f>
        <v>6.8005144651308316E-2</v>
      </c>
      <c r="AD37" s="129"/>
      <c r="AE37" s="129"/>
      <c r="AF37" s="129"/>
      <c r="AG37" s="131"/>
      <c r="AI37" s="5"/>
    </row>
    <row r="38" spans="1:35" ht="13.5" thickTop="1" x14ac:dyDescent="0.2"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7"/>
      <c r="S38" s="129"/>
      <c r="T38" s="129"/>
      <c r="U38" s="129"/>
      <c r="V38" s="129"/>
      <c r="W38" s="129"/>
      <c r="X38" s="129"/>
      <c r="Y38" s="129"/>
      <c r="Z38" s="129"/>
      <c r="AA38" s="129"/>
      <c r="AI38" s="5"/>
    </row>
    <row r="39" spans="1:35" x14ac:dyDescent="0.2">
      <c r="C39" s="128">
        <v>22900463.271525934</v>
      </c>
      <c r="D39" s="129">
        <v>2000585.9720000001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>
        <v>2141697.5089792097</v>
      </c>
      <c r="T39" s="129"/>
      <c r="U39" s="129"/>
      <c r="V39" s="129"/>
      <c r="W39" s="129"/>
      <c r="X39" s="129"/>
      <c r="Y39" s="129"/>
      <c r="Z39" s="129"/>
      <c r="AA39" s="129"/>
      <c r="AI39" s="5"/>
    </row>
    <row r="40" spans="1:35" x14ac:dyDescent="0.2">
      <c r="C40" s="128">
        <f>+C39-C37</f>
        <v>0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Y40" s="129"/>
      <c r="Z40" s="129"/>
      <c r="AA40" s="129"/>
      <c r="AB40" s="129"/>
      <c r="AI40" s="5"/>
    </row>
    <row r="41" spans="1:35" x14ac:dyDescent="0.2">
      <c r="AI41" s="5"/>
    </row>
  </sheetData>
  <mergeCells count="5">
    <mergeCell ref="U6:W6"/>
    <mergeCell ref="A1:B1"/>
    <mergeCell ref="A2:B2"/>
    <mergeCell ref="A3:B3"/>
    <mergeCell ref="A4:B4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16" max="36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="90" zoomScaleNormal="9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2.28515625" style="34" customWidth="1"/>
    <col min="2" max="2" width="58.85546875" style="34" bestFit="1" customWidth="1"/>
    <col min="3" max="3" width="13" style="34" bestFit="1" customWidth="1"/>
    <col min="4" max="4" width="3.5703125" style="34" customWidth="1"/>
    <col min="5" max="5" width="9.5703125" style="34" bestFit="1" customWidth="1"/>
    <col min="6" max="6" width="4.140625" style="34" customWidth="1"/>
    <col min="7" max="7" width="13.28515625" style="34" bestFit="1" customWidth="1"/>
    <col min="8" max="8" width="3.85546875" style="34" customWidth="1"/>
    <col min="9" max="9" width="13.28515625" style="34" bestFit="1" customWidth="1"/>
    <col min="10" max="10" width="3.28515625" style="34" customWidth="1"/>
    <col min="11" max="11" width="10.140625" style="34" bestFit="1" customWidth="1"/>
    <col min="12" max="12" width="3.85546875" style="79" customWidth="1"/>
    <col min="13" max="13" width="36.7109375" style="34" bestFit="1" customWidth="1"/>
    <col min="14" max="14" width="16.28515625" style="34" bestFit="1" customWidth="1"/>
    <col min="15" max="15" width="2.42578125" style="34" customWidth="1"/>
    <col min="16" max="16" width="17.85546875" style="34" bestFit="1" customWidth="1"/>
    <col min="17" max="17" width="3.42578125" style="34" customWidth="1"/>
    <col min="18" max="18" width="5.42578125" style="34" bestFit="1" customWidth="1"/>
    <col min="19" max="16384" width="9.42578125" style="34"/>
  </cols>
  <sheetData>
    <row r="1" spans="1:18" ht="18.75" x14ac:dyDescent="0.3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</row>
    <row r="2" spans="1:18" ht="18.75" x14ac:dyDescent="0.3">
      <c r="B2" s="78" t="s">
        <v>69</v>
      </c>
      <c r="C2" s="78"/>
      <c r="D2" s="78"/>
      <c r="E2" s="78"/>
      <c r="F2" s="78"/>
      <c r="G2" s="78"/>
      <c r="H2" s="78"/>
      <c r="I2" s="78"/>
      <c r="J2" s="78"/>
      <c r="K2" s="78"/>
    </row>
    <row r="3" spans="1:18" ht="18.75" x14ac:dyDescent="0.3">
      <c r="B3" s="78" t="s">
        <v>144</v>
      </c>
      <c r="C3" s="78"/>
      <c r="D3" s="78"/>
      <c r="E3" s="78"/>
      <c r="F3" s="78"/>
      <c r="G3" s="78"/>
      <c r="H3" s="78"/>
      <c r="I3" s="78"/>
      <c r="J3" s="78"/>
      <c r="K3" s="78"/>
    </row>
    <row r="4" spans="1:18" ht="18.75" x14ac:dyDescent="0.3"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8" ht="18.75" x14ac:dyDescent="0.3"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8" ht="18.75" x14ac:dyDescent="0.3">
      <c r="A6" s="89"/>
      <c r="B6" s="35"/>
      <c r="C6" s="35"/>
      <c r="D6" s="35"/>
      <c r="E6" s="35"/>
      <c r="F6" s="35"/>
      <c r="G6" s="35"/>
      <c r="H6" s="35"/>
      <c r="I6" s="35"/>
      <c r="J6" s="35"/>
    </row>
    <row r="7" spans="1:18" ht="18.75" x14ac:dyDescent="0.3">
      <c r="A7" s="89"/>
      <c r="B7" s="35"/>
      <c r="C7" s="35"/>
      <c r="D7" s="35"/>
      <c r="E7" s="35"/>
      <c r="F7" s="35"/>
      <c r="G7" s="35"/>
      <c r="H7" s="35"/>
      <c r="I7" s="35"/>
      <c r="J7" s="35"/>
    </row>
    <row r="9" spans="1:18" ht="15.75" x14ac:dyDescent="0.25">
      <c r="B9" s="88" t="s">
        <v>142</v>
      </c>
      <c r="G9" s="125" t="s">
        <v>141</v>
      </c>
      <c r="H9" s="126"/>
      <c r="I9" s="126"/>
    </row>
    <row r="10" spans="1:18" ht="15.75" thickBot="1" x14ac:dyDescent="0.3">
      <c r="B10" s="76" t="s">
        <v>108</v>
      </c>
      <c r="C10" s="87" t="s">
        <v>140</v>
      </c>
      <c r="G10" s="35" t="s">
        <v>18</v>
      </c>
      <c r="I10" s="35" t="s">
        <v>139</v>
      </c>
      <c r="K10" s="35" t="s">
        <v>85</v>
      </c>
    </row>
    <row r="11" spans="1:18" ht="16.5" x14ac:dyDescent="0.25">
      <c r="B11" s="75" t="s">
        <v>105</v>
      </c>
      <c r="C11" s="74" t="s">
        <v>104</v>
      </c>
      <c r="D11" s="72"/>
      <c r="E11" s="103" t="s">
        <v>65</v>
      </c>
      <c r="F11" s="72"/>
      <c r="G11" s="63" t="s">
        <v>169</v>
      </c>
      <c r="H11" s="63"/>
      <c r="I11" s="63" t="s">
        <v>170</v>
      </c>
      <c r="K11" s="86" t="s">
        <v>20</v>
      </c>
      <c r="M11" s="85"/>
      <c r="N11" s="84" t="s">
        <v>82</v>
      </c>
      <c r="O11" s="83"/>
      <c r="P11" s="105" t="s">
        <v>81</v>
      </c>
    </row>
    <row r="12" spans="1:18" x14ac:dyDescent="0.25">
      <c r="G12" s="74"/>
      <c r="H12" s="72"/>
      <c r="I12" s="74"/>
      <c r="M12" s="48"/>
      <c r="N12" s="26"/>
      <c r="O12" s="26"/>
      <c r="P12" s="82"/>
    </row>
    <row r="13" spans="1:18" x14ac:dyDescent="0.25">
      <c r="B13" s="20">
        <v>1000</v>
      </c>
      <c r="C13" s="34">
        <v>300</v>
      </c>
      <c r="E13" s="20">
        <f>ROUND((B$13*C13),0)</f>
        <v>300000</v>
      </c>
      <c r="F13" s="20"/>
      <c r="G13" s="71">
        <f>ROUND(IF($B$13&gt;4400,$B$13*N$13,4400*$N$13)+$E13*N$14,0)</f>
        <v>40452</v>
      </c>
      <c r="H13" s="71"/>
      <c r="I13" s="71">
        <f>ROUND(IF($B$13&gt;4400,$B$13*P$13,4400*$N$13)+$E13*P$14,0)</f>
        <v>41149</v>
      </c>
      <c r="K13" s="19">
        <f>(I13-G13)/G13</f>
        <v>1.7230297636705232E-2</v>
      </c>
      <c r="M13" s="49" t="s">
        <v>138</v>
      </c>
      <c r="N13" s="143">
        <f>SUM(N17,N27,N29)</f>
        <v>5.48</v>
      </c>
      <c r="O13" s="26"/>
      <c r="P13" s="144">
        <f>SUM(P17,P27,P29)</f>
        <v>5.79</v>
      </c>
      <c r="R13" s="25">
        <f>(P13-N13)/N13</f>
        <v>5.6569343065693355E-2</v>
      </c>
    </row>
    <row r="14" spans="1:18" x14ac:dyDescent="0.25">
      <c r="C14" s="34">
        <v>500</v>
      </c>
      <c r="E14" s="20">
        <f>ROUND((B$13*C14),0)</f>
        <v>500000</v>
      </c>
      <c r="F14" s="20"/>
      <c r="G14" s="71">
        <f>ROUND(IF($B$13&gt;4400,$B$13*N$13,4400*$N$13)+$E14*N$14,0)</f>
        <v>51346</v>
      </c>
      <c r="H14" s="71"/>
      <c r="I14" s="71">
        <f>ROUND(IF($B$13&gt;4400,$B$13*P$13,4400*$N$13)+$E14*P$14,0)</f>
        <v>52507</v>
      </c>
      <c r="K14" s="19">
        <f>(I14-G14)/G14</f>
        <v>2.2611303704280761E-2</v>
      </c>
      <c r="M14" s="49" t="s">
        <v>137</v>
      </c>
      <c r="N14" s="145">
        <f>SUM(N18,N20:N26,N28,N30,N31)</f>
        <v>5.4468191191541324E-2</v>
      </c>
      <c r="O14" s="26"/>
      <c r="P14" s="146">
        <f>SUM(P18,P20:P26,P28,P30,P31)</f>
        <v>5.6790829632471278E-2</v>
      </c>
      <c r="R14" s="25">
        <f>(P14-N14)/N14</f>
        <v>4.2642107074241341E-2</v>
      </c>
    </row>
    <row r="15" spans="1:18" ht="15.75" thickBot="1" x14ac:dyDescent="0.3">
      <c r="C15" s="34">
        <v>700</v>
      </c>
      <c r="E15" s="20">
        <f>ROUND((B$13*C15),0)</f>
        <v>700000</v>
      </c>
      <c r="F15" s="20"/>
      <c r="G15" s="71">
        <f>ROUND(IF($B$13&gt;4400,$B$13*N$13,4400*$N$13)+$E15*N$14,0)</f>
        <v>62240</v>
      </c>
      <c r="H15" s="71"/>
      <c r="I15" s="71">
        <f>ROUND(IF($B$13&gt;4400,$B$13*P$13,4400*$N$13)+$E15*P$14,0)</f>
        <v>63866</v>
      </c>
      <c r="K15" s="19">
        <f>(I15-G15)/G15</f>
        <v>2.6124678663239073E-2</v>
      </c>
      <c r="M15" s="81" t="s">
        <v>17</v>
      </c>
      <c r="N15" s="147" t="s">
        <v>17</v>
      </c>
      <c r="O15" s="148"/>
      <c r="P15" s="149" t="s">
        <v>17</v>
      </c>
    </row>
    <row r="16" spans="1:18" x14ac:dyDescent="0.25">
      <c r="G16" s="71"/>
      <c r="H16" s="71"/>
      <c r="I16" s="71"/>
      <c r="K16" s="19"/>
    </row>
    <row r="17" spans="2:16" x14ac:dyDescent="0.25">
      <c r="B17" s="20">
        <v>2000</v>
      </c>
      <c r="C17" s="34">
        <v>300</v>
      </c>
      <c r="E17" s="20">
        <f>ROUND((B$17*C17),0)</f>
        <v>600000</v>
      </c>
      <c r="F17" s="20"/>
      <c r="G17" s="71">
        <f>ROUND(IF($B$17&gt;4400,$B$17*N$13,4400*$N$13)+$E17*N$14,0)</f>
        <v>56793</v>
      </c>
      <c r="H17" s="71"/>
      <c r="I17" s="71">
        <f>ROUND(IF($B$17&gt;4400,$B$17*P$13,4400*$N$13)+$E17*P$14,0)</f>
        <v>58186</v>
      </c>
      <c r="K17" s="19">
        <f>(I17-G17)/G17</f>
        <v>2.4527670663638125E-2</v>
      </c>
      <c r="M17" s="34" t="str">
        <f>+M13</f>
        <v>Demand ($ per kVa)</v>
      </c>
      <c r="N17" s="91">
        <v>5.48</v>
      </c>
      <c r="P17" s="91">
        <v>5.79</v>
      </c>
    </row>
    <row r="18" spans="2:16" x14ac:dyDescent="0.25">
      <c r="C18" s="34">
        <v>500</v>
      </c>
      <c r="E18" s="20">
        <f>ROUND((B$17*C18),0)</f>
        <v>1000000</v>
      </c>
      <c r="F18" s="20"/>
      <c r="G18" s="71">
        <f>ROUND(IF($B$17&gt;4400,$B$17*N$13,4400*$N$13)+$E18*N$14,0)</f>
        <v>78580</v>
      </c>
      <c r="H18" s="71"/>
      <c r="I18" s="71">
        <f>ROUND(IF($B$17&gt;4400,$B$17*P$13,4400*$N$13)+$E18*P$14,0)</f>
        <v>80903</v>
      </c>
      <c r="K18" s="19">
        <f>(I18-G18)/G18</f>
        <v>2.9562229574955461E-2</v>
      </c>
      <c r="M18" s="34" t="str">
        <f>+M14</f>
        <v>Energy ($ per kWh)</v>
      </c>
      <c r="N18" s="92">
        <v>5.0738999999999999E-2</v>
      </c>
      <c r="P18" s="92">
        <v>5.3619E-2</v>
      </c>
    </row>
    <row r="19" spans="2:16" x14ac:dyDescent="0.25">
      <c r="C19" s="34">
        <v>700</v>
      </c>
      <c r="E19" s="20">
        <f>ROUND((B$17*C19),0)</f>
        <v>1400000</v>
      </c>
      <c r="F19" s="20"/>
      <c r="G19" s="71">
        <f>ROUND(IF($B$17&gt;4400,$B$17*N$13,4400*$N$13)+$E19*N$14,0)</f>
        <v>100367</v>
      </c>
      <c r="H19" s="71"/>
      <c r="I19" s="71">
        <f>ROUND(IF($B$17&gt;4400,$B$17*P$13,4400*$N$13)+$E19*P$14,0)</f>
        <v>103619</v>
      </c>
      <c r="K19" s="19">
        <f>(I19-G19)/G19</f>
        <v>3.2401088007014259E-2</v>
      </c>
    </row>
    <row r="20" spans="2:16" x14ac:dyDescent="0.25">
      <c r="G20" s="71"/>
      <c r="H20" s="71"/>
      <c r="I20" s="71"/>
      <c r="K20" s="19"/>
      <c r="M20" s="104" t="s">
        <v>57</v>
      </c>
      <c r="N20" s="92">
        <v>5.5736155907004864E-4</v>
      </c>
      <c r="P20" s="92">
        <v>0</v>
      </c>
    </row>
    <row r="21" spans="2:16" x14ac:dyDescent="0.25">
      <c r="B21" s="20">
        <v>4000</v>
      </c>
      <c r="C21" s="34">
        <v>300</v>
      </c>
      <c r="E21" s="20">
        <f>ROUND((B$21*C21),0)</f>
        <v>1200000</v>
      </c>
      <c r="F21" s="20"/>
      <c r="G21" s="71">
        <f>ROUND(IF($B$21&gt;4400,$B$21*N$13,4400*$N$13)+$E21*N$14,0)</f>
        <v>89474</v>
      </c>
      <c r="H21" s="71"/>
      <c r="I21" s="71">
        <f>ROUND(IF($B$21&gt;4400,$B$21*P$13,4400*$N$13)+$E21*P$14,0)</f>
        <v>92261</v>
      </c>
      <c r="K21" s="19">
        <f>(I21-G21)/G21</f>
        <v>3.1148713592775556E-2</v>
      </c>
      <c r="M21" s="104" t="s">
        <v>56</v>
      </c>
      <c r="N21" s="92">
        <v>-1.5120000000000001E-3</v>
      </c>
      <c r="P21" s="92">
        <f t="shared" ref="P21:P30" si="0">+N21</f>
        <v>-1.5120000000000001E-3</v>
      </c>
    </row>
    <row r="22" spans="2:16" x14ac:dyDescent="0.25">
      <c r="C22" s="34">
        <v>500</v>
      </c>
      <c r="E22" s="20">
        <f>ROUND((B$21*C22),0)</f>
        <v>2000000</v>
      </c>
      <c r="F22" s="20"/>
      <c r="G22" s="71">
        <f>ROUND(IF($B$21&gt;4400,$B$21*N$13,4400*$N$13)+$E22*N$14,0)</f>
        <v>133048</v>
      </c>
      <c r="H22" s="71"/>
      <c r="I22" s="71">
        <f>ROUND(IF($B$21&gt;4400,$B$21*P$13,4400*$N$13)+$E22*P$14,0)</f>
        <v>137694</v>
      </c>
      <c r="K22" s="19">
        <f>(I22-G22)/G22</f>
        <v>3.4919728218387347E-2</v>
      </c>
      <c r="M22" s="104" t="s">
        <v>55</v>
      </c>
      <c r="N22" s="92">
        <v>3.0799999999999998E-3</v>
      </c>
      <c r="P22" s="92">
        <f t="shared" si="0"/>
        <v>3.0799999999999998E-3</v>
      </c>
    </row>
    <row r="23" spans="2:16" x14ac:dyDescent="0.25">
      <c r="C23" s="34">
        <v>700</v>
      </c>
      <c r="E23" s="20">
        <f>ROUND((B$21*C23),0)</f>
        <v>2800000</v>
      </c>
      <c r="F23" s="20"/>
      <c r="G23" s="71">
        <f>ROUND(IF($B$21&gt;4400,$B$21*N$13,4400*$N$13)+$E23*N$14,0)</f>
        <v>176623</v>
      </c>
      <c r="H23" s="71"/>
      <c r="I23" s="71">
        <f>ROUND(IF($B$21&gt;4400,$B$21*P$13,4400*$N$13)+$E23*P$14,0)</f>
        <v>183126</v>
      </c>
      <c r="K23" s="19">
        <f>(I23-G23)/G23</f>
        <v>3.6818534392463041E-2</v>
      </c>
      <c r="M23" s="104" t="s">
        <v>31</v>
      </c>
      <c r="N23" s="92">
        <v>5.7282963247128971E-4</v>
      </c>
      <c r="P23" s="92">
        <f t="shared" si="0"/>
        <v>5.7282963247128971E-4</v>
      </c>
    </row>
    <row r="24" spans="2:16" x14ac:dyDescent="0.25">
      <c r="G24" s="71"/>
      <c r="H24" s="71"/>
      <c r="I24" s="71"/>
      <c r="K24" s="19"/>
      <c r="M24" s="34" t="s">
        <v>53</v>
      </c>
      <c r="N24" s="92">
        <v>-5.8E-5</v>
      </c>
      <c r="P24" s="92">
        <f t="shared" si="0"/>
        <v>-5.8E-5</v>
      </c>
    </row>
    <row r="25" spans="2:16" x14ac:dyDescent="0.25">
      <c r="B25" s="20">
        <v>6000</v>
      </c>
      <c r="C25" s="34">
        <v>300</v>
      </c>
      <c r="E25" s="20">
        <f>ROUND((B$25*C25),0)</f>
        <v>1800000</v>
      </c>
      <c r="F25" s="20"/>
      <c r="G25" s="71">
        <f>ROUND(IF($B$25&gt;4400,$B$25*N$13,4400*$N$13)+$E25*N$14,0)</f>
        <v>130923</v>
      </c>
      <c r="H25" s="71"/>
      <c r="I25" s="71">
        <f>ROUND(IF($B$25&gt;4400,$B$25*P$13,4400*$N$13)+$E25*P$14,0)</f>
        <v>136963</v>
      </c>
      <c r="K25" s="19">
        <f>(I25-G25)/G25</f>
        <v>4.6133987152753908E-2</v>
      </c>
      <c r="M25" s="34" t="s">
        <v>35</v>
      </c>
      <c r="N25" s="92">
        <v>1.5579999999999999E-3</v>
      </c>
      <c r="P25" s="92">
        <f t="shared" si="0"/>
        <v>1.5579999999999999E-3</v>
      </c>
    </row>
    <row r="26" spans="2:16" x14ac:dyDescent="0.25">
      <c r="C26" s="34">
        <v>500</v>
      </c>
      <c r="E26" s="20">
        <f>ROUND((B$25*C26),0)</f>
        <v>3000000</v>
      </c>
      <c r="F26" s="20"/>
      <c r="G26" s="71">
        <f>ROUND(IF($B$25&gt;4400,$B$25*N$13,4400*$N$13)+$E26*N$14,0)</f>
        <v>196285</v>
      </c>
      <c r="H26" s="71"/>
      <c r="I26" s="71">
        <f>ROUND(IF($B$25&gt;4400,$B$25*P$13,4400*$N$13)+$E26*P$14,0)</f>
        <v>205112</v>
      </c>
      <c r="K26" s="19">
        <f>(I26-G26)/G26</f>
        <v>4.4970323763914716E-2</v>
      </c>
      <c r="M26" s="104" t="s">
        <v>136</v>
      </c>
      <c r="N26" s="98">
        <v>5.0000000000000044E-4</v>
      </c>
      <c r="P26" s="92">
        <v>0</v>
      </c>
    </row>
    <row r="27" spans="2:16" x14ac:dyDescent="0.25">
      <c r="C27" s="34">
        <v>700</v>
      </c>
      <c r="E27" s="20">
        <f>ROUND((B$25*C27),0)</f>
        <v>4200000</v>
      </c>
      <c r="F27" s="20"/>
      <c r="G27" s="71">
        <f>ROUND(IF($B$25&gt;4400,$B$25*N$13,4400*$N$13)+$E27*N$14,0)</f>
        <v>261646</v>
      </c>
      <c r="H27" s="71"/>
      <c r="I27" s="71">
        <f>ROUND(IF($B$25&gt;4400,$B$25*P$13,4400*$N$13)+$E27*P$14,0)</f>
        <v>273261</v>
      </c>
      <c r="K27" s="19">
        <f>(I27-G27)/G27</f>
        <v>4.4392041154842805E-2</v>
      </c>
      <c r="M27" s="104" t="s">
        <v>217</v>
      </c>
      <c r="N27" s="96">
        <v>4.9999999999999822E-2</v>
      </c>
      <c r="P27" s="92">
        <v>0</v>
      </c>
    </row>
    <row r="28" spans="2:16" x14ac:dyDescent="0.25">
      <c r="E28" s="20"/>
      <c r="F28" s="20"/>
      <c r="G28" s="71"/>
      <c r="H28" s="71"/>
      <c r="I28" s="71"/>
      <c r="K28" s="19"/>
      <c r="M28" s="104" t="s">
        <v>208</v>
      </c>
      <c r="N28" s="98">
        <v>-5.0000000000000044E-4</v>
      </c>
      <c r="P28" s="92">
        <v>0</v>
      </c>
    </row>
    <row r="29" spans="2:16" x14ac:dyDescent="0.25">
      <c r="B29" s="20">
        <v>8000</v>
      </c>
      <c r="C29" s="34">
        <v>300</v>
      </c>
      <c r="E29" s="20">
        <f>ROUND((B$29*C29),0)</f>
        <v>2400000</v>
      </c>
      <c r="F29" s="20"/>
      <c r="G29" s="71">
        <f>ROUND(IF($B$29&gt;4400,$B$29*N$13,4400*$N$13)+$E29*N$14,0)</f>
        <v>174564</v>
      </c>
      <c r="H29" s="71"/>
      <c r="I29" s="71">
        <f>ROUND(IF($B$29&gt;4400,$B$29*P$13,4400*$N$13)+$E29*P$14,0)</f>
        <v>182618</v>
      </c>
      <c r="K29" s="19">
        <f>(I29-G29)/G29</f>
        <v>4.6137806191425497E-2</v>
      </c>
      <c r="M29" s="104" t="s">
        <v>218</v>
      </c>
      <c r="N29" s="96">
        <v>-4.9999999999999822E-2</v>
      </c>
      <c r="P29" s="92">
        <v>0</v>
      </c>
    </row>
    <row r="30" spans="2:16" x14ac:dyDescent="0.25">
      <c r="C30" s="34">
        <v>500</v>
      </c>
      <c r="E30" s="20">
        <f>ROUND((B$29*C30),0)</f>
        <v>4000000</v>
      </c>
      <c r="F30" s="20"/>
      <c r="G30" s="71">
        <f>ROUND(IF($B$29&gt;4400,$B$29*N$13,4400*$N$13)+$E30*N$14,0)</f>
        <v>261713</v>
      </c>
      <c r="H30" s="71"/>
      <c r="I30" s="71">
        <f>ROUND(IF($B$29&gt;4400,$B$29*P$13,4400*$N$13)+$E30*P$14,0)</f>
        <v>273483</v>
      </c>
      <c r="K30" s="19">
        <f>(I30-G30)/G30</f>
        <v>4.4972928360455917E-2</v>
      </c>
      <c r="M30" s="104" t="s">
        <v>188</v>
      </c>
      <c r="N30" s="98">
        <v>-6.5300000000000004E-4</v>
      </c>
      <c r="P30" s="92">
        <f t="shared" si="0"/>
        <v>-6.5300000000000004E-4</v>
      </c>
    </row>
    <row r="31" spans="2:16" x14ac:dyDescent="0.25">
      <c r="C31" s="34">
        <v>700</v>
      </c>
      <c r="E31" s="20">
        <f>ROUND((B$29*C31),0)</f>
        <v>5600000</v>
      </c>
      <c r="F31" s="20"/>
      <c r="G31" s="71">
        <f>ROUND(IF($B$29&gt;4400,$B$29*N$13,4400*$N$13)+$E31*N$14,0)</f>
        <v>348862</v>
      </c>
      <c r="H31" s="71"/>
      <c r="I31" s="71">
        <f>ROUND(IF($B$29&gt;4400,$B$29*P$13,4400*$N$13)+$E31*P$14,0)</f>
        <v>364349</v>
      </c>
      <c r="K31" s="19">
        <f>(I31-G31)/G31</f>
        <v>4.4392911810400677E-2</v>
      </c>
      <c r="M31" s="34" t="s">
        <v>135</v>
      </c>
      <c r="N31" s="92">
        <v>1.84E-4</v>
      </c>
      <c r="P31" s="92">
        <f>+N31</f>
        <v>1.84E-4</v>
      </c>
    </row>
    <row r="32" spans="2:16" x14ac:dyDescent="0.25">
      <c r="E32" s="20"/>
      <c r="F32" s="20"/>
      <c r="G32" s="71"/>
      <c r="H32" s="71"/>
      <c r="I32" s="71"/>
      <c r="K32" s="19"/>
    </row>
    <row r="33" spans="2:16" x14ac:dyDescent="0.25">
      <c r="B33" s="20">
        <v>10000</v>
      </c>
      <c r="C33" s="34">
        <v>300</v>
      </c>
      <c r="E33" s="20">
        <f>ROUND((B$33*C33),0)</f>
        <v>3000000</v>
      </c>
      <c r="F33" s="20"/>
      <c r="G33" s="71">
        <f>ROUND(IF($B$33&gt;4400,$B$33*N$13,4400*$N$13)+$E33*N$14,0)</f>
        <v>218205</v>
      </c>
      <c r="H33" s="71"/>
      <c r="I33" s="71">
        <f>ROUND(IF($B$33&gt;4400,$B$33*P$13,4400*$N$13)+$E33*P$14,0)</f>
        <v>228272</v>
      </c>
      <c r="K33" s="19">
        <f>(I33-G33)/G33</f>
        <v>4.6135514768222544E-2</v>
      </c>
      <c r="P33" s="92"/>
    </row>
    <row r="34" spans="2:16" x14ac:dyDescent="0.25">
      <c r="C34" s="34">
        <v>500</v>
      </c>
      <c r="E34" s="20">
        <f>ROUND((B$33*C34),0)</f>
        <v>5000000</v>
      </c>
      <c r="F34" s="20"/>
      <c r="G34" s="71">
        <f>ROUND(IF($B$33&gt;4400,$B$33*N$13,4400*$N$13)+$E34*N$14,0)</f>
        <v>327141</v>
      </c>
      <c r="H34" s="71"/>
      <c r="I34" s="71">
        <f>ROUND(IF($B$33&gt;4400,$B$33*P$13,4400*$N$13)+$E34*P$14,0)</f>
        <v>341854</v>
      </c>
      <c r="K34" s="19">
        <f>(I34-G34)/G34</f>
        <v>4.4974491121565319E-2</v>
      </c>
      <c r="P34" s="92"/>
    </row>
    <row r="35" spans="2:16" x14ac:dyDescent="0.25">
      <c r="C35" s="34">
        <v>700</v>
      </c>
      <c r="E35" s="20">
        <f>ROUND((B$33*C35),0)</f>
        <v>7000000</v>
      </c>
      <c r="F35" s="20"/>
      <c r="G35" s="71">
        <f>ROUND(IF($B$33&gt;4400,$B$33*N$13,4400*$N$13)+$E35*N$14,0)</f>
        <v>436077</v>
      </c>
      <c r="H35" s="71"/>
      <c r="I35" s="71">
        <f>ROUND(IF($B$33&gt;4400,$B$33*P$13,4400*$N$13)+$E35*P$14,0)</f>
        <v>455436</v>
      </c>
      <c r="K35" s="19">
        <f>(I35-G35)/G35</f>
        <v>4.4393536003962605E-2</v>
      </c>
      <c r="M35" s="22" t="s">
        <v>147</v>
      </c>
      <c r="N35" s="21">
        <v>5.6720523883979884E-2</v>
      </c>
      <c r="P35" s="92"/>
    </row>
    <row r="36" spans="2:16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9" spans="2:16" ht="16.5" x14ac:dyDescent="0.25">
      <c r="B39" s="102" t="s">
        <v>157</v>
      </c>
    </row>
    <row r="40" spans="2:16" ht="16.5" x14ac:dyDescent="0.25">
      <c r="B40" s="102" t="s">
        <v>167</v>
      </c>
    </row>
    <row r="41" spans="2:16" ht="16.5" x14ac:dyDescent="0.25">
      <c r="B41" s="102" t="s">
        <v>168</v>
      </c>
    </row>
    <row r="42" spans="2:16" x14ac:dyDescent="0.25">
      <c r="B42" s="14"/>
    </row>
    <row r="43" spans="2:16" x14ac:dyDescent="0.25">
      <c r="B43" s="14"/>
    </row>
    <row r="44" spans="2:16" x14ac:dyDescent="0.25">
      <c r="B44" s="14"/>
    </row>
    <row r="45" spans="2:16" x14ac:dyDescent="0.25">
      <c r="B45" s="14"/>
    </row>
    <row r="46" spans="2:16" x14ac:dyDescent="0.25">
      <c r="B46" s="14"/>
    </row>
    <row r="47" spans="2:16" x14ac:dyDescent="0.25">
      <c r="B47" s="14"/>
    </row>
    <row r="48" spans="2:16" x14ac:dyDescent="0.25">
      <c r="B48" s="14"/>
    </row>
    <row r="49" spans="2:15" x14ac:dyDescent="0.25">
      <c r="B49" s="14"/>
    </row>
    <row r="50" spans="2:15" x14ac:dyDescent="0.25">
      <c r="B50" s="14"/>
    </row>
    <row r="51" spans="2:15" x14ac:dyDescent="0.25">
      <c r="B51" s="14"/>
    </row>
    <row r="52" spans="2:15" x14ac:dyDescent="0.25">
      <c r="B52" s="14"/>
    </row>
    <row r="54" spans="2:15" x14ac:dyDescent="0.25">
      <c r="O54" s="13"/>
    </row>
  </sheetData>
  <mergeCells count="1">
    <mergeCell ref="G9:I9"/>
  </mergeCells>
  <printOptions horizontalCentered="1"/>
  <pageMargins left="0.7" right="0.7" top="0.75" bottom="0.71" header="0.3" footer="0.3"/>
  <pageSetup scale="7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ColWidth="8.85546875" defaultRowHeight="15.75" x14ac:dyDescent="0.25"/>
  <cols>
    <col min="1" max="16384" width="8.85546875" style="37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zoomScale="90" zoomScaleNormal="90" zoomScaleSheetLayoutView="75" workbookViewId="0">
      <pane xSplit="3" ySplit="8" topLeftCell="D2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9.42578125" style="34"/>
    <col min="2" max="2" width="6.140625" style="34" bestFit="1" customWidth="1"/>
    <col min="3" max="3" width="2.140625" style="34" bestFit="1" customWidth="1"/>
    <col min="4" max="4" width="10.140625" style="34" bestFit="1" customWidth="1"/>
    <col min="5" max="5" width="1.28515625" style="34" customWidth="1"/>
    <col min="6" max="6" width="8.28515625" style="34" bestFit="1" customWidth="1"/>
    <col min="7" max="7" width="1.28515625" style="34" bestFit="1" customWidth="1"/>
    <col min="8" max="8" width="10.28515625" style="34" bestFit="1" customWidth="1"/>
    <col min="9" max="9" width="1.42578125" style="34" bestFit="1" customWidth="1"/>
    <col min="10" max="10" width="7.28515625" style="34" bestFit="1" customWidth="1"/>
    <col min="11" max="11" width="2" style="34" customWidth="1"/>
    <col min="12" max="12" width="7.42578125" style="34" bestFit="1" customWidth="1"/>
    <col min="13" max="13" width="9.42578125" style="34"/>
    <col min="14" max="14" width="42.28515625" style="34" bestFit="1" customWidth="1"/>
    <col min="15" max="15" width="15.5703125" style="34" bestFit="1" customWidth="1"/>
    <col min="16" max="16" width="1.5703125" style="34" bestFit="1" customWidth="1"/>
    <col min="17" max="17" width="16.85546875" style="34" bestFit="1" customWidth="1"/>
    <col min="18" max="18" width="1.5703125" style="34" bestFit="1" customWidth="1"/>
    <col min="19" max="19" width="6.42578125" style="34" bestFit="1" customWidth="1"/>
    <col min="20" max="20" width="5.140625" style="34" customWidth="1"/>
    <col min="21" max="16384" width="9.42578125" style="34"/>
  </cols>
  <sheetData>
    <row r="1" spans="1:20" ht="18.75" x14ac:dyDescent="0.3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20" ht="18.75" x14ac:dyDescent="0.3">
      <c r="A2" s="35"/>
      <c r="B2" s="114" t="s">
        <v>69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T2" s="35"/>
    </row>
    <row r="3" spans="1:20" ht="18.75" x14ac:dyDescent="0.3">
      <c r="A3" s="35"/>
      <c r="B3" s="115" t="s">
        <v>68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T3" s="35"/>
    </row>
    <row r="4" spans="1:20" ht="18.75" x14ac:dyDescent="0.3">
      <c r="A4" s="35"/>
      <c r="B4" s="115" t="s">
        <v>22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T4" s="35"/>
    </row>
    <row r="6" spans="1:20" x14ac:dyDescent="0.25">
      <c r="F6" s="116" t="s">
        <v>67</v>
      </c>
      <c r="G6" s="117"/>
      <c r="H6" s="117"/>
      <c r="I6" s="117"/>
      <c r="J6" s="117"/>
      <c r="K6" s="117"/>
      <c r="L6" s="117"/>
      <c r="M6" s="35"/>
    </row>
    <row r="7" spans="1:20" ht="15.75" thickBot="1" x14ac:dyDescent="0.3">
      <c r="D7" s="33" t="s">
        <v>21</v>
      </c>
      <c r="F7" s="32" t="s">
        <v>17</v>
      </c>
      <c r="G7" s="31"/>
      <c r="H7" s="31" t="s">
        <v>17</v>
      </c>
      <c r="J7" s="117" t="s">
        <v>66</v>
      </c>
      <c r="K7" s="117"/>
      <c r="L7" s="117"/>
      <c r="M7" s="31"/>
    </row>
    <row r="8" spans="1:20" ht="18" x14ac:dyDescent="0.25">
      <c r="B8" s="103" t="s">
        <v>65</v>
      </c>
      <c r="D8" s="30" t="s">
        <v>64</v>
      </c>
      <c r="F8" s="30" t="s">
        <v>151</v>
      </c>
      <c r="G8" s="30"/>
      <c r="H8" s="30" t="s">
        <v>152</v>
      </c>
      <c r="I8" s="29" t="s">
        <v>17</v>
      </c>
      <c r="J8" s="103" t="s">
        <v>63</v>
      </c>
      <c r="L8" s="28" t="s">
        <v>21</v>
      </c>
      <c r="N8" s="85"/>
      <c r="O8" s="154" t="s">
        <v>62</v>
      </c>
      <c r="P8" s="155"/>
      <c r="Q8" s="156" t="s">
        <v>61</v>
      </c>
      <c r="S8" s="25"/>
    </row>
    <row r="9" spans="1:20" x14ac:dyDescent="0.25">
      <c r="B9" s="20">
        <v>0</v>
      </c>
      <c r="D9" s="79">
        <v>6.6501808655939658E-3</v>
      </c>
      <c r="F9" s="47">
        <f>ROUND((($B9*O$11+$O$9)),2)</f>
        <v>7.49</v>
      </c>
      <c r="H9" s="47">
        <f>ROUND((($B9*Q$11+$Q$9)),2)</f>
        <v>7.49</v>
      </c>
      <c r="J9" s="47">
        <f>H9-F9</f>
        <v>0</v>
      </c>
      <c r="L9" s="19">
        <f>(H9-F9)/F9</f>
        <v>0</v>
      </c>
      <c r="N9" s="49" t="s">
        <v>60</v>
      </c>
      <c r="O9" s="143">
        <f>SUM(O17,O29,O32)</f>
        <v>7.49</v>
      </c>
      <c r="P9" s="26"/>
      <c r="Q9" s="144">
        <f>SUM(Q17,Q29,Q32)</f>
        <v>7.49</v>
      </c>
      <c r="R9" s="27"/>
      <c r="S9" s="25">
        <f>(Q9-O9)/O9</f>
        <v>0</v>
      </c>
    </row>
    <row r="10" spans="1:20" x14ac:dyDescent="0.25">
      <c r="B10" s="20">
        <v>50</v>
      </c>
      <c r="D10" s="79">
        <v>8.0192947361504875E-3</v>
      </c>
      <c r="F10" s="47">
        <f>ROUND((($B10*O$11+$O$9)),2)</f>
        <v>11.76</v>
      </c>
      <c r="H10" s="47">
        <f>ROUND((($B10*Q$11+$Q$9)),2)</f>
        <v>11.76</v>
      </c>
      <c r="J10" s="47">
        <f>H10-F10</f>
        <v>0</v>
      </c>
      <c r="L10" s="19">
        <f>(H10-F10)/F10</f>
        <v>0</v>
      </c>
      <c r="N10" s="49"/>
      <c r="O10" s="145"/>
      <c r="P10" s="26"/>
      <c r="Q10" s="146"/>
      <c r="S10" s="25"/>
    </row>
    <row r="11" spans="1:20" x14ac:dyDescent="0.25">
      <c r="B11" s="20">
        <v>100</v>
      </c>
      <c r="D11" s="79">
        <v>1.1284874527698368E-2</v>
      </c>
      <c r="F11" s="47">
        <f>ROUND((($B11*O$11+$O$9)),2)</f>
        <v>16.04</v>
      </c>
      <c r="H11" s="47">
        <f>ROUND((($B11*Q$11+$Q$9)),2)</f>
        <v>16.02</v>
      </c>
      <c r="J11" s="47">
        <f>H11-F11</f>
        <v>-1.9999999999999574E-2</v>
      </c>
      <c r="L11" s="19">
        <f>(H11-F11)/F11</f>
        <v>-1.2468827930174299E-3</v>
      </c>
      <c r="N11" s="49" t="s">
        <v>59</v>
      </c>
      <c r="O11" s="145">
        <f>SUM(O18,O23:O28,O30,O33,O35:O37)</f>
        <v>8.5471347643310283E-2</v>
      </c>
      <c r="P11" s="26"/>
      <c r="Q11" s="146">
        <f>SUM(Q18,Q23:Q28,Q30,Q33,Q35:Q37)</f>
        <v>8.5322580731441736E-2</v>
      </c>
      <c r="S11" s="25">
        <f>(Q11-O11)/O11</f>
        <v>-1.7405471654592694E-3</v>
      </c>
    </row>
    <row r="12" spans="1:20" x14ac:dyDescent="0.25">
      <c r="D12" s="79"/>
      <c r="N12" s="49" t="s">
        <v>58</v>
      </c>
      <c r="O12" s="145">
        <f>SUM(O19,O23:O28,O31,O34:O37)</f>
        <v>0.10443234764331029</v>
      </c>
      <c r="P12" s="26"/>
      <c r="Q12" s="146">
        <f>SUM(Q19,Q23:Q28,Q31,Q34:Q37)</f>
        <v>0.12276958073144179</v>
      </c>
      <c r="S12" s="25">
        <f>(Q12-O12)/O12</f>
        <v>0.17558958983439207</v>
      </c>
    </row>
    <row r="13" spans="1:20" ht="15.75" thickBot="1" x14ac:dyDescent="0.3">
      <c r="B13" s="20">
        <v>150</v>
      </c>
      <c r="D13" s="79">
        <v>1.5338324352599278E-2</v>
      </c>
      <c r="F13" s="47">
        <f>ROUND((($B13*O$11+$O$9)),2)</f>
        <v>20.309999999999999</v>
      </c>
      <c r="H13" s="47">
        <f>ROUND((($B13*Q$11+$Q$9)),2)</f>
        <v>20.29</v>
      </c>
      <c r="J13" s="47">
        <f>H13-F13</f>
        <v>-1.9999999999999574E-2</v>
      </c>
      <c r="L13" s="19">
        <f>(H13-F13)/F13</f>
        <v>-9.8473658296403615E-4</v>
      </c>
      <c r="N13" s="157"/>
      <c r="O13" s="158"/>
      <c r="P13" s="148"/>
      <c r="Q13" s="159"/>
      <c r="S13" s="25"/>
    </row>
    <row r="14" spans="1:20" x14ac:dyDescent="0.25">
      <c r="B14" s="20">
        <v>200</v>
      </c>
      <c r="D14" s="79">
        <v>2.1443435320053644E-2</v>
      </c>
      <c r="F14" s="47">
        <f>ROUND((($B14*O$11+$O$9)),2)</f>
        <v>24.58</v>
      </c>
      <c r="H14" s="47">
        <f>ROUND((($B14*Q$11+$Q$9)),2)</f>
        <v>24.55</v>
      </c>
      <c r="J14" s="47">
        <f>H14-F14</f>
        <v>-2.9999999999997584E-2</v>
      </c>
      <c r="L14" s="19">
        <f>(H14-F14)/F14</f>
        <v>-1.2205044751829775E-3</v>
      </c>
      <c r="R14" s="26"/>
      <c r="S14" s="25"/>
    </row>
    <row r="15" spans="1:20" x14ac:dyDescent="0.25">
      <c r="B15" s="20">
        <v>300</v>
      </c>
      <c r="D15" s="79">
        <v>6.537492073108761E-2</v>
      </c>
      <c r="F15" s="47">
        <f>ROUND((($B15*O$11+$O$9)),2)</f>
        <v>33.130000000000003</v>
      </c>
      <c r="H15" s="47">
        <f>ROUND((($B15*Q$11+$Q$9)),2)</f>
        <v>33.090000000000003</v>
      </c>
      <c r="J15" s="47">
        <f>H15-F15</f>
        <v>-3.9999999999999147E-2</v>
      </c>
      <c r="L15" s="19">
        <f>(H15-F15)/F15</f>
        <v>-1.2073649260488724E-3</v>
      </c>
    </row>
    <row r="16" spans="1:20" x14ac:dyDescent="0.25">
      <c r="D16" s="79"/>
      <c r="F16" s="23"/>
      <c r="H16" s="23"/>
      <c r="S16" s="34" t="s">
        <v>17</v>
      </c>
    </row>
    <row r="17" spans="2:18" x14ac:dyDescent="0.25">
      <c r="B17" s="20">
        <v>400</v>
      </c>
      <c r="D17" s="79">
        <v>9.0873118309205483E-2</v>
      </c>
      <c r="F17" s="47">
        <f>ROUND((($B17*O$11+$O$9)),2)</f>
        <v>41.68</v>
      </c>
      <c r="H17" s="47">
        <f>ROUND((($B17*Q$11+$Q$9)),2)</f>
        <v>41.62</v>
      </c>
      <c r="J17" s="47">
        <f>H17-F17</f>
        <v>-6.0000000000002274E-2</v>
      </c>
      <c r="L17" s="19">
        <f>(H17-F17)/F17</f>
        <v>-1.4395393474088837E-3</v>
      </c>
      <c r="N17" s="34" t="str">
        <f>+N9</f>
        <v>Basic 1 Phase</v>
      </c>
      <c r="O17" s="96">
        <v>7.49</v>
      </c>
      <c r="P17" s="96"/>
      <c r="Q17" s="96">
        <v>7.49</v>
      </c>
    </row>
    <row r="18" spans="2:18" x14ac:dyDescent="0.25">
      <c r="B18" s="20">
        <v>500</v>
      </c>
      <c r="D18" s="79">
        <v>0.10273841640338027</v>
      </c>
      <c r="F18" s="47">
        <f>ROUND((($B18*O$11+$O$9)),2)</f>
        <v>50.23</v>
      </c>
      <c r="H18" s="47">
        <f>ROUND((($B18*Q$11+$Q$9)),2)</f>
        <v>50.15</v>
      </c>
      <c r="J18" s="47">
        <f>H18-F18</f>
        <v>-7.9999999999998295E-2</v>
      </c>
      <c r="L18" s="19">
        <f>(H18-F18)/F18</f>
        <v>-1.5926737009754788E-3</v>
      </c>
      <c r="N18" s="34" t="str">
        <f>+N11</f>
        <v>Energy - First 600</v>
      </c>
      <c r="O18" s="92">
        <v>8.7335999999999997E-2</v>
      </c>
      <c r="P18" s="92"/>
      <c r="Q18" s="92">
        <v>8.7335999999999997E-2</v>
      </c>
      <c r="R18" s="34" t="s">
        <v>17</v>
      </c>
    </row>
    <row r="19" spans="2:18" x14ac:dyDescent="0.25">
      <c r="B19" s="20">
        <v>600</v>
      </c>
      <c r="D19" s="79">
        <v>0.10108278196785736</v>
      </c>
      <c r="F19" s="47">
        <f>ROUND((($B19*O$11+$O$9)),2)</f>
        <v>58.77</v>
      </c>
      <c r="H19" s="47">
        <f>ROUND((($B19*Q$11+$Q$9)),2)</f>
        <v>58.68</v>
      </c>
      <c r="J19" s="47">
        <f>H19-F19</f>
        <v>-9.0000000000003411E-2</v>
      </c>
      <c r="L19" s="19">
        <f>(H19-F19)/F19</f>
        <v>-1.5313935681470717E-3</v>
      </c>
      <c r="N19" s="34" t="str">
        <f>+N12</f>
        <v>Energy - Over 600</v>
      </c>
      <c r="O19" s="92">
        <v>0.106297</v>
      </c>
      <c r="P19" s="92"/>
      <c r="Q19" s="92">
        <v>0.12478300000000001</v>
      </c>
    </row>
    <row r="20" spans="2:18" x14ac:dyDescent="0.25">
      <c r="B20" s="20">
        <v>700</v>
      </c>
      <c r="D20" s="79">
        <v>9.1101973842058676E-2</v>
      </c>
      <c r="F20" s="47">
        <f>ROUND((((600*O$11)+(($B20-600)*O$12)+$O$9)),2)</f>
        <v>69.22</v>
      </c>
      <c r="H20" s="47">
        <f>ROUND((((600*Q$11)+(($B20-600)*Q$12)+$Q$9)),2)</f>
        <v>70.959999999999994</v>
      </c>
      <c r="J20" s="47">
        <f>H20-F20</f>
        <v>1.7399999999999949</v>
      </c>
      <c r="L20" s="19">
        <f>(H20-F20)/F20</f>
        <v>2.5137243571222118E-2</v>
      </c>
      <c r="Q20" s="160"/>
    </row>
    <row r="21" spans="2:18" x14ac:dyDescent="0.25">
      <c r="D21" s="79"/>
      <c r="F21" s="23"/>
      <c r="H21" s="23"/>
    </row>
    <row r="22" spans="2:18" x14ac:dyDescent="0.25">
      <c r="B22" s="20">
        <v>800</v>
      </c>
      <c r="D22" s="79">
        <v>7.8352505931172559E-2</v>
      </c>
      <c r="F22" s="47">
        <f>ROUND((((600*O$11)+(($B22-600)*O$12)+$O$9)),2)</f>
        <v>79.66</v>
      </c>
      <c r="H22" s="47">
        <f>ROUND((((600*Q$11)+(($B22-600)*Q$12)+$Q$9)),2)</f>
        <v>83.24</v>
      </c>
      <c r="J22" s="47">
        <f>H22-F22</f>
        <v>3.5799999999999983</v>
      </c>
      <c r="L22" s="19">
        <f>(H22-F22)/F22</f>
        <v>4.4940999246798875E-2</v>
      </c>
    </row>
    <row r="23" spans="2:18" x14ac:dyDescent="0.25">
      <c r="B23" s="20">
        <v>900</v>
      </c>
      <c r="C23" s="34" t="s">
        <v>54</v>
      </c>
      <c r="D23" s="79">
        <v>6.574289417925229E-2</v>
      </c>
      <c r="F23" s="47">
        <f>ROUND((((600*O$11)+(($B23-600)*O$12)+$O$9)),2)</f>
        <v>90.1</v>
      </c>
      <c r="H23" s="47">
        <f>ROUND((((600*Q$11)+(($B23-600)*Q$12)+$Q$9)),2)</f>
        <v>95.51</v>
      </c>
      <c r="J23" s="47">
        <f>H23-F23</f>
        <v>5.4100000000000108</v>
      </c>
      <c r="L23" s="19">
        <f>(H23-F23)/F23</f>
        <v>6.0044395116537308E-2</v>
      </c>
      <c r="N23" s="104" t="s">
        <v>57</v>
      </c>
      <c r="O23" s="92">
        <v>1.4876691186854057E-4</v>
      </c>
      <c r="Q23" s="92">
        <v>0</v>
      </c>
    </row>
    <row r="24" spans="2:18" x14ac:dyDescent="0.25">
      <c r="B24" s="20">
        <v>1000</v>
      </c>
      <c r="D24" s="79">
        <v>5.4722803042252882E-2</v>
      </c>
      <c r="F24" s="47">
        <f>ROUND((((600*O$11)+(($B24-600)*O$12)+$O$9)),2)</f>
        <v>100.55</v>
      </c>
      <c r="H24" s="47">
        <f>ROUND((((600*Q$11)+(($B24-600)*Q$12)+$Q$9)),2)</f>
        <v>107.79</v>
      </c>
      <c r="J24" s="47">
        <f>H24-F24</f>
        <v>7.2400000000000091</v>
      </c>
      <c r="L24" s="19">
        <f>(H24-F24)/F24</f>
        <v>7.2003978120338236E-2</v>
      </c>
      <c r="N24" s="104" t="s">
        <v>56</v>
      </c>
      <c r="O24" s="92">
        <v>-1.913E-3</v>
      </c>
      <c r="Q24" s="92">
        <f t="shared" ref="Q24:Q35" si="0">+O24</f>
        <v>-1.913E-3</v>
      </c>
    </row>
    <row r="25" spans="2:18" x14ac:dyDescent="0.25">
      <c r="B25" s="20">
        <v>1100</v>
      </c>
      <c r="D25" s="79">
        <v>4.544586922735501E-2</v>
      </c>
      <c r="F25" s="47">
        <f>ROUND((((600*O$11)+(($B25-600)*O$12)+$O$9)),2)</f>
        <v>110.99</v>
      </c>
      <c r="H25" s="47">
        <f>ROUND((((600*Q$11)+(($B25-600)*Q$12)+$Q$9)),2)</f>
        <v>120.07</v>
      </c>
      <c r="J25" s="47">
        <f>H25-F25</f>
        <v>9.0799999999999983</v>
      </c>
      <c r="L25" s="19">
        <f>(H25-F25)/F25</f>
        <v>8.180917199747724E-2</v>
      </c>
      <c r="N25" s="104" t="s">
        <v>55</v>
      </c>
      <c r="O25" s="92">
        <v>3.9050000000000001E-3</v>
      </c>
      <c r="Q25" s="92">
        <f t="shared" si="0"/>
        <v>3.9050000000000001E-3</v>
      </c>
    </row>
    <row r="26" spans="2:18" x14ac:dyDescent="0.25">
      <c r="B26" s="20">
        <v>1200</v>
      </c>
      <c r="D26" s="79">
        <v>3.7536162660341398E-2</v>
      </c>
      <c r="F26" s="47">
        <f>ROUND((((600*O$11)+(($B26-600)*O$12)+$O$9)),2)</f>
        <v>121.43</v>
      </c>
      <c r="H26" s="47">
        <f>ROUND((((600*Q$11)+(($B26-600)*Q$12)+$Q$9)),2)</f>
        <v>132.35</v>
      </c>
      <c r="J26" s="47">
        <f>H26-F26</f>
        <v>10.919999999999987</v>
      </c>
      <c r="L26" s="19">
        <f>(H26-F26)/F26</f>
        <v>8.9928353784073017E-2</v>
      </c>
      <c r="N26" s="104" t="s">
        <v>31</v>
      </c>
      <c r="O26" s="92">
        <v>8.9541873144173675E-4</v>
      </c>
      <c r="P26" s="34" t="s">
        <v>17</v>
      </c>
      <c r="Q26" s="92">
        <f t="shared" si="0"/>
        <v>8.9541873144173675E-4</v>
      </c>
    </row>
    <row r="27" spans="2:18" x14ac:dyDescent="0.25">
      <c r="B27" s="20"/>
      <c r="D27" s="79"/>
      <c r="F27" s="23"/>
      <c r="H27" s="23"/>
      <c r="L27" s="24"/>
      <c r="N27" s="34" t="s">
        <v>53</v>
      </c>
      <c r="O27" s="92">
        <v>-7.2999999999999999E-5</v>
      </c>
      <c r="Q27" s="92">
        <f t="shared" si="0"/>
        <v>-7.2999999999999999E-5</v>
      </c>
    </row>
    <row r="28" spans="2:18" x14ac:dyDescent="0.25">
      <c r="B28" s="20">
        <v>1300</v>
      </c>
      <c r="D28" s="79">
        <v>3.1178080200657907E-2</v>
      </c>
      <c r="F28" s="47">
        <f>ROUND((((600*O$11)+(($B28-600)*O$12)+$O$9)),2)</f>
        <v>131.88</v>
      </c>
      <c r="H28" s="47">
        <f>ROUND((((600*Q$11)+(($B28-600)*Q$12)+$Q$9)),2)</f>
        <v>144.62</v>
      </c>
      <c r="J28" s="47">
        <f>H28-F28</f>
        <v>12.740000000000009</v>
      </c>
      <c r="L28" s="19">
        <f>(H28-F28)/F28</f>
        <v>9.6602972399150819E-2</v>
      </c>
      <c r="N28" s="104" t="s">
        <v>35</v>
      </c>
      <c r="O28" s="92">
        <v>3.228E-3</v>
      </c>
      <c r="Q28" s="92">
        <f t="shared" si="0"/>
        <v>3.228E-3</v>
      </c>
    </row>
    <row r="29" spans="2:18" x14ac:dyDescent="0.25">
      <c r="B29" s="20">
        <v>1400</v>
      </c>
      <c r="D29" s="79">
        <v>2.5973708518601729E-2</v>
      </c>
      <c r="F29" s="47">
        <f>ROUND((((600*O$11)+(($B29-600)*O$12)+$O$9)),2)</f>
        <v>142.32</v>
      </c>
      <c r="H29" s="47">
        <f>ROUND((((600*Q$11)+(($B29-600)*Q$12)+$Q$9)),2)</f>
        <v>156.9</v>
      </c>
      <c r="J29" s="47">
        <f>H29-F29</f>
        <v>14.580000000000013</v>
      </c>
      <c r="L29" s="19">
        <f>(H29-F29)/F29</f>
        <v>0.10244519392917378</v>
      </c>
      <c r="N29" s="104" t="s">
        <v>52</v>
      </c>
      <c r="O29" s="96">
        <v>0</v>
      </c>
      <c r="P29" s="96"/>
      <c r="Q29" s="96">
        <f t="shared" si="0"/>
        <v>0</v>
      </c>
    </row>
    <row r="30" spans="2:18" x14ac:dyDescent="0.25">
      <c r="B30" s="20">
        <v>1600</v>
      </c>
      <c r="C30" s="34" t="s">
        <v>17</v>
      </c>
      <c r="D30" s="79">
        <v>3.9766888902614754E-2</v>
      </c>
      <c r="F30" s="47">
        <f>ROUND((((600*O$11)+(($B30-600)*O$12)+$O$9)),2)</f>
        <v>163.21</v>
      </c>
      <c r="H30" s="47">
        <f>ROUND((((600*Q$11)+(($B30-600)*Q$12)+$Q$9)),2)</f>
        <v>181.45</v>
      </c>
      <c r="J30" s="47">
        <f>H30-F30</f>
        <v>18.239999999999981</v>
      </c>
      <c r="L30" s="19">
        <f>(H30-F30)/F30</f>
        <v>0.1117578579743887</v>
      </c>
      <c r="N30" s="104" t="s">
        <v>51</v>
      </c>
      <c r="O30" s="92">
        <v>1.4250000000000096E-3</v>
      </c>
      <c r="Q30" s="92">
        <v>0</v>
      </c>
    </row>
    <row r="31" spans="2:18" x14ac:dyDescent="0.25">
      <c r="B31" s="20">
        <v>2000</v>
      </c>
      <c r="D31" s="79">
        <v>4.8592345709331984E-2</v>
      </c>
      <c r="F31" s="47">
        <f>ROUND((((600*O$11)+(($B31-600)*O$12)+$O$9)),2)</f>
        <v>204.98</v>
      </c>
      <c r="H31" s="47">
        <f>ROUND((((600*Q$11)+(($B31-600)*Q$12)+$Q$9)),2)</f>
        <v>230.56</v>
      </c>
      <c r="J31" s="47">
        <f>H31-F31</f>
        <v>25.580000000000013</v>
      </c>
      <c r="L31" s="19">
        <f>(H31-F31)/F31</f>
        <v>0.12479266269879995</v>
      </c>
      <c r="N31" s="104" t="s">
        <v>50</v>
      </c>
      <c r="O31" s="92">
        <v>1.7339999999999994E-3</v>
      </c>
      <c r="Q31" s="92">
        <v>0</v>
      </c>
    </row>
    <row r="32" spans="2:18" x14ac:dyDescent="0.25">
      <c r="B32" s="20">
        <v>2500</v>
      </c>
      <c r="D32" s="79">
        <v>2.9858428654943849E-2</v>
      </c>
      <c r="F32" s="47">
        <f>ROUND((((600*O$11)+(($B32-600)*O$12)+$O$9)),2)</f>
        <v>257.19</v>
      </c>
      <c r="H32" s="47">
        <f>ROUND((((600*Q$11)+(($B32-600)*Q$12)+$Q$9)),2)</f>
        <v>291.95</v>
      </c>
      <c r="J32" s="47">
        <f>H32-F32</f>
        <v>34.759999999999991</v>
      </c>
      <c r="L32" s="19">
        <f>(H32-F32)/F32</f>
        <v>0.13515299972782766</v>
      </c>
      <c r="N32" s="104" t="s">
        <v>187</v>
      </c>
      <c r="O32" s="96">
        <v>0</v>
      </c>
      <c r="P32" s="96"/>
      <c r="Q32" s="96">
        <f t="shared" si="0"/>
        <v>0</v>
      </c>
    </row>
    <row r="33" spans="2:17" x14ac:dyDescent="0.25">
      <c r="D33" s="79"/>
      <c r="F33" s="23"/>
      <c r="H33" s="23"/>
      <c r="N33" s="104" t="s">
        <v>185</v>
      </c>
      <c r="O33" s="92">
        <v>-1.4250000000000096E-3</v>
      </c>
      <c r="Q33" s="92">
        <v>0</v>
      </c>
    </row>
    <row r="34" spans="2:17" x14ac:dyDescent="0.25">
      <c r="B34" s="20">
        <v>3000</v>
      </c>
      <c r="D34" s="79">
        <v>1.3961746018426398E-2</v>
      </c>
      <c r="F34" s="47">
        <f>ROUND((((600*O$11)+(($B34-600)*O$12)+$O$9)),2)</f>
        <v>309.41000000000003</v>
      </c>
      <c r="H34" s="47">
        <f>ROUND((((600*Q$11)+(($B34-600)*Q$12)+$Q$9)),2)</f>
        <v>353.33</v>
      </c>
      <c r="J34" s="47">
        <f>H34-F34</f>
        <v>43.919999999999959</v>
      </c>
      <c r="L34" s="19">
        <f>(H34-F34)/F34</f>
        <v>0.14194757764778113</v>
      </c>
      <c r="N34" s="104" t="s">
        <v>186</v>
      </c>
      <c r="O34" s="92">
        <v>-1.7339999999999994E-3</v>
      </c>
      <c r="Q34" s="92">
        <v>0</v>
      </c>
    </row>
    <row r="35" spans="2:17" x14ac:dyDescent="0.25">
      <c r="B35" s="20">
        <v>4000</v>
      </c>
      <c r="D35" s="79">
        <v>1.0088755753481414E-2</v>
      </c>
      <c r="F35" s="47">
        <f>ROUND((((600*O$11)+(($B35-600)*O$12)+$O$9)),2)</f>
        <v>413.84</v>
      </c>
      <c r="H35" s="47">
        <f>ROUND((((600*Q$11)+(($B35-600)*Q$12)+$Q$9)),2)</f>
        <v>476.1</v>
      </c>
      <c r="J35" s="47">
        <f>H35-F35</f>
        <v>62.260000000000048</v>
      </c>
      <c r="L35" s="19">
        <f>(H35-F35)/F35</f>
        <v>0.1504446162768221</v>
      </c>
      <c r="N35" s="104" t="s">
        <v>188</v>
      </c>
      <c r="O35" s="92">
        <v>-1.271E-3</v>
      </c>
      <c r="Q35" s="92">
        <f t="shared" si="0"/>
        <v>-1.271E-3</v>
      </c>
    </row>
    <row r="36" spans="2:17" x14ac:dyDescent="0.25">
      <c r="B36" s="20">
        <v>5000</v>
      </c>
      <c r="D36" s="79">
        <v>2.7152601607550167E-3</v>
      </c>
      <c r="F36" s="47">
        <f>ROUND((((600*O$11)+(($B36-600)*O$12)+$O$9)),2)</f>
        <v>518.28</v>
      </c>
      <c r="H36" s="47">
        <f>ROUND((((600*Q$11)+(($B36-600)*Q$12)+$Q$9)),2)</f>
        <v>598.87</v>
      </c>
      <c r="J36" s="47">
        <f>H36-F36</f>
        <v>80.590000000000032</v>
      </c>
      <c r="L36" s="19">
        <f>(H36-F36)/F36</f>
        <v>0.15549509917419163</v>
      </c>
      <c r="N36" s="104" t="s">
        <v>37</v>
      </c>
      <c r="O36" s="92">
        <v>6.2100000000000002E-4</v>
      </c>
      <c r="Q36" s="92">
        <f>+O36</f>
        <v>6.2100000000000002E-4</v>
      </c>
    </row>
    <row r="37" spans="2:17" x14ac:dyDescent="0.25">
      <c r="B37" s="20" t="s">
        <v>48</v>
      </c>
      <c r="D37" s="79">
        <v>2.1572299851276714E-3</v>
      </c>
      <c r="F37" s="47"/>
      <c r="H37" s="47"/>
      <c r="J37" s="47"/>
      <c r="L37" s="19"/>
      <c r="N37" s="104" t="s">
        <v>49</v>
      </c>
      <c r="O37" s="92">
        <v>-7.4058380000000005E-3</v>
      </c>
      <c r="Q37" s="92">
        <f>+O37</f>
        <v>-7.4058380000000005E-3</v>
      </c>
    </row>
    <row r="38" spans="2:17" x14ac:dyDescent="0.25">
      <c r="B38" s="18"/>
      <c r="C38" s="16"/>
      <c r="D38" s="17"/>
      <c r="E38" s="16"/>
      <c r="F38" s="17"/>
      <c r="G38" s="16"/>
      <c r="H38" s="17"/>
      <c r="I38" s="16"/>
      <c r="J38" s="16"/>
      <c r="K38" s="16"/>
      <c r="L38" s="15"/>
    </row>
    <row r="39" spans="2:17" x14ac:dyDescent="0.25">
      <c r="B39" s="14"/>
    </row>
    <row r="40" spans="2:17" x14ac:dyDescent="0.25">
      <c r="B40" s="119" t="s">
        <v>47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N40" s="80" t="s">
        <v>146</v>
      </c>
      <c r="O40" s="21">
        <v>7.565952743710036E-2</v>
      </c>
    </row>
    <row r="41" spans="2:17" x14ac:dyDescent="0.25">
      <c r="B41" s="120" t="s">
        <v>46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2:17" ht="16.5" x14ac:dyDescent="0.25">
      <c r="B42" s="118" t="s">
        <v>229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2:17" x14ac:dyDescent="0.25">
      <c r="B43" s="118" t="s">
        <v>212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2:17" x14ac:dyDescent="0.25">
      <c r="B44" s="118" t="s">
        <v>189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</row>
  </sheetData>
  <mergeCells count="11">
    <mergeCell ref="B43:L43"/>
    <mergeCell ref="B44:L44"/>
    <mergeCell ref="B42:L42"/>
    <mergeCell ref="J7:L7"/>
    <mergeCell ref="B40:L40"/>
    <mergeCell ref="B41:L41"/>
    <mergeCell ref="B1:L1"/>
    <mergeCell ref="B2:L2"/>
    <mergeCell ref="B3:L3"/>
    <mergeCell ref="B4:L4"/>
    <mergeCell ref="F6:L6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zoomScale="70" zoomScaleNormal="7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34" customWidth="1"/>
    <col min="2" max="2" width="36.85546875" style="34" bestFit="1" customWidth="1"/>
    <col min="3" max="3" width="3.7109375" style="34" customWidth="1"/>
    <col min="4" max="4" width="8.85546875" style="34" bestFit="1" customWidth="1"/>
    <col min="5" max="5" width="1.7109375" style="34" customWidth="1"/>
    <col min="6" max="6" width="8.85546875" style="34" bestFit="1" customWidth="1"/>
    <col min="7" max="7" width="1.7109375" style="34" customWidth="1"/>
    <col min="8" max="8" width="8.85546875" style="34" bestFit="1" customWidth="1"/>
    <col min="9" max="9" width="1.7109375" style="34" customWidth="1"/>
    <col min="10" max="10" width="8.85546875" style="34" bestFit="1" customWidth="1"/>
    <col min="11" max="11" width="1.7109375" style="34" customWidth="1"/>
    <col min="12" max="12" width="8.7109375" style="34" bestFit="1" customWidth="1"/>
    <col min="13" max="13" width="2.28515625" style="34" hidden="1" customWidth="1"/>
    <col min="14" max="14" width="8.7109375" style="34" bestFit="1" customWidth="1"/>
    <col min="15" max="15" width="1.7109375" style="34" customWidth="1"/>
    <col min="16" max="16" width="8.7109375" style="34" bestFit="1" customWidth="1"/>
    <col min="17" max="17" width="1.7109375" style="34" hidden="1" customWidth="1"/>
    <col min="18" max="18" width="8.7109375" style="34" bestFit="1" customWidth="1"/>
    <col min="19" max="19" width="3.42578125" style="34" customWidth="1"/>
    <col min="20" max="20" width="46.85546875" style="34" bestFit="1" customWidth="1"/>
    <col min="21" max="21" width="14" style="34" bestFit="1" customWidth="1"/>
    <col min="22" max="22" width="14.42578125" style="34" bestFit="1" customWidth="1"/>
    <col min="23" max="23" width="14.28515625" style="34" bestFit="1" customWidth="1"/>
    <col min="24" max="24" width="14" style="34" bestFit="1" customWidth="1"/>
    <col min="25" max="25" width="14.42578125" style="34" bestFit="1" customWidth="1"/>
    <col min="26" max="26" width="2.85546875" style="91" customWidth="1"/>
    <col min="27" max="28" width="6.28515625" style="34" bestFit="1" customWidth="1"/>
    <col min="29" max="16384" width="9.42578125" style="34"/>
  </cols>
  <sheetData>
    <row r="1" spans="1:28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28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8" ht="20.25" x14ac:dyDescent="0.3">
      <c r="B3" s="60" t="s">
        <v>89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8" ht="20.25" x14ac:dyDescent="0.3">
      <c r="B4" s="60" t="s">
        <v>88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8" x14ac:dyDescent="0.25">
      <c r="A5" s="36"/>
    </row>
    <row r="6" spans="1:28" ht="17.25" x14ac:dyDescent="0.25">
      <c r="A6" s="36"/>
      <c r="B6" s="40"/>
      <c r="C6" s="40"/>
      <c r="D6" s="58" t="s">
        <v>87</v>
      </c>
      <c r="E6" s="58"/>
      <c r="F6" s="58"/>
      <c r="G6" s="58"/>
      <c r="H6" s="58"/>
      <c r="I6" s="58"/>
      <c r="J6" s="58"/>
      <c r="K6" s="40"/>
      <c r="L6" s="57" t="s">
        <v>86</v>
      </c>
      <c r="M6" s="57"/>
      <c r="N6" s="57"/>
      <c r="O6" s="37"/>
      <c r="P6" s="57" t="s">
        <v>85</v>
      </c>
      <c r="Q6" s="57"/>
      <c r="R6" s="57"/>
    </row>
    <row r="7" spans="1:28" ht="17.25" thickBot="1" x14ac:dyDescent="0.3">
      <c r="A7" s="36"/>
      <c r="B7" s="40"/>
      <c r="C7" s="40"/>
      <c r="D7" s="55" t="s">
        <v>153</v>
      </c>
      <c r="E7" s="55"/>
      <c r="F7" s="55"/>
      <c r="G7" s="56"/>
      <c r="H7" s="55" t="s">
        <v>154</v>
      </c>
      <c r="I7" s="55"/>
      <c r="J7" s="55"/>
      <c r="K7" s="40"/>
      <c r="L7" s="55" t="s">
        <v>20</v>
      </c>
      <c r="M7" s="55"/>
      <c r="N7" s="55"/>
      <c r="O7" s="37"/>
      <c r="P7" s="55" t="s">
        <v>20</v>
      </c>
      <c r="Q7" s="55"/>
      <c r="R7" s="55"/>
    </row>
    <row r="8" spans="1:28" ht="15.75" x14ac:dyDescent="0.25">
      <c r="A8" s="36"/>
      <c r="B8" s="54" t="s">
        <v>65</v>
      </c>
      <c r="C8" s="40"/>
      <c r="D8" s="106" t="s">
        <v>84</v>
      </c>
      <c r="E8" s="53"/>
      <c r="F8" s="107" t="s">
        <v>83</v>
      </c>
      <c r="G8" s="40"/>
      <c r="H8" s="106" t="s">
        <v>84</v>
      </c>
      <c r="I8" s="53"/>
      <c r="J8" s="107" t="s">
        <v>83</v>
      </c>
      <c r="K8" s="40"/>
      <c r="L8" s="106" t="s">
        <v>84</v>
      </c>
      <c r="M8" s="53"/>
      <c r="N8" s="107" t="s">
        <v>83</v>
      </c>
      <c r="O8" s="37"/>
      <c r="P8" s="106" t="s">
        <v>84</v>
      </c>
      <c r="Q8" s="53"/>
      <c r="R8" s="107" t="s">
        <v>83</v>
      </c>
      <c r="T8" s="121" t="s">
        <v>82</v>
      </c>
      <c r="U8" s="122"/>
      <c r="V8" s="123"/>
      <c r="W8" s="124" t="s">
        <v>81</v>
      </c>
      <c r="X8" s="122"/>
      <c r="Y8" s="123"/>
    </row>
    <row r="9" spans="1:28" ht="15.75" x14ac:dyDescent="0.25">
      <c r="A9" s="36"/>
      <c r="B9" s="40"/>
      <c r="C9" s="40"/>
      <c r="D9" s="52"/>
      <c r="E9" s="52"/>
      <c r="F9" s="52"/>
      <c r="G9" s="52"/>
      <c r="H9" s="52"/>
      <c r="I9" s="52"/>
      <c r="J9" s="52"/>
      <c r="K9" s="37"/>
      <c r="L9" s="37"/>
      <c r="M9" s="37"/>
      <c r="N9" s="37"/>
      <c r="O9" s="37"/>
      <c r="P9" s="37"/>
      <c r="Q9" s="37"/>
      <c r="R9" s="37"/>
      <c r="T9" s="48"/>
      <c r="U9" s="51" t="s">
        <v>80</v>
      </c>
      <c r="V9" s="50" t="s">
        <v>79</v>
      </c>
      <c r="W9" s="48"/>
      <c r="X9" s="51" t="s">
        <v>80</v>
      </c>
      <c r="Y9" s="50" t="s">
        <v>79</v>
      </c>
    </row>
    <row r="10" spans="1:28" ht="15.75" x14ac:dyDescent="0.25">
      <c r="A10" s="36"/>
      <c r="B10" s="43">
        <v>500</v>
      </c>
      <c r="C10" s="38"/>
      <c r="D10" s="41">
        <f>ROUND($U$10+$B10*$U$14,2)</f>
        <v>57.89</v>
      </c>
      <c r="E10" s="41"/>
      <c r="F10" s="41">
        <f>ROUND($V$10+$B10*$V$14,2)</f>
        <v>72.989999999999995</v>
      </c>
      <c r="G10" s="41"/>
      <c r="H10" s="41">
        <f>ROUND($X$10+$B10*$X$14,2)</f>
        <v>61.94</v>
      </c>
      <c r="I10" s="41"/>
      <c r="J10" s="41">
        <f>ROUND($Y$10+$B10*$Y$14,2)</f>
        <v>78.180000000000007</v>
      </c>
      <c r="K10" s="40"/>
      <c r="L10" s="41">
        <f>H10-D10</f>
        <v>4.0499999999999972</v>
      </c>
      <c r="M10" s="41"/>
      <c r="N10" s="41">
        <f>J10-F10</f>
        <v>5.1900000000000119</v>
      </c>
      <c r="O10" s="37"/>
      <c r="P10" s="39">
        <f>ROUND(H10/D10-1,4)</f>
        <v>7.0000000000000007E-2</v>
      </c>
      <c r="Q10" s="40"/>
      <c r="R10" s="39">
        <f>ROUND(J10/F10-1,4)</f>
        <v>7.1099999999999997E-2</v>
      </c>
      <c r="T10" s="48" t="s">
        <v>78</v>
      </c>
      <c r="U10" s="143">
        <f>SUM(U17,V28,V32)</f>
        <v>9.8000000000000007</v>
      </c>
      <c r="V10" s="144">
        <f>SUM(V17,V29,V33)</f>
        <v>24.9</v>
      </c>
      <c r="W10" s="48" t="str">
        <f>+T10</f>
        <v>Basic Charge</v>
      </c>
      <c r="X10" s="143">
        <f>SUM(X17,Y28,Y32)</f>
        <v>10.54</v>
      </c>
      <c r="Y10" s="144">
        <f>SUM(Y17,Y29,Y33)</f>
        <v>26.78</v>
      </c>
      <c r="Z10" s="47"/>
      <c r="AA10" s="25">
        <f>(X10-U10)/U10</f>
        <v>7.551020408163249E-2</v>
      </c>
      <c r="AB10" s="25">
        <f>(Y10-V10)/V10</f>
        <v>7.5502008032128615E-2</v>
      </c>
    </row>
    <row r="11" spans="1:28" ht="15.75" x14ac:dyDescent="0.25">
      <c r="A11" s="36"/>
      <c r="B11" s="43">
        <f>+B10+500</f>
        <v>1000</v>
      </c>
      <c r="C11" s="38"/>
      <c r="D11" s="41">
        <f>ROUND($U$10+$B11*$U$14,2)</f>
        <v>105.98</v>
      </c>
      <c r="E11" s="41"/>
      <c r="F11" s="41">
        <f>ROUND($V$10+$B11*$V$14,2)</f>
        <v>121.08</v>
      </c>
      <c r="G11" s="41"/>
      <c r="H11" s="41">
        <f>ROUND($X$10+$B11*$X$14,2)</f>
        <v>113.35</v>
      </c>
      <c r="I11" s="41"/>
      <c r="J11" s="41">
        <f>ROUND($Y$10+$B11*$Y$14,2)</f>
        <v>129.59</v>
      </c>
      <c r="K11" s="40"/>
      <c r="L11" s="41">
        <f>H11-D11</f>
        <v>7.3699999999999903</v>
      </c>
      <c r="M11" s="41"/>
      <c r="N11" s="41">
        <f>J11-F11</f>
        <v>8.5100000000000051</v>
      </c>
      <c r="O11" s="37"/>
      <c r="P11" s="39">
        <f>ROUND(H11/D11-1,4)</f>
        <v>6.9500000000000006E-2</v>
      </c>
      <c r="Q11" s="40"/>
      <c r="R11" s="39">
        <f>ROUND(J11/F11-1,4)</f>
        <v>7.0300000000000001E-2</v>
      </c>
      <c r="T11" s="48"/>
      <c r="U11" s="153"/>
      <c r="V11" s="150"/>
      <c r="W11" s="48"/>
      <c r="X11" s="153"/>
      <c r="Y11" s="150"/>
    </row>
    <row r="12" spans="1:28" ht="15.75" x14ac:dyDescent="0.25">
      <c r="A12" s="36"/>
      <c r="B12" s="43">
        <f>+B11+500</f>
        <v>1500</v>
      </c>
      <c r="C12" s="38"/>
      <c r="D12" s="41">
        <f>ROUND($U$10+$B12*$U$14,2)</f>
        <v>154.07</v>
      </c>
      <c r="E12" s="41"/>
      <c r="F12" s="41">
        <f>ROUND($V$10+$B12*$V$14,2)</f>
        <v>169.17</v>
      </c>
      <c r="G12" s="41"/>
      <c r="H12" s="41">
        <f>ROUND($X$10+$B12*$X$14,2)</f>
        <v>164.75</v>
      </c>
      <c r="I12" s="41"/>
      <c r="J12" s="41">
        <f>ROUND($Y$10+$B12*$Y$14,2)</f>
        <v>180.99</v>
      </c>
      <c r="K12" s="40"/>
      <c r="L12" s="41">
        <f>H12-D12</f>
        <v>10.680000000000007</v>
      </c>
      <c r="M12" s="41"/>
      <c r="N12" s="41">
        <f>J12-F12</f>
        <v>11.820000000000022</v>
      </c>
      <c r="O12" s="37"/>
      <c r="P12" s="39">
        <f>ROUND(H12/D12-1,4)</f>
        <v>6.93E-2</v>
      </c>
      <c r="Q12" s="40"/>
      <c r="R12" s="39">
        <f>ROUND(J12/F12-1,4)</f>
        <v>6.9900000000000004E-2</v>
      </c>
      <c r="T12" s="49" t="s">
        <v>77</v>
      </c>
      <c r="U12" s="145">
        <f>SUM(U18,V22:V27,V30,V34,V36:V37)</f>
        <v>9.7641523054372695E-2</v>
      </c>
      <c r="V12" s="146">
        <f>U12</f>
        <v>9.7641523054372695E-2</v>
      </c>
      <c r="W12" s="48" t="str">
        <f>+T12</f>
        <v xml:space="preserve">Winter kWh </v>
      </c>
      <c r="X12" s="145">
        <f>SUM(X18,Y22:Y27,Y30,Y34,Y36:Y37)</f>
        <v>0.10441470150255354</v>
      </c>
      <c r="Y12" s="146">
        <f>X12</f>
        <v>0.10441470150255354</v>
      </c>
      <c r="AA12" s="25">
        <f t="shared" ref="AA12:AB14" si="0">(X12-U12)/U12</f>
        <v>6.9367808247000923E-2</v>
      </c>
      <c r="AB12" s="25">
        <f t="shared" si="0"/>
        <v>6.9367808247000923E-2</v>
      </c>
    </row>
    <row r="13" spans="1:28" ht="15.75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T13" s="48" t="s">
        <v>76</v>
      </c>
      <c r="U13" s="145">
        <f>SUM(U19,V22:V27,V31,V35:V37)</f>
        <v>9.4504523054372708E-2</v>
      </c>
      <c r="V13" s="146">
        <f>U13</f>
        <v>9.4504523054372708E-2</v>
      </c>
      <c r="W13" s="48" t="str">
        <f>+T13</f>
        <v>Summer kWh</v>
      </c>
      <c r="X13" s="145">
        <f>SUM(X19,Y22:Y27,Y31,Y35:Y37)</f>
        <v>0.10100370150255354</v>
      </c>
      <c r="Y13" s="146">
        <f>X13</f>
        <v>0.10100370150255354</v>
      </c>
      <c r="AA13" s="25">
        <f t="shared" si="0"/>
        <v>6.877108352201898E-2</v>
      </c>
      <c r="AB13" s="25">
        <f t="shared" si="0"/>
        <v>6.877108352201898E-2</v>
      </c>
    </row>
    <row r="14" spans="1:28" ht="15.75" x14ac:dyDescent="0.25">
      <c r="A14" s="36"/>
      <c r="B14" s="43">
        <v>2500</v>
      </c>
      <c r="C14" s="38"/>
      <c r="D14" s="41">
        <f>ROUND($U$10+$B14*$U$14,2)</f>
        <v>250.25</v>
      </c>
      <c r="E14" s="41"/>
      <c r="F14" s="41">
        <f>ROUND($V$10+$B14*$V$14,2)</f>
        <v>265.35000000000002</v>
      </c>
      <c r="G14" s="41"/>
      <c r="H14" s="41">
        <f>ROUND($X$10+$B14*$X$14,2)</f>
        <v>267.56</v>
      </c>
      <c r="I14" s="41"/>
      <c r="J14" s="41">
        <f>ROUND($Y$10+$B14*$Y$14,2)</f>
        <v>283.8</v>
      </c>
      <c r="K14" s="40"/>
      <c r="L14" s="41">
        <f>H14-D14</f>
        <v>17.310000000000002</v>
      </c>
      <c r="M14" s="41"/>
      <c r="N14" s="41">
        <f>J14-F14</f>
        <v>18.449999999999989</v>
      </c>
      <c r="O14" s="37"/>
      <c r="P14" s="39">
        <f>ROUND(H14/D14-1,4)</f>
        <v>6.9199999999999998E-2</v>
      </c>
      <c r="Q14" s="40"/>
      <c r="R14" s="39">
        <f>ROUND(J14/F14-1,4)</f>
        <v>6.9500000000000006E-2</v>
      </c>
      <c r="T14" s="48" t="s">
        <v>75</v>
      </c>
      <c r="U14" s="145">
        <f>ROUND(SUM(U20,V22:V27,V36:V37)+AVERAGE(V30:V31)+AVERAGE(V34:V35),6)</f>
        <v>9.6179000000000001E-2</v>
      </c>
      <c r="V14" s="146">
        <f>U14</f>
        <v>9.6179000000000001E-2</v>
      </c>
      <c r="W14" s="48" t="str">
        <f>+T14</f>
        <v>Average kWh</v>
      </c>
      <c r="X14" s="145">
        <f>ROUND(SUM(X20,Y22:Y27,Y36:Y37)+AVERAGE(Y30:Y31)+AVERAGE(Y34:Y35),6)</f>
        <v>0.10280599999999999</v>
      </c>
      <c r="Y14" s="146">
        <f>X14</f>
        <v>0.10280599999999999</v>
      </c>
      <c r="AA14" s="25">
        <f t="shared" si="0"/>
        <v>6.8902775034051025E-2</v>
      </c>
      <c r="AB14" s="25">
        <f t="shared" si="0"/>
        <v>6.8902775034051025E-2</v>
      </c>
    </row>
    <row r="15" spans="1:28" ht="16.5" thickBot="1" x14ac:dyDescent="0.3">
      <c r="A15" s="36"/>
      <c r="B15" s="43">
        <f>+B14+500</f>
        <v>3000</v>
      </c>
      <c r="C15" s="38"/>
      <c r="D15" s="41">
        <f>ROUND($U$10+$B15*$U$14,2)</f>
        <v>298.33999999999997</v>
      </c>
      <c r="E15" s="41"/>
      <c r="F15" s="41">
        <f>ROUND($V$10+$B15*$V$14,2)</f>
        <v>313.44</v>
      </c>
      <c r="G15" s="41"/>
      <c r="H15" s="41">
        <f>ROUND($X$10+$B15*$X$14,2)</f>
        <v>318.95999999999998</v>
      </c>
      <c r="I15" s="41"/>
      <c r="J15" s="41">
        <f>ROUND($Y$10+$B15*$Y$14,2)</f>
        <v>335.2</v>
      </c>
      <c r="K15" s="40"/>
      <c r="L15" s="41">
        <f>H15-D15</f>
        <v>20.620000000000005</v>
      </c>
      <c r="M15" s="41"/>
      <c r="N15" s="41">
        <f>J15-F15</f>
        <v>21.759999999999991</v>
      </c>
      <c r="O15" s="37"/>
      <c r="P15" s="39">
        <f>ROUND(H15/D15-1,4)</f>
        <v>6.9099999999999995E-2</v>
      </c>
      <c r="Q15" s="40"/>
      <c r="R15" s="39">
        <f>ROUND(J15/F15-1,4)</f>
        <v>6.9400000000000003E-2</v>
      </c>
      <c r="T15" s="81" t="s">
        <v>17</v>
      </c>
      <c r="U15" s="148" t="s">
        <v>17</v>
      </c>
      <c r="V15" s="152" t="s">
        <v>17</v>
      </c>
      <c r="W15" s="81" t="s">
        <v>17</v>
      </c>
      <c r="X15" s="148" t="s">
        <v>17</v>
      </c>
      <c r="Y15" s="152" t="s">
        <v>17</v>
      </c>
    </row>
    <row r="16" spans="1:28" ht="15.75" x14ac:dyDescent="0.25">
      <c r="A16" s="36"/>
      <c r="B16" s="43">
        <f>+B15+500</f>
        <v>3500</v>
      </c>
      <c r="C16" s="38"/>
      <c r="D16" s="41">
        <f>ROUND($U$10+$B16*$U$14,2)</f>
        <v>346.43</v>
      </c>
      <c r="E16" s="41"/>
      <c r="F16" s="41">
        <f>ROUND($V$10+$B16*$V$14,2)</f>
        <v>361.53</v>
      </c>
      <c r="G16" s="41"/>
      <c r="H16" s="41">
        <f>ROUND($X$10+$B16*$X$14,2)</f>
        <v>370.36</v>
      </c>
      <c r="I16" s="41"/>
      <c r="J16" s="41">
        <f>ROUND($Y$10+$B16*$Y$14,2)</f>
        <v>386.6</v>
      </c>
      <c r="K16" s="40"/>
      <c r="L16" s="41">
        <f>H16-D16</f>
        <v>23.930000000000007</v>
      </c>
      <c r="M16" s="41"/>
      <c r="N16" s="41">
        <f>J16-F16</f>
        <v>25.07000000000005</v>
      </c>
      <c r="O16" s="37"/>
      <c r="P16" s="39">
        <f>ROUND(H16/D16-1,4)</f>
        <v>6.9099999999999995E-2</v>
      </c>
      <c r="Q16" s="40"/>
      <c r="R16" s="39">
        <f>ROUND(J16/F16-1,4)</f>
        <v>6.93E-2</v>
      </c>
      <c r="AA16" s="47"/>
    </row>
    <row r="17" spans="1:27" ht="15.75" x14ac:dyDescent="0.25">
      <c r="A17" s="36"/>
      <c r="B17" s="37"/>
      <c r="C17" s="38"/>
      <c r="D17" s="46"/>
      <c r="E17" s="46"/>
      <c r="F17" s="46"/>
      <c r="G17" s="46"/>
      <c r="H17" s="46"/>
      <c r="I17" s="46"/>
      <c r="J17" s="46"/>
      <c r="K17" s="37"/>
      <c r="L17" s="41"/>
      <c r="M17" s="41"/>
      <c r="N17" s="41"/>
      <c r="O17" s="37"/>
      <c r="P17" s="39"/>
      <c r="Q17" s="37"/>
      <c r="R17" s="37"/>
      <c r="T17" s="34" t="str">
        <f>+T10</f>
        <v>Basic Charge</v>
      </c>
      <c r="U17" s="92">
        <v>9.8000000000000007</v>
      </c>
      <c r="V17" s="92">
        <v>24.9</v>
      </c>
      <c r="X17" s="92">
        <v>10.54</v>
      </c>
      <c r="Y17" s="92">
        <v>26.78</v>
      </c>
      <c r="AA17" s="27"/>
    </row>
    <row r="18" spans="1:27" ht="15.75" x14ac:dyDescent="0.25">
      <c r="A18" s="36"/>
      <c r="B18" s="43">
        <f>+B16+500</f>
        <v>4000</v>
      </c>
      <c r="C18" s="38"/>
      <c r="D18" s="41">
        <f>ROUND($U$10+$B18*$U$14,2)</f>
        <v>394.52</v>
      </c>
      <c r="E18" s="41"/>
      <c r="F18" s="41">
        <f>ROUND($V$10+$B18*$V$14,2)</f>
        <v>409.62</v>
      </c>
      <c r="G18" s="41"/>
      <c r="H18" s="41">
        <f>ROUND($X$10+$B18*$X$14,2)</f>
        <v>421.76</v>
      </c>
      <c r="I18" s="41"/>
      <c r="J18" s="41">
        <f>ROUND($Y$10+$B18*$Y$14,2)</f>
        <v>438</v>
      </c>
      <c r="K18" s="40"/>
      <c r="L18" s="41">
        <f>H18-D18</f>
        <v>27.240000000000009</v>
      </c>
      <c r="M18" s="41"/>
      <c r="N18" s="41">
        <f>J18-F18</f>
        <v>28.379999999999995</v>
      </c>
      <c r="O18" s="37"/>
      <c r="P18" s="39">
        <f>ROUND(H18/D18-1,4)</f>
        <v>6.9000000000000006E-2</v>
      </c>
      <c r="Q18" s="40"/>
      <c r="R18" s="39">
        <f>ROUND(J18/F18-1,4)</f>
        <v>6.93E-2</v>
      </c>
      <c r="T18" s="34" t="str">
        <f>+T12</f>
        <v xml:space="preserve">Winter kWh </v>
      </c>
      <c r="U18" s="92">
        <v>9.071499999999999E-2</v>
      </c>
      <c r="V18" s="92">
        <f>+U18</f>
        <v>9.071499999999999E-2</v>
      </c>
      <c r="X18" s="92">
        <v>9.7614999999999993E-2</v>
      </c>
      <c r="Y18" s="92">
        <f>+X18</f>
        <v>9.7614999999999993E-2</v>
      </c>
      <c r="AA18" s="27"/>
    </row>
    <row r="19" spans="1:27" ht="15.75" x14ac:dyDescent="0.25">
      <c r="B19" s="43">
        <f>+B18+500</f>
        <v>4500</v>
      </c>
      <c r="C19" s="38"/>
      <c r="D19" s="41">
        <f>ROUND($U$10+$B19*$U$14,2)</f>
        <v>442.61</v>
      </c>
      <c r="E19" s="41"/>
      <c r="F19" s="41">
        <f>ROUND($V$10+$B19*$V$14,2)</f>
        <v>457.71</v>
      </c>
      <c r="G19" s="41"/>
      <c r="H19" s="41">
        <f>ROUND($X$10+$B19*$X$14,2)</f>
        <v>473.17</v>
      </c>
      <c r="I19" s="41"/>
      <c r="J19" s="41">
        <f>ROUND($Y$10+$B19*$Y$14,2)</f>
        <v>489.41</v>
      </c>
      <c r="K19" s="40"/>
      <c r="L19" s="41">
        <f>H19-D19</f>
        <v>30.560000000000002</v>
      </c>
      <c r="M19" s="41"/>
      <c r="N19" s="41">
        <f>J19-F19</f>
        <v>31.700000000000045</v>
      </c>
      <c r="O19" s="37"/>
      <c r="P19" s="39">
        <f>ROUND(H19/D19-1,4)</f>
        <v>6.9000000000000006E-2</v>
      </c>
      <c r="Q19" s="40"/>
      <c r="R19" s="39">
        <f>ROUND(J19/F19-1,4)</f>
        <v>6.93E-2</v>
      </c>
      <c r="T19" s="34" t="str">
        <f>+T13</f>
        <v>Summer kWh</v>
      </c>
      <c r="U19" s="92">
        <v>8.7578000000000003E-2</v>
      </c>
      <c r="V19" s="92">
        <f>+U19</f>
        <v>8.7578000000000003E-2</v>
      </c>
      <c r="X19" s="92">
        <v>9.4203999999999996E-2</v>
      </c>
      <c r="Y19" s="92">
        <f>+X19</f>
        <v>9.4203999999999996E-2</v>
      </c>
      <c r="Z19" s="47"/>
      <c r="AA19" s="47"/>
    </row>
    <row r="20" spans="1:27" ht="15.75" x14ac:dyDescent="0.25">
      <c r="A20" s="36"/>
      <c r="B20" s="43">
        <f>+B19+500</f>
        <v>5000</v>
      </c>
      <c r="C20" s="38"/>
      <c r="D20" s="41">
        <f>ROUND($U$10+$B20*$U$14,2)</f>
        <v>490.7</v>
      </c>
      <c r="E20" s="41"/>
      <c r="F20" s="41">
        <f>ROUND($V$10+$B20*$V$14,2)</f>
        <v>505.8</v>
      </c>
      <c r="G20" s="41"/>
      <c r="H20" s="41">
        <f>ROUND($X$10+$B20*$X$14,2)</f>
        <v>524.57000000000005</v>
      </c>
      <c r="I20" s="41"/>
      <c r="J20" s="41">
        <f>ROUND($Y$10+$B20*$Y$14,2)</f>
        <v>540.80999999999995</v>
      </c>
      <c r="K20" s="40"/>
      <c r="L20" s="41">
        <f>H20-D20</f>
        <v>33.870000000000061</v>
      </c>
      <c r="M20" s="41"/>
      <c r="N20" s="41">
        <f>J20-F20</f>
        <v>35.009999999999934</v>
      </c>
      <c r="O20" s="37"/>
      <c r="P20" s="39">
        <f>ROUND(H20/D20-1,4)</f>
        <v>6.9000000000000006E-2</v>
      </c>
      <c r="Q20" s="40"/>
      <c r="R20" s="39">
        <f>ROUND(J20/F20-1,4)</f>
        <v>6.9199999999999998E-2</v>
      </c>
      <c r="T20" s="34" t="str">
        <f>+T14</f>
        <v>Average kWh</v>
      </c>
      <c r="U20" s="92">
        <v>8.9251999999999998E-2</v>
      </c>
      <c r="V20" s="92">
        <f>+U20</f>
        <v>8.9251999999999998E-2</v>
      </c>
      <c r="X20" s="92">
        <v>9.6005999999999994E-2</v>
      </c>
      <c r="Y20" s="92">
        <f>+X20</f>
        <v>9.6005999999999994E-2</v>
      </c>
    </row>
    <row r="21" spans="1:27" ht="15.75" x14ac:dyDescent="0.25">
      <c r="A21" s="36"/>
      <c r="B21" s="37"/>
      <c r="C21" s="38"/>
      <c r="D21" s="46"/>
      <c r="E21" s="46"/>
      <c r="F21" s="46"/>
      <c r="G21" s="46"/>
      <c r="H21" s="46"/>
      <c r="I21" s="46"/>
      <c r="J21" s="46"/>
      <c r="K21" s="37"/>
      <c r="L21" s="41"/>
      <c r="M21" s="41"/>
      <c r="N21" s="41"/>
      <c r="O21" s="37"/>
      <c r="P21" s="39"/>
      <c r="Q21" s="37"/>
      <c r="R21" s="37"/>
    </row>
    <row r="22" spans="1:27" ht="15.75" x14ac:dyDescent="0.25">
      <c r="A22" s="36"/>
      <c r="B22" s="43">
        <f>+B20+1000</f>
        <v>6000</v>
      </c>
      <c r="C22" s="42"/>
      <c r="D22" s="41">
        <f>ROUND($U$10+$B22*$U$14,2)</f>
        <v>586.87</v>
      </c>
      <c r="E22" s="41"/>
      <c r="F22" s="41">
        <f>ROUND($V$10+$B22*$V$14,2)</f>
        <v>601.97</v>
      </c>
      <c r="G22" s="41"/>
      <c r="H22" s="41">
        <f>ROUND($X$10+$B22*$X$14,2)</f>
        <v>627.38</v>
      </c>
      <c r="I22" s="41"/>
      <c r="J22" s="41">
        <f>ROUND($Y$10+$B22*$Y$14,2)</f>
        <v>643.62</v>
      </c>
      <c r="K22" s="40"/>
      <c r="L22" s="41">
        <f>H22-D22</f>
        <v>40.509999999999991</v>
      </c>
      <c r="M22" s="41"/>
      <c r="N22" s="41">
        <f>J22-F22</f>
        <v>41.649999999999977</v>
      </c>
      <c r="O22" s="37"/>
      <c r="P22" s="39">
        <f>ROUND(H22/D22-1,4)</f>
        <v>6.9000000000000006E-2</v>
      </c>
      <c r="Q22" s="40"/>
      <c r="R22" s="39">
        <f>ROUND(J22/F22-1,4)</f>
        <v>6.9199999999999998E-2</v>
      </c>
      <c r="T22" s="104" t="s">
        <v>57</v>
      </c>
      <c r="V22" s="92">
        <v>1.2682155181916366E-4</v>
      </c>
      <c r="Y22" s="92">
        <v>0</v>
      </c>
    </row>
    <row r="23" spans="1:27" ht="15.75" x14ac:dyDescent="0.25">
      <c r="B23" s="43">
        <f>+B22+1000</f>
        <v>7000</v>
      </c>
      <c r="C23" s="42"/>
      <c r="D23" s="41">
        <f>ROUND($U$10+$B23*$U$14,2)</f>
        <v>683.05</v>
      </c>
      <c r="E23" s="41"/>
      <c r="F23" s="41">
        <f>ROUND($V$10+$B23*$V$14,2)</f>
        <v>698.15</v>
      </c>
      <c r="G23" s="41"/>
      <c r="H23" s="41">
        <f>ROUND($X$10+$B23*$X$14,2)</f>
        <v>730.18</v>
      </c>
      <c r="I23" s="41"/>
      <c r="J23" s="41">
        <f>ROUND($Y$10+$B23*$Y$14,2)</f>
        <v>746.42</v>
      </c>
      <c r="K23" s="40"/>
      <c r="L23" s="41">
        <f>H23-D23</f>
        <v>47.129999999999995</v>
      </c>
      <c r="M23" s="41"/>
      <c r="N23" s="41">
        <f>J23-F23</f>
        <v>48.269999999999982</v>
      </c>
      <c r="O23" s="37"/>
      <c r="P23" s="39">
        <f>ROUND(H23/D23-1,4)</f>
        <v>6.9000000000000006E-2</v>
      </c>
      <c r="Q23" s="40"/>
      <c r="R23" s="39">
        <f>ROUND(J23/F23-1,4)</f>
        <v>6.9099999999999995E-2</v>
      </c>
      <c r="T23" s="104" t="s">
        <v>56</v>
      </c>
      <c r="V23" s="92">
        <v>-1.6410000000000001E-3</v>
      </c>
      <c r="Y23" s="92">
        <f t="shared" ref="Y23:Y36" si="1">+V23</f>
        <v>-1.6410000000000001E-3</v>
      </c>
    </row>
    <row r="24" spans="1:27" ht="15.75" x14ac:dyDescent="0.25">
      <c r="A24" s="36"/>
      <c r="B24" s="43">
        <f>+B23+1000</f>
        <v>8000</v>
      </c>
      <c r="C24" s="42"/>
      <c r="D24" s="41">
        <f>ROUND($U$10+$B24*$U$14,2)</f>
        <v>779.23</v>
      </c>
      <c r="E24" s="41"/>
      <c r="F24" s="41">
        <f>ROUND($V$10+$B24*$V$14,2)</f>
        <v>794.33</v>
      </c>
      <c r="G24" s="41"/>
      <c r="H24" s="41">
        <f>ROUND($X$10+$B24*$X$14,2)</f>
        <v>832.99</v>
      </c>
      <c r="I24" s="41"/>
      <c r="J24" s="41">
        <f>ROUND($Y$10+$B24*$Y$14,2)</f>
        <v>849.23</v>
      </c>
      <c r="K24" s="40"/>
      <c r="L24" s="41">
        <f>H24-D24</f>
        <v>53.759999999999991</v>
      </c>
      <c r="M24" s="41"/>
      <c r="N24" s="41">
        <f>J24-F24</f>
        <v>54.899999999999977</v>
      </c>
      <c r="O24" s="37"/>
      <c r="P24" s="39">
        <f>ROUND(H24/D24-1,4)</f>
        <v>6.9000000000000006E-2</v>
      </c>
      <c r="Q24" s="40"/>
      <c r="R24" s="39">
        <f>ROUND(J24/F24-1,4)</f>
        <v>6.9099999999999995E-2</v>
      </c>
      <c r="T24" s="104" t="s">
        <v>55</v>
      </c>
      <c r="V24" s="92">
        <v>3.3279999999999998E-3</v>
      </c>
      <c r="Y24" s="92">
        <f t="shared" si="1"/>
        <v>3.3279999999999998E-3</v>
      </c>
    </row>
    <row r="25" spans="1:27" ht="15.75" x14ac:dyDescent="0.25">
      <c r="A25" s="36"/>
      <c r="B25" s="44"/>
      <c r="C25" s="45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T25" s="104" t="s">
        <v>31</v>
      </c>
      <c r="V25" s="92">
        <v>8.5670150255354833E-4</v>
      </c>
      <c r="Y25" s="92">
        <f t="shared" si="1"/>
        <v>8.5670150255354833E-4</v>
      </c>
    </row>
    <row r="26" spans="1:27" ht="15.75" x14ac:dyDescent="0.25">
      <c r="A26" s="36"/>
      <c r="B26" s="43">
        <f>+B24+1000</f>
        <v>9000</v>
      </c>
      <c r="C26" s="42"/>
      <c r="D26" s="41">
        <f>ROUND($U$10+$B26*$U$14,2)</f>
        <v>875.41</v>
      </c>
      <c r="E26" s="41"/>
      <c r="F26" s="41">
        <f>ROUND($V$10+$B26*$V$14,2)</f>
        <v>890.51</v>
      </c>
      <c r="G26" s="41"/>
      <c r="H26" s="41">
        <f>ROUND($X$10+$B26*$X$14,2)</f>
        <v>935.79</v>
      </c>
      <c r="I26" s="41"/>
      <c r="J26" s="41">
        <f>ROUND($Y$10+$B26*$Y$14,2)</f>
        <v>952.03</v>
      </c>
      <c r="K26" s="40"/>
      <c r="L26" s="41">
        <f>H26-D26</f>
        <v>60.379999999999995</v>
      </c>
      <c r="M26" s="41"/>
      <c r="N26" s="41">
        <f>J26-F26</f>
        <v>61.519999999999982</v>
      </c>
      <c r="O26" s="37"/>
      <c r="P26" s="39">
        <f>ROUND(H26/D26-1,4)</f>
        <v>6.9000000000000006E-2</v>
      </c>
      <c r="Q26" s="40"/>
      <c r="R26" s="39">
        <f>ROUND(J26/F26-1,4)</f>
        <v>6.9099999999999995E-2</v>
      </c>
      <c r="T26" s="34" t="s">
        <v>53</v>
      </c>
      <c r="V26" s="92">
        <v>-6.3E-5</v>
      </c>
      <c r="Y26" s="92">
        <f t="shared" si="1"/>
        <v>-6.3E-5</v>
      </c>
    </row>
    <row r="27" spans="1:27" ht="15.75" x14ac:dyDescent="0.25">
      <c r="B27" s="43">
        <f>+B26+1000</f>
        <v>10000</v>
      </c>
      <c r="C27" s="42"/>
      <c r="D27" s="41">
        <f>ROUND($U$10+$B27*$U$14,2)</f>
        <v>971.59</v>
      </c>
      <c r="E27" s="41"/>
      <c r="F27" s="41">
        <f>ROUND($V$10+$B27*$V$14,2)</f>
        <v>986.69</v>
      </c>
      <c r="G27" s="41"/>
      <c r="H27" s="41">
        <f>ROUND($X$10+$B27*$X$14,2)</f>
        <v>1038.5999999999999</v>
      </c>
      <c r="I27" s="41"/>
      <c r="J27" s="41">
        <f>ROUND($Y$10+$B27*$Y$14,2)</f>
        <v>1054.8399999999999</v>
      </c>
      <c r="K27" s="40"/>
      <c r="L27" s="41">
        <f>H27-D27</f>
        <v>67.009999999999877</v>
      </c>
      <c r="M27" s="41"/>
      <c r="N27" s="41">
        <f>J27-F27</f>
        <v>68.149999999999864</v>
      </c>
      <c r="O27" s="37"/>
      <c r="P27" s="39">
        <f>ROUND(H27/D27-1,4)</f>
        <v>6.9000000000000006E-2</v>
      </c>
      <c r="Q27" s="40"/>
      <c r="R27" s="39">
        <f>ROUND(J27/F27-1,4)</f>
        <v>6.9099999999999995E-2</v>
      </c>
      <c r="T27" s="34" t="s">
        <v>35</v>
      </c>
      <c r="V27" s="92">
        <v>2.4450000000000001E-3</v>
      </c>
      <c r="Y27" s="92">
        <f t="shared" si="1"/>
        <v>2.4450000000000001E-3</v>
      </c>
    </row>
    <row r="28" spans="1:27" ht="15.75" x14ac:dyDescent="0.25">
      <c r="A28" s="36"/>
      <c r="B28" s="43">
        <f>+B27+1000</f>
        <v>11000</v>
      </c>
      <c r="C28" s="42"/>
      <c r="D28" s="41">
        <f>ROUND($U$10+$B28*$U$14,2)</f>
        <v>1067.77</v>
      </c>
      <c r="E28" s="41"/>
      <c r="F28" s="41">
        <f>ROUND($V$10+$B28*$V$14,2)</f>
        <v>1082.8699999999999</v>
      </c>
      <c r="G28" s="41"/>
      <c r="H28" s="41">
        <f>ROUND($X$10+$B28*$X$14,2)</f>
        <v>1141.4100000000001</v>
      </c>
      <c r="I28" s="41"/>
      <c r="J28" s="41">
        <f>ROUND($Y$10+$B28*$Y$14,2)</f>
        <v>1157.6500000000001</v>
      </c>
      <c r="K28" s="40"/>
      <c r="L28" s="41">
        <f>H28-D28</f>
        <v>73.6400000000001</v>
      </c>
      <c r="M28" s="41"/>
      <c r="N28" s="41">
        <f>J28-F28</f>
        <v>74.7800000000002</v>
      </c>
      <c r="O28" s="37"/>
      <c r="P28" s="39">
        <f>ROUND(H28/D28-1,4)</f>
        <v>6.9000000000000006E-2</v>
      </c>
      <c r="Q28" s="40"/>
      <c r="R28" s="39">
        <f>ROUND(J28/F28-1,4)</f>
        <v>6.9099999999999995E-2</v>
      </c>
      <c r="T28" s="104" t="s">
        <v>74</v>
      </c>
      <c r="V28" s="96">
        <v>0.10999999999999943</v>
      </c>
      <c r="Y28" s="92">
        <v>0</v>
      </c>
    </row>
    <row r="29" spans="1:27" ht="15.75" x14ac:dyDescent="0.25">
      <c r="A29" s="36"/>
      <c r="B29" s="37"/>
      <c r="C29" s="3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T29" s="104" t="s">
        <v>73</v>
      </c>
      <c r="V29" s="96">
        <v>0.28000000000000114</v>
      </c>
      <c r="Y29" s="92">
        <v>0</v>
      </c>
    </row>
    <row r="30" spans="1:27" ht="15.75" x14ac:dyDescent="0.25">
      <c r="A30" s="36"/>
      <c r="B30" s="43">
        <f>+B28+1000</f>
        <v>12000</v>
      </c>
      <c r="C30" s="42"/>
      <c r="D30" s="41">
        <f>ROUND($U$10+$B30*$U$14,2)</f>
        <v>1163.95</v>
      </c>
      <c r="E30" s="41"/>
      <c r="F30" s="41">
        <f>ROUND($V$10+$B30*$V$14,2)</f>
        <v>1179.05</v>
      </c>
      <c r="G30" s="41"/>
      <c r="H30" s="41">
        <f>ROUND($X$10+$B30*$X$14,2)</f>
        <v>1244.21</v>
      </c>
      <c r="I30" s="41"/>
      <c r="J30" s="41">
        <f>ROUND($Y$10+$B30*$Y$14,2)</f>
        <v>1260.45</v>
      </c>
      <c r="K30" s="40"/>
      <c r="L30" s="41">
        <f>H30-D30</f>
        <v>80.259999999999991</v>
      </c>
      <c r="M30" s="41"/>
      <c r="N30" s="41">
        <f>J30-F30</f>
        <v>81.400000000000091</v>
      </c>
      <c r="O30" s="37"/>
      <c r="P30" s="39">
        <f>ROUND(H30/D30-1,4)</f>
        <v>6.9000000000000006E-2</v>
      </c>
      <c r="Q30" s="40"/>
      <c r="R30" s="39">
        <f>ROUND(J30/F30-1,4)</f>
        <v>6.9000000000000006E-2</v>
      </c>
      <c r="T30" s="104" t="s">
        <v>72</v>
      </c>
      <c r="V30" s="92">
        <v>1.0070000000000079E-3</v>
      </c>
      <c r="Y30" s="92">
        <v>0</v>
      </c>
    </row>
    <row r="31" spans="1:27" ht="15.75" x14ac:dyDescent="0.25">
      <c r="B31" s="43">
        <f>+B30+1000</f>
        <v>13000</v>
      </c>
      <c r="C31" s="42"/>
      <c r="D31" s="41">
        <f>ROUND($U$10+$B31*$U$14,2)</f>
        <v>1260.1300000000001</v>
      </c>
      <c r="E31" s="41"/>
      <c r="F31" s="41">
        <f>ROUND($V$10+$B31*$V$14,2)</f>
        <v>1275.23</v>
      </c>
      <c r="G31" s="41"/>
      <c r="H31" s="41">
        <f>ROUND($X$10+$B31*$X$14,2)</f>
        <v>1347.02</v>
      </c>
      <c r="I31" s="41"/>
      <c r="J31" s="41">
        <f>ROUND($Y$10+$B31*$Y$14,2)</f>
        <v>1363.26</v>
      </c>
      <c r="K31" s="40"/>
      <c r="L31" s="41">
        <f>H31-D31</f>
        <v>86.889999999999873</v>
      </c>
      <c r="M31" s="41"/>
      <c r="N31" s="41">
        <f>J31-F31</f>
        <v>88.029999999999973</v>
      </c>
      <c r="O31" s="37"/>
      <c r="P31" s="39">
        <f>ROUND(H31/D31-1,4)</f>
        <v>6.9000000000000006E-2</v>
      </c>
      <c r="Q31" s="40"/>
      <c r="R31" s="39">
        <f>ROUND(J31/F31-1,4)</f>
        <v>6.9000000000000006E-2</v>
      </c>
      <c r="T31" s="104" t="s">
        <v>71</v>
      </c>
      <c r="V31" s="92">
        <v>9.8199999999999676E-4</v>
      </c>
      <c r="Y31" s="92">
        <v>0</v>
      </c>
    </row>
    <row r="32" spans="1:27" ht="15.75" x14ac:dyDescent="0.25">
      <c r="A32" s="36"/>
      <c r="B32" s="43">
        <f>+B31+1000</f>
        <v>14000</v>
      </c>
      <c r="C32" s="42"/>
      <c r="D32" s="41">
        <f>ROUND($U$10+$B32*$U$14,2)</f>
        <v>1356.31</v>
      </c>
      <c r="E32" s="41"/>
      <c r="F32" s="41">
        <f>ROUND($V$10+$B32*$V$14,2)</f>
        <v>1371.41</v>
      </c>
      <c r="G32" s="41"/>
      <c r="H32" s="41">
        <f>ROUND($X$10+$B32*$X$14,2)</f>
        <v>1449.82</v>
      </c>
      <c r="I32" s="41"/>
      <c r="J32" s="41">
        <f>ROUND($Y$10+$B32*$Y$14,2)</f>
        <v>1466.06</v>
      </c>
      <c r="K32" s="40"/>
      <c r="L32" s="41">
        <f>H32-D32</f>
        <v>93.509999999999991</v>
      </c>
      <c r="M32" s="41"/>
      <c r="N32" s="41">
        <f>J32-F32</f>
        <v>94.649999999999864</v>
      </c>
      <c r="O32" s="37"/>
      <c r="P32" s="39">
        <f>ROUND(H32/D32-1,4)</f>
        <v>6.8900000000000003E-2</v>
      </c>
      <c r="Q32" s="40"/>
      <c r="R32" s="39">
        <f>ROUND(J32/F32-1,4)</f>
        <v>6.9000000000000006E-2</v>
      </c>
      <c r="T32" s="104" t="s">
        <v>192</v>
      </c>
      <c r="V32" s="96">
        <v>-0.10999999999999943</v>
      </c>
      <c r="Y32" s="92">
        <v>0</v>
      </c>
    </row>
    <row r="33" spans="1:25" ht="15.75" x14ac:dyDescent="0.25">
      <c r="A33" s="36"/>
      <c r="B33" s="37"/>
      <c r="C33" s="38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T33" s="104" t="s">
        <v>190</v>
      </c>
      <c r="V33" s="96">
        <v>-0.28000000000000114</v>
      </c>
      <c r="Y33" s="92">
        <v>0</v>
      </c>
    </row>
    <row r="34" spans="1:25" ht="15.75" x14ac:dyDescent="0.25">
      <c r="A34" s="36"/>
      <c r="B34" s="43">
        <f>+B32+1000</f>
        <v>15000</v>
      </c>
      <c r="C34" s="42"/>
      <c r="D34" s="41">
        <f>ROUND($U$10+$B34*$U$14,2)</f>
        <v>1452.49</v>
      </c>
      <c r="E34" s="41"/>
      <c r="F34" s="41">
        <f>ROUND($V$10+$B34*$V$14,2)</f>
        <v>1467.59</v>
      </c>
      <c r="G34" s="41"/>
      <c r="H34" s="41">
        <f>ROUND($X$10+$B34*$X$14,2)</f>
        <v>1552.63</v>
      </c>
      <c r="I34" s="41"/>
      <c r="J34" s="41">
        <f>ROUND($Y$10+$B34*$Y$14,2)</f>
        <v>1568.87</v>
      </c>
      <c r="K34" s="40"/>
      <c r="L34" s="41">
        <f>H34-D34</f>
        <v>100.1400000000001</v>
      </c>
      <c r="M34" s="41"/>
      <c r="N34" s="41">
        <f>J34-F34</f>
        <v>101.27999999999997</v>
      </c>
      <c r="O34" s="37"/>
      <c r="P34" s="39">
        <f>ROUND(H34/D34-1,4)</f>
        <v>6.8900000000000003E-2</v>
      </c>
      <c r="Q34" s="40"/>
      <c r="R34" s="39">
        <f>ROUND(J34/F34-1,4)</f>
        <v>6.9000000000000006E-2</v>
      </c>
      <c r="T34" s="104" t="s">
        <v>191</v>
      </c>
      <c r="V34" s="92">
        <v>-1.0070000000000079E-3</v>
      </c>
      <c r="Y34" s="92">
        <v>0</v>
      </c>
    </row>
    <row r="35" spans="1:25" ht="15.75" x14ac:dyDescent="0.25">
      <c r="B35" s="43">
        <f>+B34+1000</f>
        <v>16000</v>
      </c>
      <c r="C35" s="42"/>
      <c r="D35" s="41">
        <f>ROUND($U$10+$B35*$U$14,2)</f>
        <v>1548.66</v>
      </c>
      <c r="E35" s="41"/>
      <c r="F35" s="41">
        <f>ROUND($V$10+$B35*$V$14,2)</f>
        <v>1563.76</v>
      </c>
      <c r="G35" s="41"/>
      <c r="H35" s="41">
        <f>ROUND($X$10+$B35*$X$14,2)</f>
        <v>1655.44</v>
      </c>
      <c r="I35" s="41"/>
      <c r="J35" s="41">
        <f>ROUND($Y$10+$B35*$Y$14,2)</f>
        <v>1671.68</v>
      </c>
      <c r="K35" s="40"/>
      <c r="L35" s="41">
        <f>H35-D35</f>
        <v>106.77999999999997</v>
      </c>
      <c r="M35" s="41"/>
      <c r="N35" s="41">
        <f>J35-F35</f>
        <v>107.92000000000007</v>
      </c>
      <c r="O35" s="37"/>
      <c r="P35" s="39">
        <f>ROUND(H35/D35-1,4)</f>
        <v>6.8900000000000003E-2</v>
      </c>
      <c r="Q35" s="40"/>
      <c r="R35" s="39">
        <f>ROUND(J35/F35-1,4)</f>
        <v>6.9000000000000006E-2</v>
      </c>
      <c r="T35" s="104" t="s">
        <v>193</v>
      </c>
      <c r="V35" s="92">
        <v>-9.8199999999999676E-4</v>
      </c>
      <c r="Y35" s="92">
        <v>0</v>
      </c>
    </row>
    <row r="36" spans="1:25" ht="15.75" x14ac:dyDescent="0.25">
      <c r="A36" s="36"/>
      <c r="B36" s="43">
        <f>+B35+1000</f>
        <v>17000</v>
      </c>
      <c r="C36" s="42"/>
      <c r="D36" s="41">
        <f>ROUND($U$10+$B36*$U$14,2)</f>
        <v>1644.84</v>
      </c>
      <c r="E36" s="41"/>
      <c r="F36" s="41">
        <f>ROUND($V$10+$B36*$V$14,2)</f>
        <v>1659.94</v>
      </c>
      <c r="G36" s="41"/>
      <c r="H36" s="41">
        <f>ROUND($X$10+$B36*$X$14,2)</f>
        <v>1758.24</v>
      </c>
      <c r="I36" s="41"/>
      <c r="J36" s="41">
        <f>ROUND($Y$10+$B36*$Y$14,2)</f>
        <v>1774.48</v>
      </c>
      <c r="K36" s="40"/>
      <c r="L36" s="41">
        <f>H36-D36</f>
        <v>113.40000000000009</v>
      </c>
      <c r="M36" s="41"/>
      <c r="N36" s="41">
        <f>J36-F36</f>
        <v>114.53999999999996</v>
      </c>
      <c r="O36" s="37"/>
      <c r="P36" s="39">
        <f>ROUND(H36/D36-1,4)</f>
        <v>6.8900000000000003E-2</v>
      </c>
      <c r="Q36" s="40"/>
      <c r="R36" s="39">
        <f>ROUND(J36/F36-1,4)</f>
        <v>6.9000000000000006E-2</v>
      </c>
      <c r="T36" s="104" t="s">
        <v>188</v>
      </c>
      <c r="V36" s="92">
        <v>-9.4300000000000004E-4</v>
      </c>
      <c r="Y36" s="92">
        <f t="shared" si="1"/>
        <v>-9.4300000000000004E-4</v>
      </c>
    </row>
    <row r="37" spans="1:25" ht="15.75" x14ac:dyDescent="0.25">
      <c r="A37" s="36"/>
      <c r="B37" s="37"/>
      <c r="C37" s="38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T37" s="34" t="s">
        <v>37</v>
      </c>
      <c r="V37" s="92">
        <v>2.8170000000000001E-3</v>
      </c>
      <c r="Y37" s="92">
        <f>+V37</f>
        <v>2.8170000000000001E-3</v>
      </c>
    </row>
    <row r="38" spans="1:25" ht="15.75" x14ac:dyDescent="0.25">
      <c r="A38" s="36"/>
      <c r="B38" s="43">
        <f>+B36+1000</f>
        <v>18000</v>
      </c>
      <c r="C38" s="42"/>
      <c r="D38" s="41">
        <f>ROUND($U$10+$B38*$U$14,2)</f>
        <v>1741.02</v>
      </c>
      <c r="E38" s="41"/>
      <c r="F38" s="41">
        <f>ROUND($V$10+$B38*$V$14,2)</f>
        <v>1756.12</v>
      </c>
      <c r="G38" s="41"/>
      <c r="H38" s="41">
        <f>ROUND($X$10+$B38*$X$14,2)</f>
        <v>1861.05</v>
      </c>
      <c r="I38" s="41"/>
      <c r="J38" s="41">
        <f>ROUND($Y$10+$B38*$Y$14,2)</f>
        <v>1877.29</v>
      </c>
      <c r="K38" s="40"/>
      <c r="L38" s="41">
        <f>H38-D38</f>
        <v>120.02999999999997</v>
      </c>
      <c r="M38" s="41"/>
      <c r="N38" s="41">
        <f>J38-F38</f>
        <v>121.17000000000007</v>
      </c>
      <c r="O38" s="37"/>
      <c r="P38" s="39">
        <f>ROUND(H38/D38-1,4)</f>
        <v>6.8900000000000003E-2</v>
      </c>
      <c r="Q38" s="40"/>
      <c r="R38" s="39">
        <f>ROUND(J38/F38-1,4)</f>
        <v>6.9000000000000006E-2</v>
      </c>
    </row>
    <row r="39" spans="1:25" ht="15.75" x14ac:dyDescent="0.25">
      <c r="A39" s="36"/>
      <c r="B39" s="43">
        <f>+B38+1000</f>
        <v>19000</v>
      </c>
      <c r="C39" s="42"/>
      <c r="D39" s="41">
        <f>ROUND($U$10+$B39*$U$14,2)</f>
        <v>1837.2</v>
      </c>
      <c r="E39" s="41"/>
      <c r="F39" s="41">
        <f>ROUND($V$10+$B39*$V$14,2)</f>
        <v>1852.3</v>
      </c>
      <c r="G39" s="41"/>
      <c r="H39" s="41">
        <f>ROUND($X$10+$B39*$X$14,2)</f>
        <v>1963.85</v>
      </c>
      <c r="I39" s="41"/>
      <c r="J39" s="41">
        <f>ROUND($Y$10+$B39*$Y$14,2)</f>
        <v>1980.09</v>
      </c>
      <c r="K39" s="40"/>
      <c r="L39" s="41">
        <f>H39-D39</f>
        <v>126.64999999999986</v>
      </c>
      <c r="M39" s="41"/>
      <c r="N39" s="41">
        <f>J39-F39</f>
        <v>127.78999999999996</v>
      </c>
      <c r="O39" s="37"/>
      <c r="P39" s="39">
        <f>ROUND(H39/D39-1,4)</f>
        <v>6.8900000000000003E-2</v>
      </c>
      <c r="Q39" s="40"/>
      <c r="R39" s="39">
        <f>ROUND(J39/F39-1,4)</f>
        <v>6.9000000000000006E-2</v>
      </c>
      <c r="T39" s="104"/>
      <c r="V39" s="92"/>
      <c r="Y39" s="92"/>
    </row>
    <row r="40" spans="1:25" ht="15.75" x14ac:dyDescent="0.25">
      <c r="A40" s="36"/>
      <c r="B40" s="43">
        <f>+B39+1000</f>
        <v>20000</v>
      </c>
      <c r="C40" s="42"/>
      <c r="D40" s="41">
        <f>ROUND($U$10+$B40*$U$14,2)</f>
        <v>1933.38</v>
      </c>
      <c r="E40" s="41"/>
      <c r="F40" s="41">
        <f>ROUND($V$10+$B40*$V$14,2)</f>
        <v>1948.48</v>
      </c>
      <c r="G40" s="41"/>
      <c r="H40" s="41">
        <f>ROUND($X$10+$B40*$X$14,2)</f>
        <v>2066.66</v>
      </c>
      <c r="I40" s="41"/>
      <c r="J40" s="41">
        <f>ROUND($Y$10+$B40*$Y$14,2)</f>
        <v>2082.9</v>
      </c>
      <c r="K40" s="40"/>
      <c r="L40" s="41">
        <f>H40-D40</f>
        <v>133.27999999999975</v>
      </c>
      <c r="M40" s="41"/>
      <c r="N40" s="41">
        <f>J40-F40</f>
        <v>134.42000000000007</v>
      </c>
      <c r="O40" s="37"/>
      <c r="P40" s="39">
        <f>ROUND(H40/D40-1,4)</f>
        <v>6.8900000000000003E-2</v>
      </c>
      <c r="Q40" s="40"/>
      <c r="R40" s="39">
        <f>ROUND(J40/F40-1,4)</f>
        <v>6.9000000000000006E-2</v>
      </c>
      <c r="U40" s="13" t="s">
        <v>17</v>
      </c>
    </row>
    <row r="41" spans="1:25" ht="15.75" x14ac:dyDescent="0.25">
      <c r="A41" s="36"/>
      <c r="B41" s="37"/>
      <c r="C41" s="3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T41" s="22" t="s">
        <v>147</v>
      </c>
      <c r="U41" s="21">
        <v>7.5656755848330773E-2</v>
      </c>
    </row>
    <row r="42" spans="1:25" x14ac:dyDescent="0.25">
      <c r="A42" s="36"/>
      <c r="B42" s="118" t="s">
        <v>47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T42" s="104"/>
      <c r="V42" s="92"/>
      <c r="Y42" s="92"/>
    </row>
    <row r="43" spans="1:25" ht="15.6" customHeight="1" x14ac:dyDescent="0.25">
      <c r="A43" s="36"/>
      <c r="B43" s="118" t="s">
        <v>230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</row>
    <row r="44" spans="1:25" x14ac:dyDescent="0.25">
      <c r="A44" s="36"/>
      <c r="B44" s="102" t="s">
        <v>70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</row>
    <row r="45" spans="1:25" x14ac:dyDescent="0.25">
      <c r="A45" s="36"/>
      <c r="B45" s="102" t="s">
        <v>194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</row>
    <row r="46" spans="1:25" x14ac:dyDescent="0.25">
      <c r="A46" s="36"/>
      <c r="B46" s="102" t="s">
        <v>195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</row>
    <row r="47" spans="1:25" x14ac:dyDescent="0.25">
      <c r="A47" s="36"/>
      <c r="T47" s="22"/>
      <c r="U47" s="21"/>
    </row>
    <row r="48" spans="1:25" x14ac:dyDescent="0.25">
      <c r="M48" s="13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zoomScale="80" zoomScaleNormal="80" zoomScaleSheetLayoutView="75" workbookViewId="0">
      <pane xSplit="3" ySplit="8" topLeftCell="D3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34" customWidth="1"/>
    <col min="2" max="2" width="67.85546875" style="34" bestFit="1" customWidth="1"/>
    <col min="3" max="3" width="2.7109375" style="34" customWidth="1"/>
    <col min="4" max="4" width="14.85546875" style="34" bestFit="1" customWidth="1"/>
    <col min="5" max="5" width="9.140625" style="34" bestFit="1" customWidth="1"/>
    <col min="6" max="6" width="3.85546875" style="34" customWidth="1"/>
    <col min="7" max="7" width="13.85546875" style="34" bestFit="1" customWidth="1"/>
    <col min="8" max="8" width="4" style="34" customWidth="1"/>
    <col min="9" max="9" width="13.85546875" style="34" bestFit="1" customWidth="1"/>
    <col min="10" max="10" width="5" style="34" customWidth="1"/>
    <col min="11" max="11" width="11" style="34" bestFit="1" customWidth="1"/>
    <col min="12" max="12" width="2.7109375" style="34" customWidth="1"/>
    <col min="13" max="13" width="3.28515625" style="34" customWidth="1"/>
    <col min="14" max="14" width="52.85546875" style="34" bestFit="1" customWidth="1"/>
    <col min="15" max="15" width="12.42578125" style="34" bestFit="1" customWidth="1"/>
    <col min="16" max="16" width="25.7109375" style="34" bestFit="1" customWidth="1"/>
    <col min="17" max="17" width="12.42578125" style="34" bestFit="1" customWidth="1"/>
    <col min="18" max="18" width="2.42578125" style="34" customWidth="1"/>
    <col min="19" max="19" width="6.7109375" style="34" bestFit="1" customWidth="1"/>
    <col min="20" max="16384" width="9.42578125" style="34"/>
  </cols>
  <sheetData>
    <row r="1" spans="1:19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9"/>
      <c r="M1" s="69"/>
    </row>
    <row r="2" spans="1:19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9"/>
      <c r="M2" s="69"/>
    </row>
    <row r="3" spans="1:19" ht="20.25" x14ac:dyDescent="0.3">
      <c r="B3" s="60" t="s">
        <v>103</v>
      </c>
      <c r="C3" s="60"/>
      <c r="D3" s="60"/>
      <c r="E3" s="60"/>
      <c r="F3" s="60"/>
      <c r="G3" s="60"/>
      <c r="H3" s="60"/>
      <c r="I3" s="60"/>
      <c r="J3" s="60"/>
      <c r="K3" s="60"/>
      <c r="L3" s="69"/>
      <c r="M3" s="69"/>
    </row>
    <row r="4" spans="1:19" ht="20.25" x14ac:dyDescent="0.3">
      <c r="B4" s="70" t="s">
        <v>111</v>
      </c>
      <c r="C4" s="60"/>
      <c r="D4" s="60"/>
      <c r="E4" s="60"/>
      <c r="F4" s="60"/>
      <c r="G4" s="60"/>
      <c r="H4" s="60"/>
      <c r="I4" s="60"/>
      <c r="J4" s="60"/>
      <c r="K4" s="60"/>
      <c r="L4" s="69"/>
      <c r="M4" s="69"/>
    </row>
    <row r="5" spans="1:19" x14ac:dyDescent="0.25">
      <c r="A5" s="36"/>
      <c r="B5" s="68"/>
    </row>
    <row r="6" spans="1:19" ht="15.75" x14ac:dyDescent="0.25">
      <c r="A6" s="36"/>
      <c r="B6" s="66" t="s">
        <v>110</v>
      </c>
      <c r="C6" s="40"/>
      <c r="D6" s="40"/>
      <c r="E6" s="40"/>
      <c r="F6" s="40"/>
      <c r="G6" s="125" t="s">
        <v>109</v>
      </c>
      <c r="H6" s="126"/>
      <c r="I6" s="126"/>
      <c r="J6" s="40"/>
      <c r="K6" s="37"/>
      <c r="L6" s="36"/>
      <c r="M6" s="36"/>
    </row>
    <row r="7" spans="1:19" ht="16.5" thickBot="1" x14ac:dyDescent="0.3">
      <c r="A7" s="36"/>
      <c r="B7" s="67" t="s">
        <v>108</v>
      </c>
      <c r="C7" s="57"/>
      <c r="D7" s="66" t="s">
        <v>107</v>
      </c>
      <c r="E7" s="40"/>
      <c r="F7" s="40"/>
      <c r="G7" s="65" t="s">
        <v>106</v>
      </c>
      <c r="H7" s="37"/>
      <c r="I7" s="65" t="s">
        <v>19</v>
      </c>
      <c r="J7" s="40"/>
      <c r="K7" s="57" t="s">
        <v>85</v>
      </c>
      <c r="L7" s="36"/>
      <c r="M7" s="36"/>
    </row>
    <row r="8" spans="1:19" ht="16.5" x14ac:dyDescent="0.25">
      <c r="A8" s="36"/>
      <c r="B8" s="54" t="s">
        <v>105</v>
      </c>
      <c r="C8" s="52"/>
      <c r="D8" s="64" t="s">
        <v>104</v>
      </c>
      <c r="E8" s="54" t="s">
        <v>65</v>
      </c>
      <c r="F8" s="40"/>
      <c r="G8" s="63" t="s">
        <v>155</v>
      </c>
      <c r="H8" s="63"/>
      <c r="I8" s="63" t="s">
        <v>156</v>
      </c>
      <c r="J8" s="40"/>
      <c r="K8" s="55" t="s">
        <v>20</v>
      </c>
      <c r="L8" s="36"/>
      <c r="M8" s="36"/>
      <c r="N8" s="121" t="s">
        <v>82</v>
      </c>
      <c r="O8" s="123"/>
      <c r="P8" s="124" t="s">
        <v>81</v>
      </c>
      <c r="Q8" s="123"/>
      <c r="R8" s="91"/>
    </row>
    <row r="9" spans="1:19" ht="15.75" x14ac:dyDescent="0.25">
      <c r="A9" s="36"/>
      <c r="B9" s="40"/>
      <c r="C9" s="40"/>
      <c r="D9" s="40"/>
      <c r="E9" s="40"/>
      <c r="F9" s="40"/>
      <c r="G9" s="52"/>
      <c r="H9" s="52"/>
      <c r="I9" s="52"/>
      <c r="J9" s="37"/>
      <c r="K9" s="37"/>
      <c r="N9" s="48"/>
      <c r="O9" s="50"/>
      <c r="P9" s="26"/>
      <c r="Q9" s="50"/>
      <c r="R9" s="91"/>
    </row>
    <row r="10" spans="1:19" ht="15.75" x14ac:dyDescent="0.25">
      <c r="A10" s="36"/>
      <c r="B10" s="40">
        <v>50</v>
      </c>
      <c r="C10" s="40"/>
      <c r="D10" s="40">
        <v>300</v>
      </c>
      <c r="E10" s="43">
        <f>ROUND((B$10*D10),0)</f>
        <v>15000</v>
      </c>
      <c r="F10" s="40"/>
      <c r="G10" s="41">
        <f>+O$10+IF($E10&lt;20000,$E10*O$14,20000*O$14+($E10-20000)*O$16)+IF($B10&gt;50,($B10-50)*O$22,0)</f>
        <v>1396.1949999999999</v>
      </c>
      <c r="H10" s="41"/>
      <c r="I10" s="41">
        <f>+Q$10+IF($E10&lt;20000,$E10*Q$14,20000*Q$14+($E10-20000)*Q$16)+IF($B10&gt;50,($B10-50)*Q$22,0)</f>
        <v>1442.155</v>
      </c>
      <c r="J10" s="40"/>
      <c r="K10" s="38">
        <f>ROUND((+I10-G10)/G10,3)</f>
        <v>3.3000000000000002E-2</v>
      </c>
      <c r="L10" s="36"/>
      <c r="M10" s="36"/>
      <c r="N10" s="48" t="s">
        <v>78</v>
      </c>
      <c r="O10" s="144">
        <f>SUM(O27,O45,O52)</f>
        <v>52.3</v>
      </c>
      <c r="P10" s="48" t="str">
        <f>+N10</f>
        <v>Basic Charge</v>
      </c>
      <c r="Q10" s="144">
        <f>SUM(Q27,Q45,Q52)</f>
        <v>55.27</v>
      </c>
      <c r="R10" s="47"/>
      <c r="S10" s="25">
        <f>(Q10-O10)/O10</f>
        <v>5.6787762906309866E-2</v>
      </c>
    </row>
    <row r="11" spans="1:19" ht="15.75" x14ac:dyDescent="0.25">
      <c r="A11" s="36"/>
      <c r="B11" s="40">
        <f>+B10</f>
        <v>50</v>
      </c>
      <c r="C11" s="40"/>
      <c r="D11" s="40">
        <v>500</v>
      </c>
      <c r="E11" s="43">
        <f>ROUND((B$10*D11),0)</f>
        <v>25000</v>
      </c>
      <c r="F11" s="40"/>
      <c r="G11" s="41">
        <f>+O$10+IF($E11&lt;20000,$E11*O$14,20000*O$14+($E11-20000)*O$16)+IF($B11&gt;50,($B11-50)*O$22,0)</f>
        <v>2179.9222269442189</v>
      </c>
      <c r="H11" s="41"/>
      <c r="I11" s="41">
        <f>+Q$10+IF($E11&lt;20000,$E11*Q$14,20000*Q$14+($E11-20000)*Q$16)+IF($B11&gt;50,($B11-50)*Q$22,0)</f>
        <v>2257.7866891793678</v>
      </c>
      <c r="J11" s="40"/>
      <c r="K11" s="38">
        <f>ROUND((+I11-G11)/G11,3)</f>
        <v>3.5999999999999997E-2</v>
      </c>
      <c r="L11" s="36"/>
      <c r="M11" s="36"/>
      <c r="N11" s="48"/>
      <c r="O11" s="150"/>
      <c r="P11" s="26"/>
      <c r="Q11" s="150"/>
      <c r="R11" s="91"/>
    </row>
    <row r="12" spans="1:19" ht="15.75" x14ac:dyDescent="0.25">
      <c r="A12" s="36"/>
      <c r="B12" s="40">
        <f>+B11</f>
        <v>50</v>
      </c>
      <c r="C12" s="40"/>
      <c r="D12" s="40">
        <v>700</v>
      </c>
      <c r="E12" s="43">
        <f>ROUND((B$10*D12),0)</f>
        <v>35000</v>
      </c>
      <c r="F12" s="40"/>
      <c r="G12" s="41">
        <f>+O$10+IF($E12&lt;20000,$E12*O$14,20000*O$14+($E12-20000)*O$16)+IF($B12&gt;50,($B12-50)*O$22,0)</f>
        <v>2851.4466808326551</v>
      </c>
      <c r="H12" s="41"/>
      <c r="I12" s="41">
        <f>+Q$10+IF($E12&lt;20000,$E12*Q$14,20000*Q$14+($E12-20000)*Q$16)+IF($B12&gt;50,($B12-50)*Q$22,0)</f>
        <v>2964.4600675381039</v>
      </c>
      <c r="J12" s="40"/>
      <c r="K12" s="38">
        <f>ROUND((+I12-G12)/G12,3)</f>
        <v>0.04</v>
      </c>
      <c r="N12" s="49" t="s">
        <v>102</v>
      </c>
      <c r="O12" s="146">
        <f>SUM(O28,O39:O44,O48,O55,O59:O60)</f>
        <v>9.3833445388843667E-2</v>
      </c>
      <c r="P12" s="48" t="str">
        <f>+N12</f>
        <v>Winter kWh - First 20,000</v>
      </c>
      <c r="Q12" s="146">
        <f>SUM(Q28,Q39:Q44,Q48,Q55,Q59:Q60)</f>
        <v>9.7262337835873583E-2</v>
      </c>
      <c r="R12" s="91"/>
      <c r="S12" s="25">
        <f>(Q12-O12)/O12</f>
        <v>3.6542327022317717E-2</v>
      </c>
    </row>
    <row r="13" spans="1:19" x14ac:dyDescent="0.25">
      <c r="A13" s="36"/>
      <c r="L13" s="36"/>
      <c r="M13" s="36"/>
      <c r="N13" s="49" t="s">
        <v>101</v>
      </c>
      <c r="O13" s="146">
        <f>SUM(O29,O39:O44,O49,O56,O59:O60)</f>
        <v>8.530644538884366E-2</v>
      </c>
      <c r="P13" s="48" t="str">
        <f>+N13</f>
        <v>Summer kWh - First 20,000</v>
      </c>
      <c r="Q13" s="146">
        <f>SUM(Q29,Q39:Q44,Q49,Q56,Q59:Q60)</f>
        <v>8.7604337835873583E-2</v>
      </c>
      <c r="R13" s="91"/>
      <c r="S13" s="25">
        <f>(Q13-O13)/O13</f>
        <v>2.693691474959101E-2</v>
      </c>
    </row>
    <row r="14" spans="1:19" ht="15.75" x14ac:dyDescent="0.25">
      <c r="A14" s="36"/>
      <c r="B14" s="40">
        <v>100</v>
      </c>
      <c r="C14" s="40"/>
      <c r="D14" s="40">
        <v>300</v>
      </c>
      <c r="E14" s="43">
        <f>ROUND((B$14*D14),0)</f>
        <v>30000</v>
      </c>
      <c r="F14" s="40"/>
      <c r="G14" s="41">
        <f>+O$10+IF($E14&lt;20000,$E14*O$14,20000*O$14+($E14-20000)*O$16)+IF($B14&gt;50,($B14-50)*O$22,0)</f>
        <v>2910.184453888437</v>
      </c>
      <c r="H14" s="41"/>
      <c r="I14" s="41">
        <f>+Q$10+IF($E14&lt;20000,$E14*Q$14,20000*Q$14+($E14-20000)*Q$16)+IF($B14&gt;50,($B14-50)*Q$22,0)</f>
        <v>3057.6233783587359</v>
      </c>
      <c r="J14" s="40"/>
      <c r="K14" s="38">
        <f>ROUND((+I14-G14)/G14,3)</f>
        <v>5.0999999999999997E-2</v>
      </c>
      <c r="L14" s="36"/>
      <c r="M14" s="36"/>
      <c r="N14" s="49" t="s">
        <v>145</v>
      </c>
      <c r="O14" s="146">
        <f>ROUND(SUM(O30,O39:O44,O59:O60)+AVERAGE(O48:O49)+AVERAGE(O55:O56),6)</f>
        <v>8.9593000000000006E-2</v>
      </c>
      <c r="P14" s="48" t="str">
        <f>+N14</f>
        <v>Average kWh - First 20,000</v>
      </c>
      <c r="Q14" s="146">
        <f>ROUND(SUM(Q30,Q39:Q44,Q59:Q60)+AVERAGE(Q48:Q49)+AVERAGE(Q55:Q56),6)</f>
        <v>9.2459E-2</v>
      </c>
      <c r="R14" s="91"/>
      <c r="S14" s="25">
        <f>(Q14-O14)/O14</f>
        <v>3.1989106291786112E-2</v>
      </c>
    </row>
    <row r="15" spans="1:19" ht="15.75" x14ac:dyDescent="0.25">
      <c r="A15" s="36"/>
      <c r="B15" s="40">
        <f>+B14</f>
        <v>100</v>
      </c>
      <c r="C15" s="40"/>
      <c r="D15" s="40">
        <v>500</v>
      </c>
      <c r="E15" s="43">
        <f>ROUND((B$14*D15),0)</f>
        <v>50000</v>
      </c>
      <c r="F15" s="40"/>
      <c r="G15" s="41">
        <f>+O$10+IF($E15&lt;20000,$E15*O$14,20000*O$14+($E15-20000)*O$16)+IF($B15&gt;50,($B15-50)*O$22,0)</f>
        <v>4253.2333616653104</v>
      </c>
      <c r="H15" s="41"/>
      <c r="I15" s="41">
        <f>+Q$10+IF($E15&lt;20000,$E15*Q$14,20000*Q$14+($E15-20000)*Q$16)+IF($B15&gt;50,($B15-50)*Q$22,0)</f>
        <v>4470.970135076208</v>
      </c>
      <c r="J15" s="40"/>
      <c r="K15" s="38">
        <f>ROUND((+I15-G15)/G15,3)</f>
        <v>5.0999999999999997E-2</v>
      </c>
      <c r="L15" s="36"/>
      <c r="M15" s="36"/>
      <c r="N15" s="48"/>
      <c r="O15" s="146"/>
      <c r="P15" s="48"/>
      <c r="Q15" s="146"/>
      <c r="R15" s="91"/>
    </row>
    <row r="16" spans="1:19" ht="15.75" x14ac:dyDescent="0.25">
      <c r="A16" s="36"/>
      <c r="B16" s="40">
        <f>+B15</f>
        <v>100</v>
      </c>
      <c r="C16" s="40"/>
      <c r="D16" s="40">
        <v>700</v>
      </c>
      <c r="E16" s="43">
        <f>ROUND((B$14*D16),0)</f>
        <v>70000</v>
      </c>
      <c r="F16" s="40"/>
      <c r="G16" s="41">
        <f>+O$10+IF($E16&lt;20000,$E16*O$14,20000*O$14+($E16-20000)*O$16)+IF($B16&gt;50,($B16-50)*O$22,0)</f>
        <v>5596.2822694421839</v>
      </c>
      <c r="H16" s="41"/>
      <c r="I16" s="41">
        <f>+Q$10+IF($E16&lt;20000,$E16*Q$14,20000*Q$14+($E16-20000)*Q$16)+IF($B16&gt;50,($B16-50)*Q$22,0)</f>
        <v>5884.31689179368</v>
      </c>
      <c r="J16" s="40"/>
      <c r="K16" s="38">
        <f>ROUND((+I16-G16)/G16,3)</f>
        <v>5.0999999999999997E-2</v>
      </c>
      <c r="N16" s="49" t="s">
        <v>100</v>
      </c>
      <c r="O16" s="146">
        <f>SUM(O31,O39:O44,O50,O57,O59:O60)</f>
        <v>6.7152445388843671E-2</v>
      </c>
      <c r="P16" s="48" t="str">
        <f>+N16</f>
        <v>kWh - All Over 20,000</v>
      </c>
      <c r="Q16" s="146">
        <f>SUM(Q31,Q39:Q44,Q50,Q57,Q59:Q60)</f>
        <v>7.0667337835873589E-2</v>
      </c>
      <c r="R16" s="91"/>
      <c r="S16" s="25">
        <f>(Q16-O16)/O16</f>
        <v>5.2341987349486203E-2</v>
      </c>
    </row>
    <row r="17" spans="1:19" ht="15.75" x14ac:dyDescent="0.25">
      <c r="A17" s="36"/>
      <c r="B17" s="40"/>
      <c r="C17" s="40"/>
      <c r="D17" s="40"/>
      <c r="E17" s="40"/>
      <c r="F17" s="40"/>
      <c r="G17" s="41"/>
      <c r="H17" s="41"/>
      <c r="I17" s="41"/>
      <c r="J17" s="37"/>
      <c r="K17" s="39"/>
      <c r="L17" s="36"/>
      <c r="M17" s="36"/>
      <c r="N17" s="49"/>
      <c r="O17" s="146"/>
      <c r="P17" s="49"/>
      <c r="Q17" s="146"/>
      <c r="R17" s="91"/>
      <c r="S17" s="27"/>
    </row>
    <row r="18" spans="1:19" ht="15.75" x14ac:dyDescent="0.25">
      <c r="A18" s="36"/>
      <c r="B18" s="40">
        <v>150</v>
      </c>
      <c r="C18" s="40"/>
      <c r="D18" s="40">
        <v>300</v>
      </c>
      <c r="E18" s="43">
        <f>ROUND((B$18*D18),0)</f>
        <v>45000</v>
      </c>
      <c r="F18" s="40"/>
      <c r="G18" s="41">
        <f>+O$10+IF($E18&lt;20000,$E18*O$14,20000*O$14+($E18-20000)*O$16)+IF($B18&gt;50,($B18-50)*O$22,0)</f>
        <v>4311.9711347210923</v>
      </c>
      <c r="H18" s="41"/>
      <c r="I18" s="41">
        <f>+Q$10+IF($E18&lt;20000,$E18*Q$14,20000*Q$14+($E18-20000)*Q$16)+IF($B18&gt;50,($B18-50)*Q$22,0)</f>
        <v>4564.1334458968395</v>
      </c>
      <c r="J18" s="40"/>
      <c r="K18" s="38">
        <f>ROUND((+I18-G18)/G18,3)</f>
        <v>5.8000000000000003E-2</v>
      </c>
      <c r="L18" s="36"/>
      <c r="M18" s="36"/>
      <c r="N18" s="49" t="s">
        <v>99</v>
      </c>
      <c r="O18" s="146">
        <v>0</v>
      </c>
      <c r="P18" s="48" t="str">
        <f>+N18</f>
        <v>kW - First 50</v>
      </c>
      <c r="Q18" s="146">
        <v>0</v>
      </c>
      <c r="R18" s="91"/>
      <c r="S18" s="27"/>
    </row>
    <row r="19" spans="1:19" ht="15.75" x14ac:dyDescent="0.25">
      <c r="A19" s="36"/>
      <c r="B19" s="40">
        <f>+B18</f>
        <v>150</v>
      </c>
      <c r="C19" s="40"/>
      <c r="D19" s="40">
        <v>500</v>
      </c>
      <c r="E19" s="43">
        <f>ROUND((B$18*D19),0)</f>
        <v>75000</v>
      </c>
      <c r="F19" s="40"/>
      <c r="G19" s="41">
        <f>+O$10+IF($E19&lt;20000,$E19*O$14,20000*O$14+($E19-20000)*O$16)+IF($B19&gt;50,($B19-50)*O$22,0)</f>
        <v>6326.544496386402</v>
      </c>
      <c r="H19" s="41"/>
      <c r="I19" s="41">
        <f>+Q$10+IF($E19&lt;20000,$E19*Q$14,20000*Q$14+($E19-20000)*Q$16)+IF($B19&gt;50,($B19-50)*Q$22,0)</f>
        <v>6684.1535809730476</v>
      </c>
      <c r="J19" s="40"/>
      <c r="K19" s="38">
        <f>ROUND((+I19-G19)/G19,3)</f>
        <v>5.7000000000000002E-2</v>
      </c>
      <c r="L19" s="36"/>
      <c r="M19" s="36"/>
      <c r="N19" s="49"/>
      <c r="O19" s="146"/>
      <c r="P19" s="49"/>
      <c r="Q19" s="146"/>
      <c r="R19" s="47"/>
      <c r="S19" s="47"/>
    </row>
    <row r="20" spans="1:19" ht="15.75" x14ac:dyDescent="0.25">
      <c r="A20" s="36"/>
      <c r="B20" s="40">
        <f>+B19</f>
        <v>150</v>
      </c>
      <c r="C20" s="40"/>
      <c r="D20" s="40">
        <v>700</v>
      </c>
      <c r="E20" s="43">
        <f>ROUND((B$18*D20),0)</f>
        <v>105000</v>
      </c>
      <c r="F20" s="40"/>
      <c r="G20" s="41">
        <f>+O$10+IF($E20&lt;20000,$E20*O$14,20000*O$14+($E20-20000)*O$16)+IF($B20&gt;50,($B20-50)*O$22,0)</f>
        <v>8341.1178580517117</v>
      </c>
      <c r="H20" s="41"/>
      <c r="I20" s="41">
        <f>+Q$10+IF($E20&lt;20000,$E20*Q$14,20000*Q$14+($E20-20000)*Q$16)+IF($B20&gt;50,($B20-50)*Q$22,0)</f>
        <v>8804.1737160492557</v>
      </c>
      <c r="J20" s="40"/>
      <c r="K20" s="38">
        <f>ROUND((+I20-G20)/G20,3)</f>
        <v>5.6000000000000001E-2</v>
      </c>
      <c r="N20" s="49" t="s">
        <v>98</v>
      </c>
      <c r="O20" s="144">
        <f>SUM(O33,O46,O62,O53)</f>
        <v>9.42</v>
      </c>
      <c r="P20" s="48" t="str">
        <f>+N20</f>
        <v>Winter kW - Over 50</v>
      </c>
      <c r="Q20" s="144">
        <f>SUM(Q33,Q46,Q62,Q53)</f>
        <v>10.67</v>
      </c>
      <c r="R20" s="91"/>
      <c r="S20" s="25">
        <f>(Q20-O20)/O20</f>
        <v>0.1326963906581741</v>
      </c>
    </row>
    <row r="21" spans="1:19" ht="15.75" x14ac:dyDescent="0.25">
      <c r="A21" s="36"/>
      <c r="B21" s="40"/>
      <c r="C21" s="40"/>
      <c r="D21" s="40"/>
      <c r="E21" s="40"/>
      <c r="F21" s="40"/>
      <c r="G21" s="41"/>
      <c r="H21" s="41"/>
      <c r="I21" s="41"/>
      <c r="J21" s="37"/>
      <c r="K21" s="39"/>
      <c r="L21" s="36"/>
      <c r="M21" s="36"/>
      <c r="N21" s="49" t="s">
        <v>97</v>
      </c>
      <c r="O21" s="144">
        <f>SUM(O34,O46,O62,O53)</f>
        <v>6.29</v>
      </c>
      <c r="P21" s="48" t="str">
        <f>+N21</f>
        <v>Summer kW - Over 50</v>
      </c>
      <c r="Q21" s="144">
        <f>SUM(Q34,Q46,Q62,Q53)</f>
        <v>7.12</v>
      </c>
      <c r="R21" s="91"/>
      <c r="S21" s="25">
        <f>(Q21-O21)/O21</f>
        <v>0.13195548489666137</v>
      </c>
    </row>
    <row r="22" spans="1:19" ht="15.75" x14ac:dyDescent="0.25">
      <c r="A22" s="36"/>
      <c r="B22" s="40">
        <v>200</v>
      </c>
      <c r="C22" s="40"/>
      <c r="D22" s="40">
        <v>300</v>
      </c>
      <c r="E22" s="43">
        <f>ROUND((B$22*D22),0)</f>
        <v>60000</v>
      </c>
      <c r="F22" s="40"/>
      <c r="G22" s="41">
        <f>+O$10+IF($E22&lt;20000,$E22*O$14,20000*O$14+($E22-20000)*O$16)+IF($B22&gt;50,($B22-50)*O$22,0)</f>
        <v>5713.7578155537476</v>
      </c>
      <c r="H22" s="41"/>
      <c r="I22" s="41">
        <f>+Q$10+IF($E22&lt;20000,$E22*Q$14,20000*Q$14+($E22-20000)*Q$16)+IF($B22&gt;50,($B22-50)*Q$22,0)</f>
        <v>6070.643513434944</v>
      </c>
      <c r="J22" s="40"/>
      <c r="K22" s="38">
        <f>ROUND((+I22-G22)/G22,3)</f>
        <v>6.2E-2</v>
      </c>
      <c r="L22" s="36"/>
      <c r="M22" s="36"/>
      <c r="N22" s="49" t="s">
        <v>96</v>
      </c>
      <c r="O22" s="144">
        <f>SUM(O35)+AVERAGE(O46:O47)+AVERAGE(O53:O54)</f>
        <v>7.8899999999999988</v>
      </c>
      <c r="P22" s="48" t="str">
        <f>+N22</f>
        <v>Average kW - Over 50</v>
      </c>
      <c r="Q22" s="144">
        <f>SUM(Q35)+AVERAGE(Q46:Q47)+AVERAGE(Q53:Q54)</f>
        <v>8.93</v>
      </c>
      <c r="R22" s="91"/>
      <c r="S22" s="25">
        <f>(Q22-O22)/O22</f>
        <v>0.13181242078580496</v>
      </c>
    </row>
    <row r="23" spans="1:19" ht="15.75" x14ac:dyDescent="0.25">
      <c r="A23" s="36"/>
      <c r="B23" s="40">
        <f>+B22</f>
        <v>200</v>
      </c>
      <c r="C23" s="40"/>
      <c r="D23" s="40">
        <v>500</v>
      </c>
      <c r="E23" s="43">
        <f>ROUND((B$22*D23),0)</f>
        <v>100000</v>
      </c>
      <c r="F23" s="40"/>
      <c r="G23" s="41">
        <f>+O$10+IF($E23&lt;20000,$E23*O$14,20000*O$14+($E23-20000)*O$16)+IF($B23&gt;50,($B23-50)*O$22,0)</f>
        <v>8399.8556311074935</v>
      </c>
      <c r="H23" s="41"/>
      <c r="I23" s="41">
        <f>+Q$10+IF($E23&lt;20000,$E23*Q$14,20000*Q$14+($E23-20000)*Q$16)+IF($B23&gt;50,($B23-50)*Q$22,0)</f>
        <v>8897.3370268698891</v>
      </c>
      <c r="J23" s="40"/>
      <c r="K23" s="38">
        <f>ROUND((+I23-G23)/G23,3)</f>
        <v>5.8999999999999997E-2</v>
      </c>
      <c r="L23" s="36"/>
      <c r="M23" s="36"/>
      <c r="N23" s="48"/>
      <c r="O23" s="146"/>
      <c r="P23" s="48"/>
      <c r="Q23" s="146"/>
      <c r="R23" s="91"/>
    </row>
    <row r="24" spans="1:19" ht="15.75" x14ac:dyDescent="0.25">
      <c r="A24" s="36"/>
      <c r="B24" s="40">
        <f>+B23</f>
        <v>200</v>
      </c>
      <c r="C24" s="40"/>
      <c r="D24" s="40">
        <v>700</v>
      </c>
      <c r="E24" s="43">
        <f>ROUND((B$22*D24),0)</f>
        <v>140000</v>
      </c>
      <c r="F24" s="40"/>
      <c r="G24" s="41">
        <f>+O$10+IF($E24&lt;20000,$E24*O$14,20000*O$14+($E24-20000)*O$16)+IF($B24&gt;50,($B24-50)*O$22,0)</f>
        <v>11085.95344666124</v>
      </c>
      <c r="H24" s="41"/>
      <c r="I24" s="41">
        <f>+Q$10+IF($E24&lt;20000,$E24*Q$14,20000*Q$14+($E24-20000)*Q$16)+IF($B24&gt;50,($B24-50)*Q$22,0)</f>
        <v>11724.030540304831</v>
      </c>
      <c r="J24" s="40"/>
      <c r="K24" s="38">
        <f>ROUND((+I24-G24)/G24,3)</f>
        <v>5.8000000000000003E-2</v>
      </c>
      <c r="N24" s="48" t="s">
        <v>95</v>
      </c>
      <c r="O24" s="151">
        <f>+O36+O51+O58</f>
        <v>2.96E-3</v>
      </c>
      <c r="P24" s="48" t="str">
        <f>+N24</f>
        <v>kVarh</v>
      </c>
      <c r="Q24" s="151">
        <f>+Q36+Q51+Q58</f>
        <v>3.3500000000000001E-3</v>
      </c>
      <c r="R24" s="91"/>
      <c r="S24" s="25">
        <f>(Q24-O24)/O24</f>
        <v>0.1317567567567568</v>
      </c>
    </row>
    <row r="25" spans="1:19" ht="16.5" thickBot="1" x14ac:dyDescent="0.3">
      <c r="A25" s="36"/>
      <c r="B25" s="40"/>
      <c r="C25" s="40"/>
      <c r="D25" s="40"/>
      <c r="E25" s="40"/>
      <c r="F25" s="40"/>
      <c r="G25" s="41"/>
      <c r="H25" s="41"/>
      <c r="I25" s="41"/>
      <c r="J25" s="37"/>
      <c r="K25" s="39"/>
      <c r="L25" s="36"/>
      <c r="M25" s="36"/>
      <c r="N25" s="81" t="s">
        <v>17</v>
      </c>
      <c r="O25" s="152" t="s">
        <v>17</v>
      </c>
      <c r="P25" s="81" t="s">
        <v>17</v>
      </c>
      <c r="Q25" s="152" t="s">
        <v>17</v>
      </c>
      <c r="R25" s="91"/>
    </row>
    <row r="26" spans="1:19" ht="15.75" x14ac:dyDescent="0.25">
      <c r="A26" s="36"/>
      <c r="B26" s="40">
        <v>250</v>
      </c>
      <c r="C26" s="40"/>
      <c r="D26" s="40">
        <v>300</v>
      </c>
      <c r="E26" s="43">
        <f>ROUND((B$26*D26),0)</f>
        <v>75000</v>
      </c>
      <c r="F26" s="40"/>
      <c r="G26" s="41">
        <f>+O$10+IF($E26&lt;20000,$E26*O$14,20000*O$14+($E26-20000)*O$16)+IF($B26&gt;50,($B26-50)*O$22,0)</f>
        <v>7115.544496386402</v>
      </c>
      <c r="H26" s="41"/>
      <c r="I26" s="41">
        <f>+Q$10+IF($E26&lt;20000,$E26*Q$14,20000*Q$14+($E26-20000)*Q$16)+IF($B26&gt;50,($B26-50)*Q$22,0)</f>
        <v>7577.1535809730476</v>
      </c>
      <c r="J26" s="40"/>
      <c r="K26" s="38">
        <f>ROUND((+I26-G26)/G26,3)</f>
        <v>6.5000000000000002E-2</v>
      </c>
      <c r="L26" s="36"/>
      <c r="M26" s="36"/>
      <c r="R26" s="91"/>
    </row>
    <row r="27" spans="1:19" ht="15.75" x14ac:dyDescent="0.25">
      <c r="A27" s="36"/>
      <c r="B27" s="40">
        <f>+B26</f>
        <v>250</v>
      </c>
      <c r="C27" s="40"/>
      <c r="D27" s="40">
        <v>500</v>
      </c>
      <c r="E27" s="43">
        <f>ROUND((B$26*D27),0)</f>
        <v>125000</v>
      </c>
      <c r="F27" s="40"/>
      <c r="G27" s="41">
        <f>+O$10+IF($E27&lt;20000,$E27*O$14,20000*O$14+($E27-20000)*O$16)+IF($B27&gt;50,($B27-50)*O$22,0)</f>
        <v>10473.166765828584</v>
      </c>
      <c r="H27" s="41"/>
      <c r="I27" s="41">
        <f>+Q$10+IF($E27&lt;20000,$E27*Q$14,20000*Q$14+($E27-20000)*Q$16)+IF($B27&gt;50,($B27-50)*Q$22,0)</f>
        <v>11110.520472766728</v>
      </c>
      <c r="J27" s="40"/>
      <c r="K27" s="38">
        <f>ROUND((+I27-G27)/G27,3)</f>
        <v>6.0999999999999999E-2</v>
      </c>
      <c r="L27" s="36"/>
      <c r="M27" s="36"/>
      <c r="N27" s="34" t="str">
        <f>+N10</f>
        <v>Basic Charge</v>
      </c>
      <c r="O27" s="96">
        <v>52.3</v>
      </c>
      <c r="Q27" s="96">
        <v>55.27</v>
      </c>
      <c r="R27" s="91"/>
    </row>
    <row r="28" spans="1:19" ht="15.75" x14ac:dyDescent="0.25">
      <c r="A28" s="36"/>
      <c r="B28" s="40">
        <f>+B27</f>
        <v>250</v>
      </c>
      <c r="C28" s="40"/>
      <c r="D28" s="40">
        <v>700</v>
      </c>
      <c r="E28" s="43">
        <f>ROUND((B$26*D28),0)</f>
        <v>175000</v>
      </c>
      <c r="F28" s="40"/>
      <c r="G28" s="41">
        <f>+O$10+IF($E28&lt;20000,$E28*O$14,20000*O$14+($E28-20000)*O$16)+IF($B28&gt;50,($B28-50)*O$22,0)</f>
        <v>13830.789035270769</v>
      </c>
      <c r="H28" s="41"/>
      <c r="I28" s="41">
        <f>+Q$10+IF($E28&lt;20000,$E28*Q$14,20000*Q$14+($E28-20000)*Q$16)+IF($B28&gt;50,($B28-50)*Q$22,0)</f>
        <v>14643.887364560407</v>
      </c>
      <c r="J28" s="40"/>
      <c r="K28" s="38">
        <f>ROUND((+I28-G28)/G28,3)</f>
        <v>5.8999999999999997E-2</v>
      </c>
      <c r="N28" s="34" t="str">
        <f>+N12</f>
        <v>Winter kWh - First 20,000</v>
      </c>
      <c r="O28" s="92">
        <v>9.0753E-2</v>
      </c>
      <c r="Q28" s="92">
        <v>9.4302999999999998E-2</v>
      </c>
      <c r="R28" s="91"/>
    </row>
    <row r="29" spans="1:19" ht="15.75" x14ac:dyDescent="0.25">
      <c r="A29" s="36"/>
      <c r="B29" s="40"/>
      <c r="C29" s="40"/>
      <c r="D29" s="40"/>
      <c r="E29" s="40"/>
      <c r="F29" s="40"/>
      <c r="G29" s="41"/>
      <c r="H29" s="41"/>
      <c r="I29" s="41"/>
      <c r="J29" s="37"/>
      <c r="K29" s="39"/>
      <c r="L29" s="36"/>
      <c r="M29" s="36"/>
      <c r="N29" s="34" t="str">
        <f>+N13</f>
        <v>Summer kWh - First 20,000</v>
      </c>
      <c r="O29" s="92">
        <v>8.2225999999999994E-2</v>
      </c>
      <c r="Q29" s="92">
        <v>8.4644999999999998E-2</v>
      </c>
      <c r="R29" s="91"/>
    </row>
    <row r="30" spans="1:19" ht="15.75" x14ac:dyDescent="0.25">
      <c r="A30" s="36"/>
      <c r="B30" s="40">
        <v>300</v>
      </c>
      <c r="C30" s="40"/>
      <c r="D30" s="40">
        <v>300</v>
      </c>
      <c r="E30" s="43">
        <f>ROUND((B$30*D30),0)</f>
        <v>90000</v>
      </c>
      <c r="F30" s="40"/>
      <c r="G30" s="41">
        <f>+O$10+IF($E30&lt;20000,$E30*O$14,20000*O$14+($E30-20000)*O$16)+IF($B30&gt;50,($B30-50)*O$22,0)</f>
        <v>8517.3311772190555</v>
      </c>
      <c r="H30" s="41"/>
      <c r="I30" s="41">
        <f>+Q$10+IF($E30&lt;20000,$E30*Q$14,20000*Q$14+($E30-20000)*Q$16)+IF($B30&gt;50,($B30-50)*Q$22,0)</f>
        <v>9083.6636485111521</v>
      </c>
      <c r="J30" s="40"/>
      <c r="K30" s="38">
        <f>ROUND((+I30-G30)/G30,3)</f>
        <v>6.6000000000000003E-2</v>
      </c>
      <c r="L30" s="36"/>
      <c r="M30" s="36"/>
      <c r="N30" s="34" t="str">
        <f>+N14</f>
        <v>Average kWh - First 20,000</v>
      </c>
      <c r="O30" s="92">
        <v>8.6513000000000007E-2</v>
      </c>
      <c r="Q30" s="92">
        <v>8.9499999999999996E-2</v>
      </c>
      <c r="R30" s="91"/>
    </row>
    <row r="31" spans="1:19" ht="15.75" x14ac:dyDescent="0.25">
      <c r="A31" s="36"/>
      <c r="B31" s="40">
        <f>+B30</f>
        <v>300</v>
      </c>
      <c r="C31" s="40"/>
      <c r="D31" s="40">
        <v>500</v>
      </c>
      <c r="E31" s="43">
        <f>ROUND((B$30*D31),0)</f>
        <v>150000</v>
      </c>
      <c r="F31" s="40"/>
      <c r="G31" s="41">
        <f>+O$10+IF($E31&lt;20000,$E31*O$14,20000*O$14+($E31-20000)*O$16)+IF($B31&gt;50,($B31-50)*O$22,0)</f>
        <v>12546.477900549677</v>
      </c>
      <c r="H31" s="41"/>
      <c r="I31" s="41">
        <f>+Q$10+IF($E31&lt;20000,$E31*Q$14,20000*Q$14+($E31-20000)*Q$16)+IF($B31&gt;50,($B31-50)*Q$22,0)</f>
        <v>13323.703918663567</v>
      </c>
      <c r="J31" s="40"/>
      <c r="K31" s="38">
        <f>ROUND((+I31-G31)/G31,3)</f>
        <v>6.2E-2</v>
      </c>
      <c r="L31" s="36"/>
      <c r="M31" s="36"/>
      <c r="N31" s="34" t="str">
        <f>+N16</f>
        <v>kWh - All Over 20,000</v>
      </c>
      <c r="O31" s="92">
        <v>6.4072000000000004E-2</v>
      </c>
      <c r="Q31" s="92">
        <v>6.7708000000000004E-2</v>
      </c>
      <c r="R31" s="91"/>
    </row>
    <row r="32" spans="1:19" ht="15.75" x14ac:dyDescent="0.25">
      <c r="A32" s="36"/>
      <c r="B32" s="40">
        <f>+B31</f>
        <v>300</v>
      </c>
      <c r="C32" s="40"/>
      <c r="D32" s="40">
        <v>700</v>
      </c>
      <c r="E32" s="43">
        <f>ROUND((B$30*D32),0)</f>
        <v>210000</v>
      </c>
      <c r="F32" s="40"/>
      <c r="G32" s="41">
        <f>+O$10+IF($E32&lt;20000,$E32*O$14,20000*O$14+($E32-20000)*O$16)+IF($B32&gt;50,($B32-50)*O$22,0)</f>
        <v>16575.624623880296</v>
      </c>
      <c r="H32" s="41"/>
      <c r="I32" s="41">
        <f>+Q$10+IF($E32&lt;20000,$E32*Q$14,20000*Q$14+($E32-20000)*Q$16)+IF($B32&gt;50,($B32-50)*Q$22,0)</f>
        <v>17563.744188815981</v>
      </c>
      <c r="J32" s="40"/>
      <c r="K32" s="38">
        <f>ROUND((+I32-G32)/G32,3)</f>
        <v>0.06</v>
      </c>
      <c r="N32" s="34" t="str">
        <f>+N18</f>
        <v>kW - First 50</v>
      </c>
      <c r="O32" s="92">
        <v>0</v>
      </c>
      <c r="Q32" s="92">
        <v>0</v>
      </c>
      <c r="R32" s="91"/>
    </row>
    <row r="33" spans="1:18" ht="15.75" x14ac:dyDescent="0.25">
      <c r="A33" s="36"/>
      <c r="B33" s="40"/>
      <c r="C33" s="40"/>
      <c r="D33" s="40"/>
      <c r="E33" s="40"/>
      <c r="F33" s="40"/>
      <c r="G33" s="41"/>
      <c r="H33" s="41"/>
      <c r="I33" s="41"/>
      <c r="J33" s="37"/>
      <c r="K33" s="39"/>
      <c r="L33" s="36"/>
      <c r="M33" s="36"/>
      <c r="N33" s="34" t="str">
        <f>+N20</f>
        <v>Winter kW - Over 50</v>
      </c>
      <c r="O33" s="96">
        <v>9.42</v>
      </c>
      <c r="P33" s="96"/>
      <c r="Q33" s="96">
        <v>10.67</v>
      </c>
      <c r="R33" s="96"/>
    </row>
    <row r="34" spans="1:18" ht="15.75" x14ac:dyDescent="0.25">
      <c r="A34" s="36"/>
      <c r="B34" s="40">
        <v>350</v>
      </c>
      <c r="C34" s="40"/>
      <c r="D34" s="40">
        <v>300</v>
      </c>
      <c r="E34" s="43">
        <f>ROUND((B$34*D34),0)</f>
        <v>105000</v>
      </c>
      <c r="F34" s="40"/>
      <c r="G34" s="41">
        <f>+O$10+IF($E34&lt;20000,$E34*O$14,20000*O$14+($E34-20000)*O$16)+IF($B34&gt;50,($B34-50)*O$22,0)</f>
        <v>9919.1178580517117</v>
      </c>
      <c r="H34" s="41"/>
      <c r="I34" s="41">
        <f>+Q$10+IF($E34&lt;20000,$E34*Q$14,20000*Q$14+($E34-20000)*Q$16)+IF($B34&gt;50,($B34-50)*Q$22,0)</f>
        <v>10590.173716049256</v>
      </c>
      <c r="J34" s="40"/>
      <c r="K34" s="38">
        <f>ROUND((+I34-G34)/G34,3)</f>
        <v>6.8000000000000005E-2</v>
      </c>
      <c r="L34" s="36"/>
      <c r="M34" s="36"/>
      <c r="N34" s="34" t="str">
        <f t="shared" ref="N34:N35" si="0">+N21</f>
        <v>Summer kW - Over 50</v>
      </c>
      <c r="O34" s="96">
        <v>6.29</v>
      </c>
      <c r="P34" s="96"/>
      <c r="Q34" s="96">
        <v>7.12</v>
      </c>
      <c r="R34" s="96"/>
    </row>
    <row r="35" spans="1:18" ht="15.75" x14ac:dyDescent="0.25">
      <c r="A35" s="36"/>
      <c r="B35" s="40">
        <f>+B34</f>
        <v>350</v>
      </c>
      <c r="C35" s="40"/>
      <c r="D35" s="40">
        <v>500</v>
      </c>
      <c r="E35" s="43">
        <f>ROUND((B$34*D35),0)</f>
        <v>175000</v>
      </c>
      <c r="F35" s="40"/>
      <c r="G35" s="41">
        <f>+O$10+IF($E35&lt;20000,$E35*O$14,20000*O$14+($E35-20000)*O$16)+IF($B35&gt;50,($B35-50)*O$22,0)</f>
        <v>14619.789035270769</v>
      </c>
      <c r="H35" s="41"/>
      <c r="I35" s="41">
        <f>+Q$10+IF($E35&lt;20000,$E35*Q$14,20000*Q$14+($E35-20000)*Q$16)+IF($B35&gt;50,($B35-50)*Q$22,0)</f>
        <v>15536.887364560407</v>
      </c>
      <c r="J35" s="40"/>
      <c r="K35" s="38">
        <f>ROUND((+I35-G35)/G35,3)</f>
        <v>6.3E-2</v>
      </c>
      <c r="L35" s="36"/>
      <c r="M35" s="36"/>
      <c r="N35" s="34" t="str">
        <f t="shared" si="0"/>
        <v>Average kW - Over 50</v>
      </c>
      <c r="O35" s="96">
        <v>7.89</v>
      </c>
      <c r="P35" s="96"/>
      <c r="Q35" s="96">
        <v>8.93</v>
      </c>
      <c r="R35" s="96"/>
    </row>
    <row r="36" spans="1:18" ht="15.75" x14ac:dyDescent="0.25">
      <c r="A36" s="36"/>
      <c r="B36" s="40">
        <f>+B35</f>
        <v>350</v>
      </c>
      <c r="C36" s="40"/>
      <c r="D36" s="40">
        <v>700</v>
      </c>
      <c r="E36" s="43">
        <f>ROUND((B$34*D36),0)</f>
        <v>245000</v>
      </c>
      <c r="F36" s="40"/>
      <c r="G36" s="41">
        <f>+O$10+IF($E36&lt;20000,$E36*O$14,20000*O$14+($E36-20000)*O$16)+IF($B36&gt;50,($B36-50)*O$22,0)</f>
        <v>19320.460212489827</v>
      </c>
      <c r="H36" s="41"/>
      <c r="I36" s="41">
        <f>+Q$10+IF($E36&lt;20000,$E36*Q$14,20000*Q$14+($E36-20000)*Q$16)+IF($B36&gt;50,($B36-50)*Q$22,0)</f>
        <v>20483.601013071559</v>
      </c>
      <c r="J36" s="40"/>
      <c r="K36" s="38">
        <f>ROUND((+I36-G36)/G36,3)</f>
        <v>0.06</v>
      </c>
      <c r="N36" s="34" t="str">
        <f>+N24</f>
        <v>kVarh</v>
      </c>
      <c r="O36" s="97">
        <v>2.96E-3</v>
      </c>
      <c r="Q36" s="97">
        <v>3.3500000000000001E-3</v>
      </c>
    </row>
    <row r="37" spans="1:18" ht="15.75" x14ac:dyDescent="0.25">
      <c r="A37" s="36"/>
      <c r="B37" s="62"/>
      <c r="C37" s="62"/>
      <c r="D37" s="62"/>
      <c r="E37" s="62"/>
      <c r="F37" s="62"/>
      <c r="G37" s="62"/>
      <c r="H37" s="62"/>
      <c r="I37" s="62"/>
      <c r="J37" s="61"/>
      <c r="K37" s="61"/>
      <c r="L37" s="36"/>
      <c r="M37" s="36"/>
    </row>
    <row r="38" spans="1:18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8" ht="15.75" x14ac:dyDescent="0.25">
      <c r="B39" s="37" t="s">
        <v>47</v>
      </c>
      <c r="C39" s="37"/>
      <c r="D39" s="37"/>
      <c r="E39" s="37"/>
      <c r="F39" s="37"/>
      <c r="G39" s="37"/>
      <c r="H39" s="37"/>
      <c r="I39" s="37"/>
      <c r="J39" s="37"/>
      <c r="K39" s="37"/>
      <c r="N39" s="104" t="s">
        <v>57</v>
      </c>
      <c r="O39" s="98">
        <v>1.2110755297008581E-4</v>
      </c>
      <c r="P39" s="98"/>
      <c r="Q39" s="92">
        <v>0</v>
      </c>
    </row>
    <row r="40" spans="1:18" ht="16.5" x14ac:dyDescent="0.25">
      <c r="B40" s="102" t="s">
        <v>231</v>
      </c>
      <c r="C40" s="37"/>
      <c r="D40" s="37"/>
      <c r="E40" s="37"/>
      <c r="F40" s="37"/>
      <c r="G40" s="37"/>
      <c r="H40" s="37"/>
      <c r="I40" s="37"/>
      <c r="J40" s="37"/>
      <c r="K40" s="37"/>
      <c r="N40" s="104" t="s">
        <v>56</v>
      </c>
      <c r="O40" s="98">
        <v>-1.5679999999999999E-3</v>
      </c>
      <c r="P40" s="98"/>
      <c r="Q40" s="98">
        <f t="shared" ref="Q40:Q59" si="1">+O40</f>
        <v>-1.5679999999999999E-3</v>
      </c>
    </row>
    <row r="41" spans="1:18" ht="16.5" x14ac:dyDescent="0.25">
      <c r="A41" s="36"/>
      <c r="B41" s="102" t="s">
        <v>90</v>
      </c>
      <c r="N41" s="104" t="s">
        <v>55</v>
      </c>
      <c r="O41" s="98">
        <v>3.179E-3</v>
      </c>
      <c r="P41" s="98"/>
      <c r="Q41" s="98">
        <f t="shared" si="1"/>
        <v>3.179E-3</v>
      </c>
    </row>
    <row r="42" spans="1:18" x14ac:dyDescent="0.25">
      <c r="A42" s="36"/>
      <c r="B42" s="102" t="s">
        <v>196</v>
      </c>
      <c r="N42" s="104" t="s">
        <v>31</v>
      </c>
      <c r="O42" s="98">
        <v>7.9633783587359575E-4</v>
      </c>
      <c r="P42" s="98"/>
      <c r="Q42" s="98">
        <f t="shared" si="1"/>
        <v>7.9633783587359575E-4</v>
      </c>
    </row>
    <row r="43" spans="1:18" x14ac:dyDescent="0.25">
      <c r="A43" s="36"/>
      <c r="B43" s="102" t="s">
        <v>197</v>
      </c>
      <c r="N43" s="34" t="s">
        <v>53</v>
      </c>
      <c r="O43" s="98">
        <v>-6.0000000000000002E-5</v>
      </c>
      <c r="P43" s="98"/>
      <c r="Q43" s="98">
        <f t="shared" si="1"/>
        <v>-6.0000000000000002E-5</v>
      </c>
    </row>
    <row r="44" spans="1:18" x14ac:dyDescent="0.25">
      <c r="A44" s="36"/>
      <c r="N44" s="34" t="s">
        <v>35</v>
      </c>
      <c r="O44" s="98">
        <v>2.1359999999999999E-3</v>
      </c>
      <c r="P44" s="98"/>
      <c r="Q44" s="98">
        <f t="shared" si="1"/>
        <v>2.1359999999999999E-3</v>
      </c>
    </row>
    <row r="45" spans="1:18" x14ac:dyDescent="0.25">
      <c r="A45" s="36"/>
      <c r="B45" s="102"/>
      <c r="N45" s="104" t="s">
        <v>94</v>
      </c>
      <c r="O45" s="96">
        <v>0.51000000000000512</v>
      </c>
      <c r="P45" s="98"/>
      <c r="Q45" s="92">
        <v>0</v>
      </c>
    </row>
    <row r="46" spans="1:18" x14ac:dyDescent="0.25">
      <c r="A46" s="36"/>
      <c r="N46" s="104" t="s">
        <v>115</v>
      </c>
      <c r="O46" s="96">
        <v>0.33000000000000007</v>
      </c>
      <c r="P46" s="98"/>
      <c r="Q46" s="92">
        <v>0</v>
      </c>
    </row>
    <row r="47" spans="1:18" x14ac:dyDescent="0.25">
      <c r="A47" s="36"/>
      <c r="N47" s="104" t="s">
        <v>114</v>
      </c>
      <c r="O47" s="96">
        <v>0.21999999999999975</v>
      </c>
      <c r="P47" s="98"/>
      <c r="Q47" s="92">
        <v>0</v>
      </c>
    </row>
    <row r="48" spans="1:18" x14ac:dyDescent="0.25">
      <c r="A48" s="36"/>
      <c r="N48" s="104" t="s">
        <v>93</v>
      </c>
      <c r="O48" s="98">
        <v>9.4099999999999739E-4</v>
      </c>
      <c r="P48" s="98"/>
      <c r="Q48" s="92">
        <v>0</v>
      </c>
    </row>
    <row r="49" spans="1:17" x14ac:dyDescent="0.25">
      <c r="A49" s="36"/>
      <c r="N49" s="104" t="s">
        <v>92</v>
      </c>
      <c r="O49" s="98">
        <v>6.4100000000001656E-4</v>
      </c>
      <c r="P49" s="98"/>
      <c r="Q49" s="92">
        <v>0</v>
      </c>
    </row>
    <row r="50" spans="1:17" x14ac:dyDescent="0.25">
      <c r="N50" s="104" t="s">
        <v>91</v>
      </c>
      <c r="O50" s="98">
        <v>0</v>
      </c>
      <c r="P50" s="98"/>
      <c r="Q50" s="92">
        <v>0</v>
      </c>
    </row>
    <row r="51" spans="1:17" x14ac:dyDescent="0.25">
      <c r="N51" s="34" t="s">
        <v>204</v>
      </c>
      <c r="O51" s="97">
        <v>9.9999999999999829E-5</v>
      </c>
      <c r="P51" s="98"/>
      <c r="Q51" s="92">
        <v>0</v>
      </c>
    </row>
    <row r="52" spans="1:17" x14ac:dyDescent="0.25">
      <c r="N52" s="104" t="s">
        <v>201</v>
      </c>
      <c r="O52" s="96">
        <v>-0.51000000000000512</v>
      </c>
      <c r="P52" s="98"/>
      <c r="Q52" s="92">
        <v>0</v>
      </c>
    </row>
    <row r="53" spans="1:17" x14ac:dyDescent="0.25">
      <c r="N53" s="104" t="s">
        <v>202</v>
      </c>
      <c r="O53" s="96">
        <v>-0.33000000000000007</v>
      </c>
      <c r="P53" s="98"/>
      <c r="Q53" s="92">
        <v>0</v>
      </c>
    </row>
    <row r="54" spans="1:17" x14ac:dyDescent="0.25">
      <c r="N54" s="104" t="s">
        <v>203</v>
      </c>
      <c r="O54" s="96">
        <v>-0.21999999999999975</v>
      </c>
      <c r="P54" s="98"/>
      <c r="Q54" s="92">
        <v>0</v>
      </c>
    </row>
    <row r="55" spans="1:17" x14ac:dyDescent="0.25">
      <c r="N55" s="104" t="s">
        <v>198</v>
      </c>
      <c r="O55" s="98">
        <v>-9.4099999999999739E-4</v>
      </c>
      <c r="P55" s="98"/>
      <c r="Q55" s="92">
        <v>0</v>
      </c>
    </row>
    <row r="56" spans="1:17" x14ac:dyDescent="0.25">
      <c r="N56" s="104" t="s">
        <v>199</v>
      </c>
      <c r="O56" s="98">
        <v>-6.4100000000001656E-4</v>
      </c>
      <c r="P56" s="98"/>
      <c r="Q56" s="92">
        <v>0</v>
      </c>
    </row>
    <row r="57" spans="1:17" x14ac:dyDescent="0.25">
      <c r="N57" s="104" t="s">
        <v>200</v>
      </c>
      <c r="O57" s="98">
        <v>0</v>
      </c>
      <c r="P57" s="98"/>
      <c r="Q57" s="92">
        <v>0</v>
      </c>
    </row>
    <row r="58" spans="1:17" x14ac:dyDescent="0.25">
      <c r="N58" s="34" t="s">
        <v>205</v>
      </c>
      <c r="O58" s="97">
        <v>-9.9999999999999829E-5</v>
      </c>
      <c r="P58" s="98"/>
      <c r="Q58" s="92">
        <v>0</v>
      </c>
    </row>
    <row r="59" spans="1:17" x14ac:dyDescent="0.25">
      <c r="N59" s="104" t="s">
        <v>188</v>
      </c>
      <c r="O59" s="98">
        <v>-8.6700000000000004E-4</v>
      </c>
      <c r="P59" s="98"/>
      <c r="Q59" s="98">
        <f t="shared" si="1"/>
        <v>-8.6700000000000004E-4</v>
      </c>
    </row>
    <row r="60" spans="1:17" x14ac:dyDescent="0.25">
      <c r="N60" s="34" t="s">
        <v>37</v>
      </c>
      <c r="O60" s="98">
        <v>-6.5700000000000003E-4</v>
      </c>
      <c r="P60" s="98"/>
      <c r="Q60" s="98">
        <f>+O60</f>
        <v>-6.5700000000000003E-4</v>
      </c>
    </row>
    <row r="62" spans="1:17" x14ac:dyDescent="0.25">
      <c r="N62" s="104"/>
      <c r="O62" s="92"/>
      <c r="Q62" s="91"/>
    </row>
    <row r="63" spans="1:17" x14ac:dyDescent="0.25">
      <c r="N63" s="22" t="s">
        <v>147</v>
      </c>
      <c r="O63" s="21">
        <v>5.6745531373074247E-2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34" customWidth="1"/>
    <col min="2" max="2" width="67.85546875" style="34" bestFit="1" customWidth="1"/>
    <col min="3" max="3" width="2.7109375" style="34" customWidth="1"/>
    <col min="4" max="4" width="14.85546875" style="34" bestFit="1" customWidth="1"/>
    <col min="5" max="5" width="9.140625" style="34" bestFit="1" customWidth="1"/>
    <col min="6" max="6" width="3.85546875" style="34" customWidth="1"/>
    <col min="7" max="7" width="13.85546875" style="34" bestFit="1" customWidth="1"/>
    <col min="8" max="8" width="4" style="34" customWidth="1"/>
    <col min="9" max="9" width="13.85546875" style="34" bestFit="1" customWidth="1"/>
    <col min="10" max="10" width="5" style="34" customWidth="1"/>
    <col min="11" max="11" width="11" style="34" bestFit="1" customWidth="1"/>
    <col min="12" max="12" width="2.7109375" style="34" customWidth="1"/>
    <col min="13" max="13" width="3.28515625" style="34" customWidth="1"/>
    <col min="14" max="14" width="44.5703125" style="34" bestFit="1" customWidth="1"/>
    <col min="15" max="17" width="12.42578125" style="34" bestFit="1" customWidth="1"/>
    <col min="18" max="18" width="2.42578125" style="34" customWidth="1"/>
    <col min="19" max="19" width="5.7109375" style="34" bestFit="1" customWidth="1"/>
    <col min="20" max="16384" width="9.42578125" style="34"/>
  </cols>
  <sheetData>
    <row r="1" spans="1:19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9"/>
      <c r="M1" s="69"/>
    </row>
    <row r="2" spans="1:19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9"/>
      <c r="M2" s="69"/>
    </row>
    <row r="3" spans="1:19" ht="20.25" x14ac:dyDescent="0.3">
      <c r="B3" s="60" t="s">
        <v>120</v>
      </c>
      <c r="C3" s="60"/>
      <c r="D3" s="60"/>
      <c r="E3" s="60"/>
      <c r="F3" s="60"/>
      <c r="G3" s="60"/>
      <c r="H3" s="60"/>
      <c r="I3" s="60"/>
      <c r="J3" s="60"/>
      <c r="K3" s="60"/>
      <c r="L3" s="69"/>
      <c r="M3" s="69"/>
    </row>
    <row r="4" spans="1:19" ht="20.25" x14ac:dyDescent="0.3">
      <c r="B4" s="70" t="s">
        <v>121</v>
      </c>
      <c r="C4" s="60"/>
      <c r="D4" s="60"/>
      <c r="E4" s="60"/>
      <c r="F4" s="60"/>
      <c r="G4" s="60"/>
      <c r="H4" s="60"/>
      <c r="I4" s="60"/>
      <c r="J4" s="60"/>
      <c r="K4" s="60"/>
      <c r="L4" s="69"/>
      <c r="M4" s="69"/>
    </row>
    <row r="5" spans="1:19" x14ac:dyDescent="0.25">
      <c r="A5" s="36"/>
      <c r="B5" s="68"/>
    </row>
    <row r="6" spans="1:19" ht="15.75" x14ac:dyDescent="0.25">
      <c r="A6" s="36"/>
      <c r="B6" s="66" t="s">
        <v>110</v>
      </c>
      <c r="C6" s="40"/>
      <c r="D6" s="40"/>
      <c r="E6" s="40"/>
      <c r="F6" s="40"/>
      <c r="G6" s="125" t="s">
        <v>109</v>
      </c>
      <c r="H6" s="126"/>
      <c r="I6" s="126"/>
      <c r="J6" s="40"/>
      <c r="K6" s="37"/>
      <c r="L6" s="36"/>
      <c r="M6" s="36"/>
    </row>
    <row r="7" spans="1:19" ht="16.5" thickBot="1" x14ac:dyDescent="0.3">
      <c r="A7" s="36"/>
      <c r="B7" s="67" t="s">
        <v>108</v>
      </c>
      <c r="C7" s="57"/>
      <c r="D7" s="66" t="s">
        <v>107</v>
      </c>
      <c r="E7" s="40"/>
      <c r="F7" s="40"/>
      <c r="G7" s="65" t="s">
        <v>106</v>
      </c>
      <c r="H7" s="37"/>
      <c r="I7" s="65" t="s">
        <v>19</v>
      </c>
      <c r="J7" s="40"/>
      <c r="K7" s="57" t="s">
        <v>85</v>
      </c>
      <c r="L7" s="36"/>
      <c r="M7" s="36"/>
    </row>
    <row r="8" spans="1:19" ht="16.5" x14ac:dyDescent="0.25">
      <c r="A8" s="36"/>
      <c r="B8" s="54" t="s">
        <v>105</v>
      </c>
      <c r="C8" s="52"/>
      <c r="D8" s="64" t="s">
        <v>104</v>
      </c>
      <c r="E8" s="54" t="s">
        <v>65</v>
      </c>
      <c r="F8" s="40"/>
      <c r="G8" s="63" t="s">
        <v>158</v>
      </c>
      <c r="H8" s="63"/>
      <c r="I8" s="63" t="s">
        <v>159</v>
      </c>
      <c r="J8" s="40"/>
      <c r="K8" s="55" t="s">
        <v>20</v>
      </c>
      <c r="L8" s="36"/>
      <c r="M8" s="36"/>
      <c r="N8" s="121" t="s">
        <v>82</v>
      </c>
      <c r="O8" s="123"/>
      <c r="P8" s="124" t="s">
        <v>81</v>
      </c>
      <c r="Q8" s="123"/>
      <c r="R8" s="91"/>
    </row>
    <row r="9" spans="1:19" ht="15.75" x14ac:dyDescent="0.25">
      <c r="A9" s="36"/>
      <c r="B9" s="40"/>
      <c r="C9" s="40"/>
      <c r="D9" s="40"/>
      <c r="E9" s="40"/>
      <c r="F9" s="40"/>
      <c r="G9" s="52"/>
      <c r="H9" s="52"/>
      <c r="I9" s="52"/>
      <c r="J9" s="37"/>
      <c r="K9" s="37"/>
      <c r="N9" s="48"/>
      <c r="O9" s="50"/>
      <c r="P9" s="26"/>
      <c r="Q9" s="50"/>
      <c r="R9" s="91"/>
    </row>
    <row r="10" spans="1:19" ht="15.75" x14ac:dyDescent="0.25">
      <c r="A10" s="36"/>
      <c r="B10" s="40">
        <v>350</v>
      </c>
      <c r="C10" s="40"/>
      <c r="D10" s="40">
        <v>300</v>
      </c>
      <c r="E10" s="43">
        <f>ROUND((B$10*D10),0)</f>
        <v>105000</v>
      </c>
      <c r="F10" s="40"/>
      <c r="G10" s="41">
        <f>+O$10+$B10*O$16+$E10*O$12</f>
        <v>10069.204220742842</v>
      </c>
      <c r="H10" s="41"/>
      <c r="I10" s="41">
        <f>+Q$10+$B10*Q$16+$E10*Q$12</f>
        <v>10596.605840546661</v>
      </c>
      <c r="J10" s="40"/>
      <c r="K10" s="38">
        <f>ROUND((+I10-G10)/G10,3)</f>
        <v>5.1999999999999998E-2</v>
      </c>
      <c r="L10" s="36"/>
      <c r="M10" s="36"/>
      <c r="N10" s="48" t="s">
        <v>78</v>
      </c>
      <c r="O10" s="144">
        <f>SUM(O21,O34,O39)</f>
        <v>105.74</v>
      </c>
      <c r="P10" s="48" t="str">
        <f>+N10</f>
        <v>Basic Charge</v>
      </c>
      <c r="Q10" s="144">
        <f>SUM(Q21,Q34,Q39)</f>
        <v>111.74</v>
      </c>
      <c r="R10" s="47"/>
      <c r="S10" s="25">
        <f>(Q10-O10)/O10</f>
        <v>5.6742954416493289E-2</v>
      </c>
    </row>
    <row r="11" spans="1:19" ht="15.75" x14ac:dyDescent="0.25">
      <c r="A11" s="36"/>
      <c r="B11" s="40">
        <f>+B10</f>
        <v>350</v>
      </c>
      <c r="C11" s="40"/>
      <c r="D11" s="40">
        <v>500</v>
      </c>
      <c r="E11" s="43">
        <f>ROUND((B$10*D11),0)</f>
        <v>175000</v>
      </c>
      <c r="F11" s="40"/>
      <c r="G11" s="41">
        <f>+O$10+$B11*O$16+$E11*O$12</f>
        <v>14329.180367904737</v>
      </c>
      <c r="H11" s="41"/>
      <c r="I11" s="41">
        <f>+Q$10+$B11*Q$16+$E11*Q$12</f>
        <v>15073.516400911103</v>
      </c>
      <c r="J11" s="40"/>
      <c r="K11" s="38">
        <f>ROUND((+I11-G11)/G11,3)</f>
        <v>5.1999999999999998E-2</v>
      </c>
      <c r="L11" s="36"/>
      <c r="M11" s="36"/>
      <c r="N11" s="48"/>
      <c r="O11" s="150"/>
      <c r="P11" s="26"/>
      <c r="Q11" s="150"/>
      <c r="R11" s="91"/>
    </row>
    <row r="12" spans="1:19" ht="15.75" x14ac:dyDescent="0.25">
      <c r="A12" s="36"/>
      <c r="B12" s="40">
        <f>+B11</f>
        <v>350</v>
      </c>
      <c r="C12" s="40"/>
      <c r="D12" s="40">
        <v>700</v>
      </c>
      <c r="E12" s="43">
        <f>ROUND((B$10*D12),0)</f>
        <v>245000</v>
      </c>
      <c r="F12" s="40"/>
      <c r="G12" s="41">
        <f>+O$10+$B12*O$16+$E12*O$12</f>
        <v>18589.156515066632</v>
      </c>
      <c r="H12" s="41"/>
      <c r="I12" s="41">
        <f>+Q$10+$B12*Q$16+$E12*Q$12</f>
        <v>19550.426961275545</v>
      </c>
      <c r="J12" s="40"/>
      <c r="K12" s="38">
        <f>ROUND((+I12-G12)/G12,3)</f>
        <v>5.1999999999999998E-2</v>
      </c>
      <c r="N12" s="49" t="s">
        <v>119</v>
      </c>
      <c r="O12" s="146">
        <f>SUM(O22,O28:O33,O44,O35,O40,O45)</f>
        <v>6.0856802102312785E-2</v>
      </c>
      <c r="P12" s="48" t="str">
        <f>+N12</f>
        <v>kWh - All</v>
      </c>
      <c r="Q12" s="146">
        <f>SUM(Q22,Q28:Q33,Q44,Q35,Q40,Q45)</f>
        <v>6.3955865148063451E-2</v>
      </c>
      <c r="R12" s="91"/>
      <c r="S12" s="25">
        <f>(Q12-O12)/O12</f>
        <v>5.0923856310104904E-2</v>
      </c>
    </row>
    <row r="13" spans="1:19" x14ac:dyDescent="0.25">
      <c r="A13" s="36"/>
      <c r="L13" s="36"/>
      <c r="M13" s="36"/>
      <c r="N13" s="49"/>
      <c r="O13" s="146"/>
      <c r="P13" s="49"/>
      <c r="Q13" s="146"/>
      <c r="R13" s="91"/>
      <c r="S13" s="27"/>
    </row>
    <row r="14" spans="1:19" ht="15.75" x14ac:dyDescent="0.25">
      <c r="A14" s="36"/>
      <c r="B14" s="40">
        <f>+B12+50</f>
        <v>400</v>
      </c>
      <c r="C14" s="40"/>
      <c r="D14" s="40">
        <v>300</v>
      </c>
      <c r="E14" s="43">
        <f>ROUND((B$14*D14),0)</f>
        <v>120000</v>
      </c>
      <c r="F14" s="40"/>
      <c r="G14" s="41">
        <f>+O$10+$B14*O$16+$E14*O$12</f>
        <v>11492.556252277534</v>
      </c>
      <c r="H14" s="41"/>
      <c r="I14" s="41">
        <f>+Q$10+$B14*Q$16+$E14*Q$12</f>
        <v>12094.443817767613</v>
      </c>
      <c r="J14" s="40"/>
      <c r="K14" s="38">
        <f>ROUND((+I14-G14)/G14,3)</f>
        <v>5.1999999999999998E-2</v>
      </c>
      <c r="L14" s="36"/>
      <c r="M14" s="36"/>
      <c r="N14" s="49" t="s">
        <v>118</v>
      </c>
      <c r="O14" s="144">
        <f>SUM(O23,O36,O46,O41)</f>
        <v>12.28</v>
      </c>
      <c r="P14" s="48" t="str">
        <f>+N14</f>
        <v>Winter kW</v>
      </c>
      <c r="Q14" s="144">
        <f>SUM(Q23,Q36,Q46,Q41)</f>
        <v>12.959999999999999</v>
      </c>
      <c r="R14" s="91"/>
      <c r="S14" s="25">
        <f>(Q14-O14)/O14</f>
        <v>5.5374592833876204E-2</v>
      </c>
    </row>
    <row r="15" spans="1:19" ht="15.75" x14ac:dyDescent="0.25">
      <c r="A15" s="36"/>
      <c r="B15" s="40">
        <f>+B14</f>
        <v>400</v>
      </c>
      <c r="C15" s="40"/>
      <c r="D15" s="40">
        <v>500</v>
      </c>
      <c r="E15" s="43">
        <f>ROUND((B$14*D15),0)</f>
        <v>200000</v>
      </c>
      <c r="F15" s="40"/>
      <c r="G15" s="41">
        <f>+O$10+$B15*O$16+$E15*O$12</f>
        <v>16361.100420462557</v>
      </c>
      <c r="H15" s="41"/>
      <c r="I15" s="41">
        <f>+Q$10+$B15*Q$16+$E15*Q$12</f>
        <v>17210.91302961269</v>
      </c>
      <c r="J15" s="40"/>
      <c r="K15" s="38">
        <f>ROUND((+I15-G15)/G15,3)</f>
        <v>5.1999999999999998E-2</v>
      </c>
      <c r="L15" s="36"/>
      <c r="M15" s="36"/>
      <c r="N15" s="49" t="s">
        <v>117</v>
      </c>
      <c r="O15" s="144">
        <f>SUM(O24,O37,O46,O41)</f>
        <v>8.26</v>
      </c>
      <c r="P15" s="48" t="str">
        <f>+N15</f>
        <v>Summer kW</v>
      </c>
      <c r="Q15" s="144">
        <f>SUM(Q24,Q37,Q46,Q41)</f>
        <v>8.76</v>
      </c>
      <c r="R15" s="91"/>
      <c r="S15" s="25">
        <f>(Q15-O15)/O15</f>
        <v>6.0532687651331719E-2</v>
      </c>
    </row>
    <row r="16" spans="1:19" ht="15.75" x14ac:dyDescent="0.25">
      <c r="A16" s="36"/>
      <c r="B16" s="40">
        <f>+B15</f>
        <v>400</v>
      </c>
      <c r="C16" s="40"/>
      <c r="D16" s="40">
        <v>700</v>
      </c>
      <c r="E16" s="43">
        <f>ROUND((B$14*D16),0)</f>
        <v>280000</v>
      </c>
      <c r="F16" s="40"/>
      <c r="G16" s="41">
        <f>+O$10+$B16*O$16+$E16*O$12</f>
        <v>21229.644588647581</v>
      </c>
      <c r="H16" s="41"/>
      <c r="I16" s="41">
        <f>+Q$10+$B16*Q$16+$E16*Q$12</f>
        <v>22327.382241457766</v>
      </c>
      <c r="J16" s="40"/>
      <c r="K16" s="38">
        <f>ROUND((+I16-G16)/G16,3)</f>
        <v>5.1999999999999998E-2</v>
      </c>
      <c r="N16" s="49" t="s">
        <v>116</v>
      </c>
      <c r="O16" s="144">
        <f>ROUND(SUM(O25,O46)+AVERAGE(O36:O37)+AVERAGE(O41:O42),2)</f>
        <v>10.210000000000001</v>
      </c>
      <c r="P16" s="48" t="str">
        <f>+N16</f>
        <v>Average kW</v>
      </c>
      <c r="Q16" s="144">
        <f>ROUND(SUM(Q25,Q46)+AVERAGE(Q36:Q37)+AVERAGE(Q41:Q42),2)</f>
        <v>10.77</v>
      </c>
      <c r="R16" s="91"/>
      <c r="S16" s="25">
        <f>(Q16-O16)/O16</f>
        <v>5.4848188050930329E-2</v>
      </c>
    </row>
    <row r="17" spans="1:19" ht="15.75" x14ac:dyDescent="0.25">
      <c r="A17" s="36"/>
      <c r="B17" s="40"/>
      <c r="C17" s="40"/>
      <c r="D17" s="40"/>
      <c r="E17" s="40"/>
      <c r="F17" s="40"/>
      <c r="G17" s="41"/>
      <c r="H17" s="41"/>
      <c r="I17" s="41"/>
      <c r="J17" s="37"/>
      <c r="K17" s="39"/>
      <c r="L17" s="36"/>
      <c r="M17" s="36"/>
      <c r="N17" s="48"/>
      <c r="O17" s="146"/>
      <c r="P17" s="48"/>
      <c r="Q17" s="146"/>
      <c r="R17" s="91"/>
    </row>
    <row r="18" spans="1:19" ht="15.75" x14ac:dyDescent="0.25">
      <c r="A18" s="36"/>
      <c r="B18" s="40">
        <f>+B16+100</f>
        <v>500</v>
      </c>
      <c r="C18" s="40"/>
      <c r="D18" s="40">
        <v>300</v>
      </c>
      <c r="E18" s="43">
        <f>ROUND((B$18*D18),0)</f>
        <v>150000</v>
      </c>
      <c r="F18" s="40"/>
      <c r="G18" s="41">
        <f>+O$10+$B18*O$16+$E18*O$12</f>
        <v>14339.260315346917</v>
      </c>
      <c r="H18" s="41"/>
      <c r="I18" s="41">
        <f>+Q$10+$B18*Q$16+$E18*Q$12</f>
        <v>15090.119772209517</v>
      </c>
      <c r="J18" s="40"/>
      <c r="K18" s="38">
        <f>ROUND((+I18-G18)/G18,3)</f>
        <v>5.1999999999999998E-2</v>
      </c>
      <c r="L18" s="36"/>
      <c r="M18" s="36"/>
      <c r="N18" s="48" t="s">
        <v>95</v>
      </c>
      <c r="O18" s="151">
        <f>SUM(O26,O38,O43)</f>
        <v>1.2600000000000001E-3</v>
      </c>
      <c r="P18" s="48" t="str">
        <f>+N18</f>
        <v>kVarh</v>
      </c>
      <c r="Q18" s="151">
        <f>SUM(Q26,Q38,Q43)</f>
        <v>1.33E-3</v>
      </c>
      <c r="R18" s="91"/>
      <c r="S18" s="25">
        <f>(Q18-O18)/O18</f>
        <v>5.5555555555555525E-2</v>
      </c>
    </row>
    <row r="19" spans="1:19" ht="16.5" thickBot="1" x14ac:dyDescent="0.3">
      <c r="A19" s="36"/>
      <c r="B19" s="40">
        <f>+B18</f>
        <v>500</v>
      </c>
      <c r="C19" s="40"/>
      <c r="D19" s="40">
        <v>500</v>
      </c>
      <c r="E19" s="43">
        <f>ROUND((B$18*D19),0)</f>
        <v>250000</v>
      </c>
      <c r="F19" s="40"/>
      <c r="G19" s="41">
        <f>+O$10+$B19*O$16+$E19*O$12</f>
        <v>20424.940525578197</v>
      </c>
      <c r="H19" s="41"/>
      <c r="I19" s="41">
        <f>+Q$10+$B19*Q$16+$E19*Q$12</f>
        <v>21485.706287015862</v>
      </c>
      <c r="J19" s="40"/>
      <c r="K19" s="38">
        <f>ROUND((+I19-G19)/G19,3)</f>
        <v>5.1999999999999998E-2</v>
      </c>
      <c r="L19" s="36"/>
      <c r="M19" s="36"/>
      <c r="N19" s="81" t="s">
        <v>17</v>
      </c>
      <c r="O19" s="152" t="s">
        <v>17</v>
      </c>
      <c r="P19" s="81" t="s">
        <v>17</v>
      </c>
      <c r="Q19" s="152" t="s">
        <v>17</v>
      </c>
      <c r="R19" s="91"/>
    </row>
    <row r="20" spans="1:19" ht="15.75" x14ac:dyDescent="0.25">
      <c r="A20" s="36"/>
      <c r="B20" s="40">
        <f>+B19</f>
        <v>500</v>
      </c>
      <c r="C20" s="40"/>
      <c r="D20" s="40">
        <v>700</v>
      </c>
      <c r="E20" s="43">
        <f>ROUND((B$18*D20),0)</f>
        <v>350000</v>
      </c>
      <c r="F20" s="40"/>
      <c r="G20" s="41">
        <f>+O$10+$B20*O$16+$E20*O$12</f>
        <v>26510.620735809476</v>
      </c>
      <c r="H20" s="41"/>
      <c r="I20" s="41">
        <f>+Q$10+$B20*Q$16+$E20*Q$12</f>
        <v>27881.292801822208</v>
      </c>
      <c r="J20" s="40"/>
      <c r="K20" s="38">
        <f>ROUND((+I20-G20)/G20,3)</f>
        <v>5.1999999999999998E-2</v>
      </c>
      <c r="R20" s="91"/>
    </row>
    <row r="21" spans="1:19" ht="15.75" x14ac:dyDescent="0.25">
      <c r="A21" s="36"/>
      <c r="B21" s="40"/>
      <c r="C21" s="40"/>
      <c r="D21" s="40"/>
      <c r="E21" s="40"/>
      <c r="F21" s="40"/>
      <c r="G21" s="41"/>
      <c r="H21" s="41"/>
      <c r="I21" s="41"/>
      <c r="J21" s="37"/>
      <c r="K21" s="39"/>
      <c r="L21" s="36"/>
      <c r="M21" s="36"/>
      <c r="N21" s="34" t="str">
        <f>+N10</f>
        <v>Basic Charge</v>
      </c>
      <c r="O21" s="96">
        <v>105.74</v>
      </c>
      <c r="P21" s="92"/>
      <c r="Q21" s="96">
        <v>111.74</v>
      </c>
      <c r="R21" s="91"/>
      <c r="S21" s="25"/>
    </row>
    <row r="22" spans="1:19" ht="15.75" x14ac:dyDescent="0.25">
      <c r="A22" s="36"/>
      <c r="B22" s="40">
        <f>+B20+100</f>
        <v>600</v>
      </c>
      <c r="C22" s="40"/>
      <c r="D22" s="40">
        <v>300</v>
      </c>
      <c r="E22" s="43">
        <f>ROUND((B$22*D22),0)</f>
        <v>180000</v>
      </c>
      <c r="F22" s="40"/>
      <c r="G22" s="41">
        <f>+O$10+$B22*O$16+$E22*O$12</f>
        <v>17185.964378416302</v>
      </c>
      <c r="H22" s="41"/>
      <c r="I22" s="41">
        <f>+Q$10+$B22*Q$16+$E22*Q$12</f>
        <v>18085.79572665142</v>
      </c>
      <c r="J22" s="40"/>
      <c r="K22" s="38">
        <f>ROUND((+I22-G22)/G22,3)</f>
        <v>5.1999999999999998E-2</v>
      </c>
      <c r="L22" s="36"/>
      <c r="M22" s="36"/>
      <c r="N22" s="34" t="str">
        <f>+N12</f>
        <v>kWh - All</v>
      </c>
      <c r="O22" s="92">
        <v>5.7180999999999996E-2</v>
      </c>
      <c r="P22" s="92"/>
      <c r="Q22" s="92">
        <v>6.0413000000000001E-2</v>
      </c>
      <c r="R22" s="91"/>
      <c r="S22" s="25"/>
    </row>
    <row r="23" spans="1:19" ht="15.75" x14ac:dyDescent="0.25">
      <c r="A23" s="36"/>
      <c r="B23" s="40">
        <f>+B22</f>
        <v>600</v>
      </c>
      <c r="C23" s="40"/>
      <c r="D23" s="40">
        <v>500</v>
      </c>
      <c r="E23" s="43">
        <f>ROUND((B$22*D23),0)</f>
        <v>300000</v>
      </c>
      <c r="F23" s="40"/>
      <c r="G23" s="41">
        <f>+O$10+$B23*O$16+$E23*O$12</f>
        <v>24488.780630693836</v>
      </c>
      <c r="H23" s="41"/>
      <c r="I23" s="41">
        <f>+Q$10+$B23*Q$16+$E23*Q$12</f>
        <v>25760.499544419035</v>
      </c>
      <c r="J23" s="40"/>
      <c r="K23" s="38">
        <f>ROUND((+I23-G23)/G23,3)</f>
        <v>5.1999999999999998E-2</v>
      </c>
      <c r="L23" s="36"/>
      <c r="M23" s="36"/>
      <c r="N23" s="34" t="str">
        <f>+N14</f>
        <v>Winter kW</v>
      </c>
      <c r="O23" s="96">
        <v>11.91</v>
      </c>
      <c r="P23" s="92"/>
      <c r="Q23" s="96">
        <v>12.59</v>
      </c>
      <c r="R23" s="91"/>
      <c r="S23" s="25"/>
    </row>
    <row r="24" spans="1:19" ht="15.75" x14ac:dyDescent="0.25">
      <c r="A24" s="36"/>
      <c r="B24" s="40">
        <f>+B23</f>
        <v>600</v>
      </c>
      <c r="C24" s="40"/>
      <c r="D24" s="40">
        <v>700</v>
      </c>
      <c r="E24" s="43">
        <f>ROUND((B$22*D24),0)</f>
        <v>420000</v>
      </c>
      <c r="F24" s="40"/>
      <c r="G24" s="41">
        <f>+O$10+$B24*O$16+$E24*O$12</f>
        <v>31791.596882971371</v>
      </c>
      <c r="H24" s="41"/>
      <c r="I24" s="41">
        <f>+Q$10+$B24*Q$16+$E24*Q$12</f>
        <v>33435.20336218665</v>
      </c>
      <c r="J24" s="40"/>
      <c r="K24" s="38">
        <f>ROUND((+I24-G24)/G24,3)</f>
        <v>5.1999999999999998E-2</v>
      </c>
      <c r="N24" s="34" t="str">
        <f>+N15</f>
        <v>Summer kW</v>
      </c>
      <c r="O24" s="96">
        <v>7.94</v>
      </c>
      <c r="P24" s="92"/>
      <c r="Q24" s="96">
        <v>8.39</v>
      </c>
      <c r="R24" s="91"/>
      <c r="S24" s="25"/>
    </row>
    <row r="25" spans="1:19" ht="15.75" x14ac:dyDescent="0.25">
      <c r="A25" s="36"/>
      <c r="B25" s="40"/>
      <c r="C25" s="40"/>
      <c r="D25" s="40"/>
      <c r="E25" s="40"/>
      <c r="F25" s="40"/>
      <c r="G25" s="41"/>
      <c r="H25" s="41"/>
      <c r="I25" s="41"/>
      <c r="J25" s="37"/>
      <c r="K25" s="39"/>
      <c r="L25" s="36"/>
      <c r="M25" s="36"/>
      <c r="N25" s="34" t="str">
        <f>+N16</f>
        <v>Average kW</v>
      </c>
      <c r="O25" s="96">
        <v>9.84</v>
      </c>
      <c r="P25" s="92"/>
      <c r="Q25" s="96">
        <v>10.4</v>
      </c>
      <c r="R25" s="91"/>
      <c r="S25" s="25"/>
    </row>
    <row r="26" spans="1:19" ht="15.75" x14ac:dyDescent="0.25">
      <c r="A26" s="36"/>
      <c r="B26" s="40">
        <f>+B24+100</f>
        <v>700</v>
      </c>
      <c r="C26" s="40"/>
      <c r="D26" s="40">
        <v>300</v>
      </c>
      <c r="E26" s="43">
        <f>ROUND((B$26*D26),0)</f>
        <v>210000</v>
      </c>
      <c r="F26" s="40"/>
      <c r="G26" s="41">
        <f>+O$10+$B26*O$16+$E26*O$12</f>
        <v>20032.668441485686</v>
      </c>
      <c r="H26" s="41"/>
      <c r="I26" s="41">
        <f>+Q$10+$B26*Q$16+$E26*Q$12</f>
        <v>21081.471681093324</v>
      </c>
      <c r="J26" s="40"/>
      <c r="K26" s="38">
        <f>ROUND((+I26-G26)/G26,3)</f>
        <v>5.1999999999999998E-2</v>
      </c>
      <c r="L26" s="36"/>
      <c r="M26" s="36"/>
      <c r="N26" s="34" t="str">
        <f>+N18</f>
        <v>kVarh</v>
      </c>
      <c r="O26" s="97">
        <v>1.2600000000000001E-3</v>
      </c>
      <c r="P26" s="92"/>
      <c r="Q26" s="97">
        <v>1.33E-3</v>
      </c>
      <c r="R26" s="91"/>
      <c r="S26" s="25"/>
    </row>
    <row r="27" spans="1:19" ht="15.75" x14ac:dyDescent="0.25">
      <c r="A27" s="36"/>
      <c r="B27" s="40">
        <f>+B26</f>
        <v>700</v>
      </c>
      <c r="C27" s="40"/>
      <c r="D27" s="40">
        <v>500</v>
      </c>
      <c r="E27" s="43">
        <f>ROUND((B$26*D27),0)</f>
        <v>350000</v>
      </c>
      <c r="F27" s="40"/>
      <c r="G27" s="41">
        <f>+O$10+$B27*O$16+$E27*O$12</f>
        <v>28552.620735809476</v>
      </c>
      <c r="H27" s="41"/>
      <c r="I27" s="41">
        <f>+Q$10+$B27*Q$16+$E27*Q$12</f>
        <v>30035.292801822208</v>
      </c>
      <c r="J27" s="40"/>
      <c r="K27" s="38">
        <f>ROUND((+I27-G27)/G27,3)</f>
        <v>5.1999999999999998E-2</v>
      </c>
      <c r="L27" s="36"/>
      <c r="M27" s="36"/>
    </row>
    <row r="28" spans="1:19" ht="15.75" x14ac:dyDescent="0.25">
      <c r="A28" s="36"/>
      <c r="B28" s="40">
        <f>+B27</f>
        <v>700</v>
      </c>
      <c r="C28" s="40"/>
      <c r="D28" s="40">
        <v>700</v>
      </c>
      <c r="E28" s="43">
        <f>ROUND((B$26*D28),0)</f>
        <v>490000</v>
      </c>
      <c r="F28" s="40"/>
      <c r="G28" s="41">
        <f>+O$10+$B28*O$16+$E28*O$12</f>
        <v>37072.573030133266</v>
      </c>
      <c r="H28" s="41"/>
      <c r="I28" s="41">
        <f>+Q$10+$B28*Q$16+$E28*Q$12</f>
        <v>38989.113922551092</v>
      </c>
      <c r="J28" s="40"/>
      <c r="K28" s="38">
        <f>ROUND((+I28-G28)/G28,3)</f>
        <v>5.1999999999999998E-2</v>
      </c>
      <c r="N28" s="104" t="s">
        <v>57</v>
      </c>
      <c r="O28" s="98">
        <v>1.3293695424934624E-4</v>
      </c>
      <c r="Q28" s="92">
        <v>0</v>
      </c>
    </row>
    <row r="29" spans="1:19" ht="15.75" x14ac:dyDescent="0.25">
      <c r="A29" s="36"/>
      <c r="B29" s="40"/>
      <c r="C29" s="40"/>
      <c r="D29" s="40"/>
      <c r="E29" s="40"/>
      <c r="F29" s="40"/>
      <c r="G29" s="41"/>
      <c r="H29" s="41"/>
      <c r="I29" s="41"/>
      <c r="J29" s="37"/>
      <c r="K29" s="39"/>
      <c r="L29" s="36"/>
      <c r="M29" s="36"/>
      <c r="N29" s="104" t="s">
        <v>56</v>
      </c>
      <c r="O29" s="98">
        <v>-1.7099999999999999E-3</v>
      </c>
      <c r="Q29" s="98">
        <f t="shared" ref="Q29:Q44" si="0">+O29</f>
        <v>-1.7099999999999999E-3</v>
      </c>
    </row>
    <row r="30" spans="1:19" ht="15.75" x14ac:dyDescent="0.25">
      <c r="A30" s="36"/>
      <c r="B30" s="40">
        <f>+B28+100</f>
        <v>800</v>
      </c>
      <c r="C30" s="40"/>
      <c r="D30" s="40">
        <v>300</v>
      </c>
      <c r="E30" s="43">
        <f>ROUND((B$30*D30),0)</f>
        <v>240000</v>
      </c>
      <c r="F30" s="40"/>
      <c r="G30" s="41">
        <f>+O$10+$B30*O$16+$E30*O$12</f>
        <v>22879.372504555067</v>
      </c>
      <c r="H30" s="41"/>
      <c r="I30" s="41">
        <f>+Q$10+$B30*Q$16+$E30*Q$12</f>
        <v>24077.147635535228</v>
      </c>
      <c r="J30" s="40"/>
      <c r="K30" s="38">
        <f>ROUND((+I30-G30)/G30,3)</f>
        <v>5.1999999999999998E-2</v>
      </c>
      <c r="L30" s="36"/>
      <c r="M30" s="36"/>
      <c r="N30" s="104" t="s">
        <v>55</v>
      </c>
      <c r="O30" s="98">
        <v>3.4889999999999999E-3</v>
      </c>
      <c r="Q30" s="98">
        <f t="shared" si="0"/>
        <v>3.4889999999999999E-3</v>
      </c>
    </row>
    <row r="31" spans="1:19" ht="15.75" x14ac:dyDescent="0.25">
      <c r="A31" s="36"/>
      <c r="B31" s="40">
        <f>+B30</f>
        <v>800</v>
      </c>
      <c r="C31" s="40"/>
      <c r="D31" s="40">
        <v>500</v>
      </c>
      <c r="E31" s="43">
        <f>ROUND((B$30*D31),0)</f>
        <v>400000</v>
      </c>
      <c r="F31" s="40"/>
      <c r="G31" s="41">
        <f>+O$10+$B31*O$16+$E31*O$12</f>
        <v>32616.460840925116</v>
      </c>
      <c r="H31" s="41"/>
      <c r="I31" s="41">
        <f>+Q$10+$B31*Q$16+$E31*Q$12</f>
        <v>34310.086059225381</v>
      </c>
      <c r="J31" s="40"/>
      <c r="K31" s="38">
        <f>ROUND((+I31-G31)/G31,3)</f>
        <v>5.1999999999999998E-2</v>
      </c>
      <c r="L31" s="36"/>
      <c r="M31" s="36"/>
      <c r="N31" s="104" t="s">
        <v>31</v>
      </c>
      <c r="O31" s="98">
        <v>7.1686514806344444E-4</v>
      </c>
      <c r="Q31" s="98">
        <f t="shared" si="0"/>
        <v>7.1686514806344444E-4</v>
      </c>
    </row>
    <row r="32" spans="1:19" ht="15.75" x14ac:dyDescent="0.25">
      <c r="A32" s="36"/>
      <c r="B32" s="40">
        <f>+B31</f>
        <v>800</v>
      </c>
      <c r="C32" s="40"/>
      <c r="D32" s="40">
        <v>700</v>
      </c>
      <c r="E32" s="43">
        <f>ROUND((B$30*D32),0)</f>
        <v>560000</v>
      </c>
      <c r="F32" s="40"/>
      <c r="G32" s="41">
        <f>+O$10+$B32*O$16+$E32*O$12</f>
        <v>42353.549177295165</v>
      </c>
      <c r="H32" s="41"/>
      <c r="I32" s="41">
        <f>+Q$10+$B32*Q$16+$E32*Q$12</f>
        <v>44543.024482915527</v>
      </c>
      <c r="J32" s="40"/>
      <c r="K32" s="38">
        <f>ROUND((+I32-G32)/G32,3)</f>
        <v>5.1999999999999998E-2</v>
      </c>
      <c r="N32" s="34" t="s">
        <v>53</v>
      </c>
      <c r="O32" s="98">
        <v>-6.4999999999999994E-5</v>
      </c>
      <c r="Q32" s="98">
        <f t="shared" si="0"/>
        <v>-6.4999999999999994E-5</v>
      </c>
    </row>
    <row r="33" spans="1:17" ht="15.75" x14ac:dyDescent="0.25">
      <c r="A33" s="36"/>
      <c r="B33" s="40"/>
      <c r="C33" s="40"/>
      <c r="D33" s="40"/>
      <c r="E33" s="40"/>
      <c r="F33" s="40"/>
      <c r="G33" s="41"/>
      <c r="H33" s="41"/>
      <c r="I33" s="41"/>
      <c r="J33" s="37"/>
      <c r="K33" s="39"/>
      <c r="L33" s="36"/>
      <c r="M33" s="36"/>
      <c r="N33" s="34" t="s">
        <v>35</v>
      </c>
      <c r="O33" s="98">
        <v>2.0959999999999998E-3</v>
      </c>
      <c r="Q33" s="98">
        <f t="shared" si="0"/>
        <v>2.0959999999999998E-3</v>
      </c>
    </row>
    <row r="34" spans="1:17" ht="15.75" x14ac:dyDescent="0.25">
      <c r="A34" s="36"/>
      <c r="B34" s="40">
        <f>+B32+200</f>
        <v>1000</v>
      </c>
      <c r="C34" s="40"/>
      <c r="D34" s="40">
        <v>300</v>
      </c>
      <c r="E34" s="43">
        <f>ROUND((B$34*D34),0)</f>
        <v>300000</v>
      </c>
      <c r="F34" s="40"/>
      <c r="G34" s="41">
        <f>+O$10+$B34*O$16+$E34*O$12</f>
        <v>28572.780630693836</v>
      </c>
      <c r="H34" s="41"/>
      <c r="I34" s="41">
        <f>+Q$10+$B34*Q$16+$E34*Q$12</f>
        <v>30068.499544419035</v>
      </c>
      <c r="J34" s="40"/>
      <c r="K34" s="38">
        <f>ROUND((+I34-G34)/G34,3)</f>
        <v>5.1999999999999998E-2</v>
      </c>
      <c r="L34" s="36"/>
      <c r="M34" s="36"/>
      <c r="N34" s="104" t="s">
        <v>94</v>
      </c>
      <c r="O34" s="96">
        <v>1.0300000000000011</v>
      </c>
      <c r="Q34" s="92">
        <v>0</v>
      </c>
    </row>
    <row r="35" spans="1:17" ht="15.75" x14ac:dyDescent="0.25">
      <c r="A35" s="36"/>
      <c r="B35" s="40">
        <f>+B34</f>
        <v>1000</v>
      </c>
      <c r="C35" s="40"/>
      <c r="D35" s="40">
        <v>500</v>
      </c>
      <c r="E35" s="43">
        <f>ROUND((B$34*D35),0)</f>
        <v>500000</v>
      </c>
      <c r="F35" s="40"/>
      <c r="G35" s="41">
        <f>+O$10+$B35*O$16+$E35*O$12</f>
        <v>40744.141051156395</v>
      </c>
      <c r="H35" s="41"/>
      <c r="I35" s="41">
        <f>+Q$10+$B35*Q$16+$E35*Q$12</f>
        <v>42859.672574031727</v>
      </c>
      <c r="J35" s="40"/>
      <c r="K35" s="38">
        <f>ROUND((+I35-G35)/G35,3)</f>
        <v>5.1999999999999998E-2</v>
      </c>
      <c r="L35" s="36"/>
      <c r="M35" s="36"/>
      <c r="N35" s="104" t="s">
        <v>136</v>
      </c>
      <c r="O35" s="98">
        <v>5.2100000000000063E-4</v>
      </c>
      <c r="Q35" s="92">
        <v>0</v>
      </c>
    </row>
    <row r="36" spans="1:17" ht="15.75" x14ac:dyDescent="0.25">
      <c r="A36" s="36"/>
      <c r="B36" s="40">
        <f>+B35</f>
        <v>1000</v>
      </c>
      <c r="C36" s="40"/>
      <c r="D36" s="40">
        <v>700</v>
      </c>
      <c r="E36" s="43">
        <f>ROUND((B$34*D36),0)</f>
        <v>700000</v>
      </c>
      <c r="F36" s="40"/>
      <c r="G36" s="41">
        <f>+O$10+$B36*O$16+$E36*O$12</f>
        <v>52915.501471618947</v>
      </c>
      <c r="H36" s="41"/>
      <c r="I36" s="41">
        <f>+Q$10+$B36*Q$16+$E36*Q$12</f>
        <v>55650.845603644411</v>
      </c>
      <c r="J36" s="40"/>
      <c r="K36" s="38">
        <f>ROUND((+I36-G36)/G36,3)</f>
        <v>5.1999999999999998E-2</v>
      </c>
      <c r="N36" s="104" t="s">
        <v>115</v>
      </c>
      <c r="O36" s="96">
        <v>0.11999999999999922</v>
      </c>
      <c r="Q36" s="92">
        <v>0</v>
      </c>
    </row>
    <row r="37" spans="1:17" ht="15.75" x14ac:dyDescent="0.25">
      <c r="A37" s="36"/>
      <c r="B37" s="62"/>
      <c r="C37" s="62"/>
      <c r="D37" s="62"/>
      <c r="E37" s="62"/>
      <c r="F37" s="62"/>
      <c r="G37" s="62"/>
      <c r="H37" s="62"/>
      <c r="I37" s="62"/>
      <c r="J37" s="61"/>
      <c r="K37" s="61"/>
      <c r="L37" s="36"/>
      <c r="M37" s="36"/>
      <c r="N37" s="104" t="s">
        <v>114</v>
      </c>
      <c r="O37" s="96">
        <v>6.9999999999999396E-2</v>
      </c>
      <c r="Q37" s="92">
        <v>0</v>
      </c>
    </row>
    <row r="38" spans="1:17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N38" s="104" t="s">
        <v>113</v>
      </c>
      <c r="O38" s="97">
        <v>1.0000000000000026E-5</v>
      </c>
      <c r="Q38" s="92">
        <v>0</v>
      </c>
    </row>
    <row r="39" spans="1:17" ht="15.75" x14ac:dyDescent="0.25">
      <c r="B39" s="37" t="s">
        <v>47</v>
      </c>
      <c r="C39" s="37"/>
      <c r="D39" s="37"/>
      <c r="E39" s="37"/>
      <c r="F39" s="37"/>
      <c r="G39" s="37"/>
      <c r="H39" s="37"/>
      <c r="I39" s="37"/>
      <c r="J39" s="37"/>
      <c r="K39" s="37"/>
      <c r="N39" s="104" t="s">
        <v>201</v>
      </c>
      <c r="O39" s="96">
        <v>-1.0300000000000011</v>
      </c>
      <c r="Q39" s="92">
        <v>0</v>
      </c>
    </row>
    <row r="40" spans="1:17" ht="16.5" x14ac:dyDescent="0.25">
      <c r="B40" s="102" t="s">
        <v>231</v>
      </c>
      <c r="C40" s="37"/>
      <c r="D40" s="37"/>
      <c r="E40" s="37"/>
      <c r="F40" s="37"/>
      <c r="G40" s="37"/>
      <c r="H40" s="37"/>
      <c r="I40" s="37"/>
      <c r="J40" s="37"/>
      <c r="K40" s="37"/>
      <c r="N40" s="104" t="s">
        <v>208</v>
      </c>
      <c r="O40" s="98">
        <v>-5.2100000000000063E-4</v>
      </c>
      <c r="Q40" s="92">
        <v>0</v>
      </c>
    </row>
    <row r="41" spans="1:17" ht="16.5" x14ac:dyDescent="0.25">
      <c r="A41" s="36"/>
      <c r="B41" s="102" t="s">
        <v>160</v>
      </c>
      <c r="N41" s="104" t="s">
        <v>202</v>
      </c>
      <c r="O41" s="96">
        <v>-0.11999999999999922</v>
      </c>
      <c r="Q41" s="92">
        <v>0</v>
      </c>
    </row>
    <row r="42" spans="1:17" ht="16.5" x14ac:dyDescent="0.25">
      <c r="A42" s="36"/>
      <c r="B42" s="102" t="s">
        <v>168</v>
      </c>
      <c r="N42" s="104" t="s">
        <v>203</v>
      </c>
      <c r="O42" s="96">
        <v>-6.9999999999999396E-2</v>
      </c>
      <c r="Q42" s="92">
        <v>0</v>
      </c>
    </row>
    <row r="43" spans="1:17" ht="16.5" x14ac:dyDescent="0.25">
      <c r="A43" s="36"/>
      <c r="B43" s="102" t="s">
        <v>206</v>
      </c>
      <c r="N43" s="104" t="s">
        <v>207</v>
      </c>
      <c r="O43" s="97">
        <v>-1.0000000000000026E-5</v>
      </c>
      <c r="Q43" s="92">
        <v>0</v>
      </c>
    </row>
    <row r="44" spans="1:17" x14ac:dyDescent="0.25">
      <c r="A44" s="36"/>
      <c r="N44" s="104" t="s">
        <v>188</v>
      </c>
      <c r="O44" s="98">
        <v>-8.5700000000000001E-4</v>
      </c>
      <c r="P44" s="98"/>
      <c r="Q44" s="98">
        <f t="shared" si="0"/>
        <v>-8.5700000000000001E-4</v>
      </c>
    </row>
    <row r="45" spans="1:17" x14ac:dyDescent="0.25">
      <c r="A45" s="36"/>
      <c r="N45" s="104" t="s">
        <v>171</v>
      </c>
      <c r="O45" s="98">
        <v>-1.27E-4</v>
      </c>
      <c r="Q45" s="98">
        <f>+O45</f>
        <v>-1.27E-4</v>
      </c>
    </row>
    <row r="46" spans="1:17" x14ac:dyDescent="0.25">
      <c r="A46" s="36"/>
      <c r="N46" s="104" t="s">
        <v>148</v>
      </c>
      <c r="O46" s="96">
        <v>0.37</v>
      </c>
      <c r="P46" s="91"/>
      <c r="Q46" s="96">
        <f>+O46</f>
        <v>0.37</v>
      </c>
    </row>
    <row r="47" spans="1:17" x14ac:dyDescent="0.25">
      <c r="A47" s="36"/>
    </row>
    <row r="48" spans="1:17" x14ac:dyDescent="0.25">
      <c r="A48" s="36"/>
    </row>
    <row r="49" spans="1:15" x14ac:dyDescent="0.25">
      <c r="A49" s="36"/>
      <c r="N49" s="22" t="s">
        <v>147</v>
      </c>
      <c r="O49" s="21">
        <v>5.6739984079475343E-2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5"/>
  <sheetViews>
    <sheetView zoomScale="80" zoomScaleNormal="80" zoomScaleSheetLayoutView="75" workbookViewId="0">
      <pane xSplit="3" ySplit="9" topLeftCell="D4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2.140625" style="34" customWidth="1"/>
    <col min="2" max="2" width="67.85546875" style="34" bestFit="1" customWidth="1"/>
    <col min="3" max="3" width="1.85546875" style="34" customWidth="1"/>
    <col min="4" max="4" width="13.5703125" style="34" bestFit="1" customWidth="1"/>
    <col min="5" max="5" width="8.85546875" style="34" bestFit="1" customWidth="1"/>
    <col min="6" max="6" width="3.5703125" style="34" customWidth="1"/>
    <col min="7" max="7" width="13.85546875" style="34" bestFit="1" customWidth="1"/>
    <col min="8" max="8" width="2.28515625" style="34" customWidth="1"/>
    <col min="9" max="9" width="13.85546875" style="34" bestFit="1" customWidth="1"/>
    <col min="10" max="10" width="1.85546875" style="34" customWidth="1"/>
    <col min="11" max="11" width="9.85546875" style="34" bestFit="1" customWidth="1"/>
    <col min="12" max="12" width="3.28515625" style="34" customWidth="1"/>
    <col min="13" max="13" width="2.140625" style="34" customWidth="1"/>
    <col min="14" max="14" width="53" style="34" bestFit="1" customWidth="1"/>
    <col min="15" max="15" width="12.42578125" style="34" bestFit="1" customWidth="1"/>
    <col min="16" max="16" width="25.85546875" style="34" bestFit="1" customWidth="1"/>
    <col min="17" max="17" width="12.42578125" style="34" bestFit="1" customWidth="1"/>
    <col min="18" max="18" width="2.42578125" style="34" customWidth="1"/>
    <col min="19" max="19" width="5.7109375" style="34" bestFit="1" customWidth="1"/>
    <col min="20" max="16384" width="9.42578125" style="34"/>
  </cols>
  <sheetData>
    <row r="1" spans="2:19" s="34" customFormat="1" ht="20.25" x14ac:dyDescent="0.3">
      <c r="B1" s="60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2:19" s="34" customFormat="1" ht="20.25" x14ac:dyDescent="0.3">
      <c r="B2" s="60" t="s">
        <v>69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9" s="34" customFormat="1" ht="20.25" x14ac:dyDescent="0.3">
      <c r="B3" s="60" t="s">
        <v>131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2:19" s="34" customFormat="1" ht="18.75" x14ac:dyDescent="0.3">
      <c r="B4" s="78" t="s">
        <v>132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2:19" s="34" customFormat="1" x14ac:dyDescent="0.25">
      <c r="G5" s="32"/>
      <c r="H5" s="32"/>
      <c r="I5" s="32"/>
      <c r="J5" s="32"/>
      <c r="K5" s="33"/>
      <c r="L5" s="33"/>
    </row>
    <row r="6" spans="2:19" s="34" customFormat="1" ht="15.75" x14ac:dyDescent="0.25">
      <c r="B6" s="77" t="s">
        <v>110</v>
      </c>
      <c r="G6" s="125" t="s">
        <v>109</v>
      </c>
      <c r="H6" s="126"/>
      <c r="I6" s="126"/>
      <c r="J6" s="32"/>
      <c r="K6" s="33"/>
      <c r="L6" s="33"/>
    </row>
    <row r="7" spans="2:19" s="34" customFormat="1" ht="15.75" thickBot="1" x14ac:dyDescent="0.3">
      <c r="B7" s="76" t="s">
        <v>108</v>
      </c>
      <c r="C7" s="33"/>
      <c r="D7" s="33" t="s">
        <v>107</v>
      </c>
      <c r="G7" s="33" t="s">
        <v>106</v>
      </c>
      <c r="H7" s="32"/>
      <c r="I7" s="33" t="s">
        <v>19</v>
      </c>
      <c r="J7" s="32"/>
      <c r="K7" s="32"/>
      <c r="L7" s="32"/>
    </row>
    <row r="8" spans="2:19" s="34" customFormat="1" ht="16.5" x14ac:dyDescent="0.25">
      <c r="B8" s="75" t="s">
        <v>105</v>
      </c>
      <c r="C8" s="33"/>
      <c r="D8" s="74" t="s">
        <v>104</v>
      </c>
      <c r="E8" s="103" t="s">
        <v>65</v>
      </c>
      <c r="G8" s="63" t="s">
        <v>161</v>
      </c>
      <c r="H8" s="63"/>
      <c r="I8" s="63" t="s">
        <v>162</v>
      </c>
      <c r="J8" s="32"/>
      <c r="K8" s="103" t="s">
        <v>130</v>
      </c>
      <c r="L8" s="32"/>
      <c r="M8" s="32"/>
      <c r="N8" s="121" t="s">
        <v>82</v>
      </c>
      <c r="O8" s="123"/>
      <c r="P8" s="124" t="s">
        <v>81</v>
      </c>
      <c r="Q8" s="123"/>
      <c r="R8" s="91"/>
    </row>
    <row r="9" spans="2:19" s="34" customFormat="1" x14ac:dyDescent="0.25">
      <c r="B9" s="32"/>
      <c r="C9" s="33"/>
      <c r="D9" s="74"/>
      <c r="E9" s="32"/>
      <c r="G9" s="32"/>
      <c r="H9" s="32"/>
      <c r="I9" s="32"/>
      <c r="J9" s="32"/>
      <c r="K9" s="32"/>
      <c r="L9" s="32"/>
      <c r="M9" s="32"/>
      <c r="N9" s="48"/>
      <c r="O9" s="50"/>
      <c r="P9" s="26"/>
      <c r="Q9" s="50"/>
      <c r="R9" s="91"/>
    </row>
    <row r="10" spans="2:19" s="34" customFormat="1" x14ac:dyDescent="0.25">
      <c r="B10" s="73" t="s">
        <v>80</v>
      </c>
      <c r="C10" s="72"/>
      <c r="G10" s="72"/>
      <c r="H10" s="72"/>
      <c r="N10" s="49" t="s">
        <v>129</v>
      </c>
      <c r="O10" s="144">
        <f>SUM(O30,O50,O59)</f>
        <v>9.68</v>
      </c>
      <c r="P10" s="48" t="str">
        <f>+N10</f>
        <v>Basic Charge (1 Phase)</v>
      </c>
      <c r="Q10" s="144">
        <f>SUM(Q30,Q50,Q59)</f>
        <v>10.23</v>
      </c>
      <c r="R10" s="47"/>
      <c r="S10" s="25">
        <f>(Q10-O10)/O10</f>
        <v>5.6818181818181893E-2</v>
      </c>
    </row>
    <row r="11" spans="2:19" s="34" customFormat="1" x14ac:dyDescent="0.25">
      <c r="B11" s="34">
        <v>25</v>
      </c>
      <c r="D11" s="20">
        <v>200</v>
      </c>
      <c r="E11" s="20">
        <f>ROUND((B$11*D11),0)</f>
        <v>5000</v>
      </c>
      <c r="G11" s="71">
        <f>ROUND(+O$10+IF(E11&gt;20000,20000*O$15+(E11-20000)*O$19,E11*O$15)+IF(B11&gt;50,(B11-50)*O$25,0),0)</f>
        <v>316</v>
      </c>
      <c r="H11" s="71"/>
      <c r="I11" s="71">
        <f>ROUND(+Q$10+IF(E11&gt;20000,20000*Q$15+(E11-20000)*Q$19,E11*Q$15)+IF(B11&gt;50,(B11-50)*Q$25,0),0)</f>
        <v>334</v>
      </c>
      <c r="J11" s="71"/>
      <c r="K11" s="19">
        <f>ROUND((I11-G11)/G11,4)</f>
        <v>5.7000000000000002E-2</v>
      </c>
      <c r="L11" s="19"/>
      <c r="M11" s="19"/>
      <c r="N11" s="49" t="s">
        <v>128</v>
      </c>
      <c r="O11" s="144">
        <f>SUM(O31,O51,O60)</f>
        <v>24.58</v>
      </c>
      <c r="P11" s="48" t="str">
        <f>+N11</f>
        <v>Basic Charge (3 Phase)</v>
      </c>
      <c r="Q11" s="144">
        <f>SUM(Q31,Q51,Q60)</f>
        <v>25.97</v>
      </c>
      <c r="R11" s="91"/>
      <c r="S11" s="25">
        <f>(Q11-O11)/O11</f>
        <v>5.655004068348253E-2</v>
      </c>
    </row>
    <row r="12" spans="2:19" s="34" customFormat="1" x14ac:dyDescent="0.25">
      <c r="B12" s="34">
        <f>+B11</f>
        <v>25</v>
      </c>
      <c r="D12" s="20">
        <v>300</v>
      </c>
      <c r="E12" s="20">
        <f>ROUND((B$11*D12),0)</f>
        <v>7500</v>
      </c>
      <c r="G12" s="71">
        <f>ROUND(+O$10+IF(E12&gt;20000,20000*O$15+(E12-20000)*O$19,E12*O$15)+IF(B12&gt;50,(B12-50)*O$25,0),0)</f>
        <v>468</v>
      </c>
      <c r="H12" s="71"/>
      <c r="I12" s="71">
        <f>ROUND(+Q$10+IF(E12&gt;20000,20000*Q$15+(E12-20000)*Q$19,E12*Q$15)+IF(B12&gt;50,(B12-50)*Q$25,0),0)</f>
        <v>496</v>
      </c>
      <c r="J12" s="71"/>
      <c r="K12" s="19">
        <f>ROUND((I12-G12)/G12,4)</f>
        <v>5.9799999999999999E-2</v>
      </c>
      <c r="L12" s="19"/>
      <c r="M12" s="19"/>
      <c r="N12" s="48"/>
      <c r="O12" s="146"/>
      <c r="P12" s="48"/>
      <c r="Q12" s="146"/>
    </row>
    <row r="13" spans="2:19" s="34" customFormat="1" x14ac:dyDescent="0.25">
      <c r="B13" s="34">
        <f>+B12</f>
        <v>25</v>
      </c>
      <c r="D13" s="20">
        <v>500</v>
      </c>
      <c r="E13" s="20">
        <f>ROUND((B$11*D13),0)</f>
        <v>12500</v>
      </c>
      <c r="G13" s="71">
        <f>ROUND(+O$10+IF(E13&gt;20000,20000*O$15+(E13-20000)*O$19,E13*O$15)+IF(B13&gt;50,(B13-50)*O$25,0),0)</f>
        <v>774</v>
      </c>
      <c r="H13" s="71"/>
      <c r="I13" s="71">
        <f>ROUND(+Q$10+IF(E13&gt;20000,20000*Q$15+(E13-20000)*Q$19,E13*Q$15)+IF(B13&gt;50,(B13-50)*Q$25,0),0)</f>
        <v>820</v>
      </c>
      <c r="J13" s="71"/>
      <c r="K13" s="19">
        <f>ROUND((I13-G13)/G13,4)</f>
        <v>5.9400000000000001E-2</v>
      </c>
      <c r="L13" s="19"/>
      <c r="M13" s="19"/>
      <c r="N13" s="49" t="s">
        <v>102</v>
      </c>
      <c r="O13" s="146">
        <f>SUM(O32,O44:O49,O52,O61,O68:O70)</f>
        <v>8.5971842164075912E-2</v>
      </c>
      <c r="P13" s="48" t="str">
        <f>+N13</f>
        <v>Winter kWh - First 20,000</v>
      </c>
      <c r="Q13" s="146">
        <f>SUM(Q32,Q44:Q49,Q52,Q61,Q68:Q70)</f>
        <v>9.1017653709728891E-2</v>
      </c>
      <c r="R13" s="91"/>
      <c r="S13" s="25">
        <f>(Q13-O13)/O13</f>
        <v>5.8691443833704601E-2</v>
      </c>
    </row>
    <row r="14" spans="2:19" s="34" customFormat="1" x14ac:dyDescent="0.25">
      <c r="G14" s="71"/>
      <c r="H14" s="71"/>
      <c r="I14" s="71"/>
      <c r="J14" s="71"/>
      <c r="N14" s="49" t="s">
        <v>101</v>
      </c>
      <c r="O14" s="146">
        <f>SUM(O33,O44:O49,O53,O62,O68:O70)</f>
        <v>5.812884216407592E-2</v>
      </c>
      <c r="P14" s="48" t="str">
        <f>+N14</f>
        <v>Summer kWh - First 20,000</v>
      </c>
      <c r="Q14" s="146">
        <f>SUM(Q33,Q44:Q49,Q53,Q62,Q68:Q70)</f>
        <v>6.1594653709728886E-2</v>
      </c>
      <c r="R14" s="91"/>
      <c r="S14" s="25">
        <f>(Q14-O14)/O14</f>
        <v>5.9622924122078334E-2</v>
      </c>
    </row>
    <row r="15" spans="2:19" s="34" customFormat="1" x14ac:dyDescent="0.25">
      <c r="B15" s="34">
        <v>50</v>
      </c>
      <c r="D15" s="20">
        <v>200</v>
      </c>
      <c r="E15" s="20">
        <f>ROUND((B$15*D15),0)</f>
        <v>10000</v>
      </c>
      <c r="G15" s="71">
        <f>ROUND(+O$10+IF(E15&gt;20000,20000*O$15+(E15-20000)*O$19,E15*O$15)+IF(B15&gt;50,(B15-50)*O$25,0),0)</f>
        <v>621</v>
      </c>
      <c r="H15" s="71"/>
      <c r="I15" s="71">
        <f>ROUND(+Q$10+IF(E15&gt;20000,20000*Q$15+(E15-20000)*Q$19,E15*Q$15)+IF(B15&gt;50,(B15-50)*Q$25,0),0)</f>
        <v>658</v>
      </c>
      <c r="J15" s="71"/>
      <c r="K15" s="19">
        <f>ROUND((I15-G15)/G15,4)</f>
        <v>5.96E-2</v>
      </c>
      <c r="L15" s="19"/>
      <c r="M15" s="19"/>
      <c r="N15" s="48" t="s">
        <v>75</v>
      </c>
      <c r="O15" s="146">
        <f>SUM(O34,O44:O49,O68:O70)+AVERAGE(O52:O53)+AVERAGE(O61:O62)</f>
        <v>6.1165842164075918E-2</v>
      </c>
      <c r="P15" s="48" t="str">
        <f>+N15</f>
        <v>Average kWh</v>
      </c>
      <c r="Q15" s="146">
        <f>SUM(Q34,Q44:Q49,Q68:Q70)+AVERAGE(Q52:Q53)+AVERAGE(Q61:Q62)</f>
        <v>6.4803653709728889E-2</v>
      </c>
      <c r="R15" s="91"/>
      <c r="S15" s="25">
        <f>(Q15-O15)/O15</f>
        <v>5.947455993321614E-2</v>
      </c>
    </row>
    <row r="16" spans="2:19" s="34" customFormat="1" x14ac:dyDescent="0.25">
      <c r="B16" s="34">
        <f>+B15</f>
        <v>50</v>
      </c>
      <c r="D16" s="20">
        <v>300</v>
      </c>
      <c r="E16" s="20">
        <f>ROUND((B$15*D16),0)</f>
        <v>15000</v>
      </c>
      <c r="G16" s="71">
        <f>ROUND(+O$10+IF(E16&gt;20000,20000*O$15+(E16-20000)*O$19,E16*O$15)+IF(B16&gt;50,(B16-50)*O$25,0),0)</f>
        <v>927</v>
      </c>
      <c r="H16" s="71"/>
      <c r="I16" s="71">
        <f>ROUND(+Q$10+IF(E16&gt;20000,20000*Q$15+(E16-20000)*Q$19,E16*Q$15)+IF(B16&gt;50,(B16-50)*Q$25,0),0)</f>
        <v>982</v>
      </c>
      <c r="J16" s="71"/>
      <c r="K16" s="19">
        <f>ROUND((I16-G16)/G16,4)</f>
        <v>5.9299999999999999E-2</v>
      </c>
      <c r="L16" s="19"/>
      <c r="M16" s="19"/>
      <c r="N16" s="48"/>
      <c r="O16" s="146"/>
      <c r="P16" s="48"/>
      <c r="Q16" s="146"/>
      <c r="R16" s="91"/>
    </row>
    <row r="17" spans="2:19" s="34" customFormat="1" x14ac:dyDescent="0.25">
      <c r="B17" s="34">
        <f>+B16</f>
        <v>50</v>
      </c>
      <c r="D17" s="20">
        <v>500</v>
      </c>
      <c r="E17" s="20">
        <f>ROUND((B$15*D17),0)</f>
        <v>25000</v>
      </c>
      <c r="G17" s="71">
        <f>ROUND(+O$10+IF(E17&gt;20000,20000*O$15+(E17-20000)*O$19,E17*O$15)+IF(B17&gt;50,(B17-50)*O$25,0),0)</f>
        <v>1480</v>
      </c>
      <c r="H17" s="71"/>
      <c r="I17" s="71">
        <f>ROUND(+Q$10+IF(E17&gt;20000,20000*Q$15+(E17-20000)*Q$19,E17*Q$15)+IF(B17&gt;50,(B17-50)*Q$25,0),0)</f>
        <v>1568</v>
      </c>
      <c r="J17" s="71"/>
      <c r="K17" s="19">
        <f>ROUND((I17-G17)/G17,4)</f>
        <v>5.9499999999999997E-2</v>
      </c>
      <c r="L17" s="19"/>
      <c r="M17" s="19"/>
      <c r="N17" s="49" t="s">
        <v>127</v>
      </c>
      <c r="O17" s="146">
        <f>SUM(O35,O44:O49,O54,O63,O68:O70)</f>
        <v>6.4161842164075916E-2</v>
      </c>
      <c r="P17" s="48" t="str">
        <f>+N17</f>
        <v>Winter kWh - Over 20,000</v>
      </c>
      <c r="Q17" s="146">
        <f>SUM(Q35,Q44:Q49,Q54,Q63,Q68:Q70)</f>
        <v>6.7970653709728879E-2</v>
      </c>
      <c r="R17" s="91"/>
      <c r="S17" s="25">
        <f>(Q17-O17)/O17</f>
        <v>5.9362565306541465E-2</v>
      </c>
    </row>
    <row r="18" spans="2:19" s="34" customFormat="1" x14ac:dyDescent="0.25">
      <c r="G18" s="71"/>
      <c r="H18" s="71"/>
      <c r="I18" s="71"/>
      <c r="J18" s="71"/>
      <c r="N18" s="49" t="s">
        <v>126</v>
      </c>
      <c r="O18" s="146">
        <f>SUM(O36,O44:O49,O55,O64,O68:O70)</f>
        <v>4.9132842164075922E-2</v>
      </c>
      <c r="P18" s="48" t="str">
        <f>+N18</f>
        <v>Summer kWh - Over 20,000</v>
      </c>
      <c r="Q18" s="146">
        <f>SUM(Q36,Q44:Q49,Q55,Q64,Q68:Q70)</f>
        <v>5.2088653709728892E-2</v>
      </c>
      <c r="R18" s="91"/>
      <c r="S18" s="25">
        <f>(Q18-O18)/O18</f>
        <v>6.0159588077201599E-2</v>
      </c>
    </row>
    <row r="19" spans="2:19" s="34" customFormat="1" x14ac:dyDescent="0.25">
      <c r="B19" s="34">
        <v>75</v>
      </c>
      <c r="D19" s="20">
        <v>200</v>
      </c>
      <c r="E19" s="20">
        <f>ROUND((B$15*D19),0)</f>
        <v>10000</v>
      </c>
      <c r="G19" s="71">
        <f>ROUND(+O$10+IF(E19&gt;20000,20000*O$15+(E19-20000)*O$19,E19*O$15)+IF(B19&gt;50,(B19-50)*O$25,0),0)</f>
        <v>764</v>
      </c>
      <c r="H19" s="71"/>
      <c r="I19" s="71">
        <f>ROUND(+Q$10+IF(E19&gt;20000,20000*Q$15+(E19-20000)*Q$19,E19*Q$15)+IF(B19&gt;50,(B19-50)*Q$25,0),0)</f>
        <v>809</v>
      </c>
      <c r="J19" s="71"/>
      <c r="K19" s="19">
        <f>ROUND((I19-G19)/G19,4)</f>
        <v>5.8900000000000001E-2</v>
      </c>
      <c r="L19" s="19"/>
      <c r="M19" s="19"/>
      <c r="N19" s="49" t="s">
        <v>100</v>
      </c>
      <c r="O19" s="146">
        <f>SUM(O37,O44:O49,O68:O70)+AVERAGE(O54:O55)+AVERAGE(O63:O64)</f>
        <v>4.9461842164075925E-2</v>
      </c>
      <c r="P19" s="48" t="str">
        <f>+N19</f>
        <v>kWh - All Over 20,000</v>
      </c>
      <c r="Q19" s="146">
        <f>SUM(Q37,Q44:Q49,Q68:Q70)+AVERAGE(Q54:Q55)+AVERAGE(Q63:Q64)</f>
        <v>5.2434653709728891E-2</v>
      </c>
      <c r="R19" s="91"/>
      <c r="S19" s="25">
        <f>(Q19-O19)/O19</f>
        <v>6.0103130324007936E-2</v>
      </c>
    </row>
    <row r="20" spans="2:19" s="34" customFormat="1" x14ac:dyDescent="0.25">
      <c r="B20" s="34">
        <f>+B19</f>
        <v>75</v>
      </c>
      <c r="D20" s="20">
        <v>300</v>
      </c>
      <c r="E20" s="20">
        <f>ROUND((B$15*D20),0)</f>
        <v>15000</v>
      </c>
      <c r="G20" s="71">
        <f>ROUND(+O$10+IF(E20&gt;20000,20000*O$15+(E20-20000)*O$19,E20*O$15)+IF(B20&gt;50,(B20-50)*O$25,0),0)</f>
        <v>1069</v>
      </c>
      <c r="H20" s="71"/>
      <c r="I20" s="71">
        <f>ROUND(+Q$10+IF(E20&gt;20000,20000*Q$15+(E20-20000)*Q$19,E20*Q$15)+IF(B20&gt;50,(B20-50)*Q$25,0),0)</f>
        <v>1133</v>
      </c>
      <c r="J20" s="71"/>
      <c r="K20" s="19">
        <f>ROUND((I20-G20)/G20,4)</f>
        <v>5.9900000000000002E-2</v>
      </c>
      <c r="L20" s="19"/>
      <c r="M20" s="19"/>
      <c r="N20" s="49"/>
      <c r="O20" s="146"/>
      <c r="P20" s="49"/>
      <c r="Q20" s="146"/>
      <c r="R20" s="91"/>
      <c r="S20" s="27"/>
    </row>
    <row r="21" spans="2:19" s="34" customFormat="1" x14ac:dyDescent="0.25">
      <c r="B21" s="34">
        <f>+B20</f>
        <v>75</v>
      </c>
      <c r="D21" s="20">
        <v>500</v>
      </c>
      <c r="E21" s="20">
        <f>ROUND((B$15*D21),0)</f>
        <v>25000</v>
      </c>
      <c r="G21" s="71">
        <f>ROUND(+O$10+IF(E21&gt;20000,20000*O$15+(E21-20000)*O$19,E21*O$15)+IF(B21&gt;50,(B21-50)*O$25,0),0)</f>
        <v>1623</v>
      </c>
      <c r="H21" s="71"/>
      <c r="I21" s="71">
        <f>ROUND(+Q$10+IF(E21&gt;20000,20000*Q$15+(E21-20000)*Q$19,E21*Q$15)+IF(B21&gt;50,(B21-50)*Q$25,0),0)</f>
        <v>1719</v>
      </c>
      <c r="J21" s="71"/>
      <c r="K21" s="19">
        <f>ROUND((I21-G21)/G21,4)</f>
        <v>5.91E-2</v>
      </c>
      <c r="L21" s="19"/>
      <c r="M21" s="19"/>
      <c r="N21" s="49" t="s">
        <v>99</v>
      </c>
      <c r="O21" s="146">
        <v>0</v>
      </c>
      <c r="P21" s="48" t="str">
        <f>+N21</f>
        <v>kW - First 50</v>
      </c>
      <c r="Q21" s="146">
        <v>0</v>
      </c>
      <c r="R21" s="91"/>
      <c r="S21" s="27"/>
    </row>
    <row r="22" spans="2:19" s="34" customFormat="1" x14ac:dyDescent="0.25">
      <c r="N22" s="49"/>
      <c r="O22" s="146"/>
      <c r="P22" s="49"/>
      <c r="Q22" s="146"/>
      <c r="R22" s="47"/>
      <c r="S22" s="47"/>
    </row>
    <row r="23" spans="2:19" s="34" customFormat="1" x14ac:dyDescent="0.25">
      <c r="B23" s="73" t="s">
        <v>79</v>
      </c>
      <c r="C23" s="72"/>
      <c r="G23" s="71"/>
      <c r="H23" s="71"/>
      <c r="I23" s="71"/>
      <c r="J23" s="71"/>
      <c r="N23" s="49" t="s">
        <v>98</v>
      </c>
      <c r="O23" s="144">
        <f>SUM(O39,O50,O59)</f>
        <v>8.94</v>
      </c>
      <c r="P23" s="48" t="str">
        <f>+N23</f>
        <v>Winter kW - Over 50</v>
      </c>
      <c r="Q23" s="144">
        <f>SUM(Q39,Q50,Q59)</f>
        <v>9.4499999999999993</v>
      </c>
      <c r="R23" s="91"/>
      <c r="S23" s="25">
        <f>(Q23-O23)/O23</f>
        <v>5.7046979865771792E-2</v>
      </c>
    </row>
    <row r="24" spans="2:19" s="34" customFormat="1" x14ac:dyDescent="0.25">
      <c r="B24" s="34">
        <v>100</v>
      </c>
      <c r="D24" s="20">
        <v>200</v>
      </c>
      <c r="E24" s="20">
        <f>ROUND((B$24*D24),0)</f>
        <v>20000</v>
      </c>
      <c r="G24" s="71">
        <f>ROUND(+O$11+IF(E24&gt;20000,20000*O$15+(E24-20000)*O$19,E24*O$15)+IF(B24&gt;50,(B24-50)*O$25,0),0)</f>
        <v>1532</v>
      </c>
      <c r="H24" s="71"/>
      <c r="I24" s="71">
        <f>ROUND(+Q$11+IF(E24&gt;20000,20000*Q$15+(E24-20000)*Q$19,E24*Q$15)+IF(B24&gt;50,(B24-50)*Q$25,0),0)</f>
        <v>1623</v>
      </c>
      <c r="J24" s="71"/>
      <c r="K24" s="19">
        <f>ROUND((I24-G24)/G24,4)</f>
        <v>5.9400000000000001E-2</v>
      </c>
      <c r="L24" s="19"/>
      <c r="M24" s="19"/>
      <c r="N24" s="49" t="s">
        <v>97</v>
      </c>
      <c r="O24" s="144">
        <f>SUM(O40,O57,O66)</f>
        <v>4.4000000000000004</v>
      </c>
      <c r="P24" s="48" t="str">
        <f>+N24</f>
        <v>Summer kW - Over 50</v>
      </c>
      <c r="Q24" s="144">
        <f>SUM(Q40,Q57,Q66)</f>
        <v>4.6500000000000004</v>
      </c>
      <c r="R24" s="91"/>
      <c r="S24" s="25">
        <f>(Q24-O24)/O24</f>
        <v>5.6818181818181816E-2</v>
      </c>
    </row>
    <row r="25" spans="2:19" s="34" customFormat="1" x14ac:dyDescent="0.25">
      <c r="B25" s="34">
        <f>+B24</f>
        <v>100</v>
      </c>
      <c r="D25" s="20">
        <v>300</v>
      </c>
      <c r="E25" s="20">
        <f>ROUND((B$24*D25),0)</f>
        <v>30000</v>
      </c>
      <c r="G25" s="71">
        <f>ROUND(+O$11+IF(E25&gt;20000,20000*O$15+(E25-20000)*O$19,E25*O$15)+IF(B25&gt;50,(B25-50)*O$25,0),0)</f>
        <v>2027</v>
      </c>
      <c r="H25" s="71"/>
      <c r="I25" s="71">
        <f>ROUND(+Q$11+IF(E25&gt;20000,20000*Q$15+(E25-20000)*Q$19,E25*Q$15)+IF(B25&gt;50,(B25-50)*Q$25,0),0)</f>
        <v>2147</v>
      </c>
      <c r="J25" s="71"/>
      <c r="K25" s="19">
        <f>ROUND((I25-G25)/G25,4)</f>
        <v>5.9200000000000003E-2</v>
      </c>
      <c r="L25" s="19"/>
      <c r="M25" s="19"/>
      <c r="N25" s="49" t="s">
        <v>96</v>
      </c>
      <c r="O25" s="144">
        <f>SUM(O41)++AVERAGE(O56:O57)++AVERAGE(O65:O66)</f>
        <v>5.6900000000000013</v>
      </c>
      <c r="P25" s="48" t="str">
        <f>+N25</f>
        <v>Average kW - Over 50</v>
      </c>
      <c r="Q25" s="144">
        <f>SUM(Q41)++AVERAGE(Q56:Q57)++AVERAGE(Q65:Q66)</f>
        <v>6.01</v>
      </c>
      <c r="R25" s="91"/>
      <c r="S25" s="25">
        <f>(Q25-O25)/O25</f>
        <v>5.6239015817222925E-2</v>
      </c>
    </row>
    <row r="26" spans="2:19" s="34" customFormat="1" x14ac:dyDescent="0.25">
      <c r="B26" s="34">
        <f>+B25</f>
        <v>100</v>
      </c>
      <c r="D26" s="20">
        <v>500</v>
      </c>
      <c r="E26" s="20">
        <f>ROUND((B$24*D26),0)</f>
        <v>50000</v>
      </c>
      <c r="G26" s="71">
        <f>ROUND(+O$11+IF(E26&gt;20000,20000*O$15+(E26-20000)*O$19,E26*O$15)+IF(B26&gt;50,(B26-50)*O$25,0),0)</f>
        <v>3016</v>
      </c>
      <c r="H26" s="71"/>
      <c r="I26" s="71">
        <f>ROUND(+Q$11+IF(E26&gt;20000,20000*Q$15+(E26-20000)*Q$19,E26*Q$15)+IF(B26&gt;50,(B26-50)*Q$25,0),0)</f>
        <v>3196</v>
      </c>
      <c r="J26" s="71"/>
      <c r="K26" s="19">
        <f>ROUND((I26-G26)/G26,4)</f>
        <v>5.9700000000000003E-2</v>
      </c>
      <c r="L26" s="19"/>
      <c r="M26" s="19"/>
      <c r="N26" s="48"/>
      <c r="O26" s="146"/>
      <c r="P26" s="48"/>
      <c r="Q26" s="146"/>
      <c r="R26" s="91"/>
    </row>
    <row r="27" spans="2:19" s="34" customFormat="1" x14ac:dyDescent="0.25">
      <c r="N27" s="48" t="s">
        <v>95</v>
      </c>
      <c r="O27" s="151">
        <f>SUM(O42,O58,O67)</f>
        <v>2.8400000000000001E-3</v>
      </c>
      <c r="P27" s="48" t="str">
        <f>+N27</f>
        <v>kVarh</v>
      </c>
      <c r="Q27" s="151">
        <f>SUM(Q42,Q58,Q67)</f>
        <v>3.0000000000000001E-3</v>
      </c>
      <c r="R27" s="91"/>
      <c r="S27" s="25">
        <f>(Q27-O27)/O27</f>
        <v>5.6338028169014079E-2</v>
      </c>
    </row>
    <row r="28" spans="2:19" s="34" customFormat="1" ht="15.75" thickBot="1" x14ac:dyDescent="0.3">
      <c r="B28" s="34">
        <v>150</v>
      </c>
      <c r="D28" s="20">
        <v>200</v>
      </c>
      <c r="E28" s="20">
        <f>ROUND((B$28*D28),0)</f>
        <v>30000</v>
      </c>
      <c r="G28" s="71">
        <f>ROUND(+O$11+IF(E28&gt;20000,20000*O$15+(E28-20000)*O$19,E28*O$15)+IF(B28&gt;50,(B28-50)*O$25,0),0)</f>
        <v>2312</v>
      </c>
      <c r="H28" s="71"/>
      <c r="I28" s="71">
        <f>ROUND(+Q$11+IF(E28&gt;20000,20000*Q$15+(E28-20000)*Q$19,E28*Q$15)+IF(B28&gt;50,(B28-50)*Q$25,0),0)</f>
        <v>2447</v>
      </c>
      <c r="J28" s="71"/>
      <c r="K28" s="19">
        <f>ROUND((I28-G28)/G28,4)</f>
        <v>5.8400000000000001E-2</v>
      </c>
      <c r="L28" s="19"/>
      <c r="M28" s="19"/>
      <c r="N28" s="81" t="s">
        <v>17</v>
      </c>
      <c r="O28" s="152" t="s">
        <v>17</v>
      </c>
      <c r="P28" s="81" t="s">
        <v>17</v>
      </c>
      <c r="Q28" s="152" t="s">
        <v>17</v>
      </c>
      <c r="R28" s="91"/>
    </row>
    <row r="29" spans="2:19" s="34" customFormat="1" x14ac:dyDescent="0.25">
      <c r="B29" s="34">
        <f>+B28</f>
        <v>150</v>
      </c>
      <c r="D29" s="20">
        <v>300</v>
      </c>
      <c r="E29" s="20">
        <f>ROUND((B$28*D29),0)</f>
        <v>45000</v>
      </c>
      <c r="G29" s="71">
        <f>ROUND(+O$11+IF(E29&gt;20000,20000*O$15+(E29-20000)*O$19,E29*O$15)+IF(B29&gt;50,(B29-50)*O$25,0),0)</f>
        <v>3053</v>
      </c>
      <c r="H29" s="71"/>
      <c r="I29" s="71">
        <f>ROUND(+Q$11+IF(E29&gt;20000,20000*Q$15+(E29-20000)*Q$19,E29*Q$15)+IF(B29&gt;50,(B29-50)*Q$25,0),0)</f>
        <v>3234</v>
      </c>
      <c r="J29" s="71"/>
      <c r="K29" s="19">
        <f>ROUND((I29-G29)/G29,4)</f>
        <v>5.9299999999999999E-2</v>
      </c>
      <c r="L29" s="19"/>
      <c r="M29" s="19"/>
      <c r="R29" s="91"/>
    </row>
    <row r="30" spans="2:19" s="34" customFormat="1" x14ac:dyDescent="0.25">
      <c r="B30" s="34">
        <f>+B29</f>
        <v>150</v>
      </c>
      <c r="D30" s="20">
        <v>500</v>
      </c>
      <c r="E30" s="20">
        <f>ROUND((B$28*D30),0)</f>
        <v>75000</v>
      </c>
      <c r="G30" s="71">
        <f>ROUND(+O$11+IF(E30&gt;20000,20000*O$15+(E30-20000)*O$19,E30*O$15)+IF(B30&gt;50,(B30-50)*O$25,0),0)</f>
        <v>4537</v>
      </c>
      <c r="H30" s="71"/>
      <c r="I30" s="71">
        <f>ROUND(+Q$11+IF(E30&gt;20000,20000*Q$15+(E30-20000)*Q$19,E30*Q$15)+IF(B30&gt;50,(B30-50)*Q$25,0),0)</f>
        <v>4807</v>
      </c>
      <c r="J30" s="71"/>
      <c r="K30" s="19">
        <f>ROUND((I30-G30)/G30,4)</f>
        <v>5.9499999999999997E-2</v>
      </c>
      <c r="L30" s="19"/>
      <c r="M30" s="19"/>
      <c r="N30" s="34" t="str">
        <f>+N10</f>
        <v>Basic Charge (1 Phase)</v>
      </c>
      <c r="O30" s="96">
        <v>9.68</v>
      </c>
      <c r="P30" s="96"/>
      <c r="Q30" s="96">
        <v>10.23</v>
      </c>
      <c r="R30" s="91"/>
    </row>
    <row r="31" spans="2:19" s="34" customFormat="1" x14ac:dyDescent="0.25">
      <c r="N31" s="34" t="str">
        <f t="shared" ref="N31" si="0">+N11</f>
        <v>Basic Charge (3 Phase)</v>
      </c>
      <c r="O31" s="96">
        <v>24.58</v>
      </c>
      <c r="P31" s="96"/>
      <c r="Q31" s="96">
        <v>25.97</v>
      </c>
      <c r="R31" s="91"/>
    </row>
    <row r="32" spans="2:19" s="34" customFormat="1" x14ac:dyDescent="0.25">
      <c r="B32" s="34">
        <v>200</v>
      </c>
      <c r="D32" s="20">
        <v>200</v>
      </c>
      <c r="E32" s="20">
        <f>ROUND((B$32*D32),0)</f>
        <v>40000</v>
      </c>
      <c r="G32" s="71">
        <f>ROUND(+O$11+IF(E32&gt;20000,20000*O$15+(E32-20000)*O$19,E32*O$15)+IF(B32&gt;50,(B32-50)*O$25,0),0)</f>
        <v>3091</v>
      </c>
      <c r="H32" s="71"/>
      <c r="I32" s="71">
        <f>ROUND(+Q$11+IF(E32&gt;20000,20000*Q$15+(E32-20000)*Q$19,E32*Q$15)+IF(B32&gt;50,(B32-50)*Q$25,0),0)</f>
        <v>3272</v>
      </c>
      <c r="J32" s="71"/>
      <c r="K32" s="19">
        <f>ROUND((I32-G32)/G32,4)</f>
        <v>5.8599999999999999E-2</v>
      </c>
      <c r="L32" s="19"/>
      <c r="M32" s="19"/>
      <c r="N32" s="34" t="str">
        <f>+N13</f>
        <v>Winter kWh - First 20,000</v>
      </c>
      <c r="O32" s="98">
        <v>9.0677999999999995E-2</v>
      </c>
      <c r="P32" s="98"/>
      <c r="Q32" s="98">
        <v>9.5823000000000005E-2</v>
      </c>
      <c r="R32" s="91"/>
    </row>
    <row r="33" spans="2:18" s="34" customFormat="1" x14ac:dyDescent="0.25">
      <c r="B33" s="34">
        <f>+B32</f>
        <v>200</v>
      </c>
      <c r="D33" s="20">
        <v>300</v>
      </c>
      <c r="E33" s="20">
        <f>ROUND((B$32*D33),0)</f>
        <v>60000</v>
      </c>
      <c r="G33" s="71">
        <f>ROUND(+O$11+IF(E33&gt;20000,20000*O$15+(E33-20000)*O$19,E33*O$15)+IF(B33&gt;50,(B33-50)*O$25,0),0)</f>
        <v>4080</v>
      </c>
      <c r="H33" s="71"/>
      <c r="I33" s="71">
        <f>ROUND(+Q$11+IF(E33&gt;20000,20000*Q$15+(E33-20000)*Q$19,E33*Q$15)+IF(B33&gt;50,(B33-50)*Q$25,0),0)</f>
        <v>4321</v>
      </c>
      <c r="J33" s="71"/>
      <c r="K33" s="19">
        <f>ROUND((I33-G33)/G33,4)</f>
        <v>5.91E-2</v>
      </c>
      <c r="L33" s="19"/>
      <c r="M33" s="19"/>
      <c r="N33" s="34" t="str">
        <f>+N14</f>
        <v>Summer kWh - First 20,000</v>
      </c>
      <c r="O33" s="98">
        <v>6.2835000000000002E-2</v>
      </c>
      <c r="P33" s="98"/>
      <c r="Q33" s="98">
        <v>6.6400000000000001E-2</v>
      </c>
      <c r="R33" s="91"/>
    </row>
    <row r="34" spans="2:18" s="34" customFormat="1" x14ac:dyDescent="0.25">
      <c r="B34" s="34">
        <f>+B33</f>
        <v>200</v>
      </c>
      <c r="D34" s="20">
        <v>500</v>
      </c>
      <c r="E34" s="20">
        <f>ROUND((B$32*D34),0)</f>
        <v>100000</v>
      </c>
      <c r="G34" s="71">
        <f>ROUND(+O$11+IF(E34&gt;20000,20000*O$15+(E34-20000)*O$19,E34*O$15)+IF(B34&gt;50,(B34-50)*O$25,0),0)</f>
        <v>6058</v>
      </c>
      <c r="H34" s="71"/>
      <c r="I34" s="71">
        <f>ROUND(+Q$11+IF(E34&gt;20000,20000*Q$15+(E34-20000)*Q$19,E34*Q$15)+IF(B34&gt;50,(B34-50)*Q$25,0),0)</f>
        <v>6418</v>
      </c>
      <c r="J34" s="71"/>
      <c r="K34" s="19">
        <f>ROUND((I34-G34)/G34,4)</f>
        <v>5.9400000000000001E-2</v>
      </c>
      <c r="L34" s="19"/>
      <c r="M34" s="19"/>
      <c r="N34" s="34" t="s">
        <v>149</v>
      </c>
      <c r="O34" s="98">
        <v>6.5872E-2</v>
      </c>
      <c r="P34" s="98"/>
      <c r="Q34" s="98">
        <v>6.9609000000000004E-2</v>
      </c>
      <c r="R34" s="91"/>
    </row>
    <row r="35" spans="2:18" s="34" customFormat="1" x14ac:dyDescent="0.25">
      <c r="G35" s="71"/>
      <c r="H35" s="71"/>
      <c r="I35" s="71"/>
      <c r="J35" s="71"/>
      <c r="N35" s="34" t="str">
        <f>+N17</f>
        <v>Winter kWh - Over 20,000</v>
      </c>
      <c r="O35" s="98">
        <v>6.8867999999999999E-2</v>
      </c>
      <c r="P35" s="98"/>
      <c r="Q35" s="98">
        <v>7.2775999999999993E-2</v>
      </c>
      <c r="R35" s="91"/>
    </row>
    <row r="36" spans="2:18" s="34" customFormat="1" x14ac:dyDescent="0.25">
      <c r="B36" s="34">
        <v>300</v>
      </c>
      <c r="D36" s="20">
        <v>200</v>
      </c>
      <c r="E36" s="20">
        <f>ROUND((B$36*D36),0)</f>
        <v>60000</v>
      </c>
      <c r="G36" s="71">
        <f>ROUND(+O$11+IF(E36&gt;20000,20000*O$15+(E36-20000)*O$19,E36*O$15)+IF(B36&gt;50,(B36-50)*O$25,0),0)</f>
        <v>4649</v>
      </c>
      <c r="H36" s="71"/>
      <c r="I36" s="71">
        <f>ROUND(+Q$11+IF(E36&gt;20000,20000*Q$15+(E36-20000)*Q$19,E36*Q$15)+IF(B36&gt;50,(B36-50)*Q$25,0),0)</f>
        <v>4922</v>
      </c>
      <c r="J36" s="71"/>
      <c r="K36" s="19">
        <f>ROUND((I36-G36)/G36,4)</f>
        <v>5.8700000000000002E-2</v>
      </c>
      <c r="L36" s="19"/>
      <c r="M36" s="19"/>
      <c r="N36" s="34" t="str">
        <f>+N18</f>
        <v>Summer kWh - Over 20,000</v>
      </c>
      <c r="O36" s="98">
        <v>5.3838999999999998E-2</v>
      </c>
      <c r="P36" s="98"/>
      <c r="Q36" s="98">
        <v>5.6894E-2</v>
      </c>
    </row>
    <row r="37" spans="2:18" s="34" customFormat="1" x14ac:dyDescent="0.25">
      <c r="B37" s="34">
        <f>+B36</f>
        <v>300</v>
      </c>
      <c r="D37" s="20">
        <v>300</v>
      </c>
      <c r="E37" s="20">
        <f>ROUND((B$36*D37),0)</f>
        <v>90000</v>
      </c>
      <c r="G37" s="71">
        <f>ROUND(+O$11+IF(E37&gt;20000,20000*O$15+(E37-20000)*O$19,E37*O$15)+IF(B37&gt;50,(B37-50)*O$25,0),0)</f>
        <v>6133</v>
      </c>
      <c r="H37" s="71"/>
      <c r="I37" s="71">
        <f>ROUND(+Q$11+IF(E37&gt;20000,20000*Q$15+(E37-20000)*Q$19,E37*Q$15)+IF(B37&gt;50,(B37-50)*Q$25,0),0)</f>
        <v>6495</v>
      </c>
      <c r="J37" s="71"/>
      <c r="K37" s="19">
        <f>ROUND((I37-G37)/G37,4)</f>
        <v>5.8999999999999997E-2</v>
      </c>
      <c r="L37" s="19"/>
      <c r="M37" s="19"/>
      <c r="N37" s="104" t="s">
        <v>150</v>
      </c>
      <c r="O37" s="98">
        <v>5.4168000000000001E-2</v>
      </c>
      <c r="P37" s="98"/>
      <c r="Q37" s="98">
        <v>5.7239999999999999E-2</v>
      </c>
    </row>
    <row r="38" spans="2:18" s="34" customFormat="1" x14ac:dyDescent="0.25">
      <c r="B38" s="34">
        <f>+B37</f>
        <v>300</v>
      </c>
      <c r="D38" s="20">
        <v>500</v>
      </c>
      <c r="E38" s="20">
        <f>ROUND((B$36*D38),0)</f>
        <v>150000</v>
      </c>
      <c r="G38" s="71">
        <f>ROUND(+O$11+IF(E38&gt;20000,20000*O$15+(E38-20000)*O$19,E38*O$15)+IF(B38&gt;50,(B38-50)*O$25,0),0)</f>
        <v>9100</v>
      </c>
      <c r="H38" s="71"/>
      <c r="I38" s="71">
        <f>ROUND(+Q$11+IF(E38&gt;20000,20000*Q$15+(E38-20000)*Q$19,E38*Q$15)+IF(B38&gt;50,(B38-50)*Q$25,0),0)</f>
        <v>9641</v>
      </c>
      <c r="J38" s="71"/>
      <c r="K38" s="19">
        <f>ROUND((I38-G38)/G38,4)</f>
        <v>5.9499999999999997E-2</v>
      </c>
      <c r="L38" s="19"/>
      <c r="M38" s="19"/>
      <c r="N38" s="34" t="str">
        <f>+N21</f>
        <v>kW - First 50</v>
      </c>
      <c r="O38" s="96">
        <v>0</v>
      </c>
      <c r="P38" s="96"/>
      <c r="Q38" s="96">
        <v>0</v>
      </c>
    </row>
    <row r="39" spans="2:18" s="34" customFormat="1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26"/>
      <c r="N39" s="34" t="str">
        <f>+N23</f>
        <v>Winter kW - Over 50</v>
      </c>
      <c r="O39" s="96">
        <v>8.94</v>
      </c>
      <c r="P39" s="96"/>
      <c r="Q39" s="96">
        <v>9.4499999999999993</v>
      </c>
    </row>
    <row r="40" spans="2:18" s="34" customFormat="1" x14ac:dyDescent="0.25">
      <c r="N40" s="34" t="str">
        <f>+N24</f>
        <v>Summer kW - Over 50</v>
      </c>
      <c r="O40" s="96">
        <v>4.4000000000000004</v>
      </c>
      <c r="P40" s="96"/>
      <c r="Q40" s="96">
        <v>4.6500000000000004</v>
      </c>
    </row>
    <row r="41" spans="2:18" s="34" customFormat="1" x14ac:dyDescent="0.25">
      <c r="C41" s="14"/>
      <c r="N41" s="34" t="str">
        <f t="shared" ref="N41" si="1">+N25</f>
        <v>Average kW - Over 50</v>
      </c>
      <c r="O41" s="96">
        <v>5.69</v>
      </c>
      <c r="P41" s="96"/>
      <c r="Q41" s="96">
        <v>6.01</v>
      </c>
    </row>
    <row r="42" spans="2:18" s="34" customFormat="1" ht="15.75" x14ac:dyDescent="0.25">
      <c r="B42" s="37" t="s">
        <v>47</v>
      </c>
      <c r="C42" s="14"/>
      <c r="N42" s="34" t="str">
        <f>+N27</f>
        <v>kVarh</v>
      </c>
      <c r="O42" s="97">
        <v>2.8400000000000001E-3</v>
      </c>
      <c r="P42" s="97"/>
      <c r="Q42" s="97">
        <v>3.0000000000000001E-3</v>
      </c>
    </row>
    <row r="43" spans="2:18" s="34" customFormat="1" ht="16.5" x14ac:dyDescent="0.25">
      <c r="B43" s="102" t="s">
        <v>231</v>
      </c>
      <c r="C43" s="14"/>
      <c r="O43" s="98"/>
      <c r="P43" s="98"/>
      <c r="Q43" s="98"/>
    </row>
    <row r="44" spans="2:18" s="34" customFormat="1" ht="16.5" x14ac:dyDescent="0.25">
      <c r="B44" s="102" t="s">
        <v>90</v>
      </c>
      <c r="C44" s="14"/>
      <c r="N44" s="104" t="s">
        <v>57</v>
      </c>
      <c r="O44" s="98">
        <v>9.9188454347035499E-5</v>
      </c>
      <c r="P44" s="98"/>
      <c r="Q44" s="92">
        <v>0</v>
      </c>
    </row>
    <row r="45" spans="2:18" s="34" customFormat="1" ht="16.5" x14ac:dyDescent="0.25">
      <c r="B45" s="102" t="s">
        <v>168</v>
      </c>
      <c r="N45" s="104" t="s">
        <v>56</v>
      </c>
      <c r="O45" s="98">
        <v>-1.276E-3</v>
      </c>
      <c r="P45" s="98"/>
      <c r="Q45" s="98">
        <f t="shared" ref="Q45:Q68" si="2">+O45</f>
        <v>-1.276E-3</v>
      </c>
    </row>
    <row r="46" spans="2:18" s="34" customFormat="1" ht="16.5" x14ac:dyDescent="0.25">
      <c r="B46" s="102" t="s">
        <v>206</v>
      </c>
      <c r="N46" s="104" t="s">
        <v>55</v>
      </c>
      <c r="O46" s="98">
        <v>2.601E-3</v>
      </c>
      <c r="P46" s="98"/>
      <c r="Q46" s="98">
        <f t="shared" si="2"/>
        <v>2.601E-3</v>
      </c>
    </row>
    <row r="47" spans="2:18" s="34" customFormat="1" x14ac:dyDescent="0.25">
      <c r="B47" s="102"/>
      <c r="N47" s="104" t="s">
        <v>31</v>
      </c>
      <c r="O47" s="98">
        <v>7.1249170972888752E-4</v>
      </c>
      <c r="P47" s="98"/>
      <c r="Q47" s="98">
        <f t="shared" si="2"/>
        <v>7.1249170972888752E-4</v>
      </c>
    </row>
    <row r="48" spans="2:18" s="34" customFormat="1" x14ac:dyDescent="0.25">
      <c r="N48" s="34" t="s">
        <v>53</v>
      </c>
      <c r="O48" s="98">
        <v>-4.8999999999999998E-5</v>
      </c>
      <c r="P48" s="98"/>
      <c r="Q48" s="98">
        <f t="shared" si="2"/>
        <v>-4.8999999999999998E-5</v>
      </c>
    </row>
    <row r="49" spans="14:17" s="34" customFormat="1" x14ac:dyDescent="0.25">
      <c r="N49" s="34" t="s">
        <v>35</v>
      </c>
      <c r="O49" s="98">
        <v>2.1359999999999999E-3</v>
      </c>
      <c r="P49" s="98"/>
      <c r="Q49" s="98">
        <f t="shared" si="2"/>
        <v>2.1359999999999999E-3</v>
      </c>
    </row>
    <row r="50" spans="14:17" s="34" customFormat="1" x14ac:dyDescent="0.25">
      <c r="N50" s="104" t="s">
        <v>74</v>
      </c>
      <c r="O50" s="96">
        <v>8.9999999999999858E-2</v>
      </c>
      <c r="P50" s="96"/>
      <c r="Q50" s="92">
        <v>0</v>
      </c>
    </row>
    <row r="51" spans="14:17" s="34" customFormat="1" x14ac:dyDescent="0.25">
      <c r="N51" s="104" t="s">
        <v>125</v>
      </c>
      <c r="O51" s="96">
        <v>0.24000000000000199</v>
      </c>
      <c r="P51" s="96"/>
      <c r="Q51" s="92">
        <v>0</v>
      </c>
    </row>
    <row r="52" spans="14:17" s="34" customFormat="1" x14ac:dyDescent="0.25">
      <c r="N52" s="104" t="s">
        <v>93</v>
      </c>
      <c r="O52" s="98">
        <v>8.8200000000000778E-4</v>
      </c>
      <c r="P52" s="98"/>
      <c r="Q52" s="92">
        <v>0</v>
      </c>
    </row>
    <row r="53" spans="14:17" s="34" customFormat="1" x14ac:dyDescent="0.25">
      <c r="N53" s="104" t="s">
        <v>92</v>
      </c>
      <c r="O53" s="98">
        <v>6.1100000000000043E-4</v>
      </c>
      <c r="P53" s="98"/>
      <c r="Q53" s="92">
        <v>0</v>
      </c>
    </row>
    <row r="54" spans="14:17" s="34" customFormat="1" x14ac:dyDescent="0.25">
      <c r="N54" s="104" t="s">
        <v>124</v>
      </c>
      <c r="O54" s="98">
        <v>6.7000000000000393E-4</v>
      </c>
      <c r="P54" s="98"/>
      <c r="Q54" s="92">
        <v>0</v>
      </c>
    </row>
    <row r="55" spans="14:17" s="34" customFormat="1" x14ac:dyDescent="0.25">
      <c r="N55" s="104" t="s">
        <v>123</v>
      </c>
      <c r="O55" s="98">
        <v>5.2300000000000263E-4</v>
      </c>
      <c r="P55" s="98"/>
      <c r="Q55" s="92">
        <v>0</v>
      </c>
    </row>
    <row r="56" spans="14:17" s="34" customFormat="1" x14ac:dyDescent="0.25">
      <c r="N56" s="104" t="s">
        <v>213</v>
      </c>
      <c r="O56" s="96">
        <v>8.9999999999999858E-2</v>
      </c>
      <c r="P56" s="96"/>
      <c r="Q56" s="92">
        <v>0</v>
      </c>
    </row>
    <row r="57" spans="14:17" s="34" customFormat="1" x14ac:dyDescent="0.25">
      <c r="N57" s="104" t="s">
        <v>214</v>
      </c>
      <c r="O57" s="96">
        <v>4.0000000000000036E-2</v>
      </c>
      <c r="P57" s="96"/>
      <c r="Q57" s="92">
        <v>0</v>
      </c>
    </row>
    <row r="58" spans="14:17" s="34" customFormat="1" x14ac:dyDescent="0.25">
      <c r="N58" s="104" t="s">
        <v>113</v>
      </c>
      <c r="O58" s="97">
        <v>3.0000000000000079E-5</v>
      </c>
      <c r="P58" s="97"/>
      <c r="Q58" s="92">
        <v>0</v>
      </c>
    </row>
    <row r="59" spans="14:17" s="34" customFormat="1" x14ac:dyDescent="0.25">
      <c r="N59" s="104" t="s">
        <v>192</v>
      </c>
      <c r="O59" s="96">
        <v>-8.9999999999999858E-2</v>
      </c>
      <c r="P59" s="96"/>
      <c r="Q59" s="92">
        <v>0</v>
      </c>
    </row>
    <row r="60" spans="14:17" s="34" customFormat="1" x14ac:dyDescent="0.25">
      <c r="N60" s="104" t="s">
        <v>209</v>
      </c>
      <c r="O60" s="96">
        <v>-0.24000000000000199</v>
      </c>
      <c r="P60" s="96"/>
      <c r="Q60" s="92">
        <v>0</v>
      </c>
    </row>
    <row r="61" spans="14:17" s="34" customFormat="1" x14ac:dyDescent="0.25">
      <c r="N61" s="104" t="s">
        <v>198</v>
      </c>
      <c r="O61" s="98">
        <v>-8.8200000000000778E-4</v>
      </c>
      <c r="P61" s="98"/>
      <c r="Q61" s="92">
        <v>0</v>
      </c>
    </row>
    <row r="62" spans="14:17" s="34" customFormat="1" x14ac:dyDescent="0.25">
      <c r="N62" s="104" t="s">
        <v>199</v>
      </c>
      <c r="O62" s="98">
        <v>-6.1100000000000043E-4</v>
      </c>
      <c r="P62" s="98"/>
      <c r="Q62" s="92">
        <v>0</v>
      </c>
    </row>
    <row r="63" spans="14:17" s="34" customFormat="1" x14ac:dyDescent="0.25">
      <c r="N63" s="104" t="s">
        <v>210</v>
      </c>
      <c r="O63" s="98">
        <v>-6.7000000000000393E-4</v>
      </c>
      <c r="P63" s="98"/>
      <c r="Q63" s="92">
        <v>0</v>
      </c>
    </row>
    <row r="64" spans="14:17" s="34" customFormat="1" x14ac:dyDescent="0.25">
      <c r="N64" s="104" t="s">
        <v>211</v>
      </c>
      <c r="O64" s="98">
        <v>-5.2300000000000263E-4</v>
      </c>
      <c r="P64" s="98"/>
      <c r="Q64" s="92">
        <v>0</v>
      </c>
    </row>
    <row r="65" spans="14:17" s="34" customFormat="1" x14ac:dyDescent="0.25">
      <c r="N65" s="104" t="s">
        <v>215</v>
      </c>
      <c r="O65" s="96">
        <v>-8.9999999999999858E-2</v>
      </c>
      <c r="P65" s="96"/>
      <c r="Q65" s="92">
        <v>0</v>
      </c>
    </row>
    <row r="66" spans="14:17" s="34" customFormat="1" x14ac:dyDescent="0.25">
      <c r="N66" s="104" t="s">
        <v>216</v>
      </c>
      <c r="O66" s="96">
        <v>-4.0000000000000036E-2</v>
      </c>
      <c r="P66" s="96"/>
      <c r="Q66" s="92">
        <v>0</v>
      </c>
    </row>
    <row r="67" spans="14:17" s="34" customFormat="1" x14ac:dyDescent="0.25">
      <c r="N67" s="104" t="s">
        <v>207</v>
      </c>
      <c r="O67" s="97">
        <v>-3.0000000000000079E-5</v>
      </c>
      <c r="P67" s="97"/>
      <c r="Q67" s="92">
        <v>0</v>
      </c>
    </row>
    <row r="68" spans="14:17" s="34" customFormat="1" x14ac:dyDescent="0.25">
      <c r="N68" s="104" t="s">
        <v>188</v>
      </c>
      <c r="O68" s="98">
        <v>-8.6700000000000004E-4</v>
      </c>
      <c r="P68" s="98"/>
      <c r="Q68" s="98">
        <f t="shared" si="2"/>
        <v>-8.6700000000000004E-4</v>
      </c>
    </row>
    <row r="69" spans="14:17" s="34" customFormat="1" x14ac:dyDescent="0.25">
      <c r="N69" s="34" t="s">
        <v>37</v>
      </c>
      <c r="O69" s="98">
        <v>-6.5700000000000003E-4</v>
      </c>
      <c r="P69" s="98"/>
      <c r="Q69" s="98">
        <f>+O69</f>
        <v>-6.5700000000000003E-4</v>
      </c>
    </row>
    <row r="70" spans="14:17" s="34" customFormat="1" x14ac:dyDescent="0.25">
      <c r="N70" s="104" t="s">
        <v>122</v>
      </c>
      <c r="O70" s="98">
        <v>-7.4058380000000005E-3</v>
      </c>
      <c r="P70" s="98"/>
      <c r="Q70" s="98">
        <f>+O70</f>
        <v>-7.4058380000000005E-3</v>
      </c>
    </row>
    <row r="75" spans="14:17" s="34" customFormat="1" x14ac:dyDescent="0.25">
      <c r="N75" s="22" t="s">
        <v>147</v>
      </c>
      <c r="O75" s="21">
        <v>5.6721041669249392E-2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34" customWidth="1"/>
    <col min="2" max="2" width="67.85546875" style="34" bestFit="1" customWidth="1"/>
    <col min="3" max="3" width="2.7109375" style="34" customWidth="1"/>
    <col min="4" max="4" width="14.85546875" style="34" bestFit="1" customWidth="1"/>
    <col min="5" max="5" width="9.140625" style="34" bestFit="1" customWidth="1"/>
    <col min="6" max="6" width="3.85546875" style="34" customWidth="1"/>
    <col min="7" max="7" width="13.85546875" style="34" bestFit="1" customWidth="1"/>
    <col min="8" max="8" width="4" style="34" customWidth="1"/>
    <col min="9" max="9" width="13.85546875" style="34" bestFit="1" customWidth="1"/>
    <col min="10" max="10" width="5" style="34" customWidth="1"/>
    <col min="11" max="11" width="11" style="34" bestFit="1" customWidth="1"/>
    <col min="12" max="12" width="2.7109375" style="34" customWidth="1"/>
    <col min="13" max="13" width="3.28515625" style="34" customWidth="1"/>
    <col min="14" max="14" width="44.5703125" style="34" bestFit="1" customWidth="1"/>
    <col min="15" max="17" width="12.42578125" style="34" bestFit="1" customWidth="1"/>
    <col min="18" max="18" width="2.42578125" style="34" customWidth="1"/>
    <col min="19" max="19" width="5.7109375" style="34" bestFit="1" customWidth="1"/>
    <col min="20" max="16384" width="9.42578125" style="34"/>
  </cols>
  <sheetData>
    <row r="1" spans="1:19" ht="20.25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9"/>
      <c r="M1" s="69"/>
    </row>
    <row r="2" spans="1:19" ht="20.25" x14ac:dyDescent="0.3">
      <c r="B2" s="60" t="s">
        <v>69</v>
      </c>
      <c r="C2" s="60"/>
      <c r="D2" s="60"/>
      <c r="E2" s="60"/>
      <c r="F2" s="60"/>
      <c r="G2" s="60"/>
      <c r="H2" s="60"/>
      <c r="I2" s="60"/>
      <c r="J2" s="60"/>
      <c r="K2" s="60"/>
      <c r="L2" s="69"/>
      <c r="M2" s="69"/>
    </row>
    <row r="3" spans="1:19" ht="20.25" x14ac:dyDescent="0.3">
      <c r="B3" s="60" t="s">
        <v>133</v>
      </c>
      <c r="C3" s="60"/>
      <c r="D3" s="60"/>
      <c r="E3" s="60"/>
      <c r="F3" s="60"/>
      <c r="G3" s="60"/>
      <c r="H3" s="60"/>
      <c r="I3" s="60"/>
      <c r="J3" s="60"/>
      <c r="K3" s="60"/>
      <c r="L3" s="69"/>
      <c r="M3" s="69"/>
    </row>
    <row r="4" spans="1:19" ht="20.25" x14ac:dyDescent="0.3">
      <c r="B4" s="70" t="s">
        <v>134</v>
      </c>
      <c r="C4" s="60"/>
      <c r="D4" s="60"/>
      <c r="E4" s="60"/>
      <c r="F4" s="60"/>
      <c r="G4" s="60"/>
      <c r="H4" s="60"/>
      <c r="I4" s="60"/>
      <c r="J4" s="60"/>
      <c r="K4" s="60"/>
      <c r="L4" s="69"/>
      <c r="M4" s="69"/>
    </row>
    <row r="5" spans="1:19" x14ac:dyDescent="0.25">
      <c r="A5" s="36"/>
      <c r="B5" s="68"/>
    </row>
    <row r="6" spans="1:19" ht="15.75" x14ac:dyDescent="0.25">
      <c r="A6" s="36"/>
      <c r="B6" s="66" t="s">
        <v>110</v>
      </c>
      <c r="C6" s="40"/>
      <c r="D6" s="40"/>
      <c r="E6" s="40"/>
      <c r="F6" s="40"/>
      <c r="G6" s="125" t="s">
        <v>109</v>
      </c>
      <c r="H6" s="126"/>
      <c r="I6" s="126"/>
      <c r="J6" s="40"/>
      <c r="K6" s="37"/>
      <c r="L6" s="36"/>
      <c r="M6" s="36"/>
    </row>
    <row r="7" spans="1:19" ht="16.5" thickBot="1" x14ac:dyDescent="0.3">
      <c r="A7" s="36"/>
      <c r="B7" s="67" t="s">
        <v>108</v>
      </c>
      <c r="C7" s="57"/>
      <c r="D7" s="66" t="s">
        <v>107</v>
      </c>
      <c r="E7" s="40"/>
      <c r="F7" s="40"/>
      <c r="G7" s="65" t="s">
        <v>106</v>
      </c>
      <c r="H7" s="37"/>
      <c r="I7" s="65" t="s">
        <v>19</v>
      </c>
      <c r="J7" s="40"/>
      <c r="K7" s="57" t="s">
        <v>85</v>
      </c>
      <c r="L7" s="36"/>
      <c r="M7" s="36"/>
    </row>
    <row r="8" spans="1:19" ht="16.5" x14ac:dyDescent="0.25">
      <c r="A8" s="36"/>
      <c r="B8" s="54" t="s">
        <v>105</v>
      </c>
      <c r="C8" s="52"/>
      <c r="D8" s="64" t="s">
        <v>104</v>
      </c>
      <c r="E8" s="54" t="s">
        <v>65</v>
      </c>
      <c r="F8" s="40"/>
      <c r="G8" s="63" t="s">
        <v>163</v>
      </c>
      <c r="H8" s="63"/>
      <c r="I8" s="63" t="s">
        <v>164</v>
      </c>
      <c r="J8" s="40"/>
      <c r="K8" s="55" t="s">
        <v>20</v>
      </c>
      <c r="L8" s="36"/>
      <c r="M8" s="36"/>
      <c r="N8" s="121" t="s">
        <v>82</v>
      </c>
      <c r="O8" s="123"/>
      <c r="P8" s="124" t="s">
        <v>81</v>
      </c>
      <c r="Q8" s="123"/>
      <c r="R8" s="91"/>
    </row>
    <row r="9" spans="1:19" ht="15.75" x14ac:dyDescent="0.25">
      <c r="A9" s="36"/>
      <c r="B9" s="40"/>
      <c r="C9" s="40"/>
      <c r="D9" s="40"/>
      <c r="E9" s="40"/>
      <c r="F9" s="40"/>
      <c r="G9" s="52"/>
      <c r="H9" s="52"/>
      <c r="I9" s="52"/>
      <c r="J9" s="37"/>
      <c r="K9" s="37"/>
      <c r="N9" s="48"/>
      <c r="O9" s="50"/>
      <c r="P9" s="26"/>
      <c r="Q9" s="50"/>
      <c r="R9" s="91"/>
    </row>
    <row r="10" spans="1:19" ht="15.75" x14ac:dyDescent="0.25">
      <c r="A10" s="36"/>
      <c r="B10" s="40">
        <v>350</v>
      </c>
      <c r="C10" s="40"/>
      <c r="D10" s="40">
        <v>300</v>
      </c>
      <c r="E10" s="43">
        <f>ROUND((B$10*D10),0)</f>
        <v>105000</v>
      </c>
      <c r="F10" s="40"/>
      <c r="G10" s="41">
        <f>+O$10+$B10*O$16+$E10*O$12</f>
        <v>9853.2132656429822</v>
      </c>
      <c r="H10" s="41"/>
      <c r="I10" s="41">
        <f>+Q$10+$B10*Q$16+$E10*Q$12</f>
        <v>10558.585494208006</v>
      </c>
      <c r="J10" s="40"/>
      <c r="K10" s="38">
        <f>ROUND((+I10-G10)/G10,3)</f>
        <v>7.1999999999999995E-2</v>
      </c>
      <c r="L10" s="36"/>
      <c r="M10" s="36"/>
      <c r="N10" s="48" t="s">
        <v>78</v>
      </c>
      <c r="O10" s="144">
        <f>SUM(O21,O34,O39)</f>
        <v>343.66</v>
      </c>
      <c r="P10" s="48" t="str">
        <f>+N10</f>
        <v>Basic Charge</v>
      </c>
      <c r="Q10" s="144">
        <f>SUM(Q21,Q34,Q39)</f>
        <v>369.66</v>
      </c>
      <c r="R10" s="47"/>
      <c r="S10" s="25">
        <f>(Q10-O10)/O10</f>
        <v>7.5656171797707034E-2</v>
      </c>
    </row>
    <row r="11" spans="1:19" ht="15.75" x14ac:dyDescent="0.25">
      <c r="A11" s="36"/>
      <c r="B11" s="40">
        <f>+B10</f>
        <v>350</v>
      </c>
      <c r="C11" s="40"/>
      <c r="D11" s="40">
        <v>500</v>
      </c>
      <c r="E11" s="43">
        <f>ROUND((B$10*D11),0)</f>
        <v>175000</v>
      </c>
      <c r="F11" s="40"/>
      <c r="G11" s="41">
        <f>+O$10+$B11*O$16+$E11*O$12</f>
        <v>13934.248776071636</v>
      </c>
      <c r="H11" s="41"/>
      <c r="I11" s="41">
        <f>+Q$10+$B11*Q$16+$E11*Q$12</f>
        <v>14922.202490346677</v>
      </c>
      <c r="J11" s="40"/>
      <c r="K11" s="38">
        <f>ROUND((+I11-G11)/G11,3)</f>
        <v>7.0999999999999994E-2</v>
      </c>
      <c r="L11" s="36"/>
      <c r="M11" s="36"/>
      <c r="N11" s="48"/>
      <c r="O11" s="150"/>
      <c r="P11" s="26"/>
      <c r="Q11" s="150"/>
      <c r="R11" s="91"/>
    </row>
    <row r="12" spans="1:19" ht="15.75" x14ac:dyDescent="0.25">
      <c r="A12" s="36"/>
      <c r="B12" s="40">
        <f>+B11</f>
        <v>350</v>
      </c>
      <c r="C12" s="40"/>
      <c r="D12" s="40">
        <v>700</v>
      </c>
      <c r="E12" s="43">
        <f>ROUND((B$10*D12),0)</f>
        <v>245000</v>
      </c>
      <c r="F12" s="40"/>
      <c r="G12" s="41">
        <f>+O$10+$B12*O$16+$E12*O$12</f>
        <v>18015.284286500289</v>
      </c>
      <c r="H12" s="41"/>
      <c r="I12" s="41">
        <f>+Q$10+$B12*Q$16+$E12*Q$12</f>
        <v>19285.81948648535</v>
      </c>
      <c r="J12" s="40"/>
      <c r="K12" s="38">
        <f>ROUND((+I12-G12)/G12,3)</f>
        <v>7.0999999999999994E-2</v>
      </c>
      <c r="N12" s="49" t="s">
        <v>119</v>
      </c>
      <c r="O12" s="146">
        <f>SUM(O22,O28:O33,O44,O35,O40,O45)</f>
        <v>5.8300507291837923E-2</v>
      </c>
      <c r="P12" s="48" t="str">
        <f>+N12</f>
        <v>kWh - All</v>
      </c>
      <c r="Q12" s="146">
        <f>SUM(Q22,Q28:Q33,Q44,Q35,Q40,Q45)</f>
        <v>6.2337385659123869E-2</v>
      </c>
      <c r="R12" s="91"/>
      <c r="S12" s="25">
        <f>(Q12-O12)/O12</f>
        <v>6.9242594186673723E-2</v>
      </c>
    </row>
    <row r="13" spans="1:19" x14ac:dyDescent="0.25">
      <c r="A13" s="36"/>
      <c r="L13" s="36"/>
      <c r="M13" s="36"/>
      <c r="N13" s="49"/>
      <c r="O13" s="146"/>
      <c r="P13" s="49"/>
      <c r="Q13" s="146"/>
      <c r="R13" s="91"/>
      <c r="S13" s="27"/>
    </row>
    <row r="14" spans="1:19" ht="15.75" x14ac:dyDescent="0.25">
      <c r="A14" s="36"/>
      <c r="B14" s="40">
        <f>+B12+50</f>
        <v>400</v>
      </c>
      <c r="C14" s="40"/>
      <c r="D14" s="40">
        <v>300</v>
      </c>
      <c r="E14" s="43">
        <f>ROUND((B$14*D14),0)</f>
        <v>120000</v>
      </c>
      <c r="F14" s="40"/>
      <c r="G14" s="41">
        <f>+O$10+$B14*O$16+$E14*O$12</f>
        <v>11211.72087502055</v>
      </c>
      <c r="H14" s="41"/>
      <c r="I14" s="41">
        <f>+Q$10+$B14*Q$16+$E14*Q$12</f>
        <v>12014.146279094864</v>
      </c>
      <c r="J14" s="40"/>
      <c r="K14" s="38">
        <f>ROUND((+I14-G14)/G14,3)</f>
        <v>7.1999999999999995E-2</v>
      </c>
      <c r="L14" s="36"/>
      <c r="M14" s="36"/>
      <c r="N14" s="49" t="s">
        <v>118</v>
      </c>
      <c r="O14" s="144">
        <f>SUM(O23,O36,O46,O41)</f>
        <v>11.620000000000001</v>
      </c>
      <c r="P14" s="48" t="str">
        <f>+N14</f>
        <v>Winter kW</v>
      </c>
      <c r="Q14" s="144">
        <f>SUM(Q23,Q36,Q46,Q41)</f>
        <v>12.49</v>
      </c>
      <c r="R14" s="91"/>
      <c r="S14" s="25">
        <f>(Q14-O14)/O14</f>
        <v>7.487091222030974E-2</v>
      </c>
    </row>
    <row r="15" spans="1:19" ht="15.75" x14ac:dyDescent="0.25">
      <c r="A15" s="36"/>
      <c r="B15" s="40">
        <f>+B14</f>
        <v>400</v>
      </c>
      <c r="C15" s="40"/>
      <c r="D15" s="40">
        <v>500</v>
      </c>
      <c r="E15" s="43">
        <f>ROUND((B$14*D15),0)</f>
        <v>200000</v>
      </c>
      <c r="F15" s="40"/>
      <c r="G15" s="41">
        <f>+O$10+$B15*O$16+$E15*O$12</f>
        <v>15875.761458367584</v>
      </c>
      <c r="H15" s="41"/>
      <c r="I15" s="41">
        <f>+Q$10+$B15*Q$16+$E15*Q$12</f>
        <v>17001.137131824773</v>
      </c>
      <c r="J15" s="40"/>
      <c r="K15" s="38">
        <f>ROUND((+I15-G15)/G15,3)</f>
        <v>7.0999999999999994E-2</v>
      </c>
      <c r="L15" s="36"/>
      <c r="M15" s="36"/>
      <c r="N15" s="49" t="s">
        <v>117</v>
      </c>
      <c r="O15" s="144">
        <f>SUM(O24,O37,O46,O42)</f>
        <v>7.8</v>
      </c>
      <c r="P15" s="48" t="str">
        <f>+N15</f>
        <v>Summer kW</v>
      </c>
      <c r="Q15" s="144">
        <f>SUM(Q24,Q37,Q46,Q42)</f>
        <v>8.3800000000000008</v>
      </c>
      <c r="R15" s="91"/>
      <c r="S15" s="25">
        <f>(Q15-O15)/O15</f>
        <v>7.4358974358974483E-2</v>
      </c>
    </row>
    <row r="16" spans="1:19" ht="15.75" x14ac:dyDescent="0.25">
      <c r="A16" s="36"/>
      <c r="B16" s="40">
        <f>+B15</f>
        <v>400</v>
      </c>
      <c r="C16" s="40"/>
      <c r="D16" s="40">
        <v>700</v>
      </c>
      <c r="E16" s="43">
        <f>ROUND((B$14*D16),0)</f>
        <v>280000</v>
      </c>
      <c r="F16" s="40"/>
      <c r="G16" s="41">
        <f>+O$10+$B16*O$16+$E16*O$12</f>
        <v>20539.802041714618</v>
      </c>
      <c r="H16" s="41"/>
      <c r="I16" s="41">
        <f>+Q$10+$B16*Q$16+$E16*Q$12</f>
        <v>21988.127984554681</v>
      </c>
      <c r="J16" s="40"/>
      <c r="K16" s="38">
        <f>ROUND((+I16-G16)/G16,3)</f>
        <v>7.0999999999999994E-2</v>
      </c>
      <c r="N16" s="49" t="s">
        <v>116</v>
      </c>
      <c r="O16" s="144">
        <f>ROUND(SUM(O25,O46)+AVERAGE(O36:O37)+AVERAGE(O41:O42),2)</f>
        <v>9.68</v>
      </c>
      <c r="P16" s="48" t="str">
        <f>+N16</f>
        <v>Average kW</v>
      </c>
      <c r="Q16" s="144">
        <f>ROUND(SUM(Q25,Q46)+AVERAGE(Q36:Q37)+AVERAGE(Q41:Q42),2)</f>
        <v>10.41</v>
      </c>
      <c r="R16" s="91"/>
      <c r="S16" s="25">
        <f>(Q16-O16)/O16</f>
        <v>7.5413223140495908E-2</v>
      </c>
    </row>
    <row r="17" spans="1:19" ht="15.75" x14ac:dyDescent="0.25">
      <c r="A17" s="36"/>
      <c r="B17" s="40"/>
      <c r="C17" s="40"/>
      <c r="D17" s="40"/>
      <c r="E17" s="40"/>
      <c r="F17" s="40"/>
      <c r="G17" s="41"/>
      <c r="H17" s="41"/>
      <c r="I17" s="41"/>
      <c r="J17" s="37"/>
      <c r="K17" s="39"/>
      <c r="L17" s="36"/>
      <c r="M17" s="36"/>
      <c r="N17" s="48"/>
      <c r="O17" s="146"/>
      <c r="P17" s="48"/>
      <c r="Q17" s="146"/>
      <c r="R17" s="91"/>
    </row>
    <row r="18" spans="1:19" ht="15.75" x14ac:dyDescent="0.25">
      <c r="A18" s="36"/>
      <c r="B18" s="40">
        <f>+B16+100</f>
        <v>500</v>
      </c>
      <c r="C18" s="40"/>
      <c r="D18" s="40">
        <v>300</v>
      </c>
      <c r="E18" s="43">
        <f>ROUND((B$18*D18),0)</f>
        <v>150000</v>
      </c>
      <c r="F18" s="40"/>
      <c r="G18" s="41">
        <f>+O$10+$B18*O$16+$E18*O$12</f>
        <v>13928.736093775688</v>
      </c>
      <c r="H18" s="41"/>
      <c r="I18" s="41">
        <f>+Q$10+$B18*Q$16+$E18*Q$12</f>
        <v>14925.26784886858</v>
      </c>
      <c r="J18" s="40"/>
      <c r="K18" s="38">
        <f>ROUND((+I18-G18)/G18,3)</f>
        <v>7.1999999999999995E-2</v>
      </c>
      <c r="L18" s="36"/>
      <c r="M18" s="36"/>
      <c r="N18" s="48" t="s">
        <v>95</v>
      </c>
      <c r="O18" s="151">
        <f>SUM(O26,O38,O43)</f>
        <v>1.07E-3</v>
      </c>
      <c r="P18" s="48" t="str">
        <f>+N18</f>
        <v>kVarh</v>
      </c>
      <c r="Q18" s="151">
        <f>SUM(Q26,Q38,Q43)</f>
        <v>1.15E-3</v>
      </c>
      <c r="R18" s="91"/>
      <c r="S18" s="25">
        <f>(Q18-O18)/O18</f>
        <v>7.476635514018691E-2</v>
      </c>
    </row>
    <row r="19" spans="1:19" ht="16.5" thickBot="1" x14ac:dyDescent="0.3">
      <c r="A19" s="36"/>
      <c r="B19" s="40">
        <f>+B18</f>
        <v>500</v>
      </c>
      <c r="C19" s="40"/>
      <c r="D19" s="40">
        <v>500</v>
      </c>
      <c r="E19" s="43">
        <f>ROUND((B$18*D19),0)</f>
        <v>250000</v>
      </c>
      <c r="F19" s="40"/>
      <c r="G19" s="41">
        <f>+O$10+$B19*O$16+$E19*O$12</f>
        <v>19758.786822959482</v>
      </c>
      <c r="H19" s="41"/>
      <c r="I19" s="41">
        <f>+Q$10+$B19*Q$16+$E19*Q$12</f>
        <v>21159.006414780968</v>
      </c>
      <c r="J19" s="40"/>
      <c r="K19" s="38">
        <f>ROUND((+I19-G19)/G19,3)</f>
        <v>7.0999999999999994E-2</v>
      </c>
      <c r="L19" s="36"/>
      <c r="M19" s="36"/>
      <c r="N19" s="81" t="s">
        <v>17</v>
      </c>
      <c r="O19" s="152" t="s">
        <v>17</v>
      </c>
      <c r="P19" s="81" t="s">
        <v>17</v>
      </c>
      <c r="Q19" s="152" t="s">
        <v>17</v>
      </c>
      <c r="R19" s="91"/>
    </row>
    <row r="20" spans="1:19" ht="15.75" x14ac:dyDescent="0.25">
      <c r="A20" s="36"/>
      <c r="B20" s="40">
        <f>+B19</f>
        <v>500</v>
      </c>
      <c r="C20" s="40"/>
      <c r="D20" s="40">
        <v>700</v>
      </c>
      <c r="E20" s="43">
        <f>ROUND((B$18*D20),0)</f>
        <v>350000</v>
      </c>
      <c r="F20" s="40"/>
      <c r="G20" s="41">
        <f>+O$10+$B20*O$16+$E20*O$12</f>
        <v>25588.837552143272</v>
      </c>
      <c r="H20" s="41"/>
      <c r="I20" s="41">
        <f>+Q$10+$B20*Q$16+$E20*Q$12</f>
        <v>27392.744980693355</v>
      </c>
      <c r="J20" s="40"/>
      <c r="K20" s="38">
        <f>ROUND((+I20-G20)/G20,3)</f>
        <v>7.0000000000000007E-2</v>
      </c>
      <c r="R20" s="91"/>
    </row>
    <row r="21" spans="1:19" ht="15.75" x14ac:dyDescent="0.25">
      <c r="A21" s="36"/>
      <c r="B21" s="40"/>
      <c r="C21" s="40"/>
      <c r="D21" s="40"/>
      <c r="E21" s="40"/>
      <c r="F21" s="40"/>
      <c r="G21" s="41"/>
      <c r="H21" s="41"/>
      <c r="I21" s="41"/>
      <c r="J21" s="37"/>
      <c r="K21" s="39"/>
      <c r="L21" s="36"/>
      <c r="M21" s="36"/>
      <c r="N21" s="34" t="str">
        <f>+N10</f>
        <v>Basic Charge</v>
      </c>
      <c r="O21" s="96">
        <v>343.66</v>
      </c>
      <c r="P21" s="92"/>
      <c r="Q21" s="96">
        <v>369.66</v>
      </c>
      <c r="R21" s="91"/>
    </row>
    <row r="22" spans="1:19" ht="15.75" x14ac:dyDescent="0.25">
      <c r="A22" s="36"/>
      <c r="B22" s="40">
        <f>+B20+100</f>
        <v>600</v>
      </c>
      <c r="C22" s="40"/>
      <c r="D22" s="40">
        <v>300</v>
      </c>
      <c r="E22" s="43">
        <f>ROUND((B$22*D22),0)</f>
        <v>180000</v>
      </c>
      <c r="F22" s="40"/>
      <c r="G22" s="41">
        <f>+O$10+$B22*O$16+$E22*O$12</f>
        <v>16645.751312530825</v>
      </c>
      <c r="H22" s="41"/>
      <c r="I22" s="41">
        <f>+Q$10+$B22*Q$16+$E22*Q$12</f>
        <v>17836.389418642299</v>
      </c>
      <c r="J22" s="40"/>
      <c r="K22" s="38">
        <f>ROUND((+I22-G22)/G22,3)</f>
        <v>7.1999999999999995E-2</v>
      </c>
      <c r="L22" s="36"/>
      <c r="M22" s="36"/>
      <c r="N22" s="34" t="str">
        <f>+N12</f>
        <v>kWh - All</v>
      </c>
      <c r="O22" s="98">
        <v>5.5014E-2</v>
      </c>
      <c r="P22" s="92"/>
      <c r="Q22" s="98">
        <v>5.9171000000000001E-2</v>
      </c>
      <c r="R22" s="91"/>
    </row>
    <row r="23" spans="1:19" ht="15.75" x14ac:dyDescent="0.25">
      <c r="A23" s="36"/>
      <c r="B23" s="40">
        <f>+B22</f>
        <v>600</v>
      </c>
      <c r="C23" s="40"/>
      <c r="D23" s="40">
        <v>500</v>
      </c>
      <c r="E23" s="43">
        <f>ROUND((B$22*D23),0)</f>
        <v>300000</v>
      </c>
      <c r="F23" s="40"/>
      <c r="G23" s="41">
        <f>+O$10+$B23*O$16+$E23*O$12</f>
        <v>23641.812187551375</v>
      </c>
      <c r="H23" s="41"/>
      <c r="I23" s="41">
        <f>+Q$10+$B23*Q$16+$E23*Q$12</f>
        <v>25316.875697737159</v>
      </c>
      <c r="J23" s="40"/>
      <c r="K23" s="38">
        <f>ROUND((+I23-G23)/G23,3)</f>
        <v>7.0999999999999994E-2</v>
      </c>
      <c r="L23" s="36"/>
      <c r="M23" s="36"/>
      <c r="N23" s="34" t="str">
        <f>+N14</f>
        <v>Winter kW</v>
      </c>
      <c r="O23" s="96">
        <v>11.46</v>
      </c>
      <c r="P23" s="92"/>
      <c r="Q23" s="96">
        <v>12.33</v>
      </c>
      <c r="R23" s="91"/>
    </row>
    <row r="24" spans="1:19" ht="15.75" x14ac:dyDescent="0.25">
      <c r="A24" s="36"/>
      <c r="B24" s="40">
        <f>+B23</f>
        <v>600</v>
      </c>
      <c r="C24" s="40"/>
      <c r="D24" s="40">
        <v>700</v>
      </c>
      <c r="E24" s="43">
        <f>ROUND((B$22*D24),0)</f>
        <v>420000</v>
      </c>
      <c r="F24" s="40"/>
      <c r="G24" s="41">
        <f>+O$10+$B24*O$16+$E24*O$12</f>
        <v>30637.873062571929</v>
      </c>
      <c r="H24" s="41"/>
      <c r="I24" s="41">
        <f>+Q$10+$B24*Q$16+$E24*Q$12</f>
        <v>32797.36197683202</v>
      </c>
      <c r="J24" s="40"/>
      <c r="K24" s="38">
        <f>ROUND((+I24-G24)/G24,3)</f>
        <v>7.0000000000000007E-2</v>
      </c>
      <c r="N24" s="34" t="str">
        <f t="shared" ref="N24:N25" si="0">+N15</f>
        <v>Summer kW</v>
      </c>
      <c r="O24" s="96">
        <v>7.64</v>
      </c>
      <c r="P24" s="92"/>
      <c r="Q24" s="96">
        <v>8.2200000000000006</v>
      </c>
      <c r="R24" s="91"/>
    </row>
    <row r="25" spans="1:19" ht="15.75" x14ac:dyDescent="0.25">
      <c r="A25" s="36"/>
      <c r="B25" s="40"/>
      <c r="C25" s="40"/>
      <c r="D25" s="40"/>
      <c r="E25" s="40"/>
      <c r="F25" s="40"/>
      <c r="G25" s="41"/>
      <c r="H25" s="41"/>
      <c r="I25" s="41"/>
      <c r="J25" s="37"/>
      <c r="K25" s="39"/>
      <c r="L25" s="36"/>
      <c r="M25" s="36"/>
      <c r="N25" s="34" t="str">
        <f t="shared" si="0"/>
        <v>Average kW</v>
      </c>
      <c r="O25" s="96">
        <v>9.52</v>
      </c>
      <c r="P25" s="92"/>
      <c r="Q25" s="96">
        <v>10.25</v>
      </c>
      <c r="R25" s="91"/>
    </row>
    <row r="26" spans="1:19" ht="15.75" x14ac:dyDescent="0.25">
      <c r="A26" s="36"/>
      <c r="B26" s="40">
        <f>+B24+100</f>
        <v>700</v>
      </c>
      <c r="C26" s="40"/>
      <c r="D26" s="40">
        <v>300</v>
      </c>
      <c r="E26" s="43">
        <f>ROUND((B$26*D26),0)</f>
        <v>210000</v>
      </c>
      <c r="F26" s="40"/>
      <c r="G26" s="41">
        <f>+O$10+$B26*O$16+$E26*O$12</f>
        <v>19362.766531285964</v>
      </c>
      <c r="H26" s="41"/>
      <c r="I26" s="41">
        <f>+Q$10+$B26*Q$16+$E26*Q$12</f>
        <v>20747.510988416012</v>
      </c>
      <c r="J26" s="40"/>
      <c r="K26" s="38">
        <f>ROUND((+I26-G26)/G26,3)</f>
        <v>7.1999999999999995E-2</v>
      </c>
      <c r="L26" s="36"/>
      <c r="M26" s="36"/>
      <c r="N26" s="34" t="str">
        <f>+N18</f>
        <v>kVarh</v>
      </c>
      <c r="O26" s="97">
        <v>1.07E-3</v>
      </c>
      <c r="P26" s="92"/>
      <c r="Q26" s="97">
        <v>1.15E-3</v>
      </c>
      <c r="R26" s="91"/>
    </row>
    <row r="27" spans="1:19" ht="15.75" x14ac:dyDescent="0.25">
      <c r="A27" s="36"/>
      <c r="B27" s="40">
        <f>+B26</f>
        <v>700</v>
      </c>
      <c r="C27" s="40"/>
      <c r="D27" s="40">
        <v>500</v>
      </c>
      <c r="E27" s="43">
        <f>ROUND((B$26*D27),0)</f>
        <v>350000</v>
      </c>
      <c r="F27" s="40"/>
      <c r="G27" s="41">
        <f>+O$10+$B27*O$16+$E27*O$12</f>
        <v>27524.837552143272</v>
      </c>
      <c r="H27" s="41"/>
      <c r="I27" s="41">
        <f>+Q$10+$B27*Q$16+$E27*Q$12</f>
        <v>29474.744980693355</v>
      </c>
      <c r="J27" s="40"/>
      <c r="K27" s="38">
        <f>ROUND((+I27-G27)/G27,3)</f>
        <v>7.0999999999999994E-2</v>
      </c>
      <c r="L27" s="36"/>
      <c r="M27" s="36"/>
      <c r="O27" s="98"/>
      <c r="Q27" s="98"/>
    </row>
    <row r="28" spans="1:19" ht="15.75" x14ac:dyDescent="0.25">
      <c r="A28" s="36"/>
      <c r="B28" s="40">
        <f>+B27</f>
        <v>700</v>
      </c>
      <c r="C28" s="40"/>
      <c r="D28" s="40">
        <v>700</v>
      </c>
      <c r="E28" s="43">
        <f>ROUND((B$26*D28),0)</f>
        <v>490000</v>
      </c>
      <c r="F28" s="40"/>
      <c r="G28" s="41">
        <f>+O$10+$B28*O$16+$E28*O$12</f>
        <v>35686.908573000583</v>
      </c>
      <c r="H28" s="41"/>
      <c r="I28" s="41">
        <f>+Q$10+$B28*Q$16+$E28*Q$12</f>
        <v>38201.978972970697</v>
      </c>
      <c r="J28" s="40"/>
      <c r="K28" s="38">
        <f>ROUND((+I28-G28)/G28,3)</f>
        <v>7.0000000000000007E-2</v>
      </c>
      <c r="N28" s="104" t="s">
        <v>57</v>
      </c>
      <c r="O28" s="98">
        <v>1.2012163271405909E-4</v>
      </c>
      <c r="Q28" s="92">
        <v>0</v>
      </c>
    </row>
    <row r="29" spans="1:19" ht="15.75" x14ac:dyDescent="0.25">
      <c r="A29" s="36"/>
      <c r="B29" s="40"/>
      <c r="C29" s="40"/>
      <c r="D29" s="40"/>
      <c r="E29" s="40"/>
      <c r="F29" s="40"/>
      <c r="G29" s="41"/>
      <c r="H29" s="41"/>
      <c r="I29" s="41"/>
      <c r="J29" s="37"/>
      <c r="K29" s="39"/>
      <c r="L29" s="36"/>
      <c r="M29" s="36"/>
      <c r="N29" s="104" t="s">
        <v>56</v>
      </c>
      <c r="O29" s="98">
        <v>-1.5430000000000001E-3</v>
      </c>
      <c r="Q29" s="98">
        <f t="shared" ref="Q29:Q44" si="1">+O29</f>
        <v>-1.5430000000000001E-3</v>
      </c>
    </row>
    <row r="30" spans="1:19" ht="15.75" x14ac:dyDescent="0.25">
      <c r="A30" s="36"/>
      <c r="B30" s="40">
        <f>+B28+100</f>
        <v>800</v>
      </c>
      <c r="C30" s="40"/>
      <c r="D30" s="40">
        <v>300</v>
      </c>
      <c r="E30" s="43">
        <f>ROUND((B$30*D30),0)</f>
        <v>240000</v>
      </c>
      <c r="F30" s="40"/>
      <c r="G30" s="41">
        <f>+O$10+$B30*O$16+$E30*O$12</f>
        <v>22079.781750041104</v>
      </c>
      <c r="H30" s="41"/>
      <c r="I30" s="41">
        <f>+Q$10+$B30*Q$16+$E30*Q$12</f>
        <v>23658.632558189729</v>
      </c>
      <c r="J30" s="40"/>
      <c r="K30" s="38">
        <f>ROUND((+I30-G30)/G30,3)</f>
        <v>7.1999999999999995E-2</v>
      </c>
      <c r="L30" s="36"/>
      <c r="M30" s="36"/>
      <c r="N30" s="104" t="s">
        <v>55</v>
      </c>
      <c r="O30" s="98">
        <v>3.1519999999999999E-3</v>
      </c>
      <c r="Q30" s="98">
        <f t="shared" si="1"/>
        <v>3.1519999999999999E-3</v>
      </c>
    </row>
    <row r="31" spans="1:19" ht="15.75" x14ac:dyDescent="0.25">
      <c r="A31" s="36"/>
      <c r="B31" s="40">
        <f>+B30</f>
        <v>800</v>
      </c>
      <c r="C31" s="40"/>
      <c r="D31" s="40">
        <v>500</v>
      </c>
      <c r="E31" s="43">
        <f>ROUND((B$30*D31),0)</f>
        <v>400000</v>
      </c>
      <c r="F31" s="40"/>
      <c r="G31" s="41">
        <f>+O$10+$B31*O$16+$E31*O$12</f>
        <v>31407.862916735168</v>
      </c>
      <c r="H31" s="41"/>
      <c r="I31" s="41">
        <f>+Q$10+$B31*Q$16+$E31*Q$12</f>
        <v>33632.61426364955</v>
      </c>
      <c r="J31" s="40"/>
      <c r="K31" s="38">
        <f>ROUND((+I31-G31)/G31,3)</f>
        <v>7.0999999999999994E-2</v>
      </c>
      <c r="L31" s="36"/>
      <c r="M31" s="36"/>
      <c r="N31" s="104" t="s">
        <v>31</v>
      </c>
      <c r="O31" s="98">
        <v>7.0438565912385356E-4</v>
      </c>
      <c r="Q31" s="98">
        <f t="shared" si="1"/>
        <v>7.0438565912385356E-4</v>
      </c>
    </row>
    <row r="32" spans="1:19" ht="15.75" x14ac:dyDescent="0.25">
      <c r="A32" s="36"/>
      <c r="B32" s="40">
        <f>+B31</f>
        <v>800</v>
      </c>
      <c r="C32" s="40"/>
      <c r="D32" s="40">
        <v>700</v>
      </c>
      <c r="E32" s="43">
        <f>ROUND((B$30*D32),0)</f>
        <v>560000</v>
      </c>
      <c r="F32" s="40"/>
      <c r="G32" s="41">
        <f>+O$10+$B32*O$16+$E32*O$12</f>
        <v>40735.944083429233</v>
      </c>
      <c r="H32" s="41"/>
      <c r="I32" s="41">
        <f>+Q$10+$B32*Q$16+$E32*Q$12</f>
        <v>43606.595969109359</v>
      </c>
      <c r="J32" s="40"/>
      <c r="K32" s="38">
        <f>ROUND((+I32-G32)/G32,3)</f>
        <v>7.0000000000000007E-2</v>
      </c>
      <c r="N32" s="34" t="s">
        <v>53</v>
      </c>
      <c r="O32" s="98">
        <v>-5.8999999999999998E-5</v>
      </c>
      <c r="Q32" s="98">
        <f t="shared" si="1"/>
        <v>-5.8999999999999998E-5</v>
      </c>
    </row>
    <row r="33" spans="1:17" ht="15.75" x14ac:dyDescent="0.25">
      <c r="A33" s="36"/>
      <c r="B33" s="40"/>
      <c r="C33" s="40"/>
      <c r="D33" s="40"/>
      <c r="E33" s="40"/>
      <c r="F33" s="40"/>
      <c r="G33" s="41"/>
      <c r="H33" s="41"/>
      <c r="I33" s="41"/>
      <c r="J33" s="37"/>
      <c r="K33" s="39"/>
      <c r="L33" s="36"/>
      <c r="M33" s="36"/>
      <c r="N33" s="34" t="s">
        <v>35</v>
      </c>
      <c r="O33" s="98">
        <v>1.9780000000000002E-3</v>
      </c>
      <c r="Q33" s="98">
        <f t="shared" si="1"/>
        <v>1.9780000000000002E-3</v>
      </c>
    </row>
    <row r="34" spans="1:17" ht="15.75" x14ac:dyDescent="0.25">
      <c r="A34" s="36"/>
      <c r="B34" s="40">
        <f>+B32+200</f>
        <v>1000</v>
      </c>
      <c r="C34" s="40"/>
      <c r="D34" s="40">
        <v>300</v>
      </c>
      <c r="E34" s="43">
        <f>ROUND((B$34*D34),0)</f>
        <v>300000</v>
      </c>
      <c r="F34" s="40"/>
      <c r="G34" s="41">
        <f>+O$10+$B34*O$16+$E34*O$12</f>
        <v>27513.812187551375</v>
      </c>
      <c r="H34" s="41"/>
      <c r="I34" s="41">
        <f>+Q$10+$B34*Q$16+$E34*Q$12</f>
        <v>29480.875697737159</v>
      </c>
      <c r="J34" s="40"/>
      <c r="K34" s="38">
        <f>ROUND((+I34-G34)/G34,3)</f>
        <v>7.0999999999999994E-2</v>
      </c>
      <c r="L34" s="36"/>
      <c r="M34" s="36"/>
      <c r="N34" s="104" t="s">
        <v>94</v>
      </c>
      <c r="O34" s="96">
        <v>3.339999999999975</v>
      </c>
      <c r="Q34" s="92">
        <v>0</v>
      </c>
    </row>
    <row r="35" spans="1:17" ht="15.75" x14ac:dyDescent="0.25">
      <c r="A35" s="36"/>
      <c r="B35" s="40">
        <f>+B34</f>
        <v>1000</v>
      </c>
      <c r="C35" s="40"/>
      <c r="D35" s="40">
        <v>500</v>
      </c>
      <c r="E35" s="43">
        <f>ROUND((B$34*D35),0)</f>
        <v>500000</v>
      </c>
      <c r="F35" s="40"/>
      <c r="G35" s="41">
        <f>+O$10+$B35*O$16+$E35*O$12</f>
        <v>39173.913645918961</v>
      </c>
      <c r="H35" s="41"/>
      <c r="I35" s="41">
        <f>+Q$10+$B35*Q$16+$E35*Q$12</f>
        <v>41948.352829561933</v>
      </c>
      <c r="J35" s="40"/>
      <c r="K35" s="38">
        <f>ROUND((+I35-G35)/G35,3)</f>
        <v>7.0999999999999994E-2</v>
      </c>
      <c r="L35" s="36"/>
      <c r="M35" s="36"/>
      <c r="N35" s="104" t="s">
        <v>136</v>
      </c>
      <c r="O35" s="98">
        <v>5.4200000000000081E-4</v>
      </c>
      <c r="Q35" s="92">
        <v>0</v>
      </c>
    </row>
    <row r="36" spans="1:17" ht="15.75" x14ac:dyDescent="0.25">
      <c r="A36" s="36"/>
      <c r="B36" s="40">
        <f>+B35</f>
        <v>1000</v>
      </c>
      <c r="C36" s="40"/>
      <c r="D36" s="40">
        <v>700</v>
      </c>
      <c r="E36" s="43">
        <f>ROUND((B$34*D36),0)</f>
        <v>700000</v>
      </c>
      <c r="F36" s="40"/>
      <c r="G36" s="41">
        <f>+O$10+$B36*O$16+$E36*O$12</f>
        <v>50834.015104286547</v>
      </c>
      <c r="H36" s="41"/>
      <c r="I36" s="41">
        <f>+Q$10+$B36*Q$16+$E36*Q$12</f>
        <v>54415.829961386713</v>
      </c>
      <c r="J36" s="40"/>
      <c r="K36" s="38">
        <f>ROUND((+I36-G36)/G36,3)</f>
        <v>7.0000000000000007E-2</v>
      </c>
      <c r="N36" s="104" t="s">
        <v>115</v>
      </c>
      <c r="O36" s="96">
        <v>0.10999999999999943</v>
      </c>
      <c r="Q36" s="92">
        <v>0</v>
      </c>
    </row>
    <row r="37" spans="1:17" ht="15.75" x14ac:dyDescent="0.25">
      <c r="A37" s="36"/>
      <c r="B37" s="62"/>
      <c r="C37" s="62"/>
      <c r="D37" s="62"/>
      <c r="E37" s="62"/>
      <c r="F37" s="62"/>
      <c r="G37" s="62"/>
      <c r="H37" s="62"/>
      <c r="I37" s="62"/>
      <c r="J37" s="61"/>
      <c r="K37" s="61"/>
      <c r="L37" s="36"/>
      <c r="M37" s="36"/>
      <c r="N37" s="104" t="s">
        <v>114</v>
      </c>
      <c r="O37" s="96">
        <v>7.0000000000000284E-2</v>
      </c>
      <c r="Q37" s="92">
        <v>0</v>
      </c>
    </row>
    <row r="38" spans="1:17" ht="15.7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N38" s="104" t="s">
        <v>113</v>
      </c>
      <c r="O38" s="97">
        <v>1.0000000000000026E-5</v>
      </c>
      <c r="Q38" s="92">
        <v>0</v>
      </c>
    </row>
    <row r="39" spans="1:17" ht="15.75" x14ac:dyDescent="0.25">
      <c r="B39" s="37" t="s">
        <v>47</v>
      </c>
      <c r="C39" s="37"/>
      <c r="D39" s="37"/>
      <c r="E39" s="37"/>
      <c r="F39" s="37"/>
      <c r="G39" s="37"/>
      <c r="H39" s="37"/>
      <c r="I39" s="37"/>
      <c r="J39" s="37"/>
      <c r="K39" s="37"/>
      <c r="N39" s="104" t="s">
        <v>201</v>
      </c>
      <c r="O39" s="96">
        <v>-3.339999999999975</v>
      </c>
      <c r="Q39" s="92">
        <v>0</v>
      </c>
    </row>
    <row r="40" spans="1:17" ht="16.5" x14ac:dyDescent="0.25">
      <c r="B40" s="102" t="s">
        <v>231</v>
      </c>
      <c r="C40" s="37"/>
      <c r="D40" s="37"/>
      <c r="E40" s="37"/>
      <c r="F40" s="37"/>
      <c r="G40" s="37"/>
      <c r="H40" s="37"/>
      <c r="I40" s="37"/>
      <c r="J40" s="37"/>
      <c r="K40" s="37"/>
      <c r="N40" s="104" t="s">
        <v>208</v>
      </c>
      <c r="O40" s="98">
        <v>-5.4200000000000081E-4</v>
      </c>
      <c r="Q40" s="92">
        <v>0</v>
      </c>
    </row>
    <row r="41" spans="1:17" ht="16.5" x14ac:dyDescent="0.25">
      <c r="A41" s="36"/>
      <c r="B41" s="102" t="s">
        <v>160</v>
      </c>
      <c r="N41" s="104" t="s">
        <v>202</v>
      </c>
      <c r="O41" s="96">
        <v>-0.10999999999999943</v>
      </c>
      <c r="Q41" s="92">
        <v>0</v>
      </c>
    </row>
    <row r="42" spans="1:17" ht="16.5" x14ac:dyDescent="0.25">
      <c r="A42" s="36"/>
      <c r="B42" s="102" t="s">
        <v>168</v>
      </c>
      <c r="N42" s="104" t="s">
        <v>203</v>
      </c>
      <c r="O42" s="96">
        <v>-7.0000000000000284E-2</v>
      </c>
      <c r="Q42" s="92">
        <v>0</v>
      </c>
    </row>
    <row r="43" spans="1:17" ht="16.5" x14ac:dyDescent="0.25">
      <c r="A43" s="36"/>
      <c r="B43" s="102" t="s">
        <v>206</v>
      </c>
      <c r="N43" s="104" t="s">
        <v>207</v>
      </c>
      <c r="O43" s="97">
        <v>-1.0000000000000026E-5</v>
      </c>
      <c r="Q43" s="92">
        <v>0</v>
      </c>
    </row>
    <row r="44" spans="1:17" x14ac:dyDescent="0.25">
      <c r="A44" s="36"/>
      <c r="N44" s="104" t="s">
        <v>188</v>
      </c>
      <c r="O44" s="98">
        <v>-8.12E-4</v>
      </c>
      <c r="Q44" s="98">
        <f t="shared" si="1"/>
        <v>-8.12E-4</v>
      </c>
    </row>
    <row r="45" spans="1:17" x14ac:dyDescent="0.25">
      <c r="A45" s="36"/>
      <c r="N45" s="104" t="s">
        <v>135</v>
      </c>
      <c r="O45" s="98">
        <v>-2.5399999999999999E-4</v>
      </c>
      <c r="P45" s="92"/>
      <c r="Q45" s="98">
        <f>+O45</f>
        <v>-2.5399999999999999E-4</v>
      </c>
    </row>
    <row r="46" spans="1:17" x14ac:dyDescent="0.25">
      <c r="A46" s="36"/>
      <c r="N46" s="34" t="s">
        <v>112</v>
      </c>
      <c r="O46" s="96">
        <v>0.16</v>
      </c>
      <c r="P46" s="91"/>
      <c r="Q46" s="96">
        <f>+O46</f>
        <v>0.16</v>
      </c>
    </row>
    <row r="47" spans="1:17" x14ac:dyDescent="0.25">
      <c r="A47" s="36"/>
    </row>
    <row r="48" spans="1:17" x14ac:dyDescent="0.25">
      <c r="A48" s="36"/>
    </row>
    <row r="49" spans="1:15" x14ac:dyDescent="0.25">
      <c r="A49" s="36"/>
      <c r="N49" s="22" t="s">
        <v>147</v>
      </c>
      <c r="O49" s="21">
        <v>7.5661550006302924E-2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="80" zoomScaleNormal="8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2.28515625" style="34" customWidth="1"/>
    <col min="2" max="2" width="64.5703125" style="34" bestFit="1" customWidth="1"/>
    <col min="3" max="3" width="13.5703125" style="34" bestFit="1" customWidth="1"/>
    <col min="4" max="4" width="3.5703125" style="34" customWidth="1"/>
    <col min="5" max="5" width="10.5703125" style="34" bestFit="1" customWidth="1"/>
    <col min="6" max="6" width="4.140625" style="34" customWidth="1"/>
    <col min="7" max="7" width="13.85546875" style="34" bestFit="1" customWidth="1"/>
    <col min="8" max="8" width="3.85546875" style="34" customWidth="1"/>
    <col min="9" max="9" width="13.85546875" style="34" bestFit="1" customWidth="1"/>
    <col min="10" max="10" width="3.28515625" style="34" customWidth="1"/>
    <col min="11" max="11" width="10.140625" style="34" bestFit="1" customWidth="1"/>
    <col min="12" max="12" width="3.85546875" style="79" customWidth="1"/>
    <col min="13" max="13" width="36.7109375" style="34" bestFit="1" customWidth="1"/>
    <col min="14" max="14" width="16.42578125" style="34" bestFit="1" customWidth="1"/>
    <col min="15" max="15" width="9" style="34" bestFit="1" customWidth="1"/>
    <col min="16" max="16" width="18.140625" style="34" bestFit="1" customWidth="1"/>
    <col min="17" max="17" width="3.42578125" style="34" customWidth="1"/>
    <col min="18" max="18" width="5.7109375" style="34" bestFit="1" customWidth="1"/>
    <col min="19" max="16384" width="9.42578125" style="34"/>
  </cols>
  <sheetData>
    <row r="1" spans="1:18" ht="18.75" x14ac:dyDescent="0.3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</row>
    <row r="2" spans="1:18" ht="18.75" x14ac:dyDescent="0.3">
      <c r="B2" s="78" t="s">
        <v>69</v>
      </c>
      <c r="C2" s="78"/>
      <c r="D2" s="78"/>
      <c r="E2" s="78"/>
      <c r="F2" s="78"/>
      <c r="G2" s="78"/>
      <c r="H2" s="78"/>
      <c r="I2" s="78"/>
      <c r="J2" s="78"/>
      <c r="K2" s="78"/>
    </row>
    <row r="3" spans="1:18" ht="18.75" x14ac:dyDescent="0.3">
      <c r="B3" s="78" t="s">
        <v>143</v>
      </c>
      <c r="C3" s="78"/>
      <c r="D3" s="78"/>
      <c r="E3" s="78"/>
      <c r="F3" s="78"/>
      <c r="G3" s="78"/>
      <c r="H3" s="78"/>
      <c r="I3" s="78"/>
      <c r="J3" s="78"/>
      <c r="K3" s="78"/>
    </row>
    <row r="4" spans="1:18" ht="18.75" x14ac:dyDescent="0.3"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8" ht="18.75" x14ac:dyDescent="0.3"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8" ht="18.75" x14ac:dyDescent="0.3">
      <c r="A6" s="89"/>
      <c r="B6" s="35"/>
      <c r="C6" s="35"/>
      <c r="D6" s="35"/>
      <c r="E6" s="35"/>
      <c r="F6" s="35"/>
      <c r="G6" s="35"/>
      <c r="H6" s="35"/>
      <c r="I6" s="35"/>
      <c r="J6" s="35"/>
    </row>
    <row r="7" spans="1:18" ht="18.75" x14ac:dyDescent="0.3">
      <c r="A7" s="89"/>
      <c r="B7" s="35"/>
      <c r="C7" s="35"/>
      <c r="D7" s="35"/>
      <c r="E7" s="35"/>
      <c r="F7" s="35"/>
      <c r="G7" s="35"/>
      <c r="H7" s="35"/>
      <c r="I7" s="35"/>
      <c r="J7" s="35"/>
    </row>
    <row r="9" spans="1:18" ht="15.75" x14ac:dyDescent="0.25">
      <c r="B9" s="88" t="s">
        <v>142</v>
      </c>
      <c r="G9" s="125" t="s">
        <v>141</v>
      </c>
      <c r="H9" s="126"/>
      <c r="I9" s="126"/>
    </row>
    <row r="10" spans="1:18" ht="15.75" thickBot="1" x14ac:dyDescent="0.3">
      <c r="B10" s="76" t="s">
        <v>108</v>
      </c>
      <c r="C10" s="87" t="s">
        <v>140</v>
      </c>
      <c r="G10" s="35" t="s">
        <v>18</v>
      </c>
      <c r="I10" s="35" t="s">
        <v>139</v>
      </c>
      <c r="K10" s="35" t="s">
        <v>85</v>
      </c>
    </row>
    <row r="11" spans="1:18" ht="16.5" x14ac:dyDescent="0.25">
      <c r="B11" s="75" t="s">
        <v>105</v>
      </c>
      <c r="C11" s="74" t="s">
        <v>104</v>
      </c>
      <c r="D11" s="72"/>
      <c r="E11" s="103" t="s">
        <v>65</v>
      </c>
      <c r="F11" s="72"/>
      <c r="G11" s="63" t="s">
        <v>166</v>
      </c>
      <c r="H11" s="63"/>
      <c r="I11" s="63" t="s">
        <v>165</v>
      </c>
      <c r="K11" s="86" t="s">
        <v>20</v>
      </c>
      <c r="M11" s="85"/>
      <c r="N11" s="84" t="s">
        <v>82</v>
      </c>
      <c r="O11" s="83"/>
      <c r="P11" s="105" t="s">
        <v>81</v>
      </c>
    </row>
    <row r="12" spans="1:18" x14ac:dyDescent="0.25">
      <c r="G12" s="74"/>
      <c r="H12" s="72"/>
      <c r="I12" s="74"/>
      <c r="M12" s="48"/>
      <c r="N12" s="26"/>
      <c r="O12" s="26"/>
      <c r="P12" s="82"/>
    </row>
    <row r="13" spans="1:18" x14ac:dyDescent="0.25">
      <c r="B13" s="20">
        <v>1000</v>
      </c>
      <c r="C13" s="34">
        <v>300</v>
      </c>
      <c r="E13" s="20">
        <f>ROUND((B$13*C13),0)</f>
        <v>300000</v>
      </c>
      <c r="F13" s="20"/>
      <c r="G13" s="71">
        <f>ROUND(IF($B$13&gt;4400,$B$13*N$13,4400*$N$13)+$E13*N$14,0)</f>
        <v>29177</v>
      </c>
      <c r="H13" s="71"/>
      <c r="I13" s="71">
        <f>ROUND(IF($B$13&gt;4400,$B$13*P$13,4400*$N$13)+$E13*P$14,0)</f>
        <v>29874</v>
      </c>
      <c r="K13" s="19">
        <f>(I13-G13)/G13</f>
        <v>2.3888679439284369E-2</v>
      </c>
      <c r="M13" s="49" t="s">
        <v>138</v>
      </c>
      <c r="N13" s="143">
        <f>SUM(N17,N27,N29)</f>
        <v>2.95</v>
      </c>
      <c r="O13" s="26"/>
      <c r="P13" s="144">
        <f>SUM(P17,P27,P29)</f>
        <v>3.12</v>
      </c>
      <c r="R13" s="25">
        <f>(P13-N13)/N13</f>
        <v>5.7627118644067769E-2</v>
      </c>
    </row>
    <row r="14" spans="1:18" x14ac:dyDescent="0.25">
      <c r="C14" s="34">
        <v>500</v>
      </c>
      <c r="E14" s="20">
        <f>ROUND((B$13*C14),0)</f>
        <v>500000</v>
      </c>
      <c r="F14" s="20"/>
      <c r="G14" s="71">
        <f>ROUND(IF($B$13&gt;4400,$B$13*N$13,4400*$N$13)+$E14*N$14,0)</f>
        <v>39975</v>
      </c>
      <c r="H14" s="71"/>
      <c r="I14" s="71">
        <f>ROUND(IF($B$13&gt;4400,$B$13*P$13,4400*$N$13)+$E14*P$14,0)</f>
        <v>41136</v>
      </c>
      <c r="K14" s="19">
        <f>(I14-G14)/G14</f>
        <v>2.9043151969981237E-2</v>
      </c>
      <c r="M14" s="49" t="s">
        <v>137</v>
      </c>
      <c r="N14" s="145">
        <f>SUM(N18,N20:N26,N28,N30,N31)</f>
        <v>5.3989662844324104E-2</v>
      </c>
      <c r="O14" s="26"/>
      <c r="P14" s="146">
        <f>SUM(P18,P20:P26,P28,P30,P31)</f>
        <v>5.6312301285254059E-2</v>
      </c>
      <c r="R14" s="25">
        <f>(P14-N14)/N14</f>
        <v>4.302005825869186E-2</v>
      </c>
    </row>
    <row r="15" spans="1:18" ht="15.75" thickBot="1" x14ac:dyDescent="0.3">
      <c r="C15" s="34">
        <v>700</v>
      </c>
      <c r="E15" s="20">
        <f>ROUND((B$13*C15),0)</f>
        <v>700000</v>
      </c>
      <c r="F15" s="20"/>
      <c r="G15" s="71">
        <f>ROUND(IF($B$13&gt;4400,$B$13*N$13,4400*$N$13)+$E15*N$14,0)</f>
        <v>50773</v>
      </c>
      <c r="H15" s="71"/>
      <c r="I15" s="71">
        <f>ROUND(IF($B$13&gt;4400,$B$13*P$13,4400*$N$13)+$E15*P$14,0)</f>
        <v>52399</v>
      </c>
      <c r="K15" s="19">
        <f>(I15-G15)/G15</f>
        <v>3.20248951214228E-2</v>
      </c>
      <c r="M15" s="81" t="s">
        <v>17</v>
      </c>
      <c r="N15" s="147" t="s">
        <v>17</v>
      </c>
      <c r="O15" s="148"/>
      <c r="P15" s="149" t="s">
        <v>17</v>
      </c>
    </row>
    <row r="16" spans="1:18" x14ac:dyDescent="0.25">
      <c r="G16" s="71"/>
      <c r="H16" s="71"/>
      <c r="I16" s="71"/>
      <c r="K16" s="19"/>
    </row>
    <row r="17" spans="2:16" x14ac:dyDescent="0.25">
      <c r="B17" s="20">
        <v>2000</v>
      </c>
      <c r="C17" s="34">
        <v>300</v>
      </c>
      <c r="E17" s="20">
        <f>ROUND((B$17*C17),0)</f>
        <v>600000</v>
      </c>
      <c r="F17" s="20"/>
      <c r="G17" s="71">
        <f>ROUND(IF($B$17&gt;4400,$B$17*N$13,4400*$N$13)+$E17*N$14,0)</f>
        <v>45374</v>
      </c>
      <c r="H17" s="71"/>
      <c r="I17" s="71">
        <f>ROUND(IF($B$17&gt;4400,$B$17*P$13,4400*$N$13)+$E17*P$14,0)</f>
        <v>46767</v>
      </c>
      <c r="K17" s="19">
        <f>(I17-G17)/G17</f>
        <v>3.0700401110768282E-2</v>
      </c>
      <c r="M17" s="34" t="str">
        <f>+M13</f>
        <v>Demand ($ per kVa)</v>
      </c>
      <c r="N17" s="91">
        <v>2.95</v>
      </c>
      <c r="P17" s="91">
        <v>3.12</v>
      </c>
    </row>
    <row r="18" spans="2:16" x14ac:dyDescent="0.25">
      <c r="C18" s="34">
        <v>500</v>
      </c>
      <c r="E18" s="20">
        <f>ROUND((B$17*C18),0)</f>
        <v>1000000</v>
      </c>
      <c r="F18" s="20"/>
      <c r="G18" s="71">
        <f>ROUND(IF($B$17&gt;4400,$B$17*N$13,4400*$N$13)+$E18*N$14,0)</f>
        <v>66970</v>
      </c>
      <c r="H18" s="71"/>
      <c r="I18" s="71">
        <f>ROUND(IF($B$17&gt;4400,$B$17*P$13,4400*$N$13)+$E18*P$14,0)</f>
        <v>69292</v>
      </c>
      <c r="K18" s="19">
        <f>(I18-G18)/G18</f>
        <v>3.4672241302075558E-2</v>
      </c>
      <c r="M18" s="34" t="str">
        <f>+M14</f>
        <v>Energy ($ per kWh)</v>
      </c>
      <c r="N18" s="98">
        <v>5.0738999999999999E-2</v>
      </c>
      <c r="O18" s="98"/>
      <c r="P18" s="98">
        <v>5.3619E-2</v>
      </c>
    </row>
    <row r="19" spans="2:16" x14ac:dyDescent="0.25">
      <c r="C19" s="34">
        <v>700</v>
      </c>
      <c r="E19" s="20">
        <f>ROUND((B$17*C19),0)</f>
        <v>1400000</v>
      </c>
      <c r="F19" s="20"/>
      <c r="G19" s="71">
        <f>ROUND(IF($B$17&gt;4400,$B$17*N$13,4400*$N$13)+$E19*N$14,0)</f>
        <v>88566</v>
      </c>
      <c r="H19" s="71"/>
      <c r="I19" s="71">
        <f>ROUND(IF($B$17&gt;4400,$B$17*P$13,4400*$N$13)+$E19*P$14,0)</f>
        <v>91817</v>
      </c>
      <c r="K19" s="19">
        <f>(I19-G19)/G19</f>
        <v>3.6707088498972515E-2</v>
      </c>
    </row>
    <row r="20" spans="2:16" x14ac:dyDescent="0.25">
      <c r="G20" s="71"/>
      <c r="H20" s="71"/>
      <c r="I20" s="71"/>
      <c r="K20" s="19"/>
      <c r="M20" s="104" t="s">
        <v>57</v>
      </c>
      <c r="N20" s="98">
        <v>5.5736155907004864E-4</v>
      </c>
      <c r="P20" s="92">
        <v>0</v>
      </c>
    </row>
    <row r="21" spans="2:16" x14ac:dyDescent="0.25">
      <c r="B21" s="20">
        <v>4000</v>
      </c>
      <c r="C21" s="34">
        <v>300</v>
      </c>
      <c r="E21" s="20">
        <f>ROUND((B$21*C21),0)</f>
        <v>1200000</v>
      </c>
      <c r="F21" s="20"/>
      <c r="G21" s="71">
        <f>ROUND(IF($B$21&gt;4400,$B$21*N$13,4400*$N$13)+$E21*N$14,0)</f>
        <v>77768</v>
      </c>
      <c r="H21" s="71"/>
      <c r="I21" s="71">
        <f>ROUND(IF($B$21&gt;4400,$B$21*P$13,4400*$N$13)+$E21*P$14,0)</f>
        <v>80555</v>
      </c>
      <c r="K21" s="19">
        <f>(I21-G21)/G21</f>
        <v>3.5837362411274561E-2</v>
      </c>
      <c r="M21" s="104" t="s">
        <v>56</v>
      </c>
      <c r="N21" s="98">
        <v>-9.9700000000000006E-4</v>
      </c>
      <c r="P21" s="98">
        <f t="shared" ref="P21:P30" si="0">+N21</f>
        <v>-9.9700000000000006E-4</v>
      </c>
    </row>
    <row r="22" spans="2:16" x14ac:dyDescent="0.25">
      <c r="C22" s="34">
        <v>500</v>
      </c>
      <c r="E22" s="20">
        <f>ROUND((B$21*C22),0)</f>
        <v>2000000</v>
      </c>
      <c r="F22" s="20"/>
      <c r="G22" s="71">
        <f>ROUND(IF($B$21&gt;4400,$B$21*N$13,4400*$N$13)+$E22*N$14,0)</f>
        <v>120959</v>
      </c>
      <c r="H22" s="71"/>
      <c r="I22" s="71">
        <f>ROUND(IF($B$21&gt;4400,$B$21*P$13,4400*$N$13)+$E22*P$14,0)</f>
        <v>125605</v>
      </c>
      <c r="K22" s="19">
        <f>(I22-G22)/G22</f>
        <v>3.8409709074975817E-2</v>
      </c>
      <c r="M22" s="104" t="s">
        <v>55</v>
      </c>
      <c r="N22" s="98">
        <v>2.0509999999999999E-3</v>
      </c>
      <c r="P22" s="98">
        <f t="shared" si="0"/>
        <v>2.0509999999999999E-3</v>
      </c>
    </row>
    <row r="23" spans="2:16" x14ac:dyDescent="0.25">
      <c r="C23" s="34">
        <v>700</v>
      </c>
      <c r="E23" s="20">
        <f>ROUND((B$21*C23),0)</f>
        <v>2800000</v>
      </c>
      <c r="F23" s="20"/>
      <c r="G23" s="71">
        <f>ROUND(IF($B$21&gt;4400,$B$21*N$13,4400*$N$13)+$E23*N$14,0)</f>
        <v>164151</v>
      </c>
      <c r="H23" s="71"/>
      <c r="I23" s="71">
        <f>ROUND(IF($B$21&gt;4400,$B$21*P$13,4400*$N$13)+$E23*P$14,0)</f>
        <v>170654</v>
      </c>
      <c r="K23" s="19">
        <f>(I23-G23)/G23</f>
        <v>3.9615963350817233E-2</v>
      </c>
      <c r="M23" s="104" t="s">
        <v>31</v>
      </c>
      <c r="N23" s="98">
        <v>5.8830128525407031E-4</v>
      </c>
      <c r="P23" s="98">
        <f t="shared" si="0"/>
        <v>5.8830128525407031E-4</v>
      </c>
    </row>
    <row r="24" spans="2:16" x14ac:dyDescent="0.25">
      <c r="G24" s="71"/>
      <c r="H24" s="71"/>
      <c r="I24" s="71"/>
      <c r="K24" s="19"/>
      <c r="M24" s="34" t="s">
        <v>53</v>
      </c>
      <c r="N24" s="98">
        <v>-3.8000000000000002E-5</v>
      </c>
      <c r="P24" s="98">
        <f t="shared" si="0"/>
        <v>-3.8000000000000002E-5</v>
      </c>
    </row>
    <row r="25" spans="2:16" x14ac:dyDescent="0.25">
      <c r="B25" s="20">
        <v>6000</v>
      </c>
      <c r="C25" s="34">
        <v>300</v>
      </c>
      <c r="E25" s="20">
        <f>ROUND((B$25*C25),0)</f>
        <v>1800000</v>
      </c>
      <c r="F25" s="20"/>
      <c r="G25" s="71">
        <f>ROUND(IF($B$25&gt;4400,$B$25*N$13,4400*$N$13)+$E25*N$14,0)</f>
        <v>114881</v>
      </c>
      <c r="H25" s="71"/>
      <c r="I25" s="71">
        <f>ROUND(IF($B$25&gt;4400,$B$25*P$13,4400*$N$13)+$E25*P$14,0)</f>
        <v>120082</v>
      </c>
      <c r="K25" s="19">
        <f>(I25-G25)/G25</f>
        <v>4.5272934601892391E-2</v>
      </c>
      <c r="M25" s="34" t="s">
        <v>35</v>
      </c>
      <c r="N25" s="98">
        <v>1.5579999999999999E-3</v>
      </c>
      <c r="P25" s="98">
        <f t="shared" si="0"/>
        <v>1.5579999999999999E-3</v>
      </c>
    </row>
    <row r="26" spans="2:16" x14ac:dyDescent="0.25">
      <c r="C26" s="34">
        <v>500</v>
      </c>
      <c r="E26" s="20">
        <f>ROUND((B$25*C26),0)</f>
        <v>3000000</v>
      </c>
      <c r="F26" s="20"/>
      <c r="G26" s="71">
        <f>ROUND(IF($B$25&gt;4400,$B$25*N$13,4400*$N$13)+$E26*N$14,0)</f>
        <v>179669</v>
      </c>
      <c r="H26" s="71"/>
      <c r="I26" s="71">
        <f>ROUND(IF($B$25&gt;4400,$B$25*P$13,4400*$N$13)+$E26*P$14,0)</f>
        <v>187657</v>
      </c>
      <c r="K26" s="19">
        <f>(I26-G26)/G26</f>
        <v>4.4459533920709747E-2</v>
      </c>
      <c r="M26" s="104" t="s">
        <v>136</v>
      </c>
      <c r="N26" s="98">
        <v>5.0000000000000044E-4</v>
      </c>
      <c r="P26" s="92">
        <v>0</v>
      </c>
    </row>
    <row r="27" spans="2:16" x14ac:dyDescent="0.25">
      <c r="C27" s="34">
        <v>700</v>
      </c>
      <c r="E27" s="20">
        <f>ROUND((B$25*C27),0)</f>
        <v>4200000</v>
      </c>
      <c r="F27" s="20"/>
      <c r="G27" s="71">
        <f>ROUND(IF($B$25&gt;4400,$B$25*N$13,4400*$N$13)+$E27*N$14,0)</f>
        <v>244457</v>
      </c>
      <c r="H27" s="71"/>
      <c r="I27" s="71">
        <f>ROUND(IF($B$25&gt;4400,$B$25*P$13,4400*$N$13)+$E27*P$14,0)</f>
        <v>255232</v>
      </c>
      <c r="K27" s="19">
        <f>(I27-G27)/G27</f>
        <v>4.4077281485087355E-2</v>
      </c>
      <c r="M27" s="104" t="s">
        <v>217</v>
      </c>
      <c r="N27" s="96">
        <v>2.9999999999999805E-2</v>
      </c>
      <c r="P27" s="92">
        <v>0</v>
      </c>
    </row>
    <row r="28" spans="2:16" x14ac:dyDescent="0.25">
      <c r="E28" s="20"/>
      <c r="F28" s="20"/>
      <c r="G28" s="71"/>
      <c r="H28" s="71"/>
      <c r="I28" s="71"/>
      <c r="K28" s="19"/>
      <c r="M28" s="104" t="s">
        <v>208</v>
      </c>
      <c r="N28" s="98">
        <v>-5.0000000000000044E-4</v>
      </c>
      <c r="P28" s="92">
        <v>0</v>
      </c>
    </row>
    <row r="29" spans="2:16" x14ac:dyDescent="0.25">
      <c r="B29" s="20">
        <v>8000</v>
      </c>
      <c r="C29" s="34">
        <v>300</v>
      </c>
      <c r="E29" s="20">
        <f>ROUND((B$29*C29),0)</f>
        <v>2400000</v>
      </c>
      <c r="F29" s="20"/>
      <c r="G29" s="71">
        <f>ROUND(IF($B$29&gt;4400,$B$29*N$13,4400*$N$13)+$E29*N$14,0)</f>
        <v>153175</v>
      </c>
      <c r="H29" s="71"/>
      <c r="I29" s="71">
        <f>ROUND(IF($B$29&gt;4400,$B$29*P$13,4400*$N$13)+$E29*P$14,0)</f>
        <v>160110</v>
      </c>
      <c r="K29" s="19">
        <f>(I29-G29)/G29</f>
        <v>4.5275012240900928E-2</v>
      </c>
      <c r="M29" s="104" t="s">
        <v>218</v>
      </c>
      <c r="N29" s="96">
        <v>-2.9999999999999805E-2</v>
      </c>
      <c r="P29" s="92">
        <v>0</v>
      </c>
    </row>
    <row r="30" spans="2:16" x14ac:dyDescent="0.25">
      <c r="C30" s="34">
        <v>500</v>
      </c>
      <c r="E30" s="20">
        <f>ROUND((B$29*C30),0)</f>
        <v>4000000</v>
      </c>
      <c r="F30" s="20"/>
      <c r="G30" s="71">
        <f>ROUND(IF($B$29&gt;4400,$B$29*N$13,4400*$N$13)+$E30*N$14,0)</f>
        <v>239559</v>
      </c>
      <c r="H30" s="71"/>
      <c r="I30" s="71">
        <f>ROUND(IF($B$29&gt;4400,$B$29*P$13,4400*$N$13)+$E30*P$14,0)</f>
        <v>250209</v>
      </c>
      <c r="K30" s="19">
        <f>(I30-G30)/G30</f>
        <v>4.4456689166343155E-2</v>
      </c>
      <c r="M30" s="104" t="s">
        <v>188</v>
      </c>
      <c r="N30" s="98">
        <v>-6.5300000000000004E-4</v>
      </c>
      <c r="P30" s="98">
        <f t="shared" si="0"/>
        <v>-6.5300000000000004E-4</v>
      </c>
    </row>
    <row r="31" spans="2:16" x14ac:dyDescent="0.25">
      <c r="C31" s="34">
        <v>700</v>
      </c>
      <c r="E31" s="20">
        <f>ROUND((B$29*C31),0)</f>
        <v>5600000</v>
      </c>
      <c r="F31" s="20"/>
      <c r="G31" s="71">
        <f>ROUND(IF($B$29&gt;4400,$B$29*N$13,4400*$N$13)+$E31*N$14,0)</f>
        <v>325942</v>
      </c>
      <c r="H31" s="71"/>
      <c r="I31" s="71">
        <f>ROUND(IF($B$29&gt;4400,$B$29*P$13,4400*$N$13)+$E31*P$14,0)</f>
        <v>340309</v>
      </c>
      <c r="K31" s="19">
        <f>(I31-G31)/G31</f>
        <v>4.4078394315553077E-2</v>
      </c>
      <c r="M31" s="34" t="s">
        <v>135</v>
      </c>
      <c r="N31" s="98">
        <v>1.84E-4</v>
      </c>
      <c r="P31" s="98">
        <f>+N31</f>
        <v>1.84E-4</v>
      </c>
    </row>
    <row r="32" spans="2:16" x14ac:dyDescent="0.25">
      <c r="E32" s="20"/>
      <c r="F32" s="20"/>
      <c r="G32" s="71"/>
      <c r="H32" s="71"/>
      <c r="I32" s="71"/>
      <c r="K32" s="19"/>
    </row>
    <row r="33" spans="2:14" x14ac:dyDescent="0.25">
      <c r="B33" s="20">
        <v>10000</v>
      </c>
      <c r="C33" s="34">
        <v>300</v>
      </c>
      <c r="E33" s="20">
        <f>ROUND((B$33*C33),0)</f>
        <v>3000000</v>
      </c>
      <c r="F33" s="20"/>
      <c r="G33" s="71">
        <f>ROUND(IF($B$33&gt;4400,$B$33*N$13,4400*$N$13)+$E33*N$14,0)</f>
        <v>191469</v>
      </c>
      <c r="H33" s="71"/>
      <c r="I33" s="71">
        <f>ROUND(IF($B$33&gt;4400,$B$33*P$13,4400*$N$13)+$E33*P$14,0)</f>
        <v>200137</v>
      </c>
      <c r="K33" s="19">
        <f>(I33-G33)/G33</f>
        <v>4.5271036042388066E-2</v>
      </c>
    </row>
    <row r="34" spans="2:14" x14ac:dyDescent="0.25">
      <c r="C34" s="34">
        <v>500</v>
      </c>
      <c r="E34" s="20">
        <f>ROUND((B$33*C34),0)</f>
        <v>5000000</v>
      </c>
      <c r="F34" s="20"/>
      <c r="G34" s="71">
        <f>ROUND(IF($B$33&gt;4400,$B$33*N$13,4400*$N$13)+$E34*N$14,0)</f>
        <v>299448</v>
      </c>
      <c r="H34" s="71"/>
      <c r="I34" s="71">
        <f>ROUND(IF($B$33&gt;4400,$B$33*P$13,4400*$N$13)+$E34*P$14,0)</f>
        <v>312762</v>
      </c>
      <c r="K34" s="19">
        <f>(I34-G34)/G34</f>
        <v>4.4461809729903025E-2</v>
      </c>
    </row>
    <row r="35" spans="2:14" x14ac:dyDescent="0.25">
      <c r="C35" s="34">
        <v>700</v>
      </c>
      <c r="E35" s="20">
        <f>ROUND((B$33*C35),0)</f>
        <v>7000000</v>
      </c>
      <c r="F35" s="20"/>
      <c r="G35" s="71">
        <f>ROUND(IF($B$33&gt;4400,$B$33*N$13,4400*$N$13)+$E35*N$14,0)</f>
        <v>407428</v>
      </c>
      <c r="H35" s="71"/>
      <c r="I35" s="71">
        <f>ROUND(IF($B$33&gt;4400,$B$33*P$13,4400*$N$13)+$E35*P$14,0)</f>
        <v>425386</v>
      </c>
      <c r="K35" s="19">
        <f>(I35-G35)/G35</f>
        <v>4.407649940603002E-2</v>
      </c>
    </row>
    <row r="36" spans="2:14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M36" s="22" t="s">
        <v>147</v>
      </c>
      <c r="N36" s="21">
        <v>5.6956486892430602E-2</v>
      </c>
    </row>
    <row r="37" spans="2:14" x14ac:dyDescent="0.25">
      <c r="M37" s="22"/>
      <c r="N37" s="21"/>
    </row>
    <row r="39" spans="2:14" ht="16.5" x14ac:dyDescent="0.25">
      <c r="B39" s="102" t="s">
        <v>157</v>
      </c>
    </row>
    <row r="40" spans="2:14" ht="16.5" x14ac:dyDescent="0.25">
      <c r="B40" s="102" t="s">
        <v>167</v>
      </c>
    </row>
    <row r="41" spans="2:14" ht="16.5" x14ac:dyDescent="0.25">
      <c r="B41" s="102" t="s">
        <v>168</v>
      </c>
    </row>
    <row r="42" spans="2:14" x14ac:dyDescent="0.25">
      <c r="B42" s="102"/>
    </row>
    <row r="43" spans="2:14" x14ac:dyDescent="0.25">
      <c r="B43" s="14"/>
    </row>
    <row r="44" spans="2:14" x14ac:dyDescent="0.25">
      <c r="B44" s="14"/>
    </row>
    <row r="45" spans="2:14" x14ac:dyDescent="0.25">
      <c r="B45" s="14"/>
    </row>
    <row r="46" spans="2:14" x14ac:dyDescent="0.25">
      <c r="B46" s="14"/>
    </row>
    <row r="47" spans="2:14" x14ac:dyDescent="0.25">
      <c r="B47" s="14"/>
    </row>
    <row r="48" spans="2:14" x14ac:dyDescent="0.25">
      <c r="B48" s="14"/>
    </row>
    <row r="49" spans="2:15" x14ac:dyDescent="0.25">
      <c r="B49" s="14"/>
    </row>
    <row r="50" spans="2:15" x14ac:dyDescent="0.25">
      <c r="B50" s="14"/>
    </row>
    <row r="51" spans="2:15" x14ac:dyDescent="0.25">
      <c r="B51" s="14"/>
    </row>
    <row r="52" spans="2:15" x14ac:dyDescent="0.25">
      <c r="B52" s="14"/>
    </row>
    <row r="54" spans="2:15" x14ac:dyDescent="0.25">
      <c r="O54" s="13"/>
    </row>
  </sheetData>
  <mergeCells count="1">
    <mergeCell ref="G9:I9"/>
  </mergeCells>
  <printOptions horizontalCentered="1"/>
  <pageMargins left="0.7" right="0.7" top="0.75" bottom="0.71" header="0.3" footer="0.3"/>
  <pageSetup scale="7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4ECF52-9D0E-4B7C-AB25-05A9EB7E6BFB}"/>
</file>

<file path=customXml/itemProps2.xml><?xml version="1.0" encoding="utf-8"?>
<ds:datastoreItem xmlns:ds="http://schemas.openxmlformats.org/officeDocument/2006/customXml" ds:itemID="{EAEF0FA9-3616-4E3E-B72E-370B41FFBB14}"/>
</file>

<file path=customXml/itemProps3.xml><?xml version="1.0" encoding="utf-8"?>
<ds:datastoreItem xmlns:ds="http://schemas.openxmlformats.org/officeDocument/2006/customXml" ds:itemID="{2E3D7B3D-C2C2-42D6-A7CE-98C919F5A805}"/>
</file>

<file path=customXml/itemProps4.xml><?xml version="1.0" encoding="utf-8"?>
<ds:datastoreItem xmlns:ds="http://schemas.openxmlformats.org/officeDocument/2006/customXml" ds:itemID="{D8C315C3-61CD-47F1-94E8-1A22A6EC0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GRC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'Exhibit No.__(JAP-Sch 24 Imp)'!Print_Area</vt:lpstr>
      <vt:lpstr>'Exhibit No.__(JAP-Sch 25 Imp)'!Print_Area</vt:lpstr>
      <vt:lpstr>'Exhibit No.__(JAP-Sch 26 Imp)'!Print_Area</vt:lpstr>
      <vt:lpstr>'Exhibit No.__(JAP-Sch 29 Imp)'!Print_Area</vt:lpstr>
      <vt:lpstr>'Exhibit No.__(JAP-Sch 31 Imp)'!Print_Area</vt:lpstr>
      <vt:lpstr>'Exhibit No.__(JAP-Sch 46 Imp)'!Print_Area</vt:lpstr>
      <vt:lpstr>'Exhibit No.__(JAP-Sch 49 Imp)'!Print_Area</vt:lpstr>
      <vt:lpstr>'Exhibit No.__(JAP-Sch 7 Imp)'!Print_Area</vt:lpstr>
      <vt:lpstr>'GRC Impacts'!Print_Area</vt:lpstr>
      <vt:lpstr>'GRC Impacts'!Print_Titles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2019-06-11T21:46:48Z</cp:lastPrinted>
  <dcterms:created xsi:type="dcterms:W3CDTF">2016-12-27T22:31:24Z</dcterms:created>
  <dcterms:modified xsi:type="dcterms:W3CDTF">2020-02-27T19:27:14Z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