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3.xml" ContentType="application/vnd.openxmlformats-officedocument.spreadsheetml.worksheet+xml"/>
  <Override PartName="/xl/worksheets/sheet17.xml" ContentType="application/vnd.openxmlformats-officedocument.spreadsheetml.worksheet+xml"/>
  <Override PartName="/xl/worksheets/sheet15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6.xml" ContentType="application/vnd.openxmlformats-officedocument.spreadsheetml.worksheet+xml"/>
  <Override PartName="/xl/customProperty44.bin" ContentType="application/vnd.openxmlformats-officedocument.spreadsheetml.customProperty"/>
  <Override PartName="/xl/customProperty46.bin" ContentType="application/vnd.openxmlformats-officedocument.spreadsheetml.customProperty"/>
  <Override PartName="/xl/customProperty47.bin" ContentType="application/vnd.openxmlformats-officedocument.spreadsheetml.customProperty"/>
  <Override PartName="/xl/customProperty45.bin" ContentType="application/vnd.openxmlformats-officedocument.spreadsheetml.customProperty"/>
  <Override PartName="/xl/customProperty48.bin" ContentType="application/vnd.openxmlformats-officedocument.spreadsheetml.customProperty"/>
  <Override PartName="/xl/customProperty39.bin" ContentType="application/vnd.openxmlformats-officedocument.spreadsheetml.customProperty"/>
  <Override PartName="/xl/customProperty40.bin" ContentType="application/vnd.openxmlformats-officedocument.spreadsheetml.customProperty"/>
  <Override PartName="/xl/customProperty41.bin" ContentType="application/vnd.openxmlformats-officedocument.spreadsheetml.customProperty"/>
  <Override PartName="/xl/customProperty42.bin" ContentType="application/vnd.openxmlformats-officedocument.spreadsheetml.customProperty"/>
  <Override PartName="/xl/customProperty43.bin" ContentType="application/vnd.openxmlformats-officedocument.spreadsheetml.customProperty"/>
  <Override PartName="/xl/customProperty49.bin" ContentType="application/vnd.openxmlformats-officedocument.spreadsheetml.customProperty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50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customProperty13.bin" ContentType="application/vnd.openxmlformats-officedocument.spreadsheetml.customProperty"/>
  <Override PartName="/xl/customProperty12.bin" ContentType="application/vnd.openxmlformats-officedocument.spreadsheetml.customProperty"/>
  <Override PartName="/xl/customProperty11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8.bin" ContentType="application/vnd.openxmlformats-officedocument.spreadsheetml.customProperty"/>
  <Override PartName="/xl/customProperty17.bin" ContentType="application/vnd.openxmlformats-officedocument.spreadsheetml.customProperty"/>
  <Override PartName="/xl/customProperty16.bin" ContentType="application/vnd.openxmlformats-officedocument.spreadsheetml.customProperty"/>
  <Override PartName="/xl/customProperty10.bin" ContentType="application/vnd.openxmlformats-officedocument.spreadsheetml.customProperty"/>
  <Override PartName="/xl/customProperty9.bin" ContentType="application/vnd.openxmlformats-officedocument.spreadsheetml.customProperty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xl/customProperty5.bin" ContentType="application/vnd.openxmlformats-officedocument.spreadsheetml.customProperty"/>
  <Override PartName="/xl/customProperty8.bin" ContentType="application/vnd.openxmlformats-officedocument.spreadsheetml.customProperty"/>
  <Override PartName="/xl/customProperty7.bin" ContentType="application/vnd.openxmlformats-officedocument.spreadsheetml.customProperty"/>
  <Override PartName="/xl/customProperty6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33.bin" ContentType="application/vnd.openxmlformats-officedocument.spreadsheetml.customProperty"/>
  <Override PartName="/xl/customProperty32.bin" ContentType="application/vnd.openxmlformats-officedocument.spreadsheetml.customProperty"/>
  <Override PartName="/xl/customProperty31.bin" ContentType="application/vnd.openxmlformats-officedocument.spreadsheetml.customProperty"/>
  <Override PartName="/xl/customProperty34.bin" ContentType="application/vnd.openxmlformats-officedocument.spreadsheetml.customProperty"/>
  <Override PartName="/xl/customProperty35.bin" ContentType="application/vnd.openxmlformats-officedocument.spreadsheetml.customProperty"/>
  <Override PartName="/xl/customProperty38.bin" ContentType="application/vnd.openxmlformats-officedocument.spreadsheetml.customProperty"/>
  <Override PartName="/xl/customProperty37.bin" ContentType="application/vnd.openxmlformats-officedocument.spreadsheetml.customProperty"/>
  <Override PartName="/xl/customProperty36.bin" ContentType="application/vnd.openxmlformats-officedocument.spreadsheetml.customProperty"/>
  <Override PartName="/xl/customProperty30.bin" ContentType="application/vnd.openxmlformats-officedocument.spreadsheetml.customProperty"/>
  <Override PartName="/xl/customProperty29.bin" ContentType="application/vnd.openxmlformats-officedocument.spreadsheetml.customProperty"/>
  <Override PartName="/xl/customProperty23.bin" ContentType="application/vnd.openxmlformats-officedocument.spreadsheetml.customProperty"/>
  <Override PartName="/xl/customProperty22.bin" ContentType="application/vnd.openxmlformats-officedocument.spreadsheetml.customProperty"/>
  <Override PartName="/xl/customProperty21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8.bin" ContentType="application/vnd.openxmlformats-officedocument.spreadsheetml.customProperty"/>
  <Override PartName="/xl/customProperty27.bin" ContentType="application/vnd.openxmlformats-officedocument.spreadsheetml.customProperty"/>
  <Override PartName="/xl/customProperty26.bin" ContentType="application/vnd.openxmlformats-officedocument.spreadsheetml.customProperty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ariffs\1. Open Advices\2024-20 Natural Gas Schedules 88T, 141D, 141LNG, 141N,  - Compliance Filing (UG-230393)(Eff. 05-10-24)\Workpapers\"/>
    </mc:Choice>
  </mc:AlternateContent>
  <bookViews>
    <workbookView xWindow="0" yWindow="0" windowWidth="20220" windowHeight="10965" tabRatio="837" activeTab="1"/>
  </bookViews>
  <sheets>
    <sheet name="Table of Contents" sheetId="140" r:id="rId1"/>
    <sheet name="Rate Impacts Combined " sheetId="133" r:id="rId2"/>
    <sheet name="Typical Res Bill Combined" sheetId="100" r:id="rId3"/>
    <sheet name="Work Papers--&gt;" sheetId="51" r:id="rId4"/>
    <sheet name="Avg Per Therm Combined" sheetId="135" r:id="rId5"/>
    <sheet name="Revenue Calculations--&gt;" sheetId="141" r:id="rId6"/>
    <sheet name="Current Revenue Calc." sheetId="90" r:id="rId7"/>
    <sheet name="Rider Revenue Calculation--&gt;" sheetId="28" r:id="rId8"/>
    <sheet name="Sch. 101" sheetId="60" r:id="rId9"/>
    <sheet name="Sch. 106" sheetId="24" r:id="rId10"/>
    <sheet name="Sch. 120" sheetId="25" r:id="rId11"/>
    <sheet name="Sch. 129" sheetId="11" r:id="rId12"/>
    <sheet name="Sch. 140" sheetId="21" r:id="rId13"/>
    <sheet name="Sch. 141D" sheetId="124" r:id="rId14"/>
    <sheet name="Sch. 141LNG" sheetId="131" r:id="rId15"/>
    <sheet name="Sch. 141N" sheetId="125" r:id="rId16"/>
    <sheet name="Sch. 141R" sheetId="126" r:id="rId17"/>
    <sheet name="Sch. 141Z" sheetId="93" r:id="rId18"/>
    <sheet name="Sch. 142" sheetId="48" r:id="rId19"/>
    <sheet name="Sch. 149" sheetId="22" r:id="rId20"/>
    <sheet name="Forecast--&gt;" sheetId="42" r:id="rId21"/>
    <sheet name="Therms" sheetId="10" r:id="rId22"/>
    <sheet name="Demand" sheetId="123" r:id="rId23"/>
    <sheet name="Data--&gt;" sheetId="36" r:id="rId24"/>
    <sheet name="RY#2 Therms" sheetId="137" r:id="rId25"/>
    <sheet name="RY#2 Therms By Block" sheetId="139" r:id="rId26"/>
    <sheet name="Puget LNG" sheetId="136" r:id="rId27"/>
    <sheet name="12ME Jun21 Bill Freq" sheetId="13" r:id="rId28"/>
    <sheet name="12ME Jun21 WN Therms" sheetId="39" r:id="rId29"/>
    <sheet name="12ME Jun21 WN Therms C&amp;I" sheetId="130" r:id="rId30"/>
    <sheet name="Exh JDT-5 (JDT-RES_RD)" sheetId="127" r:id="rId31"/>
    <sheet name="Exh JDT-5 (JDT-C&amp;I-RD)" sheetId="128" r:id="rId32"/>
    <sheet name="Exh JDT-5 (JDT-INTRPL-RD)" sheetId="129" r:id="rId33"/>
  </sheets>
  <externalReferences>
    <externalReference r:id="rId34"/>
    <externalReference r:id="rId35"/>
  </externalReferences>
  <definedNames>
    <definedName name="_xlnm.Print_Area" localSheetId="27">'12ME Jun21 Bill Freq'!$A$1:$N$55</definedName>
    <definedName name="_xlnm.Print_Area" localSheetId="29">'12ME Jun21 WN Therms C&amp;I'!$A$1:$N$131</definedName>
    <definedName name="_xlnm.Print_Area" localSheetId="4">'Avg Per Therm Combined'!$B$1:$L$39</definedName>
    <definedName name="_xlnm.Print_Area" localSheetId="6">'Current Revenue Calc.'!$B$1:$T$39</definedName>
    <definedName name="_xlnm.Print_Area" localSheetId="1">'Rate Impacts Combined '!$B$1:$W$39</definedName>
    <definedName name="_xlnm.Print_Area" localSheetId="24">'RY#2 Therms'!$A$1:$N$53</definedName>
    <definedName name="_xlnm.Print_Area" localSheetId="25">'RY#2 Therms By Block'!$A$1:$N$131</definedName>
    <definedName name="_xlnm.Print_Area" localSheetId="8">'Sch. 101'!$A$1:$J$40</definedName>
    <definedName name="_xlnm.Print_Area" localSheetId="11">'Sch. 129'!$A$1:$I$50</definedName>
    <definedName name="_xlnm.Print_Area" localSheetId="12">'Sch. 140'!$A$1:$I$22</definedName>
    <definedName name="_xlnm.Print_Area" localSheetId="13">'Sch. 141D'!$A$1:$S$50</definedName>
    <definedName name="_xlnm.Print_Area" localSheetId="14">'Sch. 141LNG'!$A$1:$I$54</definedName>
    <definedName name="_xlnm.Print_Area" localSheetId="15">'Sch. 141N'!$A$1:$M$41</definedName>
    <definedName name="_xlnm.Print_Area" localSheetId="16">'Sch. 141R'!$A$1:$I$40</definedName>
    <definedName name="_xlnm.Print_Area" localSheetId="17">'Sch. 141Z'!$A$1:$I$22</definedName>
    <definedName name="_xlnm.Print_Area" localSheetId="19">'Sch. 149'!$A$1:$I$22</definedName>
    <definedName name="_xlnm.Print_Area" localSheetId="2">'Typical Res Bill Combined'!$B$1:$W$41</definedName>
    <definedName name="_xlnm.Print_Titles" localSheetId="27">'12ME Jun21 Bill Freq'!$1:$3</definedName>
    <definedName name="_xlnm.Print_Titles" localSheetId="28">'12ME Jun21 WN Therms'!$1:$3</definedName>
    <definedName name="_xlnm.Print_Titles" localSheetId="29">'12ME Jun21 WN Therms C&amp;I'!$1:$7</definedName>
    <definedName name="_xlnm.Print_Titles" localSheetId="31">'Exh JDT-5 (JDT-C&amp;I-RD)'!$1:$8</definedName>
    <definedName name="_xlnm.Print_Titles" localSheetId="32">'Exh JDT-5 (JDT-INTRPL-RD)'!$1:$8</definedName>
    <definedName name="_xlnm.Print_Titles" localSheetId="26">'Puget LNG'!$A:$D</definedName>
    <definedName name="_xlnm.Print_Titles" localSheetId="25">'RY#2 Therms By Block'!$1:$7</definedName>
    <definedName name="_xlnm.Print_Titles" localSheetId="18">'Sch. 142'!$1:$8</definedName>
  </definedNames>
  <calcPr calcId="162913"/>
</workbook>
</file>

<file path=xl/calcChain.xml><?xml version="1.0" encoding="utf-8"?>
<calcChain xmlns="http://schemas.openxmlformats.org/spreadsheetml/2006/main">
  <c r="A4" i="125" l="1"/>
  <c r="A4" i="131"/>
  <c r="A4" i="124"/>
  <c r="M19" i="100" l="1"/>
  <c r="S20" i="100"/>
  <c r="P20" i="100"/>
  <c r="J20" i="100"/>
  <c r="G20" i="100"/>
  <c r="D20" i="100"/>
  <c r="D19" i="100"/>
  <c r="U18" i="133" l="1"/>
  <c r="U19" i="133"/>
  <c r="U20" i="133"/>
  <c r="U21" i="133"/>
  <c r="U22" i="133"/>
  <c r="U24" i="133"/>
  <c r="M8" i="133"/>
  <c r="L36" i="133"/>
  <c r="M7" i="133"/>
  <c r="M6" i="133"/>
  <c r="P26" i="124"/>
  <c r="Q26" i="124"/>
  <c r="P27" i="124"/>
  <c r="Q27" i="124"/>
  <c r="P28" i="124"/>
  <c r="Q28" i="124"/>
  <c r="P29" i="124"/>
  <c r="Q29" i="124"/>
  <c r="P32" i="124"/>
  <c r="Q32" i="124"/>
  <c r="P33" i="124"/>
  <c r="Q33" i="124"/>
  <c r="P34" i="124"/>
  <c r="Q34" i="124"/>
  <c r="P35" i="124"/>
  <c r="Q35" i="124"/>
  <c r="P36" i="124"/>
  <c r="Q36" i="124"/>
  <c r="P37" i="124"/>
  <c r="Q37" i="124"/>
  <c r="P38" i="124"/>
  <c r="Q38" i="124"/>
  <c r="P49" i="124"/>
  <c r="Q49" i="124"/>
  <c r="H15" i="124" l="1"/>
  <c r="H14" i="124"/>
  <c r="H13" i="124"/>
  <c r="H12" i="124"/>
  <c r="H11" i="124"/>
  <c r="H10" i="124"/>
  <c r="H46" i="124"/>
  <c r="H45" i="124"/>
  <c r="H44" i="124"/>
  <c r="H43" i="124"/>
  <c r="H42" i="124"/>
  <c r="H41" i="124"/>
  <c r="H23" i="124"/>
  <c r="H22" i="124"/>
  <c r="H21" i="124"/>
  <c r="H20" i="124"/>
  <c r="H19" i="124"/>
  <c r="H18" i="124"/>
  <c r="G10" i="124"/>
  <c r="V20" i="100" l="1"/>
  <c r="M20" i="100"/>
  <c r="J19" i="100"/>
  <c r="V19" i="100"/>
  <c r="F42" i="124"/>
  <c r="F43" i="124"/>
  <c r="F44" i="124"/>
  <c r="F45" i="124"/>
  <c r="F46" i="124"/>
  <c r="F41" i="124"/>
  <c r="F23" i="124"/>
  <c r="F22" i="124"/>
  <c r="F21" i="124"/>
  <c r="F20" i="124"/>
  <c r="F19" i="124"/>
  <c r="F18" i="124"/>
  <c r="F11" i="124"/>
  <c r="F12" i="124"/>
  <c r="F13" i="124"/>
  <c r="F14" i="124"/>
  <c r="F15" i="124"/>
  <c r="F10" i="124"/>
  <c r="H23" i="125" l="1"/>
  <c r="H22" i="125"/>
  <c r="H21" i="125"/>
  <c r="H20" i="125"/>
  <c r="H19" i="125"/>
  <c r="H18" i="125"/>
  <c r="H15" i="125"/>
  <c r="H14" i="125"/>
  <c r="H13" i="125"/>
  <c r="H12" i="125"/>
  <c r="H11" i="125"/>
  <c r="H10" i="125"/>
  <c r="G46" i="124"/>
  <c r="I46" i="124" s="1"/>
  <c r="G45" i="124"/>
  <c r="I45" i="124" s="1"/>
  <c r="G44" i="124"/>
  <c r="I44" i="124" s="1"/>
  <c r="G43" i="124"/>
  <c r="I43" i="124" s="1"/>
  <c r="G42" i="124"/>
  <c r="I42" i="124" s="1"/>
  <c r="G41" i="124"/>
  <c r="I41" i="124" s="1"/>
  <c r="G23" i="124"/>
  <c r="I23" i="124" s="1"/>
  <c r="G22" i="124"/>
  <c r="I22" i="124" s="1"/>
  <c r="G21" i="124"/>
  <c r="I21" i="124" s="1"/>
  <c r="G20" i="124"/>
  <c r="I20" i="124" s="1"/>
  <c r="G19" i="124"/>
  <c r="I19" i="124" s="1"/>
  <c r="G18" i="124"/>
  <c r="I18" i="124" s="1"/>
  <c r="G15" i="124"/>
  <c r="I15" i="124" s="1"/>
  <c r="G14" i="124"/>
  <c r="I14" i="124" s="1"/>
  <c r="G13" i="124"/>
  <c r="I13" i="124" s="1"/>
  <c r="G12" i="124"/>
  <c r="I12" i="124" s="1"/>
  <c r="G11" i="124"/>
  <c r="I11" i="124" s="1"/>
  <c r="I10" i="124"/>
  <c r="H23" i="90"/>
  <c r="F23" i="133"/>
  <c r="E36" i="131"/>
  <c r="E35" i="131"/>
  <c r="E34" i="131"/>
  <c r="E33" i="131"/>
  <c r="E32" i="131"/>
  <c r="E31" i="131"/>
  <c r="E27" i="131"/>
  <c r="E26" i="131"/>
  <c r="E22" i="131"/>
  <c r="E21" i="131"/>
  <c r="E20" i="131"/>
  <c r="E16" i="131"/>
  <c r="E15" i="131"/>
  <c r="E14" i="131"/>
  <c r="E11" i="131"/>
  <c r="E10" i="131"/>
  <c r="E9" i="131"/>
  <c r="F34" i="90" l="1"/>
  <c r="E34" i="90"/>
  <c r="G34" i="90"/>
  <c r="I34" i="90"/>
  <c r="J34" i="90"/>
  <c r="K34" i="90"/>
  <c r="L34" i="90"/>
  <c r="M34" i="90"/>
  <c r="N34" i="90"/>
  <c r="O34" i="90"/>
  <c r="P34" i="90"/>
  <c r="Q34" i="90"/>
  <c r="R34" i="90"/>
  <c r="S34" i="90"/>
  <c r="D34" i="90"/>
  <c r="D42" i="48"/>
  <c r="D41" i="48"/>
  <c r="D25" i="48"/>
  <c r="D26" i="48"/>
  <c r="D24" i="48"/>
  <c r="C19" i="125"/>
  <c r="C20" i="125"/>
  <c r="C21" i="125"/>
  <c r="C22" i="125"/>
  <c r="C23" i="125"/>
  <c r="C18" i="125"/>
  <c r="C32" i="131"/>
  <c r="C33" i="131"/>
  <c r="C34" i="131"/>
  <c r="C35" i="131"/>
  <c r="C36" i="131"/>
  <c r="C31" i="131"/>
  <c r="C27" i="131"/>
  <c r="C26" i="131"/>
  <c r="C21" i="131"/>
  <c r="C22" i="131"/>
  <c r="C20" i="131"/>
  <c r="C15" i="131"/>
  <c r="C16" i="131"/>
  <c r="C14" i="131"/>
  <c r="C19" i="124"/>
  <c r="C20" i="124"/>
  <c r="C21" i="124"/>
  <c r="C22" i="124"/>
  <c r="C23" i="124"/>
  <c r="C18" i="124"/>
  <c r="D32" i="11"/>
  <c r="D31" i="11"/>
  <c r="D30" i="11"/>
  <c r="D29" i="11"/>
  <c r="D28" i="11"/>
  <c r="D27" i="11"/>
  <c r="D36" i="11"/>
  <c r="D37" i="11"/>
  <c r="D38" i="11"/>
  <c r="D42" i="11"/>
  <c r="D19" i="11"/>
  <c r="D20" i="11"/>
  <c r="D18" i="11"/>
  <c r="M125" i="139"/>
  <c r="L125" i="139"/>
  <c r="K125" i="139"/>
  <c r="J125" i="139"/>
  <c r="I125" i="139"/>
  <c r="H125" i="139"/>
  <c r="G125" i="139"/>
  <c r="F125" i="139"/>
  <c r="E125" i="139"/>
  <c r="D125" i="139"/>
  <c r="C125" i="139"/>
  <c r="B125" i="139"/>
  <c r="N124" i="139"/>
  <c r="N123" i="139"/>
  <c r="N122" i="139"/>
  <c r="N121" i="139"/>
  <c r="N120" i="139"/>
  <c r="N119" i="139"/>
  <c r="N125" i="139" s="1"/>
  <c r="M115" i="139"/>
  <c r="L115" i="139"/>
  <c r="K115" i="139"/>
  <c r="J115" i="139"/>
  <c r="I115" i="139"/>
  <c r="H115" i="139"/>
  <c r="G115" i="139"/>
  <c r="F115" i="139"/>
  <c r="E115" i="139"/>
  <c r="D115" i="139"/>
  <c r="C115" i="139"/>
  <c r="B115" i="139"/>
  <c r="N114" i="139"/>
  <c r="N113" i="139"/>
  <c r="N112" i="139"/>
  <c r="N111" i="139"/>
  <c r="N110" i="139"/>
  <c r="N109" i="139"/>
  <c r="N115" i="139" s="1"/>
  <c r="M105" i="139"/>
  <c r="L105" i="139"/>
  <c r="K105" i="139"/>
  <c r="J105" i="139"/>
  <c r="I105" i="139"/>
  <c r="H105" i="139"/>
  <c r="G105" i="139"/>
  <c r="F105" i="139"/>
  <c r="E105" i="139"/>
  <c r="D105" i="139"/>
  <c r="C105" i="139"/>
  <c r="B105" i="139"/>
  <c r="N104" i="139"/>
  <c r="N103" i="139"/>
  <c r="N102" i="139"/>
  <c r="N101" i="139"/>
  <c r="N100" i="139"/>
  <c r="N99" i="139"/>
  <c r="N105" i="139" s="1"/>
  <c r="M95" i="139"/>
  <c r="L95" i="139"/>
  <c r="K95" i="139"/>
  <c r="J95" i="139"/>
  <c r="I95" i="139"/>
  <c r="H95" i="139"/>
  <c r="G95" i="139"/>
  <c r="F95" i="139"/>
  <c r="E95" i="139"/>
  <c r="D95" i="139"/>
  <c r="C95" i="139"/>
  <c r="B95" i="139"/>
  <c r="N94" i="139"/>
  <c r="N93" i="139"/>
  <c r="N92" i="139"/>
  <c r="N91" i="139"/>
  <c r="N90" i="139"/>
  <c r="N95" i="139" s="1"/>
  <c r="N89" i="139"/>
  <c r="M85" i="139"/>
  <c r="L85" i="139"/>
  <c r="K85" i="139"/>
  <c r="J85" i="139"/>
  <c r="I85" i="139"/>
  <c r="H85" i="139"/>
  <c r="G85" i="139"/>
  <c r="F85" i="139"/>
  <c r="E85" i="139"/>
  <c r="D85" i="139"/>
  <c r="C85" i="139"/>
  <c r="B85" i="139"/>
  <c r="N84" i="139"/>
  <c r="N83" i="139"/>
  <c r="N85" i="139" s="1"/>
  <c r="M79" i="139"/>
  <c r="L79" i="139"/>
  <c r="K79" i="139"/>
  <c r="K128" i="139" s="1"/>
  <c r="J79" i="139"/>
  <c r="J128" i="139" s="1"/>
  <c r="I79" i="139"/>
  <c r="I128" i="139" s="1"/>
  <c r="H79" i="139"/>
  <c r="H128" i="139" s="1"/>
  <c r="G79" i="139"/>
  <c r="G128" i="139" s="1"/>
  <c r="F79" i="139"/>
  <c r="E79" i="139"/>
  <c r="D79" i="139"/>
  <c r="C79" i="139"/>
  <c r="C128" i="139" s="1"/>
  <c r="B79" i="139"/>
  <c r="B128" i="139" s="1"/>
  <c r="N78" i="139"/>
  <c r="N77" i="139"/>
  <c r="N79" i="139" s="1"/>
  <c r="N73" i="139"/>
  <c r="M73" i="139"/>
  <c r="L73" i="139"/>
  <c r="K73" i="139"/>
  <c r="J73" i="139"/>
  <c r="I73" i="139"/>
  <c r="H73" i="139"/>
  <c r="G73" i="139"/>
  <c r="F73" i="139"/>
  <c r="E73" i="139"/>
  <c r="D73" i="139"/>
  <c r="C73" i="139"/>
  <c r="B73" i="139"/>
  <c r="N72" i="139"/>
  <c r="N71" i="139"/>
  <c r="N67" i="139"/>
  <c r="M67" i="139"/>
  <c r="L67" i="139"/>
  <c r="K67" i="139"/>
  <c r="J67" i="139"/>
  <c r="I67" i="139"/>
  <c r="H67" i="139"/>
  <c r="G67" i="139"/>
  <c r="F67" i="139"/>
  <c r="E67" i="139"/>
  <c r="D67" i="139"/>
  <c r="C67" i="139"/>
  <c r="B67" i="139"/>
  <c r="N66" i="139"/>
  <c r="N65" i="139"/>
  <c r="N61" i="139"/>
  <c r="M61" i="139"/>
  <c r="L61" i="139"/>
  <c r="K61" i="139"/>
  <c r="J61" i="139"/>
  <c r="I61" i="139"/>
  <c r="H61" i="139"/>
  <c r="G61" i="139"/>
  <c r="F61" i="139"/>
  <c r="E61" i="139"/>
  <c r="D61" i="139"/>
  <c r="C61" i="139"/>
  <c r="B61" i="139"/>
  <c r="N60" i="139"/>
  <c r="N59" i="139"/>
  <c r="N58" i="139"/>
  <c r="N54" i="139"/>
  <c r="M54" i="139"/>
  <c r="L54" i="139"/>
  <c r="K54" i="139"/>
  <c r="J54" i="139"/>
  <c r="I54" i="139"/>
  <c r="H54" i="139"/>
  <c r="G54" i="139"/>
  <c r="F54" i="139"/>
  <c r="E54" i="139"/>
  <c r="D54" i="139"/>
  <c r="C54" i="139"/>
  <c r="B54" i="139"/>
  <c r="N53" i="139"/>
  <c r="N52" i="139"/>
  <c r="N51" i="139"/>
  <c r="N47" i="139"/>
  <c r="M47" i="139"/>
  <c r="L47" i="139"/>
  <c r="K47" i="139"/>
  <c r="J47" i="139"/>
  <c r="I47" i="139"/>
  <c r="H47" i="139"/>
  <c r="G47" i="139"/>
  <c r="F47" i="139"/>
  <c r="E47" i="139"/>
  <c r="D47" i="139"/>
  <c r="C47" i="139"/>
  <c r="B47" i="139"/>
  <c r="N46" i="139"/>
  <c r="N45" i="139"/>
  <c r="N44" i="139"/>
  <c r="N40" i="139"/>
  <c r="M40" i="139"/>
  <c r="L40" i="139"/>
  <c r="K40" i="139"/>
  <c r="J40" i="139"/>
  <c r="I40" i="139"/>
  <c r="H40" i="139"/>
  <c r="G40" i="139"/>
  <c r="F40" i="139"/>
  <c r="E40" i="139"/>
  <c r="D40" i="139"/>
  <c r="C40" i="139"/>
  <c r="B40" i="139"/>
  <c r="N39" i="139"/>
  <c r="N38" i="139"/>
  <c r="N37" i="139"/>
  <c r="N33" i="139"/>
  <c r="M33" i="139"/>
  <c r="L33" i="139"/>
  <c r="K33" i="139"/>
  <c r="J33" i="139"/>
  <c r="I33" i="139"/>
  <c r="H33" i="139"/>
  <c r="G33" i="139"/>
  <c r="F33" i="139"/>
  <c r="E33" i="139"/>
  <c r="D33" i="139"/>
  <c r="C33" i="139"/>
  <c r="B33" i="139"/>
  <c r="N32" i="139"/>
  <c r="N31" i="139"/>
  <c r="N30" i="139"/>
  <c r="N26" i="139"/>
  <c r="M26" i="139"/>
  <c r="L26" i="139"/>
  <c r="K26" i="139"/>
  <c r="J26" i="139"/>
  <c r="I26" i="139"/>
  <c r="H26" i="139"/>
  <c r="G26" i="139"/>
  <c r="F26" i="139"/>
  <c r="E26" i="139"/>
  <c r="D26" i="139"/>
  <c r="C26" i="139"/>
  <c r="B26" i="139"/>
  <c r="N25" i="139"/>
  <c r="N24" i="139"/>
  <c r="N23" i="139"/>
  <c r="N19" i="139"/>
  <c r="M19" i="139"/>
  <c r="L19" i="139"/>
  <c r="K19" i="139"/>
  <c r="J19" i="139"/>
  <c r="I19" i="139"/>
  <c r="H19" i="139"/>
  <c r="G19" i="139"/>
  <c r="F19" i="139"/>
  <c r="E19" i="139"/>
  <c r="D19" i="139"/>
  <c r="C19" i="139"/>
  <c r="B19" i="139"/>
  <c r="N18" i="139"/>
  <c r="N17" i="139"/>
  <c r="N16" i="139"/>
  <c r="N12" i="139"/>
  <c r="M12" i="139"/>
  <c r="M128" i="139" s="1"/>
  <c r="L12" i="139"/>
  <c r="L128" i="139" s="1"/>
  <c r="K12" i="139"/>
  <c r="J12" i="139"/>
  <c r="I12" i="139"/>
  <c r="H12" i="139"/>
  <c r="G12" i="139"/>
  <c r="F12" i="139"/>
  <c r="F128" i="139" s="1"/>
  <c r="E12" i="139"/>
  <c r="E128" i="139" s="1"/>
  <c r="D12" i="139"/>
  <c r="D128" i="139" s="1"/>
  <c r="C12" i="139"/>
  <c r="B12" i="139"/>
  <c r="N11" i="139"/>
  <c r="N10" i="139"/>
  <c r="N9" i="139"/>
  <c r="C7" i="139"/>
  <c r="D7" i="139" s="1"/>
  <c r="E7" i="139" s="1"/>
  <c r="F7" i="139" s="1"/>
  <c r="G7" i="139" s="1"/>
  <c r="H7" i="139" s="1"/>
  <c r="I7" i="139" s="1"/>
  <c r="J7" i="139" s="1"/>
  <c r="K7" i="139" s="1"/>
  <c r="L7" i="139" s="1"/>
  <c r="M7" i="139" s="1"/>
  <c r="M18" i="124" l="1"/>
  <c r="P18" i="124" s="1"/>
  <c r="N18" i="124"/>
  <c r="Q18" i="124" s="1"/>
  <c r="M20" i="124"/>
  <c r="P20" i="124" s="1"/>
  <c r="N20" i="124"/>
  <c r="Q20" i="124" s="1"/>
  <c r="N23" i="124"/>
  <c r="Q23" i="124" s="1"/>
  <c r="M23" i="124"/>
  <c r="N19" i="124"/>
  <c r="Q19" i="124" s="1"/>
  <c r="M19" i="124"/>
  <c r="N22" i="124"/>
  <c r="Q22" i="124" s="1"/>
  <c r="M22" i="124"/>
  <c r="P22" i="124" s="1"/>
  <c r="N21" i="124"/>
  <c r="Q21" i="124" s="1"/>
  <c r="M21" i="124"/>
  <c r="J21" i="124"/>
  <c r="K21" i="124"/>
  <c r="K18" i="124"/>
  <c r="J18" i="124"/>
  <c r="J20" i="124"/>
  <c r="K20" i="124"/>
  <c r="K23" i="124"/>
  <c r="J23" i="124"/>
  <c r="J19" i="124"/>
  <c r="K19" i="124"/>
  <c r="K22" i="124"/>
  <c r="J22" i="124"/>
  <c r="L22" i="124" s="1"/>
  <c r="N128" i="139"/>
  <c r="O21" i="124" l="1"/>
  <c r="P21" i="124"/>
  <c r="O19" i="124"/>
  <c r="P19" i="124"/>
  <c r="Q24" i="124"/>
  <c r="L17" i="133" s="1"/>
  <c r="L34" i="133" s="1"/>
  <c r="O23" i="124"/>
  <c r="P23" i="124"/>
  <c r="O20" i="124"/>
  <c r="N24" i="124"/>
  <c r="O22" i="124"/>
  <c r="O18" i="124"/>
  <c r="M24" i="124"/>
  <c r="J24" i="124"/>
  <c r="L18" i="124"/>
  <c r="K24" i="124"/>
  <c r="L19" i="124"/>
  <c r="L23" i="124"/>
  <c r="L20" i="124"/>
  <c r="L21" i="124"/>
  <c r="P24" i="124" l="1"/>
  <c r="I17" i="133" s="1"/>
  <c r="O24" i="124"/>
  <c r="B2" i="90"/>
  <c r="R36" i="133" l="1"/>
  <c r="R35" i="133"/>
  <c r="S8" i="133"/>
  <c r="S7" i="133"/>
  <c r="S21" i="100" l="1"/>
  <c r="V21" i="100" l="1"/>
  <c r="M26" i="125"/>
  <c r="I19" i="125"/>
  <c r="I20" i="125"/>
  <c r="I21" i="125"/>
  <c r="I22" i="125"/>
  <c r="I23" i="125"/>
  <c r="I18" i="125"/>
  <c r="I15" i="125"/>
  <c r="I14" i="125"/>
  <c r="I13" i="125"/>
  <c r="I12" i="125"/>
  <c r="I10" i="125"/>
  <c r="P22" i="100" s="1"/>
  <c r="I11" i="125"/>
  <c r="I26" i="125"/>
  <c r="I27" i="125"/>
  <c r="I28" i="125"/>
  <c r="I29" i="125"/>
  <c r="I32" i="125"/>
  <c r="I33" i="125"/>
  <c r="I34" i="125"/>
  <c r="I35" i="125"/>
  <c r="I36" i="125"/>
  <c r="I37" i="125"/>
  <c r="F11" i="125"/>
  <c r="F12" i="125"/>
  <c r="F13" i="125"/>
  <c r="F14" i="125"/>
  <c r="F15" i="125"/>
  <c r="F18" i="125"/>
  <c r="F19" i="125"/>
  <c r="F20" i="125"/>
  <c r="F21" i="125"/>
  <c r="F22" i="125"/>
  <c r="F23" i="125"/>
  <c r="F26" i="125"/>
  <c r="F27" i="125"/>
  <c r="F28" i="125"/>
  <c r="F29" i="125"/>
  <c r="F32" i="125"/>
  <c r="F33" i="125"/>
  <c r="F34" i="125"/>
  <c r="F35" i="125"/>
  <c r="F36" i="125"/>
  <c r="F37" i="125"/>
  <c r="F10" i="125"/>
  <c r="S42" i="124"/>
  <c r="S43" i="124"/>
  <c r="S44" i="124"/>
  <c r="S45" i="124"/>
  <c r="S46" i="124"/>
  <c r="S47" i="124"/>
  <c r="S41" i="124"/>
  <c r="C42" i="124"/>
  <c r="C43" i="124"/>
  <c r="C44" i="124"/>
  <c r="C45" i="124"/>
  <c r="C46" i="124"/>
  <c r="C41" i="124"/>
  <c r="H34" i="90"/>
  <c r="E22" i="10"/>
  <c r="F22" i="10"/>
  <c r="G22" i="10"/>
  <c r="H22" i="10"/>
  <c r="I22" i="10"/>
  <c r="J22" i="10"/>
  <c r="K22" i="10"/>
  <c r="L22" i="10"/>
  <c r="M22" i="10"/>
  <c r="N22" i="10"/>
  <c r="O22" i="10"/>
  <c r="D22" i="10"/>
  <c r="N44" i="124" l="1"/>
  <c r="Q44" i="124" s="1"/>
  <c r="M44" i="124"/>
  <c r="M43" i="124"/>
  <c r="P43" i="124" s="1"/>
  <c r="N43" i="124"/>
  <c r="Q43" i="124" s="1"/>
  <c r="N42" i="124"/>
  <c r="Q42" i="124" s="1"/>
  <c r="M42" i="124"/>
  <c r="M41" i="124"/>
  <c r="P41" i="124" s="1"/>
  <c r="N41" i="124"/>
  <c r="Q41" i="124" s="1"/>
  <c r="N46" i="124"/>
  <c r="Q46" i="124" s="1"/>
  <c r="M46" i="124"/>
  <c r="N45" i="124"/>
  <c r="Q45" i="124" s="1"/>
  <c r="M45" i="124"/>
  <c r="K44" i="124"/>
  <c r="J44" i="124"/>
  <c r="L44" i="124" s="1"/>
  <c r="K41" i="124"/>
  <c r="J41" i="124"/>
  <c r="J43" i="124"/>
  <c r="K43" i="124"/>
  <c r="J46" i="124"/>
  <c r="K46" i="124"/>
  <c r="K42" i="124"/>
  <c r="J42" i="124"/>
  <c r="L42" i="124" s="1"/>
  <c r="J45" i="124"/>
  <c r="K45" i="124"/>
  <c r="V22" i="100"/>
  <c r="C47" i="124"/>
  <c r="O45" i="124" l="1"/>
  <c r="P45" i="124"/>
  <c r="O46" i="124"/>
  <c r="R46" i="124" s="1"/>
  <c r="P46" i="124"/>
  <c r="O42" i="124"/>
  <c r="R42" i="124" s="1"/>
  <c r="P42" i="124"/>
  <c r="O44" i="124"/>
  <c r="R44" i="124" s="1"/>
  <c r="P44" i="124"/>
  <c r="Q47" i="124"/>
  <c r="L23" i="133" s="1"/>
  <c r="L35" i="133" s="1"/>
  <c r="M47" i="124"/>
  <c r="O41" i="124"/>
  <c r="O47" i="124" s="1"/>
  <c r="N47" i="124"/>
  <c r="L46" i="124"/>
  <c r="O43" i="124"/>
  <c r="J47" i="124"/>
  <c r="L41" i="124"/>
  <c r="L45" i="124"/>
  <c r="R45" i="124" s="1"/>
  <c r="L43" i="124"/>
  <c r="R43" i="124" s="1"/>
  <c r="K47" i="124"/>
  <c r="R41" i="124" l="1"/>
  <c r="P47" i="124"/>
  <c r="I23" i="133" s="1"/>
  <c r="L47" i="124"/>
  <c r="R47" i="124"/>
  <c r="I35" i="133" s="1"/>
  <c r="O35" i="133"/>
  <c r="F35" i="133"/>
  <c r="E9" i="10" l="1"/>
  <c r="F9" i="10"/>
  <c r="G9" i="10"/>
  <c r="H9" i="10"/>
  <c r="I9" i="10"/>
  <c r="J9" i="10"/>
  <c r="K9" i="10"/>
  <c r="L9" i="10"/>
  <c r="M9" i="10"/>
  <c r="N9" i="10"/>
  <c r="O9" i="10"/>
  <c r="E10" i="10"/>
  <c r="F10" i="10"/>
  <c r="G10" i="10"/>
  <c r="H10" i="10"/>
  <c r="I10" i="10"/>
  <c r="J10" i="10"/>
  <c r="K10" i="10"/>
  <c r="L10" i="10"/>
  <c r="M10" i="10"/>
  <c r="N10" i="10"/>
  <c r="O10" i="10"/>
  <c r="E11" i="10"/>
  <c r="F11" i="10"/>
  <c r="G11" i="10"/>
  <c r="H11" i="10"/>
  <c r="I11" i="10"/>
  <c r="J11" i="10"/>
  <c r="K11" i="10"/>
  <c r="L11" i="10"/>
  <c r="M11" i="10"/>
  <c r="N11" i="10"/>
  <c r="O11" i="10"/>
  <c r="E12" i="10"/>
  <c r="F12" i="10"/>
  <c r="G12" i="10"/>
  <c r="H12" i="10"/>
  <c r="I12" i="10"/>
  <c r="J12" i="10"/>
  <c r="K12" i="10"/>
  <c r="L12" i="10"/>
  <c r="M12" i="10"/>
  <c r="N12" i="10"/>
  <c r="O12" i="10"/>
  <c r="E13" i="10"/>
  <c r="F13" i="10"/>
  <c r="G13" i="10"/>
  <c r="H13" i="10"/>
  <c r="I13" i="10"/>
  <c r="J13" i="10"/>
  <c r="K13" i="10"/>
  <c r="L13" i="10"/>
  <c r="M13" i="10"/>
  <c r="N13" i="10"/>
  <c r="O13" i="10"/>
  <c r="E14" i="10"/>
  <c r="F14" i="10"/>
  <c r="G14" i="10"/>
  <c r="H14" i="10"/>
  <c r="I14" i="10"/>
  <c r="J14" i="10"/>
  <c r="K14" i="10"/>
  <c r="L14" i="10"/>
  <c r="M14" i="10"/>
  <c r="N14" i="10"/>
  <c r="O14" i="10"/>
  <c r="E15" i="10"/>
  <c r="F15" i="10"/>
  <c r="G15" i="10"/>
  <c r="H15" i="10"/>
  <c r="I15" i="10"/>
  <c r="J15" i="10"/>
  <c r="K15" i="10"/>
  <c r="L15" i="10"/>
  <c r="M15" i="10"/>
  <c r="N15" i="10"/>
  <c r="O15" i="10"/>
  <c r="E16" i="10"/>
  <c r="F16" i="10"/>
  <c r="G16" i="10"/>
  <c r="H16" i="10"/>
  <c r="I16" i="10"/>
  <c r="J16" i="10"/>
  <c r="K16" i="10"/>
  <c r="L16" i="10"/>
  <c r="M16" i="10"/>
  <c r="N16" i="10"/>
  <c r="O16" i="10"/>
  <c r="E17" i="10"/>
  <c r="F17" i="10"/>
  <c r="G17" i="10"/>
  <c r="H17" i="10"/>
  <c r="I17" i="10"/>
  <c r="J17" i="10"/>
  <c r="K17" i="10"/>
  <c r="L17" i="10"/>
  <c r="M17" i="10"/>
  <c r="N17" i="10"/>
  <c r="O17" i="10"/>
  <c r="E18" i="10"/>
  <c r="F18" i="10"/>
  <c r="G18" i="10"/>
  <c r="H18" i="10"/>
  <c r="I18" i="10"/>
  <c r="J18" i="10"/>
  <c r="K18" i="10"/>
  <c r="L18" i="10"/>
  <c r="M18" i="10"/>
  <c r="N18" i="10"/>
  <c r="O18" i="10"/>
  <c r="E19" i="10"/>
  <c r="F19" i="10"/>
  <c r="G19" i="10"/>
  <c r="H19" i="10"/>
  <c r="I19" i="10"/>
  <c r="J19" i="10"/>
  <c r="K19" i="10"/>
  <c r="L19" i="10"/>
  <c r="M19" i="10"/>
  <c r="N19" i="10"/>
  <c r="O19" i="10"/>
  <c r="E20" i="10"/>
  <c r="F20" i="10"/>
  <c r="G20" i="10"/>
  <c r="H20" i="10"/>
  <c r="I20" i="10"/>
  <c r="J20" i="10"/>
  <c r="K20" i="10"/>
  <c r="L20" i="10"/>
  <c r="M20" i="10"/>
  <c r="N20" i="10"/>
  <c r="O20" i="10"/>
  <c r="F21" i="10"/>
  <c r="G21" i="10"/>
  <c r="H21" i="10"/>
  <c r="N21" i="10"/>
  <c r="O21" i="10"/>
  <c r="E21" i="10"/>
  <c r="I21" i="10"/>
  <c r="J21" i="10"/>
  <c r="K21" i="10"/>
  <c r="L21" i="10"/>
  <c r="M21" i="10"/>
  <c r="E23" i="10"/>
  <c r="F23" i="10"/>
  <c r="G23" i="10"/>
  <c r="H23" i="10"/>
  <c r="I23" i="10"/>
  <c r="J23" i="10"/>
  <c r="K23" i="10"/>
  <c r="L23" i="10"/>
  <c r="M23" i="10"/>
  <c r="N23" i="10"/>
  <c r="O23" i="10"/>
  <c r="D21" i="10"/>
  <c r="D23" i="10"/>
  <c r="D10" i="10"/>
  <c r="D11" i="10"/>
  <c r="D12" i="10"/>
  <c r="D13" i="10"/>
  <c r="D14" i="10"/>
  <c r="D15" i="10"/>
  <c r="D16" i="10"/>
  <c r="D17" i="10"/>
  <c r="D18" i="10"/>
  <c r="D19" i="10"/>
  <c r="D20" i="10"/>
  <c r="D9" i="10"/>
  <c r="M49" i="137"/>
  <c r="L49" i="137"/>
  <c r="K49" i="137"/>
  <c r="J49" i="137"/>
  <c r="I49" i="137"/>
  <c r="H49" i="137"/>
  <c r="G49" i="137"/>
  <c r="F49" i="137"/>
  <c r="E49" i="137"/>
  <c r="D49" i="137"/>
  <c r="N49" i="137" s="1"/>
  <c r="C49" i="137"/>
  <c r="B49" i="137"/>
  <c r="M48" i="137"/>
  <c r="L48" i="137"/>
  <c r="K48" i="137"/>
  <c r="J48" i="137"/>
  <c r="I48" i="137"/>
  <c r="H48" i="137"/>
  <c r="G48" i="137"/>
  <c r="F48" i="137"/>
  <c r="E48" i="137"/>
  <c r="D48" i="137"/>
  <c r="C48" i="137"/>
  <c r="B48" i="137"/>
  <c r="N48" i="137" s="1"/>
  <c r="M47" i="137"/>
  <c r="L47" i="137"/>
  <c r="K47" i="137"/>
  <c r="J47" i="137"/>
  <c r="I47" i="137"/>
  <c r="H47" i="137"/>
  <c r="G47" i="137"/>
  <c r="F47" i="137"/>
  <c r="N47" i="137" s="1"/>
  <c r="E47" i="137"/>
  <c r="D47" i="137"/>
  <c r="C47" i="137"/>
  <c r="B47" i="137"/>
  <c r="M46" i="137"/>
  <c r="L46" i="137"/>
  <c r="K46" i="137"/>
  <c r="J46" i="137"/>
  <c r="I46" i="137"/>
  <c r="H46" i="137"/>
  <c r="G46" i="137"/>
  <c r="F46" i="137"/>
  <c r="E46" i="137"/>
  <c r="D46" i="137"/>
  <c r="C46" i="137"/>
  <c r="N46" i="137" s="1"/>
  <c r="B46" i="137"/>
  <c r="M45" i="137"/>
  <c r="L45" i="137"/>
  <c r="K45" i="137"/>
  <c r="J45" i="137"/>
  <c r="I45" i="137"/>
  <c r="H45" i="137"/>
  <c r="G45" i="137"/>
  <c r="F45" i="137"/>
  <c r="E45" i="137"/>
  <c r="D45" i="137"/>
  <c r="C45" i="137"/>
  <c r="B45" i="137"/>
  <c r="N45" i="137" s="1"/>
  <c r="M44" i="137"/>
  <c r="L44" i="137"/>
  <c r="K44" i="137"/>
  <c r="J44" i="137"/>
  <c r="I44" i="137"/>
  <c r="H44" i="137"/>
  <c r="G44" i="137"/>
  <c r="F44" i="137"/>
  <c r="E44" i="137"/>
  <c r="N44" i="137" s="1"/>
  <c r="D44" i="137"/>
  <c r="C44" i="137"/>
  <c r="B44" i="137"/>
  <c r="M43" i="137"/>
  <c r="L43" i="137"/>
  <c r="K43" i="137"/>
  <c r="J43" i="137"/>
  <c r="I43" i="137"/>
  <c r="H43" i="137"/>
  <c r="G43" i="137"/>
  <c r="F43" i="137"/>
  <c r="E43" i="137"/>
  <c r="D43" i="137"/>
  <c r="C43" i="137"/>
  <c r="B43" i="137"/>
  <c r="N43" i="137" s="1"/>
  <c r="M42" i="137"/>
  <c r="L42" i="137"/>
  <c r="K42" i="137"/>
  <c r="J42" i="137"/>
  <c r="I42" i="137"/>
  <c r="H42" i="137"/>
  <c r="G42" i="137"/>
  <c r="G50" i="137" s="1"/>
  <c r="F42" i="137"/>
  <c r="E42" i="137"/>
  <c r="D42" i="137"/>
  <c r="C42" i="137"/>
  <c r="B42" i="137"/>
  <c r="N42" i="137" s="1"/>
  <c r="M41" i="137"/>
  <c r="L41" i="137"/>
  <c r="K41" i="137"/>
  <c r="J41" i="137"/>
  <c r="I41" i="137"/>
  <c r="H41" i="137"/>
  <c r="G41" i="137"/>
  <c r="F41" i="137"/>
  <c r="E41" i="137"/>
  <c r="D41" i="137"/>
  <c r="N41" i="137" s="1"/>
  <c r="C41" i="137"/>
  <c r="B41" i="137"/>
  <c r="M40" i="137"/>
  <c r="L40" i="137"/>
  <c r="K40" i="137"/>
  <c r="J40" i="137"/>
  <c r="I40" i="137"/>
  <c r="H40" i="137"/>
  <c r="G40" i="137"/>
  <c r="F40" i="137"/>
  <c r="E40" i="137"/>
  <c r="D40" i="137"/>
  <c r="C40" i="137"/>
  <c r="B40" i="137"/>
  <c r="N40" i="137" s="1"/>
  <c r="M39" i="137"/>
  <c r="L39" i="137"/>
  <c r="K39" i="137"/>
  <c r="J39" i="137"/>
  <c r="I39" i="137"/>
  <c r="H39" i="137"/>
  <c r="G39" i="137"/>
  <c r="F39" i="137"/>
  <c r="N39" i="137" s="1"/>
  <c r="E39" i="137"/>
  <c r="D39" i="137"/>
  <c r="C39" i="137"/>
  <c r="B39" i="137"/>
  <c r="M38" i="137"/>
  <c r="L38" i="137"/>
  <c r="K38" i="137"/>
  <c r="J38" i="137"/>
  <c r="I38" i="137"/>
  <c r="H38" i="137"/>
  <c r="G38" i="137"/>
  <c r="F38" i="137"/>
  <c r="E38" i="137"/>
  <c r="D38" i="137"/>
  <c r="C38" i="137"/>
  <c r="N38" i="137" s="1"/>
  <c r="B38" i="137"/>
  <c r="M37" i="137"/>
  <c r="L37" i="137"/>
  <c r="L50" i="137" s="1"/>
  <c r="K37" i="137"/>
  <c r="K50" i="137" s="1"/>
  <c r="J37" i="137"/>
  <c r="J50" i="137" s="1"/>
  <c r="I37" i="137"/>
  <c r="I50" i="137" s="1"/>
  <c r="H37" i="137"/>
  <c r="H50" i="137" s="1"/>
  <c r="G37" i="137"/>
  <c r="F37" i="137"/>
  <c r="E37" i="137"/>
  <c r="D37" i="137"/>
  <c r="D50" i="137" s="1"/>
  <c r="C37" i="137"/>
  <c r="C50" i="137" s="1"/>
  <c r="B37" i="137"/>
  <c r="N37" i="137" s="1"/>
  <c r="M36" i="137"/>
  <c r="M50" i="137" s="1"/>
  <c r="L36" i="137"/>
  <c r="K36" i="137"/>
  <c r="J36" i="137"/>
  <c r="I36" i="137"/>
  <c r="H36" i="137"/>
  <c r="G36" i="137"/>
  <c r="F36" i="137"/>
  <c r="F50" i="137" s="1"/>
  <c r="E36" i="137"/>
  <c r="E50" i="137" s="1"/>
  <c r="D36" i="137"/>
  <c r="C36" i="137"/>
  <c r="B36" i="137"/>
  <c r="M32" i="137"/>
  <c r="L32" i="137"/>
  <c r="K32" i="137"/>
  <c r="J32" i="137"/>
  <c r="I32" i="137"/>
  <c r="H32" i="137"/>
  <c r="G32" i="137"/>
  <c r="F32" i="137"/>
  <c r="E32" i="137"/>
  <c r="D32" i="137"/>
  <c r="C32" i="137"/>
  <c r="B32" i="137"/>
  <c r="N31" i="137"/>
  <c r="N30" i="137"/>
  <c r="N29" i="137"/>
  <c r="N28" i="137"/>
  <c r="N27" i="137"/>
  <c r="N26" i="137"/>
  <c r="N25" i="137"/>
  <c r="N24" i="137"/>
  <c r="N23" i="137"/>
  <c r="N22" i="137"/>
  <c r="N21" i="137"/>
  <c r="N20" i="137"/>
  <c r="N19" i="137"/>
  <c r="N18" i="137"/>
  <c r="N17" i="137"/>
  <c r="N16" i="137"/>
  <c r="N15" i="137"/>
  <c r="N14" i="137"/>
  <c r="N13" i="137"/>
  <c r="N12" i="137"/>
  <c r="N11" i="137"/>
  <c r="N10" i="137"/>
  <c r="N9" i="137"/>
  <c r="N8" i="137"/>
  <c r="N32" i="137" s="1"/>
  <c r="C7" i="137"/>
  <c r="D7" i="137" s="1"/>
  <c r="E7" i="137" s="1"/>
  <c r="F7" i="137" s="1"/>
  <c r="G7" i="137" s="1"/>
  <c r="H7" i="137" s="1"/>
  <c r="I7" i="137" s="1"/>
  <c r="J7" i="137" s="1"/>
  <c r="K7" i="137" s="1"/>
  <c r="L7" i="137" s="1"/>
  <c r="M7" i="137" s="1"/>
  <c r="N36" i="137" l="1"/>
  <c r="N50" i="137" s="1"/>
  <c r="B50" i="137"/>
  <c r="P22" i="10" l="1"/>
  <c r="G23" i="90" s="1"/>
  <c r="BJ64" i="136"/>
  <c r="BA64" i="136"/>
  <c r="AZ64" i="136"/>
  <c r="AX64" i="136"/>
  <c r="AW64" i="136"/>
  <c r="AP64" i="136"/>
  <c r="AO64" i="136"/>
  <c r="AL64" i="136"/>
  <c r="AK64" i="136"/>
  <c r="AH64" i="136"/>
  <c r="AG64" i="136"/>
  <c r="R64" i="136"/>
  <c r="Q64" i="136"/>
  <c r="J64" i="136"/>
  <c r="I64" i="136"/>
  <c r="BE62" i="136"/>
  <c r="BE63" i="136" s="1"/>
  <c r="BB62" i="136"/>
  <c r="BA62" i="136"/>
  <c r="AO62" i="136"/>
  <c r="AI62" i="136"/>
  <c r="AH62" i="136"/>
  <c r="AG62" i="136"/>
  <c r="V62" i="136"/>
  <c r="M62" i="136"/>
  <c r="I62" i="136"/>
  <c r="BK61" i="136"/>
  <c r="BJ61" i="136"/>
  <c r="BI61" i="136"/>
  <c r="AO61" i="136"/>
  <c r="AN61" i="136"/>
  <c r="AE61" i="136"/>
  <c r="AD61" i="136"/>
  <c r="AC61" i="136"/>
  <c r="I61" i="136"/>
  <c r="H61" i="136"/>
  <c r="BE60" i="136"/>
  <c r="BA60" i="136"/>
  <c r="AW60" i="136"/>
  <c r="AK60" i="136"/>
  <c r="AJ60" i="136"/>
  <c r="Y60" i="136"/>
  <c r="V60" i="136"/>
  <c r="U60" i="136"/>
  <c r="Q60" i="136"/>
  <c r="N60" i="136"/>
  <c r="E60" i="136"/>
  <c r="BI59" i="136"/>
  <c r="AX59" i="136"/>
  <c r="AW59" i="136"/>
  <c r="AS59" i="136"/>
  <c r="AP59" i="136"/>
  <c r="AC59" i="136"/>
  <c r="W59" i="136"/>
  <c r="N59" i="136"/>
  <c r="M59" i="136"/>
  <c r="J59" i="136"/>
  <c r="BJ58" i="136"/>
  <c r="BI58" i="136"/>
  <c r="BH58" i="136"/>
  <c r="BF58" i="136"/>
  <c r="BE58" i="136"/>
  <c r="AS58" i="136"/>
  <c r="AD58" i="136"/>
  <c r="AC58" i="136"/>
  <c r="N58" i="136"/>
  <c r="M58" i="136"/>
  <c r="BF57" i="136"/>
  <c r="BE57" i="136"/>
  <c r="AV57" i="136"/>
  <c r="AV63" i="136" s="1"/>
  <c r="AC57" i="136"/>
  <c r="AC63" i="136" s="1"/>
  <c r="P57" i="136"/>
  <c r="BL54" i="136"/>
  <c r="BK54" i="136"/>
  <c r="BF54" i="136"/>
  <c r="BE54" i="136"/>
  <c r="BD54" i="136"/>
  <c r="BC54" i="136"/>
  <c r="AX54" i="136"/>
  <c r="AW54" i="136"/>
  <c r="AV54" i="136"/>
  <c r="AU54" i="136"/>
  <c r="AP54" i="136"/>
  <c r="AO54" i="136"/>
  <c r="AH54" i="136"/>
  <c r="AG54" i="136"/>
  <c r="AF54" i="136"/>
  <c r="AE54" i="136"/>
  <c r="Z54" i="136"/>
  <c r="Y54" i="136"/>
  <c r="X54" i="136"/>
  <c r="W54" i="136"/>
  <c r="R54" i="136"/>
  <c r="Q54" i="136"/>
  <c r="P54" i="136"/>
  <c r="O54" i="136"/>
  <c r="J54" i="136"/>
  <c r="I54" i="136"/>
  <c r="BL51" i="136"/>
  <c r="BL64" i="136" s="1"/>
  <c r="BK51" i="136"/>
  <c r="BK64" i="136" s="1"/>
  <c r="BJ51" i="136"/>
  <c r="BI51" i="136"/>
  <c r="BI64" i="136" s="1"/>
  <c r="BH51" i="136"/>
  <c r="BH64" i="136" s="1"/>
  <c r="BG51" i="136"/>
  <c r="BG64" i="136" s="1"/>
  <c r="BF51" i="136"/>
  <c r="BF64" i="136" s="1"/>
  <c r="BE51" i="136"/>
  <c r="BE64" i="136" s="1"/>
  <c r="BD51" i="136"/>
  <c r="BD64" i="136" s="1"/>
  <c r="BC51" i="136"/>
  <c r="BC64" i="136" s="1"/>
  <c r="BB51" i="136"/>
  <c r="BB64" i="136" s="1"/>
  <c r="BA51" i="136"/>
  <c r="AZ51" i="136"/>
  <c r="AY51" i="136"/>
  <c r="AY64" i="136" s="1"/>
  <c r="AX51" i="136"/>
  <c r="AW51" i="136"/>
  <c r="AV51" i="136"/>
  <c r="AV64" i="136" s="1"/>
  <c r="AU51" i="136"/>
  <c r="AU64" i="136" s="1"/>
  <c r="AT51" i="136"/>
  <c r="AT64" i="136" s="1"/>
  <c r="AS51" i="136"/>
  <c r="AS64" i="136" s="1"/>
  <c r="AR51" i="136"/>
  <c r="AR64" i="136" s="1"/>
  <c r="AQ51" i="136"/>
  <c r="AQ64" i="136" s="1"/>
  <c r="AP51" i="136"/>
  <c r="AO51" i="136"/>
  <c r="AN51" i="136"/>
  <c r="AN64" i="136" s="1"/>
  <c r="AM51" i="136"/>
  <c r="AM64" i="136" s="1"/>
  <c r="AL51" i="136"/>
  <c r="AK51" i="136"/>
  <c r="AJ51" i="136"/>
  <c r="AJ64" i="136" s="1"/>
  <c r="AI51" i="136"/>
  <c r="AI64" i="136" s="1"/>
  <c r="AH51" i="136"/>
  <c r="AG51" i="136"/>
  <c r="AF51" i="136"/>
  <c r="AF64" i="136" s="1"/>
  <c r="AE51" i="136"/>
  <c r="AE64" i="136" s="1"/>
  <c r="AD51" i="136"/>
  <c r="AD64" i="136" s="1"/>
  <c r="AC51" i="136"/>
  <c r="AC64" i="136" s="1"/>
  <c r="AB51" i="136"/>
  <c r="AB64" i="136" s="1"/>
  <c r="AA51" i="136"/>
  <c r="AA64" i="136" s="1"/>
  <c r="Z51" i="136"/>
  <c r="Z64" i="136" s="1"/>
  <c r="Y51" i="136"/>
  <c r="Y64" i="136" s="1"/>
  <c r="X51" i="136"/>
  <c r="X64" i="136" s="1"/>
  <c r="W51" i="136"/>
  <c r="W64" i="136" s="1"/>
  <c r="V51" i="136"/>
  <c r="V64" i="136" s="1"/>
  <c r="U51" i="136"/>
  <c r="U64" i="136" s="1"/>
  <c r="T51" i="136"/>
  <c r="T64" i="136" s="1"/>
  <c r="S51" i="136"/>
  <c r="S64" i="136" s="1"/>
  <c r="R51" i="136"/>
  <c r="Q51" i="136"/>
  <c r="P51" i="136"/>
  <c r="P64" i="136" s="1"/>
  <c r="O51" i="136"/>
  <c r="O64" i="136" s="1"/>
  <c r="N51" i="136"/>
  <c r="N64" i="136" s="1"/>
  <c r="M51" i="136"/>
  <c r="M64" i="136" s="1"/>
  <c r="L51" i="136"/>
  <c r="L64" i="136" s="1"/>
  <c r="K51" i="136"/>
  <c r="K64" i="136" s="1"/>
  <c r="J51" i="136"/>
  <c r="I51" i="136"/>
  <c r="H51" i="136"/>
  <c r="H64" i="136" s="1"/>
  <c r="G51" i="136"/>
  <c r="G64" i="136" s="1"/>
  <c r="F51" i="136"/>
  <c r="F64" i="136" s="1"/>
  <c r="E51" i="136"/>
  <c r="E64" i="136" s="1"/>
  <c r="BE50" i="136"/>
  <c r="BE65" i="136" s="1"/>
  <c r="BE68" i="136" s="1"/>
  <c r="BC50" i="136"/>
  <c r="BC65" i="136" s="1"/>
  <c r="BC68" i="136" s="1"/>
  <c r="AP50" i="136"/>
  <c r="AP65" i="136" s="1"/>
  <c r="AP68" i="136" s="1"/>
  <c r="AO50" i="136"/>
  <c r="AO65" i="136" s="1"/>
  <c r="AO68" i="136" s="1"/>
  <c r="BJ49" i="136"/>
  <c r="BJ62" i="136" s="1"/>
  <c r="BI49" i="136"/>
  <c r="BI62" i="136" s="1"/>
  <c r="BB49" i="136"/>
  <c r="BA49" i="136"/>
  <c r="AZ49" i="136"/>
  <c r="AZ62" i="136" s="1"/>
  <c r="AY49" i="136"/>
  <c r="AY62" i="136" s="1"/>
  <c r="AV49" i="136"/>
  <c r="AV62" i="136" s="1"/>
  <c r="AT49" i="136"/>
  <c r="AT62" i="136" s="1"/>
  <c r="AS49" i="136"/>
  <c r="AS62" i="136" s="1"/>
  <c r="AN49" i="136"/>
  <c r="AN62" i="136" s="1"/>
  <c r="AL49" i="136"/>
  <c r="AL62" i="136" s="1"/>
  <c r="AK49" i="136"/>
  <c r="AK62" i="136" s="1"/>
  <c r="AD49" i="136"/>
  <c r="AD62" i="136" s="1"/>
  <c r="AC49" i="136"/>
  <c r="AC62" i="136" s="1"/>
  <c r="AB49" i="136"/>
  <c r="AB62" i="136" s="1"/>
  <c r="AA49" i="136"/>
  <c r="AA62" i="136" s="1"/>
  <c r="V49" i="136"/>
  <c r="U49" i="136"/>
  <c r="U62" i="136" s="1"/>
  <c r="T49" i="136"/>
  <c r="T62" i="136" s="1"/>
  <c r="P49" i="136"/>
  <c r="P62" i="136" s="1"/>
  <c r="N49" i="136"/>
  <c r="N62" i="136" s="1"/>
  <c r="M49" i="136"/>
  <c r="K49" i="136"/>
  <c r="K62" i="136" s="1"/>
  <c r="H49" i="136"/>
  <c r="H62" i="136" s="1"/>
  <c r="F49" i="136"/>
  <c r="F62" i="136" s="1"/>
  <c r="E49" i="136"/>
  <c r="E62" i="136" s="1"/>
  <c r="BF48" i="136"/>
  <c r="BF61" i="136" s="1"/>
  <c r="BE48" i="136"/>
  <c r="BE61" i="136" s="1"/>
  <c r="BD48" i="136"/>
  <c r="BD61" i="136" s="1"/>
  <c r="BC48" i="136"/>
  <c r="BC61" i="136" s="1"/>
  <c r="AX48" i="136"/>
  <c r="AX61" i="136" s="1"/>
  <c r="AW48" i="136"/>
  <c r="AW61" i="136" s="1"/>
  <c r="AR48" i="136"/>
  <c r="AR61" i="136" s="1"/>
  <c r="AP48" i="136"/>
  <c r="AP61" i="136" s="1"/>
  <c r="AO48" i="136"/>
  <c r="AM48" i="136"/>
  <c r="AM61" i="136" s="1"/>
  <c r="AJ48" i="136"/>
  <c r="AJ61" i="136" s="1"/>
  <c r="AH48" i="136"/>
  <c r="AH61" i="136" s="1"/>
  <c r="AG48" i="136"/>
  <c r="AG61" i="136" s="1"/>
  <c r="Z48" i="136"/>
  <c r="Z61" i="136" s="1"/>
  <c r="Y48" i="136"/>
  <c r="Y61" i="136" s="1"/>
  <c r="Y63" i="136" s="1"/>
  <c r="X48" i="136"/>
  <c r="X61" i="136" s="1"/>
  <c r="R48" i="136"/>
  <c r="R61" i="136" s="1"/>
  <c r="Q48" i="136"/>
  <c r="Q61" i="136" s="1"/>
  <c r="P48" i="136"/>
  <c r="P61" i="136" s="1"/>
  <c r="O48" i="136"/>
  <c r="O61" i="136" s="1"/>
  <c r="L48" i="136"/>
  <c r="L61" i="136" s="1"/>
  <c r="J48" i="136"/>
  <c r="J61" i="136" s="1"/>
  <c r="I48" i="136"/>
  <c r="BL47" i="136"/>
  <c r="BL60" i="136" s="1"/>
  <c r="BJ47" i="136"/>
  <c r="BJ60" i="136" s="1"/>
  <c r="BI47" i="136"/>
  <c r="BI60" i="136" s="1"/>
  <c r="BB47" i="136"/>
  <c r="BB60" i="136" s="1"/>
  <c r="BA47" i="136"/>
  <c r="AT47" i="136"/>
  <c r="AT60" i="136" s="1"/>
  <c r="AS47" i="136"/>
  <c r="AS60" i="136" s="1"/>
  <c r="AR47" i="136"/>
  <c r="AR60" i="136" s="1"/>
  <c r="AQ47" i="136"/>
  <c r="AQ60" i="136" s="1"/>
  <c r="AN47" i="136"/>
  <c r="AN60" i="136" s="1"/>
  <c r="AL47" i="136"/>
  <c r="AL60" i="136" s="1"/>
  <c r="AK47" i="136"/>
  <c r="AF47" i="136"/>
  <c r="AF60" i="136" s="1"/>
  <c r="AD47" i="136"/>
  <c r="AD60" i="136" s="1"/>
  <c r="AC47" i="136"/>
  <c r="AC60" i="136" s="1"/>
  <c r="V47" i="136"/>
  <c r="U47" i="136"/>
  <c r="T47" i="136"/>
  <c r="T60" i="136" s="1"/>
  <c r="S47" i="136"/>
  <c r="S60" i="136" s="1"/>
  <c r="N47" i="136"/>
  <c r="M47" i="136"/>
  <c r="M60" i="136" s="1"/>
  <c r="L47" i="136"/>
  <c r="L60" i="136" s="1"/>
  <c r="H47" i="136"/>
  <c r="H60" i="136" s="1"/>
  <c r="F47" i="136"/>
  <c r="F60" i="136" s="1"/>
  <c r="E47" i="136"/>
  <c r="BK46" i="136"/>
  <c r="BK59" i="136" s="1"/>
  <c r="BH46" i="136"/>
  <c r="BH59" i="136" s="1"/>
  <c r="BF46" i="136"/>
  <c r="BF59" i="136" s="1"/>
  <c r="BE46" i="136"/>
  <c r="BE59" i="136" s="1"/>
  <c r="AX46" i="136"/>
  <c r="AW46" i="136"/>
  <c r="AV46" i="136"/>
  <c r="AV59" i="136" s="1"/>
  <c r="AU46" i="136"/>
  <c r="AU59" i="136" s="1"/>
  <c r="AP46" i="136"/>
  <c r="AO46" i="136"/>
  <c r="AO59" i="136" s="1"/>
  <c r="AH46" i="136"/>
  <c r="AH59" i="136" s="1"/>
  <c r="AG46" i="136"/>
  <c r="AG59" i="136" s="1"/>
  <c r="AE46" i="136"/>
  <c r="AE59" i="136" s="1"/>
  <c r="Z46" i="136"/>
  <c r="Z59" i="136" s="1"/>
  <c r="Y46" i="136"/>
  <c r="Y59" i="136" s="1"/>
  <c r="R46" i="136"/>
  <c r="R59" i="136" s="1"/>
  <c r="Q46" i="136"/>
  <c r="Q59" i="136" s="1"/>
  <c r="P46" i="136"/>
  <c r="P59" i="136" s="1"/>
  <c r="J46" i="136"/>
  <c r="I46" i="136"/>
  <c r="I59" i="136" s="1"/>
  <c r="H46" i="136"/>
  <c r="H59" i="136" s="1"/>
  <c r="G46" i="136"/>
  <c r="G59" i="136" s="1"/>
  <c r="BJ45" i="136"/>
  <c r="BI45" i="136"/>
  <c r="BB45" i="136"/>
  <c r="BB58" i="136" s="1"/>
  <c r="BA45" i="136"/>
  <c r="BA58" i="136" s="1"/>
  <c r="AT45" i="136"/>
  <c r="AT58" i="136" s="1"/>
  <c r="AS45" i="136"/>
  <c r="AL45" i="136"/>
  <c r="AL58" i="136" s="1"/>
  <c r="AK45" i="136"/>
  <c r="AK58" i="136" s="1"/>
  <c r="AJ45" i="136"/>
  <c r="AJ58" i="136" s="1"/>
  <c r="AI45" i="136"/>
  <c r="AI58" i="136" s="1"/>
  <c r="AF45" i="136"/>
  <c r="AF58" i="136" s="1"/>
  <c r="AD45" i="136"/>
  <c r="AC45" i="136"/>
  <c r="V45" i="136"/>
  <c r="V58" i="136" s="1"/>
  <c r="U45" i="136"/>
  <c r="U58" i="136" s="1"/>
  <c r="N45" i="136"/>
  <c r="M45" i="136"/>
  <c r="L45" i="136"/>
  <c r="L58" i="136" s="1"/>
  <c r="K45" i="136"/>
  <c r="K58" i="136" s="1"/>
  <c r="F45" i="136"/>
  <c r="F58" i="136" s="1"/>
  <c r="E45" i="136"/>
  <c r="E58" i="136" s="1"/>
  <c r="BL44" i="136"/>
  <c r="BF44" i="136"/>
  <c r="BE44" i="136"/>
  <c r="BC44" i="136"/>
  <c r="BC57" i="136" s="1"/>
  <c r="AY44" i="136"/>
  <c r="AX44" i="136"/>
  <c r="AW44" i="136"/>
  <c r="AP44" i="136"/>
  <c r="AP57" i="136" s="1"/>
  <c r="AO44" i="136"/>
  <c r="AO57" i="136" s="1"/>
  <c r="AN44" i="136"/>
  <c r="AM44" i="136"/>
  <c r="AM57" i="136" s="1"/>
  <c r="AH44" i="136"/>
  <c r="AH57" i="136" s="1"/>
  <c r="AH63" i="136" s="1"/>
  <c r="AG44" i="136"/>
  <c r="AG57" i="136" s="1"/>
  <c r="Z44" i="136"/>
  <c r="Z57" i="136" s="1"/>
  <c r="Y44" i="136"/>
  <c r="Y57" i="136" s="1"/>
  <c r="W44" i="136"/>
  <c r="R44" i="136"/>
  <c r="Q44" i="136"/>
  <c r="J44" i="136"/>
  <c r="J57" i="136" s="1"/>
  <c r="J63" i="136" s="1"/>
  <c r="I44" i="136"/>
  <c r="I57" i="136" s="1"/>
  <c r="H44" i="136"/>
  <c r="BL42" i="136"/>
  <c r="BK42" i="136"/>
  <c r="BJ42" i="136"/>
  <c r="BJ54" i="136" s="1"/>
  <c r="BI42" i="136"/>
  <c r="BI54" i="136" s="1"/>
  <c r="BH42" i="136"/>
  <c r="BH54" i="136" s="1"/>
  <c r="BG42" i="136"/>
  <c r="BG54" i="136" s="1"/>
  <c r="BF42" i="136"/>
  <c r="BE42" i="136"/>
  <c r="BD42" i="136"/>
  <c r="BC42" i="136"/>
  <c r="BB42" i="136"/>
  <c r="BB54" i="136" s="1"/>
  <c r="BA42" i="136"/>
  <c r="BA54" i="136" s="1"/>
  <c r="AZ42" i="136"/>
  <c r="AZ54" i="136" s="1"/>
  <c r="AY42" i="136"/>
  <c r="AY54" i="136" s="1"/>
  <c r="AX42" i="136"/>
  <c r="AW42" i="136"/>
  <c r="AV42" i="136"/>
  <c r="AU42" i="136"/>
  <c r="AT42" i="136"/>
  <c r="AT54" i="136" s="1"/>
  <c r="AS42" i="136"/>
  <c r="AS54" i="136" s="1"/>
  <c r="AR42" i="136"/>
  <c r="AR54" i="136" s="1"/>
  <c r="AQ42" i="136"/>
  <c r="AQ54" i="136" s="1"/>
  <c r="AP42" i="136"/>
  <c r="AO42" i="136"/>
  <c r="AN42" i="136"/>
  <c r="AN54" i="136" s="1"/>
  <c r="AM42" i="136"/>
  <c r="AM54" i="136" s="1"/>
  <c r="AL42" i="136"/>
  <c r="AL54" i="136" s="1"/>
  <c r="AK42" i="136"/>
  <c r="AK54" i="136" s="1"/>
  <c r="AJ42" i="136"/>
  <c r="AJ54" i="136" s="1"/>
  <c r="AI42" i="136"/>
  <c r="AI54" i="136" s="1"/>
  <c r="AH42" i="136"/>
  <c r="AG42" i="136"/>
  <c r="AF42" i="136"/>
  <c r="AE42" i="136"/>
  <c r="AD42" i="136"/>
  <c r="AD54" i="136" s="1"/>
  <c r="AC42" i="136"/>
  <c r="AC54" i="136" s="1"/>
  <c r="AB42" i="136"/>
  <c r="AB54" i="136" s="1"/>
  <c r="AA42" i="136"/>
  <c r="AA54" i="136" s="1"/>
  <c r="Z42" i="136"/>
  <c r="Y42" i="136"/>
  <c r="X42" i="136"/>
  <c r="W42" i="136"/>
  <c r="V42" i="136"/>
  <c r="V54" i="136" s="1"/>
  <c r="U42" i="136"/>
  <c r="U54" i="136" s="1"/>
  <c r="T42" i="136"/>
  <c r="T54" i="136" s="1"/>
  <c r="S42" i="136"/>
  <c r="S54" i="136" s="1"/>
  <c r="R42" i="136"/>
  <c r="Q42" i="136"/>
  <c r="P42" i="136"/>
  <c r="O42" i="136"/>
  <c r="N42" i="136"/>
  <c r="N54" i="136" s="1"/>
  <c r="M42" i="136"/>
  <c r="M54" i="136" s="1"/>
  <c r="L42" i="136"/>
  <c r="L54" i="136" s="1"/>
  <c r="K42" i="136"/>
  <c r="K54" i="136" s="1"/>
  <c r="J42" i="136"/>
  <c r="I42" i="136"/>
  <c r="H42" i="136"/>
  <c r="H54" i="136" s="1"/>
  <c r="G42" i="136"/>
  <c r="G54" i="136" s="1"/>
  <c r="F42" i="136"/>
  <c r="F54" i="136" s="1"/>
  <c r="E42" i="136"/>
  <c r="E54" i="136" s="1"/>
  <c r="E26" i="136"/>
  <c r="F22" i="136"/>
  <c r="E22" i="136"/>
  <c r="BE19" i="136"/>
  <c r="AW19" i="136"/>
  <c r="BJ18" i="136"/>
  <c r="BJ19" i="136" s="1"/>
  <c r="BI18" i="136"/>
  <c r="BI19" i="136" s="1"/>
  <c r="BH18" i="136"/>
  <c r="BH19" i="136" s="1"/>
  <c r="AS18" i="136"/>
  <c r="AS19" i="136" s="1"/>
  <c r="AR18" i="136"/>
  <c r="AR19" i="136" s="1"/>
  <c r="AD18" i="136"/>
  <c r="AD19" i="136" s="1"/>
  <c r="P18" i="136"/>
  <c r="P19" i="136" s="1"/>
  <c r="F18" i="136"/>
  <c r="F19" i="136" s="1"/>
  <c r="BL17" i="136"/>
  <c r="BL49" i="136" s="1"/>
  <c r="BL62" i="136" s="1"/>
  <c r="BK17" i="136"/>
  <c r="BK49" i="136" s="1"/>
  <c r="BK62" i="136" s="1"/>
  <c r="BJ17" i="136"/>
  <c r="BI17" i="136"/>
  <c r="BH17" i="136"/>
  <c r="BH49" i="136" s="1"/>
  <c r="BH62" i="136" s="1"/>
  <c r="BG17" i="136"/>
  <c r="BG49" i="136" s="1"/>
  <c r="BG62" i="136" s="1"/>
  <c r="BF17" i="136"/>
  <c r="BF49" i="136" s="1"/>
  <c r="BF62" i="136" s="1"/>
  <c r="BE17" i="136"/>
  <c r="BE49" i="136" s="1"/>
  <c r="BD17" i="136"/>
  <c r="BD49" i="136" s="1"/>
  <c r="BD62" i="136" s="1"/>
  <c r="BC17" i="136"/>
  <c r="BC49" i="136" s="1"/>
  <c r="BC62" i="136" s="1"/>
  <c r="BB17" i="136"/>
  <c r="BA17" i="136"/>
  <c r="AZ17" i="136"/>
  <c r="AY17" i="136"/>
  <c r="AX17" i="136"/>
  <c r="AX49" i="136" s="1"/>
  <c r="AX62" i="136" s="1"/>
  <c r="AW17" i="136"/>
  <c r="AW49" i="136" s="1"/>
  <c r="AW62" i="136" s="1"/>
  <c r="AV17" i="136"/>
  <c r="AU17" i="136"/>
  <c r="AU49" i="136" s="1"/>
  <c r="AU62" i="136" s="1"/>
  <c r="AT17" i="136"/>
  <c r="AS17" i="136"/>
  <c r="AR17" i="136"/>
  <c r="AR49" i="136" s="1"/>
  <c r="AR62" i="136" s="1"/>
  <c r="AQ17" i="136"/>
  <c r="AQ49" i="136" s="1"/>
  <c r="AQ62" i="136" s="1"/>
  <c r="AP17" i="136"/>
  <c r="AP49" i="136" s="1"/>
  <c r="AP62" i="136" s="1"/>
  <c r="AO17" i="136"/>
  <c r="AO49" i="136" s="1"/>
  <c r="AN17" i="136"/>
  <c r="AM17" i="136"/>
  <c r="AM49" i="136" s="1"/>
  <c r="AM62" i="136" s="1"/>
  <c r="AL17" i="136"/>
  <c r="AK17" i="136"/>
  <c r="AJ17" i="136"/>
  <c r="AJ49" i="136" s="1"/>
  <c r="AJ62" i="136" s="1"/>
  <c r="AI17" i="136"/>
  <c r="AI49" i="136" s="1"/>
  <c r="AH17" i="136"/>
  <c r="AH49" i="136" s="1"/>
  <c r="AG17" i="136"/>
  <c r="AG49" i="136" s="1"/>
  <c r="AF17" i="136"/>
  <c r="AF49" i="136" s="1"/>
  <c r="AF62" i="136" s="1"/>
  <c r="AE17" i="136"/>
  <c r="AE49" i="136" s="1"/>
  <c r="AE62" i="136" s="1"/>
  <c r="AD17" i="136"/>
  <c r="AC17" i="136"/>
  <c r="AB17" i="136"/>
  <c r="AA17" i="136"/>
  <c r="Z17" i="136"/>
  <c r="Z49" i="136" s="1"/>
  <c r="Z62" i="136" s="1"/>
  <c r="Y17" i="136"/>
  <c r="Y49" i="136" s="1"/>
  <c r="Y62" i="136" s="1"/>
  <c r="X17" i="136"/>
  <c r="X49" i="136" s="1"/>
  <c r="X62" i="136" s="1"/>
  <c r="W17" i="136"/>
  <c r="W49" i="136" s="1"/>
  <c r="W62" i="136" s="1"/>
  <c r="V17" i="136"/>
  <c r="U17" i="136"/>
  <c r="T17" i="136"/>
  <c r="S17" i="136"/>
  <c r="S49" i="136" s="1"/>
  <c r="S62" i="136" s="1"/>
  <c r="R17" i="136"/>
  <c r="R49" i="136" s="1"/>
  <c r="R62" i="136" s="1"/>
  <c r="Q17" i="136"/>
  <c r="Q49" i="136" s="1"/>
  <c r="Q62" i="136" s="1"/>
  <c r="P17" i="136"/>
  <c r="O17" i="136"/>
  <c r="O49" i="136" s="1"/>
  <c r="O62" i="136" s="1"/>
  <c r="N17" i="136"/>
  <c r="M17" i="136"/>
  <c r="L17" i="136"/>
  <c r="L49" i="136" s="1"/>
  <c r="L62" i="136" s="1"/>
  <c r="K17" i="136"/>
  <c r="J17" i="136"/>
  <c r="J49" i="136" s="1"/>
  <c r="J62" i="136" s="1"/>
  <c r="I17" i="136"/>
  <c r="I49" i="136" s="1"/>
  <c r="H17" i="136"/>
  <c r="G17" i="136"/>
  <c r="G49" i="136" s="1"/>
  <c r="G62" i="136" s="1"/>
  <c r="F17" i="136"/>
  <c r="E17" i="136"/>
  <c r="BL16" i="136"/>
  <c r="BL48" i="136" s="1"/>
  <c r="BL61" i="136" s="1"/>
  <c r="BK16" i="136"/>
  <c r="BK48" i="136" s="1"/>
  <c r="BJ16" i="136"/>
  <c r="BJ48" i="136" s="1"/>
  <c r="BI16" i="136"/>
  <c r="BI48" i="136" s="1"/>
  <c r="BH16" i="136"/>
  <c r="BH48" i="136" s="1"/>
  <c r="BH61" i="136" s="1"/>
  <c r="BG16" i="136"/>
  <c r="BG48" i="136" s="1"/>
  <c r="BG61" i="136" s="1"/>
  <c r="BF16" i="136"/>
  <c r="BE16" i="136"/>
  <c r="BD16" i="136"/>
  <c r="BC16" i="136"/>
  <c r="BB16" i="136"/>
  <c r="BB48" i="136" s="1"/>
  <c r="BB61" i="136" s="1"/>
  <c r="BA16" i="136"/>
  <c r="BA48" i="136" s="1"/>
  <c r="BA61" i="136" s="1"/>
  <c r="AZ16" i="136"/>
  <c r="AZ48" i="136" s="1"/>
  <c r="AZ61" i="136" s="1"/>
  <c r="AY16" i="136"/>
  <c r="AY48" i="136" s="1"/>
  <c r="AY61" i="136" s="1"/>
  <c r="AX16" i="136"/>
  <c r="AW16" i="136"/>
  <c r="AV16" i="136"/>
  <c r="AV48" i="136" s="1"/>
  <c r="AV61" i="136" s="1"/>
  <c r="AU16" i="136"/>
  <c r="AU48" i="136" s="1"/>
  <c r="AU61" i="136" s="1"/>
  <c r="AT16" i="136"/>
  <c r="AT48" i="136" s="1"/>
  <c r="AT61" i="136" s="1"/>
  <c r="AS16" i="136"/>
  <c r="AS48" i="136" s="1"/>
  <c r="AS61" i="136" s="1"/>
  <c r="AR16" i="136"/>
  <c r="AQ16" i="136"/>
  <c r="AQ48" i="136" s="1"/>
  <c r="AQ61" i="136" s="1"/>
  <c r="AP16" i="136"/>
  <c r="AO16" i="136"/>
  <c r="AN16" i="136"/>
  <c r="AN48" i="136" s="1"/>
  <c r="AM16" i="136"/>
  <c r="AL16" i="136"/>
  <c r="AL48" i="136" s="1"/>
  <c r="AL61" i="136" s="1"/>
  <c r="AK16" i="136"/>
  <c r="AK48" i="136" s="1"/>
  <c r="AK61" i="136" s="1"/>
  <c r="AJ16" i="136"/>
  <c r="AI16" i="136"/>
  <c r="AI48" i="136" s="1"/>
  <c r="AI61" i="136" s="1"/>
  <c r="AH16" i="136"/>
  <c r="AG16" i="136"/>
  <c r="AF16" i="136"/>
  <c r="AF48" i="136" s="1"/>
  <c r="AF61" i="136" s="1"/>
  <c r="AE16" i="136"/>
  <c r="AE48" i="136" s="1"/>
  <c r="AD16" i="136"/>
  <c r="AD48" i="136" s="1"/>
  <c r="AC16" i="136"/>
  <c r="AC48" i="136" s="1"/>
  <c r="AB16" i="136"/>
  <c r="AB48" i="136" s="1"/>
  <c r="AB61" i="136" s="1"/>
  <c r="AA16" i="136"/>
  <c r="AA48" i="136" s="1"/>
  <c r="AA61" i="136" s="1"/>
  <c r="Z16" i="136"/>
  <c r="Y16" i="136"/>
  <c r="X16" i="136"/>
  <c r="W16" i="136"/>
  <c r="W48" i="136" s="1"/>
  <c r="W61" i="136" s="1"/>
  <c r="V16" i="136"/>
  <c r="V48" i="136" s="1"/>
  <c r="V61" i="136" s="1"/>
  <c r="U16" i="136"/>
  <c r="U48" i="136" s="1"/>
  <c r="U61" i="136" s="1"/>
  <c r="T16" i="136"/>
  <c r="T48" i="136" s="1"/>
  <c r="T61" i="136" s="1"/>
  <c r="S16" i="136"/>
  <c r="S48" i="136" s="1"/>
  <c r="S61" i="136" s="1"/>
  <c r="R16" i="136"/>
  <c r="Q16" i="136"/>
  <c r="P16" i="136"/>
  <c r="O16" i="136"/>
  <c r="N16" i="136"/>
  <c r="N48" i="136" s="1"/>
  <c r="N61" i="136" s="1"/>
  <c r="M16" i="136"/>
  <c r="M48" i="136" s="1"/>
  <c r="M61" i="136" s="1"/>
  <c r="L16" i="136"/>
  <c r="K16" i="136"/>
  <c r="K48" i="136" s="1"/>
  <c r="K61" i="136" s="1"/>
  <c r="J16" i="136"/>
  <c r="I16" i="136"/>
  <c r="H16" i="136"/>
  <c r="H48" i="136" s="1"/>
  <c r="G16" i="136"/>
  <c r="G48" i="136" s="1"/>
  <c r="G61" i="136" s="1"/>
  <c r="F16" i="136"/>
  <c r="F48" i="136" s="1"/>
  <c r="F61" i="136" s="1"/>
  <c r="E16" i="136"/>
  <c r="E48" i="136" s="1"/>
  <c r="E61" i="136" s="1"/>
  <c r="BL15" i="136"/>
  <c r="BK15" i="136"/>
  <c r="BK47" i="136" s="1"/>
  <c r="BK60" i="136" s="1"/>
  <c r="BJ15" i="136"/>
  <c r="BI15" i="136"/>
  <c r="BH15" i="136"/>
  <c r="BH47" i="136" s="1"/>
  <c r="BH60" i="136" s="1"/>
  <c r="BG15" i="136"/>
  <c r="BG47" i="136" s="1"/>
  <c r="BG60" i="136" s="1"/>
  <c r="BF15" i="136"/>
  <c r="BF47" i="136" s="1"/>
  <c r="BF60" i="136" s="1"/>
  <c r="BE15" i="136"/>
  <c r="BE47" i="136" s="1"/>
  <c r="BD15" i="136"/>
  <c r="BD47" i="136" s="1"/>
  <c r="BD60" i="136" s="1"/>
  <c r="BC15" i="136"/>
  <c r="BC47" i="136" s="1"/>
  <c r="BC60" i="136" s="1"/>
  <c r="BB15" i="136"/>
  <c r="BA15" i="136"/>
  <c r="AZ15" i="136"/>
  <c r="AZ47" i="136" s="1"/>
  <c r="AZ60" i="136" s="1"/>
  <c r="AY15" i="136"/>
  <c r="AY47" i="136" s="1"/>
  <c r="AY60" i="136" s="1"/>
  <c r="AX15" i="136"/>
  <c r="AX47" i="136" s="1"/>
  <c r="AX60" i="136" s="1"/>
  <c r="AW15" i="136"/>
  <c r="AW47" i="136" s="1"/>
  <c r="AV15" i="136"/>
  <c r="AV47" i="136" s="1"/>
  <c r="AV60" i="136" s="1"/>
  <c r="AU15" i="136"/>
  <c r="AU47" i="136" s="1"/>
  <c r="AU60" i="136" s="1"/>
  <c r="AT15" i="136"/>
  <c r="AS15" i="136"/>
  <c r="AR15" i="136"/>
  <c r="AQ15" i="136"/>
  <c r="AP15" i="136"/>
  <c r="AP47" i="136" s="1"/>
  <c r="AP60" i="136" s="1"/>
  <c r="AO15" i="136"/>
  <c r="AO47" i="136" s="1"/>
  <c r="AO60" i="136" s="1"/>
  <c r="AN15" i="136"/>
  <c r="AM15" i="136"/>
  <c r="AM47" i="136" s="1"/>
  <c r="AM60" i="136" s="1"/>
  <c r="AL15" i="136"/>
  <c r="AK15" i="136"/>
  <c r="AJ15" i="136"/>
  <c r="AJ47" i="136" s="1"/>
  <c r="AI15" i="136"/>
  <c r="AI47" i="136" s="1"/>
  <c r="AI60" i="136" s="1"/>
  <c r="AH15" i="136"/>
  <c r="AH47" i="136" s="1"/>
  <c r="AH60" i="136" s="1"/>
  <c r="AG15" i="136"/>
  <c r="AG47" i="136" s="1"/>
  <c r="AG60" i="136" s="1"/>
  <c r="AF15" i="136"/>
  <c r="AE15" i="136"/>
  <c r="AE47" i="136" s="1"/>
  <c r="AE60" i="136" s="1"/>
  <c r="AD15" i="136"/>
  <c r="AC15" i="136"/>
  <c r="AB15" i="136"/>
  <c r="AB47" i="136" s="1"/>
  <c r="AB60" i="136" s="1"/>
  <c r="AA15" i="136"/>
  <c r="AA47" i="136" s="1"/>
  <c r="AA60" i="136" s="1"/>
  <c r="Z15" i="136"/>
  <c r="Z47" i="136" s="1"/>
  <c r="Z60" i="136" s="1"/>
  <c r="Y15" i="136"/>
  <c r="Y47" i="136" s="1"/>
  <c r="X15" i="136"/>
  <c r="X47" i="136" s="1"/>
  <c r="X60" i="136" s="1"/>
  <c r="W15" i="136"/>
  <c r="W47" i="136" s="1"/>
  <c r="W60" i="136" s="1"/>
  <c r="V15" i="136"/>
  <c r="U15" i="136"/>
  <c r="T15" i="136"/>
  <c r="S15" i="136"/>
  <c r="R15" i="136"/>
  <c r="R47" i="136" s="1"/>
  <c r="R60" i="136" s="1"/>
  <c r="Q15" i="136"/>
  <c r="Q47" i="136" s="1"/>
  <c r="P15" i="136"/>
  <c r="P47" i="136" s="1"/>
  <c r="P60" i="136" s="1"/>
  <c r="O15" i="136"/>
  <c r="O47" i="136" s="1"/>
  <c r="O60" i="136" s="1"/>
  <c r="N15" i="136"/>
  <c r="M15" i="136"/>
  <c r="L15" i="136"/>
  <c r="K15" i="136"/>
  <c r="K47" i="136" s="1"/>
  <c r="K60" i="136" s="1"/>
  <c r="J15" i="136"/>
  <c r="J47" i="136" s="1"/>
  <c r="J60" i="136" s="1"/>
  <c r="I15" i="136"/>
  <c r="I47" i="136" s="1"/>
  <c r="I60" i="136" s="1"/>
  <c r="H15" i="136"/>
  <c r="G15" i="136"/>
  <c r="G47" i="136" s="1"/>
  <c r="G60" i="136" s="1"/>
  <c r="F15" i="136"/>
  <c r="E15" i="136"/>
  <c r="BL14" i="136"/>
  <c r="BL46" i="136" s="1"/>
  <c r="BL59" i="136" s="1"/>
  <c r="BK14" i="136"/>
  <c r="BJ14" i="136"/>
  <c r="BJ46" i="136" s="1"/>
  <c r="BJ59" i="136" s="1"/>
  <c r="BI14" i="136"/>
  <c r="BI46" i="136" s="1"/>
  <c r="BH14" i="136"/>
  <c r="BG14" i="136"/>
  <c r="BG46" i="136" s="1"/>
  <c r="BG59" i="136" s="1"/>
  <c r="BF14" i="136"/>
  <c r="BE14" i="136"/>
  <c r="BD14" i="136"/>
  <c r="BD46" i="136" s="1"/>
  <c r="BD59" i="136" s="1"/>
  <c r="BC14" i="136"/>
  <c r="BC46" i="136" s="1"/>
  <c r="BC59" i="136" s="1"/>
  <c r="BB14" i="136"/>
  <c r="BB46" i="136" s="1"/>
  <c r="BB59" i="136" s="1"/>
  <c r="BA14" i="136"/>
  <c r="BA46" i="136" s="1"/>
  <c r="BA59" i="136" s="1"/>
  <c r="AZ14" i="136"/>
  <c r="AZ46" i="136" s="1"/>
  <c r="AZ59" i="136" s="1"/>
  <c r="AY14" i="136"/>
  <c r="AY46" i="136" s="1"/>
  <c r="AY59" i="136" s="1"/>
  <c r="AX14" i="136"/>
  <c r="AW14" i="136"/>
  <c r="AV14" i="136"/>
  <c r="AU14" i="136"/>
  <c r="AT14" i="136"/>
  <c r="AT46" i="136" s="1"/>
  <c r="AT59" i="136" s="1"/>
  <c r="AS14" i="136"/>
  <c r="AS46" i="136" s="1"/>
  <c r="AR14" i="136"/>
  <c r="AR46" i="136" s="1"/>
  <c r="AR59" i="136" s="1"/>
  <c r="AQ14" i="136"/>
  <c r="AQ46" i="136" s="1"/>
  <c r="AQ59" i="136" s="1"/>
  <c r="AP14" i="136"/>
  <c r="AO14" i="136"/>
  <c r="AN14" i="136"/>
  <c r="AN46" i="136" s="1"/>
  <c r="AN59" i="136" s="1"/>
  <c r="AM14" i="136"/>
  <c r="AM46" i="136" s="1"/>
  <c r="AM59" i="136" s="1"/>
  <c r="AL14" i="136"/>
  <c r="AL46" i="136" s="1"/>
  <c r="AL59" i="136" s="1"/>
  <c r="AK14" i="136"/>
  <c r="AK46" i="136" s="1"/>
  <c r="AK59" i="136" s="1"/>
  <c r="AJ14" i="136"/>
  <c r="AJ46" i="136" s="1"/>
  <c r="AJ59" i="136" s="1"/>
  <c r="AI14" i="136"/>
  <c r="AI46" i="136" s="1"/>
  <c r="AI59" i="136" s="1"/>
  <c r="AH14" i="136"/>
  <c r="AG14" i="136"/>
  <c r="AF14" i="136"/>
  <c r="AF46" i="136" s="1"/>
  <c r="AF59" i="136" s="1"/>
  <c r="AE14" i="136"/>
  <c r="AD14" i="136"/>
  <c r="AD46" i="136" s="1"/>
  <c r="AD59" i="136" s="1"/>
  <c r="AC14" i="136"/>
  <c r="AC46" i="136" s="1"/>
  <c r="AB14" i="136"/>
  <c r="AB46" i="136" s="1"/>
  <c r="AB59" i="136" s="1"/>
  <c r="AA14" i="136"/>
  <c r="AA46" i="136" s="1"/>
  <c r="AA59" i="136" s="1"/>
  <c r="Z14" i="136"/>
  <c r="Y14" i="136"/>
  <c r="X14" i="136"/>
  <c r="X46" i="136" s="1"/>
  <c r="X59" i="136" s="1"/>
  <c r="W14" i="136"/>
  <c r="W46" i="136" s="1"/>
  <c r="V14" i="136"/>
  <c r="V46" i="136" s="1"/>
  <c r="V59" i="136" s="1"/>
  <c r="U14" i="136"/>
  <c r="U46" i="136" s="1"/>
  <c r="U59" i="136" s="1"/>
  <c r="T14" i="136"/>
  <c r="T46" i="136" s="1"/>
  <c r="T59" i="136" s="1"/>
  <c r="S14" i="136"/>
  <c r="S46" i="136" s="1"/>
  <c r="S59" i="136" s="1"/>
  <c r="R14" i="136"/>
  <c r="Q14" i="136"/>
  <c r="P14" i="136"/>
  <c r="O14" i="136"/>
  <c r="O46" i="136" s="1"/>
  <c r="O59" i="136" s="1"/>
  <c r="N14" i="136"/>
  <c r="N46" i="136" s="1"/>
  <c r="M14" i="136"/>
  <c r="M46" i="136" s="1"/>
  <c r="L14" i="136"/>
  <c r="L46" i="136" s="1"/>
  <c r="L59" i="136" s="1"/>
  <c r="K14" i="136"/>
  <c r="K46" i="136" s="1"/>
  <c r="K59" i="136" s="1"/>
  <c r="J14" i="136"/>
  <c r="I14" i="136"/>
  <c r="H14" i="136"/>
  <c r="G14" i="136"/>
  <c r="F14" i="136"/>
  <c r="F46" i="136" s="1"/>
  <c r="F59" i="136" s="1"/>
  <c r="E14" i="136"/>
  <c r="E46" i="136" s="1"/>
  <c r="E59" i="136" s="1"/>
  <c r="BL13" i="136"/>
  <c r="BL45" i="136" s="1"/>
  <c r="BL58" i="136" s="1"/>
  <c r="BK13" i="136"/>
  <c r="BJ13" i="136"/>
  <c r="BI13" i="136"/>
  <c r="BH13" i="136"/>
  <c r="BH45" i="136" s="1"/>
  <c r="BG13" i="136"/>
  <c r="BG45" i="136" s="1"/>
  <c r="BG58" i="136" s="1"/>
  <c r="BF13" i="136"/>
  <c r="BF45" i="136" s="1"/>
  <c r="BF50" i="136" s="1"/>
  <c r="BF65" i="136" s="1"/>
  <c r="BF68" i="136" s="1"/>
  <c r="BE13" i="136"/>
  <c r="BE45" i="136" s="1"/>
  <c r="BD13" i="136"/>
  <c r="BD45" i="136" s="1"/>
  <c r="BD58" i="136" s="1"/>
  <c r="BC13" i="136"/>
  <c r="BC45" i="136" s="1"/>
  <c r="BC58" i="136" s="1"/>
  <c r="BB13" i="136"/>
  <c r="BA13" i="136"/>
  <c r="AZ13" i="136"/>
  <c r="AZ45" i="136" s="1"/>
  <c r="AZ58" i="136" s="1"/>
  <c r="AY13" i="136"/>
  <c r="AY45" i="136" s="1"/>
  <c r="AY58" i="136" s="1"/>
  <c r="AX13" i="136"/>
  <c r="AX45" i="136" s="1"/>
  <c r="AX58" i="136" s="1"/>
  <c r="AW13" i="136"/>
  <c r="AW45" i="136" s="1"/>
  <c r="AW58" i="136" s="1"/>
  <c r="AV13" i="136"/>
  <c r="AV45" i="136" s="1"/>
  <c r="AV58" i="136" s="1"/>
  <c r="AU13" i="136"/>
  <c r="AU45" i="136" s="1"/>
  <c r="AU58" i="136" s="1"/>
  <c r="AT13" i="136"/>
  <c r="AS13" i="136"/>
  <c r="AR13" i="136"/>
  <c r="AR45" i="136" s="1"/>
  <c r="AR58" i="136" s="1"/>
  <c r="AQ13" i="136"/>
  <c r="AQ45" i="136" s="1"/>
  <c r="AQ58" i="136" s="1"/>
  <c r="AP13" i="136"/>
  <c r="AP45" i="136" s="1"/>
  <c r="AP58" i="136" s="1"/>
  <c r="AO13" i="136"/>
  <c r="AO45" i="136" s="1"/>
  <c r="AO58" i="136" s="1"/>
  <c r="AN13" i="136"/>
  <c r="AN45" i="136" s="1"/>
  <c r="AN58" i="136" s="1"/>
  <c r="AM13" i="136"/>
  <c r="AM45" i="136" s="1"/>
  <c r="AM58" i="136" s="1"/>
  <c r="AL13" i="136"/>
  <c r="AK13" i="136"/>
  <c r="AJ13" i="136"/>
  <c r="AI13" i="136"/>
  <c r="AH13" i="136"/>
  <c r="AH45" i="136" s="1"/>
  <c r="AH58" i="136" s="1"/>
  <c r="AG13" i="136"/>
  <c r="AG45" i="136" s="1"/>
  <c r="AG58" i="136" s="1"/>
  <c r="AG63" i="136" s="1"/>
  <c r="AF13" i="136"/>
  <c r="AF18" i="136" s="1"/>
  <c r="AF19" i="136" s="1"/>
  <c r="AE13" i="136"/>
  <c r="AD13" i="136"/>
  <c r="AC13" i="136"/>
  <c r="AB13" i="136"/>
  <c r="AB45" i="136" s="1"/>
  <c r="AB58" i="136" s="1"/>
  <c r="AA13" i="136"/>
  <c r="AA45" i="136" s="1"/>
  <c r="AA58" i="136" s="1"/>
  <c r="Z13" i="136"/>
  <c r="Z45" i="136" s="1"/>
  <c r="Y13" i="136"/>
  <c r="Y45" i="136" s="1"/>
  <c r="Y58" i="136" s="1"/>
  <c r="X13" i="136"/>
  <c r="X45" i="136" s="1"/>
  <c r="X58" i="136" s="1"/>
  <c r="W13" i="136"/>
  <c r="W45" i="136" s="1"/>
  <c r="W58" i="136" s="1"/>
  <c r="V13" i="136"/>
  <c r="U13" i="136"/>
  <c r="T13" i="136"/>
  <c r="T45" i="136" s="1"/>
  <c r="T58" i="136" s="1"/>
  <c r="S13" i="136"/>
  <c r="S45" i="136" s="1"/>
  <c r="S58" i="136" s="1"/>
  <c r="R13" i="136"/>
  <c r="R45" i="136" s="1"/>
  <c r="R58" i="136" s="1"/>
  <c r="Q13" i="136"/>
  <c r="Q45" i="136" s="1"/>
  <c r="Q58" i="136" s="1"/>
  <c r="P13" i="136"/>
  <c r="P45" i="136" s="1"/>
  <c r="P58" i="136" s="1"/>
  <c r="O13" i="136"/>
  <c r="O45" i="136" s="1"/>
  <c r="O58" i="136" s="1"/>
  <c r="N13" i="136"/>
  <c r="M13" i="136"/>
  <c r="L13" i="136"/>
  <c r="K13" i="136"/>
  <c r="J13" i="136"/>
  <c r="J45" i="136" s="1"/>
  <c r="J58" i="136" s="1"/>
  <c r="I13" i="136"/>
  <c r="I45" i="136" s="1"/>
  <c r="I58" i="136" s="1"/>
  <c r="H13" i="136"/>
  <c r="H45" i="136" s="1"/>
  <c r="H58" i="136" s="1"/>
  <c r="G13" i="136"/>
  <c r="F13" i="136"/>
  <c r="E13" i="136"/>
  <c r="BL12" i="136"/>
  <c r="BK12" i="136"/>
  <c r="BK44" i="136" s="1"/>
  <c r="BJ12" i="136"/>
  <c r="BJ44" i="136" s="1"/>
  <c r="BI12" i="136"/>
  <c r="BI44" i="136" s="1"/>
  <c r="BH12" i="136"/>
  <c r="BH44" i="136" s="1"/>
  <c r="BG12" i="136"/>
  <c r="BF12" i="136"/>
  <c r="BE12" i="136"/>
  <c r="BE18" i="136" s="1"/>
  <c r="BD12" i="136"/>
  <c r="BC12" i="136"/>
  <c r="BB12" i="136"/>
  <c r="BB44" i="136" s="1"/>
  <c r="BA12" i="136"/>
  <c r="BA44" i="136" s="1"/>
  <c r="BA50" i="136" s="1"/>
  <c r="BA65" i="136" s="1"/>
  <c r="BA68" i="136" s="1"/>
  <c r="AZ12" i="136"/>
  <c r="AZ18" i="136" s="1"/>
  <c r="AZ19" i="136" s="1"/>
  <c r="AY12" i="136"/>
  <c r="AY18" i="136" s="1"/>
  <c r="AY19" i="136" s="1"/>
  <c r="AX12" i="136"/>
  <c r="AW12" i="136"/>
  <c r="AW18" i="136" s="1"/>
  <c r="AV12" i="136"/>
  <c r="AV44" i="136" s="1"/>
  <c r="AU12" i="136"/>
  <c r="AT12" i="136"/>
  <c r="AS12" i="136"/>
  <c r="AS44" i="136" s="1"/>
  <c r="AS50" i="136" s="1"/>
  <c r="AS65" i="136" s="1"/>
  <c r="AS68" i="136" s="1"/>
  <c r="AR12" i="136"/>
  <c r="AR44" i="136" s="1"/>
  <c r="AR57" i="136" s="1"/>
  <c r="AQ12" i="136"/>
  <c r="AP12" i="136"/>
  <c r="AO12" i="136"/>
  <c r="AN12" i="136"/>
  <c r="AN18" i="136" s="1"/>
  <c r="AN19" i="136" s="1"/>
  <c r="AM12" i="136"/>
  <c r="AL12" i="136"/>
  <c r="AL44" i="136" s="1"/>
  <c r="AK12" i="136"/>
  <c r="AJ12" i="136"/>
  <c r="AI12" i="136"/>
  <c r="AH12" i="136"/>
  <c r="AG12" i="136"/>
  <c r="AF12" i="136"/>
  <c r="AF44" i="136" s="1"/>
  <c r="AE12" i="136"/>
  <c r="AE44" i="136" s="1"/>
  <c r="AD12" i="136"/>
  <c r="AD44" i="136" s="1"/>
  <c r="AC12" i="136"/>
  <c r="AC44" i="136" s="1"/>
  <c r="AB12" i="136"/>
  <c r="AB18" i="136" s="1"/>
  <c r="AB19" i="136" s="1"/>
  <c r="AA12" i="136"/>
  <c r="Z12" i="136"/>
  <c r="Y12" i="136"/>
  <c r="X12" i="136"/>
  <c r="W12" i="136"/>
  <c r="V12" i="136"/>
  <c r="V44" i="136" s="1"/>
  <c r="U12" i="136"/>
  <c r="U44" i="136" s="1"/>
  <c r="T12" i="136"/>
  <c r="T44" i="136" s="1"/>
  <c r="T57" i="136" s="1"/>
  <c r="S12" i="136"/>
  <c r="R12" i="136"/>
  <c r="Q12" i="136"/>
  <c r="P12" i="136"/>
  <c r="P44" i="136" s="1"/>
  <c r="O12" i="136"/>
  <c r="N12" i="136"/>
  <c r="M12" i="136"/>
  <c r="M44" i="136" s="1"/>
  <c r="L12" i="136"/>
  <c r="L44" i="136" s="1"/>
  <c r="L57" i="136" s="1"/>
  <c r="K12" i="136"/>
  <c r="J12" i="136"/>
  <c r="I12" i="136"/>
  <c r="H12" i="136"/>
  <c r="G12" i="136"/>
  <c r="G44" i="136" s="1"/>
  <c r="F12" i="136"/>
  <c r="F44" i="136" s="1"/>
  <c r="F50" i="136" s="1"/>
  <c r="F65" i="136" s="1"/>
  <c r="F68" i="136" s="1"/>
  <c r="E12" i="136"/>
  <c r="G6" i="136"/>
  <c r="G22" i="136" s="1"/>
  <c r="F6" i="136"/>
  <c r="F26" i="136" s="1"/>
  <c r="T23" i="90" l="1"/>
  <c r="T34" i="90" s="1"/>
  <c r="H23" i="135"/>
  <c r="H35" i="135" s="1"/>
  <c r="D23" i="135"/>
  <c r="D35" i="135" s="1"/>
  <c r="AA18" i="136"/>
  <c r="AA19" i="136" s="1"/>
  <c r="AA44" i="136"/>
  <c r="AI44" i="136"/>
  <c r="AI18" i="136"/>
  <c r="AI19" i="136" s="1"/>
  <c r="AQ18" i="136"/>
  <c r="AQ19" i="136" s="1"/>
  <c r="AQ44" i="136"/>
  <c r="BG18" i="136"/>
  <c r="BG19" i="136" s="1"/>
  <c r="BG44" i="136"/>
  <c r="AE45" i="136"/>
  <c r="AE58" i="136" s="1"/>
  <c r="AE18" i="136"/>
  <c r="AE19" i="136" s="1"/>
  <c r="BK18" i="136"/>
  <c r="BK19" i="136" s="1"/>
  <c r="BK45" i="136"/>
  <c r="BK58" i="136" s="1"/>
  <c r="AF66" i="136"/>
  <c r="AF70" i="136" s="1"/>
  <c r="T63" i="136"/>
  <c r="T66" i="136" s="1"/>
  <c r="T70" i="136" s="1"/>
  <c r="AM63" i="136"/>
  <c r="AM66" i="136" s="1"/>
  <c r="AM70" i="136" s="1"/>
  <c r="BF63" i="136"/>
  <c r="M66" i="136"/>
  <c r="M70" i="136" s="1"/>
  <c r="BL50" i="136"/>
  <c r="BL65" i="136" s="1"/>
  <c r="BL68" i="136" s="1"/>
  <c r="BL57" i="136"/>
  <c r="BL63" i="136" s="1"/>
  <c r="BL66" i="136" s="1"/>
  <c r="BL70" i="136" s="1"/>
  <c r="T50" i="136"/>
  <c r="T65" i="136" s="1"/>
  <c r="T68" i="136" s="1"/>
  <c r="BE66" i="136"/>
  <c r="BE70" i="136" s="1"/>
  <c r="AY57" i="136"/>
  <c r="AY63" i="136" s="1"/>
  <c r="AY50" i="136"/>
  <c r="AY65" i="136" s="1"/>
  <c r="AY68" i="136" s="1"/>
  <c r="S44" i="136"/>
  <c r="S18" i="136"/>
  <c r="S19" i="136" s="1"/>
  <c r="G45" i="136"/>
  <c r="G58" i="136" s="1"/>
  <c r="G18" i="136"/>
  <c r="G19" i="136" s="1"/>
  <c r="BH57" i="136"/>
  <c r="BH63" i="136" s="1"/>
  <c r="BH66" i="136" s="1"/>
  <c r="BH70" i="136" s="1"/>
  <c r="BH50" i="136"/>
  <c r="BH65" i="136" s="1"/>
  <c r="BH68" i="136" s="1"/>
  <c r="W18" i="136"/>
  <c r="W19" i="136" s="1"/>
  <c r="AM18" i="136"/>
  <c r="AM19" i="136" s="1"/>
  <c r="BK50" i="136"/>
  <c r="BK65" i="136" s="1"/>
  <c r="BK68" i="136" s="1"/>
  <c r="BK57" i="136"/>
  <c r="BK63" i="136" s="1"/>
  <c r="BK66" i="136" s="1"/>
  <c r="BK70" i="136" s="1"/>
  <c r="W50" i="136"/>
  <c r="W65" i="136" s="1"/>
  <c r="W68" i="136" s="1"/>
  <c r="W57" i="136"/>
  <c r="W63" i="136" s="1"/>
  <c r="H50" i="136"/>
  <c r="H65" i="136" s="1"/>
  <c r="H68" i="136" s="1"/>
  <c r="H57" i="136"/>
  <c r="H63" i="136" s="1"/>
  <c r="K18" i="136"/>
  <c r="K19" i="136" s="1"/>
  <c r="K44" i="136"/>
  <c r="AY66" i="136"/>
  <c r="AY70" i="136" s="1"/>
  <c r="BI66" i="136"/>
  <c r="BI70" i="136" s="1"/>
  <c r="G50" i="136"/>
  <c r="G65" i="136" s="1"/>
  <c r="G68" i="136" s="1"/>
  <c r="G57" i="136"/>
  <c r="G63" i="136" s="1"/>
  <c r="G66" i="136" s="1"/>
  <c r="G70" i="136" s="1"/>
  <c r="AE57" i="136"/>
  <c r="AE63" i="136" s="1"/>
  <c r="AE50" i="136"/>
  <c r="AE65" i="136" s="1"/>
  <c r="AE68" i="136" s="1"/>
  <c r="BC18" i="136"/>
  <c r="BC19" i="136" s="1"/>
  <c r="AF57" i="136"/>
  <c r="AF63" i="136" s="1"/>
  <c r="AF50" i="136"/>
  <c r="AF65" i="136" s="1"/>
  <c r="AF68" i="136" s="1"/>
  <c r="L63" i="136"/>
  <c r="L66" i="136" s="1"/>
  <c r="L70" i="136" s="1"/>
  <c r="U50" i="136"/>
  <c r="U65" i="136" s="1"/>
  <c r="U68" i="136" s="1"/>
  <c r="U57" i="136"/>
  <c r="U63" i="136" s="1"/>
  <c r="P63" i="136"/>
  <c r="V50" i="136"/>
  <c r="V65" i="136" s="1"/>
  <c r="V68" i="136" s="1"/>
  <c r="V57" i="136"/>
  <c r="V63" i="136" s="1"/>
  <c r="V66" i="136" s="1"/>
  <c r="V70" i="136" s="1"/>
  <c r="AT44" i="136"/>
  <c r="AT18" i="136"/>
  <c r="AT19" i="136" s="1"/>
  <c r="BJ57" i="136"/>
  <c r="BJ63" i="136" s="1"/>
  <c r="BJ66" i="136" s="1"/>
  <c r="BJ70" i="136" s="1"/>
  <c r="BJ50" i="136"/>
  <c r="BJ65" i="136" s="1"/>
  <c r="BJ68" i="136" s="1"/>
  <c r="Z58" i="136"/>
  <c r="Z63" i="136" s="1"/>
  <c r="Z50" i="136"/>
  <c r="Z65" i="136" s="1"/>
  <c r="Z68" i="136" s="1"/>
  <c r="O18" i="136"/>
  <c r="O19" i="136" s="1"/>
  <c r="O44" i="136"/>
  <c r="V18" i="136"/>
  <c r="V19" i="136" s="1"/>
  <c r="Q57" i="136"/>
  <c r="Q63" i="136" s="1"/>
  <c r="Q50" i="136"/>
  <c r="Q65" i="136" s="1"/>
  <c r="Q68" i="136" s="1"/>
  <c r="AB44" i="136"/>
  <c r="AV50" i="136"/>
  <c r="AV65" i="136" s="1"/>
  <c r="AV68" i="136" s="1"/>
  <c r="L50" i="136"/>
  <c r="L65" i="136" s="1"/>
  <c r="L68" i="136" s="1"/>
  <c r="F57" i="136"/>
  <c r="F63" i="136" s="1"/>
  <c r="F66" i="136" s="1"/>
  <c r="F70" i="136" s="1"/>
  <c r="AR63" i="136"/>
  <c r="AR66" i="136" s="1"/>
  <c r="AR70" i="136" s="1"/>
  <c r="I63" i="136"/>
  <c r="I66" i="136" s="1"/>
  <c r="I70" i="136" s="1"/>
  <c r="AZ44" i="136"/>
  <c r="AG66" i="136"/>
  <c r="AG70" i="136" s="1"/>
  <c r="M50" i="136"/>
  <c r="M65" i="136" s="1"/>
  <c r="M68" i="136" s="1"/>
  <c r="BI57" i="136"/>
  <c r="BI63" i="136" s="1"/>
  <c r="BI50" i="136"/>
  <c r="BI65" i="136" s="1"/>
  <c r="BI68" i="136" s="1"/>
  <c r="AN50" i="136"/>
  <c r="AN65" i="136" s="1"/>
  <c r="AN68" i="136" s="1"/>
  <c r="AN57" i="136"/>
  <c r="AN63" i="136" s="1"/>
  <c r="AN66" i="136" s="1"/>
  <c r="AN70" i="136" s="1"/>
  <c r="J66" i="136"/>
  <c r="J70" i="136" s="1"/>
  <c r="BA57" i="136"/>
  <c r="BA63" i="136" s="1"/>
  <c r="BA66" i="136" s="1"/>
  <c r="BA70" i="136" s="1"/>
  <c r="AL50" i="136"/>
  <c r="AL65" i="136" s="1"/>
  <c r="AL68" i="136" s="1"/>
  <c r="U18" i="136"/>
  <c r="U19" i="136" s="1"/>
  <c r="J50" i="136"/>
  <c r="J65" i="136" s="1"/>
  <c r="J68" i="136" s="1"/>
  <c r="AL18" i="136"/>
  <c r="AL19" i="136" s="1"/>
  <c r="BL18" i="136"/>
  <c r="BL19" i="136" s="1"/>
  <c r="AR50" i="136"/>
  <c r="AR65" i="136" s="1"/>
  <c r="AR68" i="136" s="1"/>
  <c r="X18" i="136"/>
  <c r="X19" i="136" s="1"/>
  <c r="X44" i="136"/>
  <c r="BD18" i="136"/>
  <c r="BD19" i="136" s="1"/>
  <c r="BD44" i="136"/>
  <c r="R57" i="136"/>
  <c r="R63" i="136" s="1"/>
  <c r="R50" i="136"/>
  <c r="R65" i="136" s="1"/>
  <c r="R68" i="136" s="1"/>
  <c r="I18" i="136"/>
  <c r="I19" i="136" s="1"/>
  <c r="Q18" i="136"/>
  <c r="Q19" i="136" s="1"/>
  <c r="Y18" i="136"/>
  <c r="Y19" i="136" s="1"/>
  <c r="AG18" i="136"/>
  <c r="AG19" i="136" s="1"/>
  <c r="AO18" i="136"/>
  <c r="AO19" i="136" s="1"/>
  <c r="L18" i="136"/>
  <c r="L19" i="136" s="1"/>
  <c r="BB18" i="136"/>
  <c r="BB19" i="136" s="1"/>
  <c r="G26" i="136"/>
  <c r="H66" i="136"/>
  <c r="H70" i="136" s="1"/>
  <c r="AW57" i="136"/>
  <c r="AW63" i="136" s="1"/>
  <c r="AW50" i="136"/>
  <c r="AW65" i="136" s="1"/>
  <c r="AW68" i="136" s="1"/>
  <c r="AG50" i="136"/>
  <c r="AG65" i="136" s="1"/>
  <c r="AG68" i="136" s="1"/>
  <c r="Z66" i="136"/>
  <c r="Z70" i="136" s="1"/>
  <c r="BC66" i="136"/>
  <c r="BC70" i="136" s="1"/>
  <c r="AS57" i="136"/>
  <c r="AS63" i="136" s="1"/>
  <c r="AS66" i="136" s="1"/>
  <c r="AS70" i="136" s="1"/>
  <c r="AJ44" i="136"/>
  <c r="AJ18" i="136"/>
  <c r="AJ19" i="136" s="1"/>
  <c r="AM50" i="136"/>
  <c r="AM65" i="136" s="1"/>
  <c r="AM68" i="136" s="1"/>
  <c r="BF66" i="136"/>
  <c r="BF70" i="136" s="1"/>
  <c r="E44" i="136"/>
  <c r="E18" i="136"/>
  <c r="E19" i="136" s="1"/>
  <c r="AC50" i="136"/>
  <c r="AC65" i="136" s="1"/>
  <c r="AC68" i="136" s="1"/>
  <c r="AK44" i="136"/>
  <c r="AK18" i="136"/>
  <c r="AK19" i="136" s="1"/>
  <c r="T18" i="136"/>
  <c r="T19" i="136" s="1"/>
  <c r="AV18" i="136"/>
  <c r="AV19" i="136" s="1"/>
  <c r="BC63" i="136"/>
  <c r="I50" i="136"/>
  <c r="I65" i="136" s="1"/>
  <c r="I68" i="136" s="1"/>
  <c r="N44" i="136"/>
  <c r="N18" i="136"/>
  <c r="N19" i="136" s="1"/>
  <c r="AD50" i="136"/>
  <c r="AD65" i="136" s="1"/>
  <c r="AD68" i="136" s="1"/>
  <c r="AD57" i="136"/>
  <c r="AD63" i="136" s="1"/>
  <c r="BB50" i="136"/>
  <c r="BB65" i="136" s="1"/>
  <c r="BB68" i="136" s="1"/>
  <c r="BB57" i="136"/>
  <c r="BB63" i="136" s="1"/>
  <c r="AO63" i="136"/>
  <c r="Y50" i="136"/>
  <c r="Y65" i="136" s="1"/>
  <c r="Y68" i="136" s="1"/>
  <c r="W66" i="136"/>
  <c r="W70" i="136" s="1"/>
  <c r="H6" i="136"/>
  <c r="AU18" i="136"/>
  <c r="AU19" i="136" s="1"/>
  <c r="AU44" i="136"/>
  <c r="H18" i="136"/>
  <c r="H19" i="136" s="1"/>
  <c r="AP63" i="136"/>
  <c r="AP66" i="136" s="1"/>
  <c r="AP70" i="136" s="1"/>
  <c r="AO66" i="136"/>
  <c r="AO70" i="136" s="1"/>
  <c r="AL57" i="136"/>
  <c r="AL63" i="136" s="1"/>
  <c r="AL66" i="136" s="1"/>
  <c r="AL70" i="136" s="1"/>
  <c r="P50" i="136"/>
  <c r="P65" i="136" s="1"/>
  <c r="P68" i="136" s="1"/>
  <c r="BA18" i="136"/>
  <c r="BA19" i="136" s="1"/>
  <c r="J18" i="136"/>
  <c r="J19" i="136" s="1"/>
  <c r="R18" i="136"/>
  <c r="R19" i="136" s="1"/>
  <c r="Z18" i="136"/>
  <c r="Z19" i="136" s="1"/>
  <c r="AH18" i="136"/>
  <c r="AH19" i="136" s="1"/>
  <c r="AP18" i="136"/>
  <c r="AP19" i="136" s="1"/>
  <c r="AX18" i="136"/>
  <c r="AX19" i="136" s="1"/>
  <c r="BF18" i="136"/>
  <c r="BF19" i="136" s="1"/>
  <c r="M18" i="136"/>
  <c r="M19" i="136" s="1"/>
  <c r="AC18" i="136"/>
  <c r="AC19" i="136" s="1"/>
  <c r="AX57" i="136"/>
  <c r="AX63" i="136" s="1"/>
  <c r="AX50" i="136"/>
  <c r="AX65" i="136" s="1"/>
  <c r="AX68" i="136" s="1"/>
  <c r="AH50" i="136"/>
  <c r="AH65" i="136" s="1"/>
  <c r="AH68" i="136" s="1"/>
  <c r="AE66" i="136"/>
  <c r="AE70" i="136" s="1"/>
  <c r="M57" i="136"/>
  <c r="M63" i="136" s="1"/>
  <c r="AD66" i="136"/>
  <c r="AD70" i="136" s="1"/>
  <c r="BB66" i="136"/>
  <c r="BB70" i="136" s="1"/>
  <c r="P66" i="136"/>
  <c r="P70" i="136" s="1"/>
  <c r="AV66" i="136"/>
  <c r="AV70" i="136" s="1"/>
  <c r="D23" i="133" l="1"/>
  <c r="E23" i="135"/>
  <c r="O50" i="136"/>
  <c r="O65" i="136" s="1"/>
  <c r="O68" i="136" s="1"/>
  <c r="O57" i="136"/>
  <c r="O63" i="136" s="1"/>
  <c r="O66" i="136" s="1"/>
  <c r="O70" i="136" s="1"/>
  <c r="BD57" i="136"/>
  <c r="BD63" i="136" s="1"/>
  <c r="BD50" i="136"/>
  <c r="BD65" i="136" s="1"/>
  <c r="BD68" i="136" s="1"/>
  <c r="X50" i="136"/>
  <c r="X65" i="136" s="1"/>
  <c r="X68" i="136" s="1"/>
  <c r="X57" i="136"/>
  <c r="X63" i="136" s="1"/>
  <c r="X66" i="136" s="1"/>
  <c r="X70" i="136" s="1"/>
  <c r="AI57" i="136"/>
  <c r="AI63" i="136" s="1"/>
  <c r="AI50" i="136"/>
  <c r="AI65" i="136" s="1"/>
  <c r="AI68" i="136" s="1"/>
  <c r="BG57" i="136"/>
  <c r="BG63" i="136" s="1"/>
  <c r="BG50" i="136"/>
  <c r="BG65" i="136" s="1"/>
  <c r="BG68" i="136" s="1"/>
  <c r="AH66" i="136"/>
  <c r="AH70" i="136" s="1"/>
  <c r="AZ57" i="136"/>
  <c r="AZ63" i="136" s="1"/>
  <c r="AZ50" i="136"/>
  <c r="AZ65" i="136" s="1"/>
  <c r="AZ68" i="136" s="1"/>
  <c r="AT50" i="136"/>
  <c r="AT65" i="136" s="1"/>
  <c r="AT68" i="136" s="1"/>
  <c r="AT57" i="136"/>
  <c r="AT63" i="136" s="1"/>
  <c r="AT66" i="136" s="1"/>
  <c r="AT70" i="136" s="1"/>
  <c r="K57" i="136"/>
  <c r="K63" i="136" s="1"/>
  <c r="K66" i="136" s="1"/>
  <c r="K70" i="136" s="1"/>
  <c r="K50" i="136"/>
  <c r="K65" i="136" s="1"/>
  <c r="K68" i="136" s="1"/>
  <c r="AQ57" i="136"/>
  <c r="AQ63" i="136" s="1"/>
  <c r="AQ50" i="136"/>
  <c r="AQ65" i="136" s="1"/>
  <c r="AQ68" i="136" s="1"/>
  <c r="U66" i="136"/>
  <c r="U70" i="136" s="1"/>
  <c r="H26" i="136"/>
  <c r="I6" i="136"/>
  <c r="H22" i="136"/>
  <c r="AW66" i="136"/>
  <c r="AW70" i="136" s="1"/>
  <c r="Y66" i="136"/>
  <c r="Y70" i="136" s="1"/>
  <c r="Q66" i="136"/>
  <c r="Q70" i="136" s="1"/>
  <c r="AA50" i="136"/>
  <c r="AA65" i="136" s="1"/>
  <c r="AA68" i="136" s="1"/>
  <c r="AA57" i="136"/>
  <c r="AA63" i="136" s="1"/>
  <c r="AA66" i="136" s="1"/>
  <c r="AA70" i="136" s="1"/>
  <c r="N50" i="136"/>
  <c r="N65" i="136" s="1"/>
  <c r="N68" i="136" s="1"/>
  <c r="N57" i="136"/>
  <c r="N63" i="136" s="1"/>
  <c r="N66" i="136" s="1"/>
  <c r="N70" i="136" s="1"/>
  <c r="AJ50" i="136"/>
  <c r="AJ65" i="136" s="1"/>
  <c r="AJ68" i="136" s="1"/>
  <c r="AJ57" i="136"/>
  <c r="AJ63" i="136" s="1"/>
  <c r="AJ66" i="136" s="1"/>
  <c r="AJ70" i="136" s="1"/>
  <c r="E50" i="136"/>
  <c r="E65" i="136" s="1"/>
  <c r="E68" i="136" s="1"/>
  <c r="E57" i="136"/>
  <c r="E63" i="136" s="1"/>
  <c r="E66" i="136" s="1"/>
  <c r="E70" i="136" s="1"/>
  <c r="R66" i="136"/>
  <c r="R70" i="136" s="1"/>
  <c r="AX66" i="136"/>
  <c r="AX70" i="136" s="1"/>
  <c r="AU50" i="136"/>
  <c r="AU65" i="136" s="1"/>
  <c r="AU68" i="136" s="1"/>
  <c r="AU57" i="136"/>
  <c r="AU63" i="136" s="1"/>
  <c r="AU66" i="136" s="1"/>
  <c r="AU70" i="136" s="1"/>
  <c r="AB50" i="136"/>
  <c r="AB65" i="136" s="1"/>
  <c r="AB68" i="136" s="1"/>
  <c r="AB57" i="136"/>
  <c r="AB63" i="136" s="1"/>
  <c r="AB66" i="136" s="1"/>
  <c r="AB70" i="136" s="1"/>
  <c r="AC66" i="136"/>
  <c r="AC70" i="136" s="1"/>
  <c r="S50" i="136"/>
  <c r="S65" i="136" s="1"/>
  <c r="S68" i="136" s="1"/>
  <c r="S57" i="136"/>
  <c r="S63" i="136" s="1"/>
  <c r="S66" i="136" s="1"/>
  <c r="S70" i="136" s="1"/>
  <c r="AK50" i="136"/>
  <c r="AK65" i="136" s="1"/>
  <c r="AK68" i="136" s="1"/>
  <c r="AK57" i="136"/>
  <c r="AK63" i="136" s="1"/>
  <c r="AK66" i="136" s="1"/>
  <c r="AK70" i="136" s="1"/>
  <c r="M23" i="133" l="1"/>
  <c r="U23" i="133"/>
  <c r="F23" i="135"/>
  <c r="E35" i="135"/>
  <c r="F35" i="135" s="1"/>
  <c r="S23" i="133"/>
  <c r="P23" i="133"/>
  <c r="D35" i="133"/>
  <c r="M35" i="133" s="1"/>
  <c r="J23" i="133"/>
  <c r="G23" i="133"/>
  <c r="I22" i="136"/>
  <c r="J6" i="136"/>
  <c r="I26" i="136"/>
  <c r="AQ66" i="136"/>
  <c r="AQ70" i="136" s="1"/>
  <c r="AI66" i="136"/>
  <c r="AI70" i="136" s="1"/>
  <c r="AZ66" i="136"/>
  <c r="AZ70" i="136" s="1"/>
  <c r="BD66" i="136"/>
  <c r="BD70" i="136" s="1"/>
  <c r="BG66" i="136"/>
  <c r="BG70" i="136" s="1"/>
  <c r="S35" i="133" l="1"/>
  <c r="P35" i="133"/>
  <c r="J35" i="133"/>
  <c r="G35" i="133"/>
  <c r="U35" i="133"/>
  <c r="I23" i="135"/>
  <c r="V23" i="133"/>
  <c r="W23" i="133" s="1"/>
  <c r="J22" i="136"/>
  <c r="K6" i="136"/>
  <c r="J26" i="136"/>
  <c r="V35" i="133" l="1"/>
  <c r="W35" i="133" s="1"/>
  <c r="J23" i="135"/>
  <c r="I35" i="135"/>
  <c r="L23" i="135"/>
  <c r="N23" i="135" s="1"/>
  <c r="K22" i="136"/>
  <c r="K26" i="136"/>
  <c r="L6" i="136"/>
  <c r="L35" i="135" l="1"/>
  <c r="N35" i="135" s="1"/>
  <c r="J35" i="135"/>
  <c r="L22" i="136"/>
  <c r="L26" i="136"/>
  <c r="M6" i="136"/>
  <c r="N6" i="136" l="1"/>
  <c r="M26" i="136"/>
  <c r="M22" i="136"/>
  <c r="N26" i="136" l="1"/>
  <c r="N22" i="136"/>
  <c r="O6" i="136"/>
  <c r="O26" i="136" l="1"/>
  <c r="P6" i="136"/>
  <c r="O22" i="136"/>
  <c r="P26" i="136" l="1"/>
  <c r="P22" i="136"/>
  <c r="Q6" i="136"/>
  <c r="Q22" i="136" l="1"/>
  <c r="R6" i="136"/>
  <c r="Q26" i="136"/>
  <c r="R22" i="136" l="1"/>
  <c r="R26" i="136"/>
  <c r="S6" i="136"/>
  <c r="T6" i="136" l="1"/>
  <c r="S26" i="136"/>
  <c r="S22" i="136"/>
  <c r="T26" i="136" l="1"/>
  <c r="T22" i="136"/>
  <c r="U6" i="136"/>
  <c r="V6" i="136" l="1"/>
  <c r="U26" i="136"/>
  <c r="U22" i="136"/>
  <c r="V26" i="136" l="1"/>
  <c r="V22" i="136"/>
  <c r="W6" i="136"/>
  <c r="W22" i="136" l="1"/>
  <c r="W26" i="136"/>
  <c r="X6" i="136"/>
  <c r="X26" i="136" l="1"/>
  <c r="Y6" i="136"/>
  <c r="X22" i="136"/>
  <c r="Y22" i="136" l="1"/>
  <c r="Y26" i="136"/>
  <c r="Z6" i="136"/>
  <c r="Z22" i="136" l="1"/>
  <c r="Z26" i="136"/>
  <c r="AA6" i="136"/>
  <c r="AA22" i="136" l="1"/>
  <c r="AB6" i="136"/>
  <c r="AA26" i="136"/>
  <c r="AC6" i="136" l="1"/>
  <c r="AB22" i="136"/>
  <c r="AB26" i="136"/>
  <c r="AD6" i="136" l="1"/>
  <c r="AC26" i="136"/>
  <c r="AC22" i="136"/>
  <c r="AD26" i="136" l="1"/>
  <c r="AD22" i="136"/>
  <c r="AE6" i="136"/>
  <c r="AE26" i="136" l="1"/>
  <c r="AF6" i="136"/>
  <c r="AE22" i="136"/>
  <c r="AF22" i="136" l="1"/>
  <c r="AF26" i="136"/>
  <c r="AG6" i="136"/>
  <c r="AG22" i="136" l="1"/>
  <c r="AG26" i="136"/>
  <c r="AH6" i="136"/>
  <c r="AH22" i="136" l="1"/>
  <c r="AH26" i="136"/>
  <c r="AI6" i="136"/>
  <c r="AI22" i="136" l="1"/>
  <c r="AI26" i="136"/>
  <c r="AJ6" i="136"/>
  <c r="AK6" i="136" l="1"/>
  <c r="AJ26" i="136"/>
  <c r="AJ22" i="136"/>
  <c r="AL6" i="136" l="1"/>
  <c r="AK26" i="136"/>
  <c r="AK22" i="136"/>
  <c r="AL26" i="136" l="1"/>
  <c r="AM6" i="136"/>
  <c r="AL22" i="136"/>
  <c r="AN6" i="136" l="1"/>
  <c r="AM26" i="136"/>
  <c r="AM22" i="136"/>
  <c r="AN26" i="136" l="1"/>
  <c r="AN22" i="136"/>
  <c r="AO6" i="136"/>
  <c r="AO22" i="136" l="1"/>
  <c r="AO26" i="136"/>
  <c r="AP6" i="136"/>
  <c r="AP22" i="136" l="1"/>
  <c r="AQ6" i="136"/>
  <c r="AP26" i="136"/>
  <c r="AQ22" i="136" l="1"/>
  <c r="AR6" i="136"/>
  <c r="AQ26" i="136"/>
  <c r="AS6" i="136" l="1"/>
  <c r="AR22" i="136"/>
  <c r="AR26" i="136"/>
  <c r="AT6" i="136" l="1"/>
  <c r="AS26" i="136"/>
  <c r="AS22" i="136"/>
  <c r="AT26" i="136" l="1"/>
  <c r="AT22" i="136"/>
  <c r="AU6" i="136"/>
  <c r="AU26" i="136" l="1"/>
  <c r="AV6" i="136"/>
  <c r="AU22" i="136"/>
  <c r="AV26" i="136" l="1"/>
  <c r="AW6" i="136"/>
  <c r="AV22" i="136"/>
  <c r="AW22" i="136" l="1"/>
  <c r="AX6" i="136"/>
  <c r="AW26" i="136"/>
  <c r="AX22" i="136" l="1"/>
  <c r="AX26" i="136"/>
  <c r="AY6" i="136"/>
  <c r="AY26" i="136" l="1"/>
  <c r="AY22" i="136"/>
  <c r="AZ6" i="136"/>
  <c r="BA6" i="136" l="1"/>
  <c r="AZ22" i="136"/>
  <c r="AZ26" i="136"/>
  <c r="BB6" i="136" l="1"/>
  <c r="BA26" i="136"/>
  <c r="BA22" i="136"/>
  <c r="BB26" i="136" l="1"/>
  <c r="BB22" i="136"/>
  <c r="BC6" i="136"/>
  <c r="BC22" i="136" l="1"/>
  <c r="BC26" i="136"/>
  <c r="BD6" i="136"/>
  <c r="BD26" i="136" l="1"/>
  <c r="BE6" i="136"/>
  <c r="BD22" i="136"/>
  <c r="BE22" i="136" l="1"/>
  <c r="BE26" i="136"/>
  <c r="BF6" i="136"/>
  <c r="BF22" i="136" l="1"/>
  <c r="BF26" i="136"/>
  <c r="BG6" i="136"/>
  <c r="BG26" i="136" l="1"/>
  <c r="BH6" i="136"/>
  <c r="BG22" i="136"/>
  <c r="BI6" i="136" l="1"/>
  <c r="BH22" i="136"/>
  <c r="BH26" i="136"/>
  <c r="BJ6" i="136" l="1"/>
  <c r="BI26" i="136"/>
  <c r="BI22" i="136"/>
  <c r="BJ26" i="136" l="1"/>
  <c r="BJ22" i="136"/>
  <c r="BK6" i="136"/>
  <c r="BK22" i="136" l="1"/>
  <c r="BL6" i="136"/>
  <c r="BK26" i="136"/>
  <c r="BL22" i="136" l="1"/>
  <c r="BL26" i="136"/>
  <c r="P41" i="10" l="1"/>
  <c r="E41" i="10"/>
  <c r="F41" i="10"/>
  <c r="G41" i="10"/>
  <c r="H41" i="10"/>
  <c r="I41" i="10"/>
  <c r="J41" i="10"/>
  <c r="K41" i="10"/>
  <c r="L41" i="10"/>
  <c r="M41" i="10"/>
  <c r="N41" i="10"/>
  <c r="O41" i="10"/>
  <c r="D41" i="10"/>
  <c r="D40" i="10"/>
  <c r="B39" i="135"/>
  <c r="B4" i="135"/>
  <c r="B2" i="135"/>
  <c r="F36" i="133"/>
  <c r="I36" i="133"/>
  <c r="F34" i="133"/>
  <c r="F33" i="133"/>
  <c r="F32" i="133"/>
  <c r="F30" i="133"/>
  <c r="P8" i="133"/>
  <c r="J8" i="133"/>
  <c r="G8" i="133"/>
  <c r="P7" i="133"/>
  <c r="J7" i="133"/>
  <c r="F29" i="133" l="1"/>
  <c r="F31" i="133"/>
  <c r="F25" i="133"/>
  <c r="O36" i="133"/>
  <c r="F37" i="133" l="1"/>
  <c r="B3" i="123" l="1"/>
  <c r="D21" i="100" l="1"/>
  <c r="M21" i="100" s="1"/>
  <c r="C8" i="131"/>
  <c r="P21" i="100" l="1"/>
  <c r="G21" i="100"/>
  <c r="J21" i="100"/>
  <c r="D30" i="100"/>
  <c r="M30" i="100" s="1"/>
  <c r="V30" i="100" l="1"/>
  <c r="J30" i="100"/>
  <c r="G30" i="100"/>
  <c r="P30" i="100"/>
  <c r="S30" i="100"/>
  <c r="C8" i="126"/>
  <c r="C9" i="125"/>
  <c r="C9" i="124"/>
  <c r="B96" i="130"/>
  <c r="C49" i="39"/>
  <c r="D49" i="39"/>
  <c r="E49" i="39"/>
  <c r="F49" i="39"/>
  <c r="G49" i="39"/>
  <c r="H49" i="39"/>
  <c r="I49" i="39"/>
  <c r="J49" i="39"/>
  <c r="K49" i="39"/>
  <c r="L49" i="39"/>
  <c r="M49" i="39"/>
  <c r="C50" i="39"/>
  <c r="D50" i="39"/>
  <c r="E50" i="39"/>
  <c r="F50" i="39"/>
  <c r="G50" i="39"/>
  <c r="H50" i="39"/>
  <c r="I50" i="39"/>
  <c r="J50" i="39"/>
  <c r="K50" i="39"/>
  <c r="L50" i="39"/>
  <c r="M50" i="39"/>
  <c r="C51" i="39"/>
  <c r="D51" i="39"/>
  <c r="E51" i="39"/>
  <c r="F51" i="39"/>
  <c r="G51" i="39"/>
  <c r="H51" i="39"/>
  <c r="I51" i="39"/>
  <c r="J51" i="39"/>
  <c r="K51" i="39"/>
  <c r="L51" i="39"/>
  <c r="M51" i="39"/>
  <c r="C52" i="39"/>
  <c r="D52" i="39"/>
  <c r="E52" i="39"/>
  <c r="F52" i="39"/>
  <c r="G52" i="39"/>
  <c r="H52" i="39"/>
  <c r="I52" i="39"/>
  <c r="J52" i="39"/>
  <c r="K52" i="39"/>
  <c r="L52" i="39"/>
  <c r="M52" i="39"/>
  <c r="C53" i="39"/>
  <c r="D53" i="39"/>
  <c r="E53" i="39"/>
  <c r="F53" i="39"/>
  <c r="G53" i="39"/>
  <c r="H53" i="39"/>
  <c r="I53" i="39"/>
  <c r="J53" i="39"/>
  <c r="K53" i="39"/>
  <c r="L53" i="39"/>
  <c r="M53" i="39"/>
  <c r="C54" i="39"/>
  <c r="D54" i="39"/>
  <c r="E54" i="39"/>
  <c r="F54" i="39"/>
  <c r="G54" i="39"/>
  <c r="H54" i="39"/>
  <c r="I54" i="39"/>
  <c r="J54" i="39"/>
  <c r="K54" i="39"/>
  <c r="L54" i="39"/>
  <c r="M54" i="39"/>
  <c r="B50" i="39"/>
  <c r="B51" i="39"/>
  <c r="B52" i="39"/>
  <c r="B53" i="39"/>
  <c r="B54" i="39"/>
  <c r="B49" i="39"/>
  <c r="C40" i="39"/>
  <c r="D40" i="39"/>
  <c r="E40" i="39"/>
  <c r="F40" i="39"/>
  <c r="G40" i="39"/>
  <c r="H40" i="39"/>
  <c r="I40" i="39"/>
  <c r="J40" i="39"/>
  <c r="K40" i="39"/>
  <c r="L40" i="39"/>
  <c r="M40" i="39"/>
  <c r="C41" i="39"/>
  <c r="D41" i="39"/>
  <c r="E41" i="39"/>
  <c r="F41" i="39"/>
  <c r="G41" i="39"/>
  <c r="H41" i="39"/>
  <c r="I41" i="39"/>
  <c r="J41" i="39"/>
  <c r="K41" i="39"/>
  <c r="L41" i="39"/>
  <c r="M41" i="39"/>
  <c r="C42" i="39"/>
  <c r="D42" i="39"/>
  <c r="E42" i="39"/>
  <c r="F42" i="39"/>
  <c r="G42" i="39"/>
  <c r="H42" i="39"/>
  <c r="I42" i="39"/>
  <c r="J42" i="39"/>
  <c r="K42" i="39"/>
  <c r="L42" i="39"/>
  <c r="M42" i="39"/>
  <c r="C43" i="39"/>
  <c r="D43" i="39"/>
  <c r="E43" i="39"/>
  <c r="F43" i="39"/>
  <c r="G43" i="39"/>
  <c r="H43" i="39"/>
  <c r="I43" i="39"/>
  <c r="J43" i="39"/>
  <c r="K43" i="39"/>
  <c r="L43" i="39"/>
  <c r="M43" i="39"/>
  <c r="C44" i="39"/>
  <c r="D44" i="39"/>
  <c r="E44" i="39"/>
  <c r="F44" i="39"/>
  <c r="G44" i="39"/>
  <c r="H44" i="39"/>
  <c r="I44" i="39"/>
  <c r="J44" i="39"/>
  <c r="K44" i="39"/>
  <c r="L44" i="39"/>
  <c r="M44" i="39"/>
  <c r="C45" i="39"/>
  <c r="D45" i="39"/>
  <c r="E45" i="39"/>
  <c r="F45" i="39"/>
  <c r="G45" i="39"/>
  <c r="H45" i="39"/>
  <c r="I45" i="39"/>
  <c r="J45" i="39"/>
  <c r="K45" i="39"/>
  <c r="L45" i="39"/>
  <c r="M45" i="39"/>
  <c r="B41" i="39"/>
  <c r="B42" i="39"/>
  <c r="B43" i="39"/>
  <c r="B44" i="39"/>
  <c r="B45" i="39"/>
  <c r="B40" i="39"/>
  <c r="C35" i="39"/>
  <c r="D35" i="39"/>
  <c r="E35" i="39"/>
  <c r="F35" i="39"/>
  <c r="G35" i="39"/>
  <c r="H35" i="39"/>
  <c r="I35" i="39"/>
  <c r="J35" i="39"/>
  <c r="K35" i="39"/>
  <c r="L35" i="39"/>
  <c r="M35" i="39"/>
  <c r="C36" i="39"/>
  <c r="D36" i="39"/>
  <c r="E36" i="39"/>
  <c r="F36" i="39"/>
  <c r="F37" i="39" s="1"/>
  <c r="G36" i="39"/>
  <c r="H36" i="39"/>
  <c r="I36" i="39"/>
  <c r="J36" i="39"/>
  <c r="J37" i="39" s="1"/>
  <c r="K36" i="39"/>
  <c r="L36" i="39"/>
  <c r="M36" i="39"/>
  <c r="B36" i="39"/>
  <c r="B35" i="39"/>
  <c r="C30" i="39"/>
  <c r="D30" i="39"/>
  <c r="E30" i="39"/>
  <c r="F30" i="39"/>
  <c r="G30" i="39"/>
  <c r="H30" i="39"/>
  <c r="I30" i="39"/>
  <c r="J30" i="39"/>
  <c r="K30" i="39"/>
  <c r="L30" i="39"/>
  <c r="M30" i="39"/>
  <c r="M32" i="39" s="1"/>
  <c r="C31" i="39"/>
  <c r="D31" i="39"/>
  <c r="E31" i="39"/>
  <c r="F31" i="39"/>
  <c r="G31" i="39"/>
  <c r="H31" i="39"/>
  <c r="I31" i="39"/>
  <c r="J31" i="39"/>
  <c r="K31" i="39"/>
  <c r="L31" i="39"/>
  <c r="M31" i="39"/>
  <c r="B31" i="39"/>
  <c r="B30" i="39"/>
  <c r="C24" i="39"/>
  <c r="D24" i="39"/>
  <c r="E24" i="39"/>
  <c r="F24" i="39"/>
  <c r="G24" i="39"/>
  <c r="H24" i="39"/>
  <c r="I24" i="39"/>
  <c r="J24" i="39"/>
  <c r="K24" i="39"/>
  <c r="L24" i="39"/>
  <c r="M24" i="39"/>
  <c r="C25" i="39"/>
  <c r="D25" i="39"/>
  <c r="E25" i="39"/>
  <c r="F25" i="39"/>
  <c r="G25" i="39"/>
  <c r="H25" i="39"/>
  <c r="I25" i="39"/>
  <c r="J25" i="39"/>
  <c r="K25" i="39"/>
  <c r="L25" i="39"/>
  <c r="M25" i="39"/>
  <c r="C26" i="39"/>
  <c r="D26" i="39"/>
  <c r="E26" i="39"/>
  <c r="F26" i="39"/>
  <c r="G26" i="39"/>
  <c r="H26" i="39"/>
  <c r="I26" i="39"/>
  <c r="J26" i="39"/>
  <c r="K26" i="39"/>
  <c r="L26" i="39"/>
  <c r="M26" i="39"/>
  <c r="B25" i="39"/>
  <c r="B26" i="39"/>
  <c r="B24" i="39"/>
  <c r="C18" i="39"/>
  <c r="D18" i="39"/>
  <c r="E18" i="39"/>
  <c r="F18" i="39"/>
  <c r="G18" i="39"/>
  <c r="H18" i="39"/>
  <c r="I18" i="39"/>
  <c r="J18" i="39"/>
  <c r="K18" i="39"/>
  <c r="L18" i="39"/>
  <c r="M18" i="39"/>
  <c r="C19" i="39"/>
  <c r="D19" i="39"/>
  <c r="E19" i="39"/>
  <c r="F19" i="39"/>
  <c r="G19" i="39"/>
  <c r="H19" i="39"/>
  <c r="I19" i="39"/>
  <c r="J19" i="39"/>
  <c r="K19" i="39"/>
  <c r="L19" i="39"/>
  <c r="M19" i="39"/>
  <c r="C20" i="39"/>
  <c r="D20" i="39"/>
  <c r="E20" i="39"/>
  <c r="F20" i="39"/>
  <c r="G20" i="39"/>
  <c r="H20" i="39"/>
  <c r="I20" i="39"/>
  <c r="J20" i="39"/>
  <c r="K20" i="39"/>
  <c r="L20" i="39"/>
  <c r="M20" i="39"/>
  <c r="B19" i="39"/>
  <c r="B20" i="39"/>
  <c r="B18" i="39"/>
  <c r="C12" i="39"/>
  <c r="D12" i="39"/>
  <c r="E12" i="39"/>
  <c r="F12" i="39"/>
  <c r="G12" i="39"/>
  <c r="H12" i="39"/>
  <c r="I12" i="39"/>
  <c r="J12" i="39"/>
  <c r="K12" i="39"/>
  <c r="L12" i="39"/>
  <c r="M12" i="39"/>
  <c r="C13" i="39"/>
  <c r="D13" i="39"/>
  <c r="E13" i="39"/>
  <c r="F13" i="39"/>
  <c r="G13" i="39"/>
  <c r="H13" i="39"/>
  <c r="I13" i="39"/>
  <c r="J13" i="39"/>
  <c r="K13" i="39"/>
  <c r="L13" i="39"/>
  <c r="M13" i="39"/>
  <c r="C14" i="39"/>
  <c r="D14" i="39"/>
  <c r="E14" i="39"/>
  <c r="F14" i="39"/>
  <c r="G14" i="39"/>
  <c r="H14" i="39"/>
  <c r="I14" i="39"/>
  <c r="J14" i="39"/>
  <c r="K14" i="39"/>
  <c r="L14" i="39"/>
  <c r="M14" i="39"/>
  <c r="B13" i="39"/>
  <c r="B14" i="39"/>
  <c r="B12" i="39"/>
  <c r="C6" i="39"/>
  <c r="D6" i="39"/>
  <c r="E6" i="39"/>
  <c r="F6" i="39"/>
  <c r="G6" i="39"/>
  <c r="H6" i="39"/>
  <c r="I6" i="39"/>
  <c r="J6" i="39"/>
  <c r="K6" i="39"/>
  <c r="L6" i="39"/>
  <c r="M6" i="39"/>
  <c r="C7" i="39"/>
  <c r="D7" i="39"/>
  <c r="E7" i="39"/>
  <c r="F7" i="39"/>
  <c r="G7" i="39"/>
  <c r="H7" i="39"/>
  <c r="I7" i="39"/>
  <c r="J7" i="39"/>
  <c r="K7" i="39"/>
  <c r="L7" i="39"/>
  <c r="M7" i="39"/>
  <c r="C8" i="39"/>
  <c r="D8" i="39"/>
  <c r="E8" i="39"/>
  <c r="F8" i="39"/>
  <c r="G8" i="39"/>
  <c r="H8" i="39"/>
  <c r="I8" i="39"/>
  <c r="J8" i="39"/>
  <c r="K8" i="39"/>
  <c r="L8" i="39"/>
  <c r="M8" i="39"/>
  <c r="B7" i="39"/>
  <c r="B8" i="39"/>
  <c r="N8" i="39" s="1"/>
  <c r="B6" i="39"/>
  <c r="C3" i="39"/>
  <c r="D3" i="39" s="1"/>
  <c r="E3" i="39" s="1"/>
  <c r="F3" i="39" s="1"/>
  <c r="G3" i="39" s="1"/>
  <c r="H3" i="39" s="1"/>
  <c r="I3" i="39" s="1"/>
  <c r="J3" i="39" s="1"/>
  <c r="K3" i="39" s="1"/>
  <c r="L3" i="39" s="1"/>
  <c r="M3" i="39" s="1"/>
  <c r="J124" i="130"/>
  <c r="I124" i="130"/>
  <c r="I126" i="130" s="1"/>
  <c r="G124" i="130"/>
  <c r="F124" i="130"/>
  <c r="F126" i="130" s="1"/>
  <c r="C124" i="130"/>
  <c r="B124" i="130"/>
  <c r="M124" i="130"/>
  <c r="M126" i="130" s="1"/>
  <c r="L124" i="130"/>
  <c r="K124" i="130"/>
  <c r="E124" i="130"/>
  <c r="E126" i="130" s="1"/>
  <c r="D124" i="130"/>
  <c r="N123" i="130"/>
  <c r="N122" i="130"/>
  <c r="N121" i="130"/>
  <c r="N120" i="130"/>
  <c r="N119" i="130"/>
  <c r="J114" i="130"/>
  <c r="I114" i="130"/>
  <c r="I116" i="130" s="1"/>
  <c r="H114" i="130"/>
  <c r="E114" i="130"/>
  <c r="E116" i="130" s="1"/>
  <c r="D114" i="130"/>
  <c r="B114" i="130"/>
  <c r="M114" i="130"/>
  <c r="M116" i="130" s="1"/>
  <c r="L114" i="130"/>
  <c r="K114" i="130"/>
  <c r="N113" i="130"/>
  <c r="N112" i="130"/>
  <c r="N111" i="130"/>
  <c r="N110" i="130"/>
  <c r="N109" i="130"/>
  <c r="J104" i="130"/>
  <c r="J106" i="130" s="1"/>
  <c r="I104" i="130"/>
  <c r="I106" i="130" s="1"/>
  <c r="F104" i="130"/>
  <c r="E104" i="130"/>
  <c r="E106" i="130" s="1"/>
  <c r="C104" i="130"/>
  <c r="B104" i="130"/>
  <c r="B106" i="130" s="1"/>
  <c r="M104" i="130"/>
  <c r="M106" i="130" s="1"/>
  <c r="L104" i="130"/>
  <c r="K104" i="130"/>
  <c r="G104" i="130"/>
  <c r="N103" i="130"/>
  <c r="N102" i="130"/>
  <c r="N101" i="130"/>
  <c r="N100" i="130"/>
  <c r="N99" i="130"/>
  <c r="J94" i="130"/>
  <c r="J96" i="130" s="1"/>
  <c r="I94" i="130"/>
  <c r="I96" i="130" s="1"/>
  <c r="F94" i="130"/>
  <c r="B94" i="130"/>
  <c r="M94" i="130"/>
  <c r="M96" i="130" s="1"/>
  <c r="L94" i="130"/>
  <c r="K94" i="130"/>
  <c r="K96" i="130" s="1"/>
  <c r="G94" i="130"/>
  <c r="E94" i="130"/>
  <c r="E96" i="130" s="1"/>
  <c r="C94" i="130"/>
  <c r="C96" i="130" s="1"/>
  <c r="N93" i="130"/>
  <c r="N92" i="130"/>
  <c r="N91" i="130"/>
  <c r="N90" i="130"/>
  <c r="N89" i="130"/>
  <c r="J84" i="130"/>
  <c r="J86" i="130" s="1"/>
  <c r="I84" i="130"/>
  <c r="I86" i="130" s="1"/>
  <c r="H84" i="130"/>
  <c r="G84" i="130"/>
  <c r="F84" i="130"/>
  <c r="F86" i="130" s="1"/>
  <c r="E84" i="130"/>
  <c r="E86" i="130" s="1"/>
  <c r="D84" i="130"/>
  <c r="M84" i="130"/>
  <c r="M86" i="130" s="1"/>
  <c r="L84" i="130"/>
  <c r="K84" i="130"/>
  <c r="K86" i="130" s="1"/>
  <c r="C84" i="130"/>
  <c r="N83" i="130"/>
  <c r="I78" i="130"/>
  <c r="I80" i="130" s="1"/>
  <c r="G78" i="130"/>
  <c r="F78" i="130"/>
  <c r="F80" i="130" s="1"/>
  <c r="E78" i="130"/>
  <c r="E80" i="130" s="1"/>
  <c r="D78" i="130"/>
  <c r="B78" i="130"/>
  <c r="B80" i="130" s="1"/>
  <c r="M78" i="130"/>
  <c r="M80" i="130" s="1"/>
  <c r="L78" i="130"/>
  <c r="K78" i="130"/>
  <c r="N77" i="130"/>
  <c r="J72" i="130"/>
  <c r="J74" i="130" s="1"/>
  <c r="I72" i="130"/>
  <c r="I74" i="130" s="1"/>
  <c r="F72" i="130"/>
  <c r="C72" i="130"/>
  <c r="B72" i="130"/>
  <c r="B74" i="130" s="1"/>
  <c r="M72" i="130"/>
  <c r="M74" i="130" s="1"/>
  <c r="L72" i="130"/>
  <c r="K72" i="130"/>
  <c r="E72" i="130"/>
  <c r="E74" i="130" s="1"/>
  <c r="N71" i="130"/>
  <c r="J66" i="130"/>
  <c r="J68" i="130" s="1"/>
  <c r="I66" i="130"/>
  <c r="I68" i="130" s="1"/>
  <c r="F66" i="130"/>
  <c r="B66" i="130"/>
  <c r="M66" i="130"/>
  <c r="M68" i="130" s="1"/>
  <c r="L66" i="130"/>
  <c r="K66" i="130"/>
  <c r="K68" i="130" s="1"/>
  <c r="E66" i="130"/>
  <c r="E68" i="130" s="1"/>
  <c r="C66" i="130"/>
  <c r="C68" i="130" s="1"/>
  <c r="N65" i="130"/>
  <c r="J60" i="130"/>
  <c r="J62" i="130" s="1"/>
  <c r="I60" i="130"/>
  <c r="I62" i="130" s="1"/>
  <c r="H60" i="130"/>
  <c r="G60" i="130"/>
  <c r="F60" i="130"/>
  <c r="F62" i="130" s="1"/>
  <c r="M60" i="130"/>
  <c r="M62" i="130" s="1"/>
  <c r="L60" i="130"/>
  <c r="K60" i="130"/>
  <c r="K62" i="130" s="1"/>
  <c r="E60" i="130"/>
  <c r="E62" i="130" s="1"/>
  <c r="D60" i="130"/>
  <c r="C60" i="130"/>
  <c r="N59" i="130"/>
  <c r="N58" i="130"/>
  <c r="I53" i="130"/>
  <c r="H53" i="130"/>
  <c r="H55" i="130" s="1"/>
  <c r="G53" i="130"/>
  <c r="G55" i="130" s="1"/>
  <c r="D53" i="130"/>
  <c r="C53" i="130"/>
  <c r="M53" i="130"/>
  <c r="L53" i="130"/>
  <c r="L55" i="130" s="1"/>
  <c r="J53" i="130"/>
  <c r="J55" i="130" s="1"/>
  <c r="F53" i="130"/>
  <c r="F55" i="130" s="1"/>
  <c r="E53" i="130"/>
  <c r="B53" i="130"/>
  <c r="B55" i="130" s="1"/>
  <c r="N52" i="130"/>
  <c r="N51" i="130"/>
  <c r="K46" i="130"/>
  <c r="J46" i="130"/>
  <c r="J48" i="130" s="1"/>
  <c r="G46" i="130"/>
  <c r="G48" i="130" s="1"/>
  <c r="C46" i="130"/>
  <c r="B46" i="130"/>
  <c r="B48" i="130" s="1"/>
  <c r="M46" i="130"/>
  <c r="L46" i="130"/>
  <c r="F46" i="130"/>
  <c r="F48" i="130" s="1"/>
  <c r="N45" i="130"/>
  <c r="N44" i="130"/>
  <c r="L39" i="130"/>
  <c r="L41" i="130" s="1"/>
  <c r="K39" i="130"/>
  <c r="K41" i="130" s="1"/>
  <c r="I39" i="130"/>
  <c r="H39" i="130"/>
  <c r="H41" i="130" s="1"/>
  <c r="D39" i="130"/>
  <c r="D41" i="130" s="1"/>
  <c r="C39" i="130"/>
  <c r="C41" i="130" s="1"/>
  <c r="J39" i="130"/>
  <c r="G39" i="130"/>
  <c r="G41" i="130" s="1"/>
  <c r="F39" i="130"/>
  <c r="N38" i="130"/>
  <c r="N37" i="130"/>
  <c r="M32" i="130"/>
  <c r="M34" i="130" s="1"/>
  <c r="L32" i="130"/>
  <c r="L34" i="130" s="1"/>
  <c r="K32" i="130"/>
  <c r="J32" i="130"/>
  <c r="I32" i="130"/>
  <c r="G32" i="130"/>
  <c r="E32" i="130"/>
  <c r="E34" i="130" s="1"/>
  <c r="H32" i="130"/>
  <c r="H34" i="130" s="1"/>
  <c r="D32" i="130"/>
  <c r="D34" i="130" s="1"/>
  <c r="C32" i="130"/>
  <c r="B32" i="130"/>
  <c r="N31" i="130"/>
  <c r="N30" i="130"/>
  <c r="J25" i="130"/>
  <c r="I25" i="130"/>
  <c r="I27" i="130" s="1"/>
  <c r="G25" i="130"/>
  <c r="F25" i="130"/>
  <c r="F27" i="130" s="1"/>
  <c r="E25" i="130"/>
  <c r="E27" i="130" s="1"/>
  <c r="C25" i="130"/>
  <c r="B25" i="130"/>
  <c r="M25" i="130"/>
  <c r="M27" i="130" s="1"/>
  <c r="L25" i="130"/>
  <c r="K25" i="130"/>
  <c r="N24" i="130"/>
  <c r="N23" i="130"/>
  <c r="K18" i="130"/>
  <c r="J18" i="130"/>
  <c r="J20" i="130" s="1"/>
  <c r="G18" i="130"/>
  <c r="F18" i="130"/>
  <c r="F20" i="130" s="1"/>
  <c r="C18" i="130"/>
  <c r="B18" i="130"/>
  <c r="B20" i="130" s="1"/>
  <c r="M18" i="130"/>
  <c r="L18" i="130"/>
  <c r="I18" i="130"/>
  <c r="E18" i="130"/>
  <c r="D18" i="130"/>
  <c r="N17" i="130"/>
  <c r="N16" i="130"/>
  <c r="D13" i="130"/>
  <c r="M129" i="130"/>
  <c r="L11" i="130"/>
  <c r="L13" i="130" s="1"/>
  <c r="K11" i="130"/>
  <c r="K13" i="130" s="1"/>
  <c r="J11" i="130"/>
  <c r="I129" i="130"/>
  <c r="H129" i="130"/>
  <c r="G129" i="130"/>
  <c r="F11" i="130"/>
  <c r="E129" i="130"/>
  <c r="D11" i="130"/>
  <c r="C129" i="130"/>
  <c r="B129" i="130"/>
  <c r="M11" i="130"/>
  <c r="I11" i="130"/>
  <c r="G11" i="130"/>
  <c r="G13" i="130" s="1"/>
  <c r="C11" i="130"/>
  <c r="C13" i="130" s="1"/>
  <c r="N10" i="130"/>
  <c r="N9" i="130"/>
  <c r="C7" i="130"/>
  <c r="D7" i="130" s="1"/>
  <c r="E7" i="130" s="1"/>
  <c r="F7" i="130" s="1"/>
  <c r="G7" i="130" s="1"/>
  <c r="H7" i="130" s="1"/>
  <c r="I7" i="130" s="1"/>
  <c r="J7" i="130" s="1"/>
  <c r="K7" i="130" s="1"/>
  <c r="L7" i="130" s="1"/>
  <c r="M7" i="130" s="1"/>
  <c r="L32" i="39" l="1"/>
  <c r="N7" i="39"/>
  <c r="M37" i="39"/>
  <c r="I37" i="39"/>
  <c r="H32" i="39"/>
  <c r="D32" i="39"/>
  <c r="N6" i="39"/>
  <c r="B15" i="39"/>
  <c r="B21" i="39"/>
  <c r="B27" i="39"/>
  <c r="M9" i="39"/>
  <c r="I9" i="39"/>
  <c r="E9" i="39"/>
  <c r="J21" i="39"/>
  <c r="F21" i="39"/>
  <c r="M21" i="39"/>
  <c r="I21" i="39"/>
  <c r="E21" i="39"/>
  <c r="M27" i="39"/>
  <c r="I27" i="39"/>
  <c r="E27" i="39"/>
  <c r="I32" i="39"/>
  <c r="E32" i="39"/>
  <c r="J46" i="39"/>
  <c r="F46" i="39"/>
  <c r="M46" i="39"/>
  <c r="I46" i="39"/>
  <c r="E46" i="39"/>
  <c r="M55" i="39"/>
  <c r="I55" i="39"/>
  <c r="E55" i="39"/>
  <c r="L9" i="39"/>
  <c r="H9" i="39"/>
  <c r="D9" i="39"/>
  <c r="M15" i="39"/>
  <c r="I15" i="39"/>
  <c r="E15" i="39"/>
  <c r="L15" i="39"/>
  <c r="H15" i="39"/>
  <c r="D15" i="39"/>
  <c r="L21" i="39"/>
  <c r="H21" i="39"/>
  <c r="D21" i="39"/>
  <c r="L27" i="39"/>
  <c r="H27" i="39"/>
  <c r="D27" i="39"/>
  <c r="E37" i="39"/>
  <c r="L37" i="39"/>
  <c r="H37" i="39"/>
  <c r="D37" i="39"/>
  <c r="L46" i="39"/>
  <c r="H46" i="39"/>
  <c r="D46" i="39"/>
  <c r="L55" i="39"/>
  <c r="H55" i="39"/>
  <c r="D55" i="39"/>
  <c r="K9" i="39"/>
  <c r="G9" i="39"/>
  <c r="C9" i="39"/>
  <c r="K15" i="39"/>
  <c r="G15" i="39"/>
  <c r="C15" i="39"/>
  <c r="K21" i="39"/>
  <c r="G21" i="39"/>
  <c r="C21" i="39"/>
  <c r="K32" i="39"/>
  <c r="G32" i="39"/>
  <c r="C32" i="39"/>
  <c r="K37" i="39"/>
  <c r="G37" i="39"/>
  <c r="C37" i="39"/>
  <c r="K46" i="39"/>
  <c r="G46" i="39"/>
  <c r="C46" i="39"/>
  <c r="J9" i="39"/>
  <c r="F9" i="39"/>
  <c r="J15" i="39"/>
  <c r="F15" i="39"/>
  <c r="K27" i="39"/>
  <c r="G27" i="39"/>
  <c r="C27" i="39"/>
  <c r="J27" i="39"/>
  <c r="F27" i="39"/>
  <c r="B32" i="39"/>
  <c r="J32" i="39"/>
  <c r="F32" i="39"/>
  <c r="B37" i="39"/>
  <c r="B46" i="39"/>
  <c r="B55" i="39"/>
  <c r="K55" i="39"/>
  <c r="G55" i="39"/>
  <c r="C55" i="39"/>
  <c r="J55" i="39"/>
  <c r="F55" i="39"/>
  <c r="N9" i="39"/>
  <c r="B9" i="39"/>
  <c r="J129" i="130"/>
  <c r="F129" i="130"/>
  <c r="L129" i="130"/>
  <c r="D129" i="130"/>
  <c r="B11" i="130"/>
  <c r="K129" i="130"/>
  <c r="D25" i="130"/>
  <c r="D27" i="130" s="1"/>
  <c r="H25" i="130"/>
  <c r="H27" i="130" s="1"/>
  <c r="E46" i="130"/>
  <c r="E48" i="130" s="1"/>
  <c r="I46" i="130"/>
  <c r="I48" i="130" s="1"/>
  <c r="G72" i="130"/>
  <c r="G74" i="130" s="1"/>
  <c r="G68" i="130"/>
  <c r="F41" i="130"/>
  <c r="G106" i="130"/>
  <c r="D126" i="130"/>
  <c r="B39" i="130"/>
  <c r="B41" i="130" s="1"/>
  <c r="G66" i="130"/>
  <c r="K80" i="130"/>
  <c r="G96" i="130"/>
  <c r="H116" i="130"/>
  <c r="H124" i="130"/>
  <c r="H126" i="130" s="1"/>
  <c r="L27" i="130"/>
  <c r="I41" i="130"/>
  <c r="L48" i="130"/>
  <c r="C78" i="130"/>
  <c r="C80" i="130" s="1"/>
  <c r="F114" i="130"/>
  <c r="F116" i="130" s="1"/>
  <c r="H11" i="130"/>
  <c r="H13" i="130" s="1"/>
  <c r="C20" i="130"/>
  <c r="K20" i="130"/>
  <c r="E39" i="130"/>
  <c r="N39" i="130" s="1"/>
  <c r="N40" i="130" s="1"/>
  <c r="N41" i="130" s="1"/>
  <c r="J41" i="130"/>
  <c r="H46" i="130"/>
  <c r="H48" i="130" s="1"/>
  <c r="M48" i="130"/>
  <c r="C114" i="130"/>
  <c r="N114" i="130" s="1"/>
  <c r="N115" i="130" s="1"/>
  <c r="N116" i="130" s="1"/>
  <c r="G114" i="130"/>
  <c r="G116" i="130" s="1"/>
  <c r="K116" i="130"/>
  <c r="B116" i="130"/>
  <c r="L126" i="130"/>
  <c r="I13" i="130"/>
  <c r="M13" i="130"/>
  <c r="D20" i="130"/>
  <c r="L20" i="130"/>
  <c r="B34" i="130"/>
  <c r="J34" i="130"/>
  <c r="I34" i="130"/>
  <c r="D46" i="130"/>
  <c r="B60" i="130"/>
  <c r="N60" i="130" s="1"/>
  <c r="N61" i="130" s="1"/>
  <c r="N62" i="130" s="1"/>
  <c r="B62" i="130"/>
  <c r="D66" i="130"/>
  <c r="D68" i="130" s="1"/>
  <c r="L68" i="130"/>
  <c r="K74" i="130"/>
  <c r="C74" i="130"/>
  <c r="G80" i="130"/>
  <c r="B84" i="130"/>
  <c r="N84" i="130" s="1"/>
  <c r="N85" i="130" s="1"/>
  <c r="N86" i="130" s="1"/>
  <c r="D94" i="130"/>
  <c r="D96" i="130" s="1"/>
  <c r="L96" i="130"/>
  <c r="K106" i="130"/>
  <c r="C106" i="130"/>
  <c r="E11" i="130"/>
  <c r="H18" i="130"/>
  <c r="N18" i="130" s="1"/>
  <c r="N19" i="130" s="1"/>
  <c r="N20" i="130" s="1"/>
  <c r="E20" i="130"/>
  <c r="I20" i="130"/>
  <c r="M20" i="130"/>
  <c r="G20" i="130"/>
  <c r="C27" i="130"/>
  <c r="G27" i="130"/>
  <c r="K27" i="130"/>
  <c r="B27" i="130"/>
  <c r="J27" i="130"/>
  <c r="F32" i="130"/>
  <c r="N32" i="130" s="1"/>
  <c r="N33" i="130" s="1"/>
  <c r="N34" i="130" s="1"/>
  <c r="C34" i="130"/>
  <c r="G34" i="130"/>
  <c r="K34" i="130"/>
  <c r="M39" i="130"/>
  <c r="M41" i="130" s="1"/>
  <c r="C48" i="130"/>
  <c r="K48" i="130"/>
  <c r="K53" i="130"/>
  <c r="N53" i="130" s="1"/>
  <c r="N54" i="130" s="1"/>
  <c r="N55" i="130" s="1"/>
  <c r="C55" i="130"/>
  <c r="C62" i="130"/>
  <c r="H66" i="130"/>
  <c r="H68" i="130" s="1"/>
  <c r="D72" i="130"/>
  <c r="D74" i="130" s="1"/>
  <c r="H72" i="130"/>
  <c r="L74" i="130"/>
  <c r="J78" i="130"/>
  <c r="J80" i="130" s="1"/>
  <c r="C86" i="130"/>
  <c r="H94" i="130"/>
  <c r="H96" i="130" s="1"/>
  <c r="D104" i="130"/>
  <c r="H104" i="130"/>
  <c r="H106" i="130" s="1"/>
  <c r="L106" i="130"/>
  <c r="J116" i="130"/>
  <c r="D55" i="130"/>
  <c r="G62" i="130"/>
  <c r="F68" i="130"/>
  <c r="D80" i="130"/>
  <c r="L80" i="130"/>
  <c r="G86" i="130"/>
  <c r="F96" i="130"/>
  <c r="D116" i="130"/>
  <c r="L116" i="130"/>
  <c r="N124" i="130"/>
  <c r="N125" i="130" s="1"/>
  <c r="N126" i="130" s="1"/>
  <c r="B13" i="130"/>
  <c r="F13" i="130"/>
  <c r="J13" i="130"/>
  <c r="E55" i="130"/>
  <c r="I55" i="130"/>
  <c r="M55" i="130"/>
  <c r="D62" i="130"/>
  <c r="H62" i="130"/>
  <c r="L62" i="130"/>
  <c r="B68" i="130"/>
  <c r="F74" i="130"/>
  <c r="H78" i="130"/>
  <c r="H80" i="130" s="1"/>
  <c r="D86" i="130"/>
  <c r="H86" i="130"/>
  <c r="L86" i="130"/>
  <c r="F106" i="130"/>
  <c r="C126" i="130"/>
  <c r="G126" i="130"/>
  <c r="K126" i="130"/>
  <c r="B126" i="130"/>
  <c r="J126" i="130"/>
  <c r="F57" i="39" l="1"/>
  <c r="F58" i="39" s="1"/>
  <c r="J57" i="39"/>
  <c r="J58" i="39" s="1"/>
  <c r="B57" i="39"/>
  <c r="B58" i="39" s="1"/>
  <c r="G57" i="39"/>
  <c r="G58" i="39" s="1"/>
  <c r="D57" i="39"/>
  <c r="D58" i="39" s="1"/>
  <c r="K57" i="39"/>
  <c r="K58" i="39" s="1"/>
  <c r="H57" i="39"/>
  <c r="H58" i="39" s="1"/>
  <c r="E57" i="39"/>
  <c r="E58" i="39" s="1"/>
  <c r="L57" i="39"/>
  <c r="L58" i="39" s="1"/>
  <c r="I57" i="39"/>
  <c r="I58" i="39" s="1"/>
  <c r="C57" i="39"/>
  <c r="C58" i="39" s="1"/>
  <c r="M57" i="39"/>
  <c r="M58" i="39" s="1"/>
  <c r="N104" i="130"/>
  <c r="N105" i="130" s="1"/>
  <c r="N106" i="130" s="1"/>
  <c r="N72" i="130"/>
  <c r="N73" i="130" s="1"/>
  <c r="N74" i="130" s="1"/>
  <c r="N25" i="130"/>
  <c r="N26" i="130" s="1"/>
  <c r="N27" i="130" s="1"/>
  <c r="N66" i="130"/>
  <c r="N67" i="130" s="1"/>
  <c r="N68" i="130" s="1"/>
  <c r="C116" i="130"/>
  <c r="N11" i="130"/>
  <c r="N12" i="130" s="1"/>
  <c r="N46" i="130"/>
  <c r="N47" i="130" s="1"/>
  <c r="N48" i="130" s="1"/>
  <c r="F34" i="130"/>
  <c r="K55" i="130"/>
  <c r="H20" i="130"/>
  <c r="D48" i="130"/>
  <c r="D106" i="130"/>
  <c r="N94" i="130"/>
  <c r="N95" i="130" s="1"/>
  <c r="N96" i="130" s="1"/>
  <c r="H74" i="130"/>
  <c r="E13" i="130"/>
  <c r="N78" i="130"/>
  <c r="N79" i="130" s="1"/>
  <c r="N80" i="130" s="1"/>
  <c r="B86" i="130"/>
  <c r="E41" i="130"/>
  <c r="N129" i="130" l="1"/>
  <c r="N13" i="130"/>
  <c r="E24" i="90" l="1"/>
  <c r="E22" i="90"/>
  <c r="E21" i="90"/>
  <c r="E20" i="90"/>
  <c r="E19" i="90"/>
  <c r="E18" i="90"/>
  <c r="E17" i="90"/>
  <c r="E16" i="90"/>
  <c r="E15" i="90"/>
  <c r="E14" i="90"/>
  <c r="E13" i="90"/>
  <c r="E12" i="90"/>
  <c r="E11" i="90"/>
  <c r="D24" i="90"/>
  <c r="D22" i="90"/>
  <c r="D21" i="90"/>
  <c r="D20" i="90"/>
  <c r="D19" i="90"/>
  <c r="D18" i="90"/>
  <c r="D17" i="90"/>
  <c r="D16" i="90"/>
  <c r="D15" i="90"/>
  <c r="D14" i="90"/>
  <c r="D13" i="90"/>
  <c r="D12" i="90"/>
  <c r="D11" i="90"/>
  <c r="D16" i="100" l="1"/>
  <c r="M16" i="100" s="1"/>
  <c r="D12" i="100"/>
  <c r="M12" i="100" s="1"/>
  <c r="K168" i="129"/>
  <c r="L168" i="129" s="1"/>
  <c r="D150" i="129"/>
  <c r="F131" i="129"/>
  <c r="F130" i="129"/>
  <c r="F149" i="129" s="1"/>
  <c r="L125" i="129"/>
  <c r="I125" i="129"/>
  <c r="H115" i="129"/>
  <c r="H133" i="129" s="1"/>
  <c r="I133" i="129" s="1"/>
  <c r="F115" i="129"/>
  <c r="F114" i="129"/>
  <c r="F112" i="129"/>
  <c r="F111" i="129"/>
  <c r="F110" i="129"/>
  <c r="O110" i="129"/>
  <c r="I107" i="129"/>
  <c r="K107" i="129" s="1"/>
  <c r="L107" i="129" s="1"/>
  <c r="H106" i="129"/>
  <c r="H105" i="129"/>
  <c r="I104" i="129"/>
  <c r="F104" i="129"/>
  <c r="D96" i="129"/>
  <c r="D162" i="129" s="1"/>
  <c r="D95" i="129"/>
  <c r="D90" i="129"/>
  <c r="D88" i="129"/>
  <c r="F80" i="129"/>
  <c r="I76" i="129"/>
  <c r="K76" i="129" s="1"/>
  <c r="L76" i="129" s="1"/>
  <c r="F75" i="129"/>
  <c r="D89" i="129"/>
  <c r="H74" i="129"/>
  <c r="F74" i="129"/>
  <c r="D67" i="129"/>
  <c r="F65" i="129"/>
  <c r="D94" i="129"/>
  <c r="H61" i="129"/>
  <c r="I61" i="129" s="1"/>
  <c r="F61" i="129"/>
  <c r="F90" i="129" s="1"/>
  <c r="D61" i="129"/>
  <c r="H59" i="129"/>
  <c r="F59" i="129"/>
  <c r="F35" i="129"/>
  <c r="I30" i="129"/>
  <c r="K30" i="129" s="1"/>
  <c r="L30" i="129" s="1"/>
  <c r="F29" i="129"/>
  <c r="I28" i="129"/>
  <c r="H28" i="129"/>
  <c r="F20" i="129"/>
  <c r="H19" i="129"/>
  <c r="H34" i="129" s="1"/>
  <c r="I34" i="129" s="1"/>
  <c r="I15" i="129"/>
  <c r="I46" i="129" s="1"/>
  <c r="H14" i="129"/>
  <c r="H13" i="129"/>
  <c r="H29" i="129" s="1"/>
  <c r="I12" i="129"/>
  <c r="I43" i="129" s="1"/>
  <c r="F12" i="129"/>
  <c r="F65" i="128"/>
  <c r="H64" i="128"/>
  <c r="I64" i="128" s="1"/>
  <c r="H63" i="128"/>
  <c r="F60" i="128"/>
  <c r="F76" i="128" s="1"/>
  <c r="I60" i="128"/>
  <c r="K60" i="128" s="1"/>
  <c r="H58" i="128"/>
  <c r="F58" i="128"/>
  <c r="F74" i="128" s="1"/>
  <c r="H48" i="128"/>
  <c r="H65" i="128" s="1"/>
  <c r="I65" i="128" s="1"/>
  <c r="F48" i="128"/>
  <c r="H46" i="128"/>
  <c r="D79" i="128"/>
  <c r="I43" i="128"/>
  <c r="K43" i="128" s="1"/>
  <c r="L43" i="128" s="1"/>
  <c r="H43" i="128"/>
  <c r="H60" i="128" s="1"/>
  <c r="F43" i="128"/>
  <c r="H42" i="128"/>
  <c r="H59" i="128" s="1"/>
  <c r="D42" i="128"/>
  <c r="F42" i="128" s="1"/>
  <c r="I41" i="128"/>
  <c r="F41" i="128"/>
  <c r="F32" i="128"/>
  <c r="F23" i="128"/>
  <c r="I22" i="128"/>
  <c r="H22" i="128"/>
  <c r="F13" i="128"/>
  <c r="I12" i="128"/>
  <c r="F12" i="128"/>
  <c r="H28" i="127"/>
  <c r="I28" i="127"/>
  <c r="F21" i="127"/>
  <c r="H20" i="127"/>
  <c r="F20" i="127"/>
  <c r="F22" i="127" s="1"/>
  <c r="F24" i="127" s="1"/>
  <c r="I20" i="127"/>
  <c r="F13" i="127"/>
  <c r="F12" i="127"/>
  <c r="F14" i="127" s="1"/>
  <c r="I12" i="127"/>
  <c r="M13" i="100" l="1"/>
  <c r="N12" i="100"/>
  <c r="N13" i="100" s="1"/>
  <c r="V12" i="100"/>
  <c r="W12" i="100" s="1"/>
  <c r="W13" i="100" s="1"/>
  <c r="P12" i="100"/>
  <c r="J12" i="100"/>
  <c r="G12" i="100"/>
  <c r="S12" i="100"/>
  <c r="V16" i="100"/>
  <c r="P16" i="100"/>
  <c r="J16" i="100"/>
  <c r="G16" i="100"/>
  <c r="S16" i="100"/>
  <c r="K20" i="127"/>
  <c r="K12" i="127"/>
  <c r="I80" i="128"/>
  <c r="I32" i="127"/>
  <c r="H13" i="127" s="1"/>
  <c r="K76" i="128"/>
  <c r="L76" i="128" s="1"/>
  <c r="L60" i="128"/>
  <c r="K34" i="129"/>
  <c r="L34" i="129" s="1"/>
  <c r="F16" i="127"/>
  <c r="I81" i="128"/>
  <c r="K65" i="128"/>
  <c r="F51" i="129"/>
  <c r="K22" i="128"/>
  <c r="D66" i="128"/>
  <c r="D94" i="128" s="1"/>
  <c r="F64" i="128"/>
  <c r="F60" i="129"/>
  <c r="F89" i="129" s="1"/>
  <c r="H60" i="129"/>
  <c r="H75" i="129" s="1"/>
  <c r="F150" i="129"/>
  <c r="F28" i="127"/>
  <c r="F32" i="127" s="1"/>
  <c r="D37" i="127"/>
  <c r="K12" i="128"/>
  <c r="F31" i="128"/>
  <c r="I42" i="128"/>
  <c r="K42" i="128" s="1"/>
  <c r="L42" i="128" s="1"/>
  <c r="I13" i="129"/>
  <c r="K15" i="129"/>
  <c r="L15" i="129" s="1"/>
  <c r="F19" i="129"/>
  <c r="F50" i="129" s="1"/>
  <c r="H124" i="129"/>
  <c r="I105" i="129"/>
  <c r="D141" i="129"/>
  <c r="I123" i="129"/>
  <c r="F123" i="129"/>
  <c r="D147" i="129"/>
  <c r="F128" i="129"/>
  <c r="F147" i="129" s="1"/>
  <c r="D134" i="129"/>
  <c r="I31" i="128"/>
  <c r="I47" i="128"/>
  <c r="F47" i="128"/>
  <c r="I48" i="128"/>
  <c r="K48" i="128" s="1"/>
  <c r="L48" i="128" s="1"/>
  <c r="I76" i="128"/>
  <c r="D43" i="129"/>
  <c r="F28" i="129"/>
  <c r="F43" i="129"/>
  <c r="K41" i="128"/>
  <c r="D59" i="128"/>
  <c r="F81" i="128"/>
  <c r="D74" i="128"/>
  <c r="D75" i="128" s="1"/>
  <c r="D80" i="128"/>
  <c r="D82" i="128" s="1"/>
  <c r="D31" i="128"/>
  <c r="F22" i="128"/>
  <c r="F24" i="128" s="1"/>
  <c r="F26" i="128" s="1"/>
  <c r="K12" i="129"/>
  <c r="K28" i="129"/>
  <c r="F66" i="129"/>
  <c r="F95" i="129" s="1"/>
  <c r="D14" i="128"/>
  <c r="D32" i="128"/>
  <c r="D93" i="128" s="1"/>
  <c r="D95" i="128" s="1"/>
  <c r="D49" i="128"/>
  <c r="D50" i="128" s="1"/>
  <c r="I58" i="128"/>
  <c r="D81" i="128"/>
  <c r="D44" i="129"/>
  <c r="F13" i="129"/>
  <c r="F44" i="129" s="1"/>
  <c r="D21" i="129"/>
  <c r="D14" i="129" s="1"/>
  <c r="F18" i="129"/>
  <c r="I19" i="129"/>
  <c r="D49" i="129"/>
  <c r="D36" i="129"/>
  <c r="F33" i="129"/>
  <c r="K133" i="129"/>
  <c r="L133" i="129" s="1"/>
  <c r="D142" i="129"/>
  <c r="F124" i="129"/>
  <c r="I124" i="129"/>
  <c r="I59" i="129"/>
  <c r="K104" i="129"/>
  <c r="L104" i="129" s="1"/>
  <c r="F129" i="129"/>
  <c r="F148" i="129" s="1"/>
  <c r="D149" i="129"/>
  <c r="D76" i="128"/>
  <c r="H20" i="129"/>
  <c r="D50" i="129"/>
  <c r="F34" i="129"/>
  <c r="F91" i="129"/>
  <c r="I62" i="129"/>
  <c r="I74" i="129"/>
  <c r="I75" i="129"/>
  <c r="K75" i="129" s="1"/>
  <c r="L75" i="129" s="1"/>
  <c r="D81" i="129"/>
  <c r="F79" i="129"/>
  <c r="F94" i="129" s="1"/>
  <c r="F113" i="129"/>
  <c r="I115" i="129"/>
  <c r="I144" i="129"/>
  <c r="K144" i="129" s="1"/>
  <c r="L144" i="129" s="1"/>
  <c r="F46" i="129"/>
  <c r="K46" i="129" s="1"/>
  <c r="L46" i="129" s="1"/>
  <c r="I29" i="129"/>
  <c r="K29" i="129" s="1"/>
  <c r="L29" i="129" s="1"/>
  <c r="D51" i="129"/>
  <c r="F67" i="129"/>
  <c r="F88" i="129"/>
  <c r="I60" i="129"/>
  <c r="K61" i="129"/>
  <c r="L61" i="129" s="1"/>
  <c r="I90" i="129"/>
  <c r="K90" i="129" s="1"/>
  <c r="L90" i="129" s="1"/>
  <c r="F105" i="129"/>
  <c r="D116" i="129"/>
  <c r="D106" i="129" s="1"/>
  <c r="D151" i="129"/>
  <c r="F132" i="129"/>
  <c r="F151" i="129" s="1"/>
  <c r="D148" i="129"/>
  <c r="F144" i="129"/>
  <c r="F133" i="129"/>
  <c r="F152" i="129" s="1"/>
  <c r="D152" i="129"/>
  <c r="V13" i="100" l="1"/>
  <c r="G13" i="100"/>
  <c r="H12" i="100"/>
  <c r="H13" i="100" s="1"/>
  <c r="J13" i="100"/>
  <c r="K12" i="100"/>
  <c r="K13" i="100" s="1"/>
  <c r="P13" i="100"/>
  <c r="Q12" i="100"/>
  <c r="Q13" i="100" s="1"/>
  <c r="S13" i="100"/>
  <c r="T12" i="100"/>
  <c r="T13" i="100" s="1"/>
  <c r="H21" i="127"/>
  <c r="I21" i="127" s="1"/>
  <c r="I13" i="127"/>
  <c r="D167" i="129"/>
  <c r="D169" i="129" s="1"/>
  <c r="F69" i="129"/>
  <c r="D52" i="129"/>
  <c r="D161" i="129" s="1"/>
  <c r="D164" i="129" s="1"/>
  <c r="I74" i="128"/>
  <c r="K58" i="128"/>
  <c r="I141" i="129"/>
  <c r="K123" i="129"/>
  <c r="L22" i="128"/>
  <c r="L65" i="128"/>
  <c r="K81" i="128"/>
  <c r="L81" i="128" s="1"/>
  <c r="K28" i="127"/>
  <c r="I106" i="129"/>
  <c r="F106" i="129"/>
  <c r="F143" i="129" s="1"/>
  <c r="H35" i="129"/>
  <c r="I35" i="129" s="1"/>
  <c r="K35" i="129" s="1"/>
  <c r="L35" i="129" s="1"/>
  <c r="I20" i="129"/>
  <c r="K124" i="129"/>
  <c r="L124" i="129" s="1"/>
  <c r="I142" i="129"/>
  <c r="D83" i="128"/>
  <c r="I50" i="128"/>
  <c r="F50" i="128"/>
  <c r="F83" i="128" s="1"/>
  <c r="F21" i="129"/>
  <c r="I89" i="129"/>
  <c r="K89" i="129" s="1"/>
  <c r="L89" i="129" s="1"/>
  <c r="K60" i="129"/>
  <c r="L60" i="129" s="1"/>
  <c r="K115" i="129"/>
  <c r="L115" i="129" s="1"/>
  <c r="I152" i="129"/>
  <c r="K152" i="129" s="1"/>
  <c r="L152" i="129" s="1"/>
  <c r="F142" i="129"/>
  <c r="I50" i="129"/>
  <c r="K50" i="129" s="1"/>
  <c r="L50" i="129" s="1"/>
  <c r="K19" i="129"/>
  <c r="L19" i="129" s="1"/>
  <c r="L12" i="129"/>
  <c r="F81" i="129"/>
  <c r="F83" i="129" s="1"/>
  <c r="F36" i="129"/>
  <c r="F38" i="129" s="1"/>
  <c r="K31" i="128"/>
  <c r="D153" i="129"/>
  <c r="D163" i="129" s="1"/>
  <c r="K105" i="129"/>
  <c r="L105" i="129" s="1"/>
  <c r="I44" i="129"/>
  <c r="K13" i="129"/>
  <c r="L13" i="129" s="1"/>
  <c r="L12" i="128"/>
  <c r="F80" i="128"/>
  <c r="L12" i="127"/>
  <c r="L20" i="127"/>
  <c r="K74" i="129"/>
  <c r="I14" i="129"/>
  <c r="D45" i="129"/>
  <c r="F14" i="129"/>
  <c r="F45" i="129" s="1"/>
  <c r="L41" i="128"/>
  <c r="F51" i="128"/>
  <c r="K62" i="129"/>
  <c r="L62" i="129" s="1"/>
  <c r="I91" i="129"/>
  <c r="K91" i="129" s="1"/>
  <c r="L91" i="129" s="1"/>
  <c r="F14" i="128"/>
  <c r="D33" i="128"/>
  <c r="I14" i="128"/>
  <c r="L28" i="129"/>
  <c r="K47" i="128"/>
  <c r="L47" i="128" s="1"/>
  <c r="F116" i="129"/>
  <c r="I88" i="129"/>
  <c r="K59" i="129"/>
  <c r="F96" i="129"/>
  <c r="F98" i="129" s="1"/>
  <c r="F49" i="129"/>
  <c r="F52" i="129" s="1"/>
  <c r="F54" i="129" s="1"/>
  <c r="F59" i="128"/>
  <c r="I59" i="128"/>
  <c r="F141" i="129"/>
  <c r="F134" i="129"/>
  <c r="F136" i="129" s="1"/>
  <c r="K43" i="129"/>
  <c r="F37" i="127"/>
  <c r="F39" i="127" s="1"/>
  <c r="K64" i="128"/>
  <c r="F33" i="128" l="1"/>
  <c r="F34" i="128" s="1"/>
  <c r="F36" i="128" s="1"/>
  <c r="F15" i="128"/>
  <c r="F94" i="128"/>
  <c r="F53" i="128"/>
  <c r="F153" i="129"/>
  <c r="F155" i="129" s="1"/>
  <c r="I45" i="129"/>
  <c r="K45" i="129" s="1"/>
  <c r="L45" i="129" s="1"/>
  <c r="K14" i="129"/>
  <c r="L14" i="129" s="1"/>
  <c r="H18" i="129"/>
  <c r="F161" i="129"/>
  <c r="F23" i="129"/>
  <c r="L123" i="129"/>
  <c r="K51" i="128"/>
  <c r="I143" i="129"/>
  <c r="K143" i="129" s="1"/>
  <c r="L143" i="129" s="1"/>
  <c r="K106" i="129"/>
  <c r="L106" i="129" s="1"/>
  <c r="K141" i="129"/>
  <c r="O109" i="129"/>
  <c r="K13" i="127"/>
  <c r="I14" i="127"/>
  <c r="K88" i="129"/>
  <c r="O65" i="129"/>
  <c r="L31" i="128"/>
  <c r="K74" i="128"/>
  <c r="L58" i="128"/>
  <c r="K67" i="128"/>
  <c r="K80" i="128"/>
  <c r="L80" i="128" s="1"/>
  <c r="L64" i="128"/>
  <c r="F163" i="129"/>
  <c r="F118" i="129"/>
  <c r="K44" i="129"/>
  <c r="L44" i="129" s="1"/>
  <c r="K142" i="129"/>
  <c r="L142" i="129" s="1"/>
  <c r="I75" i="128"/>
  <c r="I84" i="128" s="1"/>
  <c r="I86" i="128" s="1"/>
  <c r="O43" i="128" s="1"/>
  <c r="K59" i="128"/>
  <c r="L59" i="129"/>
  <c r="I33" i="128"/>
  <c r="K33" i="128" s="1"/>
  <c r="L33" i="128" s="1"/>
  <c r="K14" i="128"/>
  <c r="L14" i="128" s="1"/>
  <c r="H13" i="128"/>
  <c r="L43" i="129"/>
  <c r="F75" i="128"/>
  <c r="F84" i="128" s="1"/>
  <c r="F86" i="128" s="1"/>
  <c r="F67" i="128"/>
  <c r="F69" i="128" s="1"/>
  <c r="L74" i="129"/>
  <c r="K50" i="128"/>
  <c r="L50" i="128" s="1"/>
  <c r="I83" i="128"/>
  <c r="K83" i="128" s="1"/>
  <c r="L83" i="128" s="1"/>
  <c r="I51" i="128"/>
  <c r="I51" i="129"/>
  <c r="K51" i="129" s="1"/>
  <c r="L51" i="129" s="1"/>
  <c r="K20" i="129"/>
  <c r="L20" i="129" s="1"/>
  <c r="L28" i="127"/>
  <c r="K32" i="127"/>
  <c r="L32" i="127" s="1"/>
  <c r="I67" i="128"/>
  <c r="I69" i="128" s="1"/>
  <c r="F162" i="129"/>
  <c r="K21" i="127"/>
  <c r="I22" i="127"/>
  <c r="I24" i="127" s="1"/>
  <c r="K53" i="128" l="1"/>
  <c r="L53" i="128" s="1"/>
  <c r="L51" i="128"/>
  <c r="L13" i="127"/>
  <c r="K14" i="127"/>
  <c r="H23" i="128"/>
  <c r="I23" i="128" s="1"/>
  <c r="I13" i="128"/>
  <c r="H111" i="129"/>
  <c r="H114" i="129"/>
  <c r="H110" i="129"/>
  <c r="H112" i="129"/>
  <c r="H113" i="129"/>
  <c r="H33" i="129"/>
  <c r="I33" i="129" s="1"/>
  <c r="I18" i="129"/>
  <c r="F17" i="128"/>
  <c r="F93" i="128"/>
  <c r="F95" i="128" s="1"/>
  <c r="F97" i="128" s="1"/>
  <c r="L67" i="128"/>
  <c r="K69" i="128"/>
  <c r="L69" i="128" s="1"/>
  <c r="I37" i="127"/>
  <c r="I16" i="127"/>
  <c r="I94" i="128"/>
  <c r="K94" i="128" s="1"/>
  <c r="L94" i="128" s="1"/>
  <c r="I53" i="128"/>
  <c r="H65" i="129"/>
  <c r="H66" i="129"/>
  <c r="F164" i="129"/>
  <c r="F173" i="129" s="1"/>
  <c r="L21" i="127"/>
  <c r="K22" i="127"/>
  <c r="K84" i="128"/>
  <c r="L74" i="128"/>
  <c r="L88" i="129"/>
  <c r="L59" i="128"/>
  <c r="K75" i="128"/>
  <c r="L75" i="128" s="1"/>
  <c r="L141" i="129"/>
  <c r="F167" i="129"/>
  <c r="F169" i="129" s="1"/>
  <c r="F174" i="129" s="1"/>
  <c r="H80" i="129" l="1"/>
  <c r="I80" i="129" s="1"/>
  <c r="K80" i="129" s="1"/>
  <c r="L80" i="129" s="1"/>
  <c r="I66" i="129"/>
  <c r="H129" i="129"/>
  <c r="I129" i="129" s="1"/>
  <c r="I111" i="129"/>
  <c r="K111" i="129" s="1"/>
  <c r="L111" i="129" s="1"/>
  <c r="H79" i="129"/>
  <c r="I79" i="129" s="1"/>
  <c r="I65" i="129"/>
  <c r="H130" i="129"/>
  <c r="I130" i="129" s="1"/>
  <c r="I112" i="129"/>
  <c r="K112" i="129" s="1"/>
  <c r="L112" i="129" s="1"/>
  <c r="K18" i="129"/>
  <c r="I49" i="129"/>
  <c r="I21" i="129"/>
  <c r="H128" i="129"/>
  <c r="I128" i="129" s="1"/>
  <c r="I110" i="129"/>
  <c r="I32" i="128"/>
  <c r="K13" i="128"/>
  <c r="I15" i="128"/>
  <c r="L84" i="128"/>
  <c r="K86" i="128"/>
  <c r="L86" i="128" s="1"/>
  <c r="I113" i="129"/>
  <c r="K113" i="129" s="1"/>
  <c r="L113" i="129" s="1"/>
  <c r="H131" i="129"/>
  <c r="I131" i="129" s="1"/>
  <c r="K16" i="127"/>
  <c r="L16" i="127" s="1"/>
  <c r="L14" i="127"/>
  <c r="L22" i="127"/>
  <c r="K24" i="127"/>
  <c r="L24" i="127" s="1"/>
  <c r="K37" i="127"/>
  <c r="L37" i="127" s="1"/>
  <c r="N14" i="127"/>
  <c r="K33" i="129"/>
  <c r="I36" i="129"/>
  <c r="I38" i="129" s="1"/>
  <c r="H132" i="129"/>
  <c r="I132" i="129" s="1"/>
  <c r="I114" i="129"/>
  <c r="K114" i="129" s="1"/>
  <c r="L114" i="129" s="1"/>
  <c r="K23" i="128"/>
  <c r="I24" i="128"/>
  <c r="I26" i="128" s="1"/>
  <c r="L13" i="128" l="1"/>
  <c r="K15" i="128"/>
  <c r="I149" i="129"/>
  <c r="K149" i="129" s="1"/>
  <c r="L149" i="129" s="1"/>
  <c r="K130" i="129"/>
  <c r="L130" i="129" s="1"/>
  <c r="K32" i="128"/>
  <c r="I34" i="128"/>
  <c r="I36" i="128" s="1"/>
  <c r="K49" i="129"/>
  <c r="I52" i="129"/>
  <c r="I54" i="129" s="1"/>
  <c r="O14" i="129" s="1"/>
  <c r="K65" i="129"/>
  <c r="I94" i="129"/>
  <c r="I67" i="129"/>
  <c r="I95" i="129"/>
  <c r="K95" i="129" s="1"/>
  <c r="L95" i="129" s="1"/>
  <c r="K66" i="129"/>
  <c r="L66" i="129" s="1"/>
  <c r="L23" i="128"/>
  <c r="K24" i="128"/>
  <c r="L33" i="129"/>
  <c r="K36" i="129"/>
  <c r="I93" i="128"/>
  <c r="I17" i="128"/>
  <c r="K128" i="129"/>
  <c r="I147" i="129"/>
  <c r="I134" i="129"/>
  <c r="I136" i="129" s="1"/>
  <c r="I161" i="129"/>
  <c r="I23" i="129"/>
  <c r="I148" i="129"/>
  <c r="K148" i="129" s="1"/>
  <c r="L148" i="129" s="1"/>
  <c r="K129" i="129"/>
  <c r="L129" i="129" s="1"/>
  <c r="K132" i="129"/>
  <c r="L132" i="129" s="1"/>
  <c r="I151" i="129"/>
  <c r="K151" i="129" s="1"/>
  <c r="L151" i="129" s="1"/>
  <c r="K131" i="129"/>
  <c r="L131" i="129" s="1"/>
  <c r="I150" i="129"/>
  <c r="K150" i="129" s="1"/>
  <c r="L150" i="129" s="1"/>
  <c r="K110" i="129"/>
  <c r="L110" i="129" s="1"/>
  <c r="I116" i="129"/>
  <c r="L18" i="129"/>
  <c r="K21" i="129"/>
  <c r="K79" i="129"/>
  <c r="I81" i="129"/>
  <c r="I83" i="129" s="1"/>
  <c r="I118" i="129" l="1"/>
  <c r="I163" i="129"/>
  <c r="K163" i="129" s="1"/>
  <c r="L163" i="129" s="1"/>
  <c r="K116" i="129"/>
  <c r="L128" i="129"/>
  <c r="K134" i="129"/>
  <c r="L79" i="129"/>
  <c r="K81" i="129"/>
  <c r="K161" i="129"/>
  <c r="L24" i="128"/>
  <c r="L26" i="128"/>
  <c r="I162" i="129"/>
  <c r="K162" i="129" s="1"/>
  <c r="L162" i="129" s="1"/>
  <c r="I69" i="129"/>
  <c r="L49" i="129"/>
  <c r="K52" i="129"/>
  <c r="L21" i="129"/>
  <c r="K23" i="129"/>
  <c r="L23" i="129" s="1"/>
  <c r="K93" i="128"/>
  <c r="I95" i="128"/>
  <c r="K94" i="129"/>
  <c r="I96" i="129"/>
  <c r="I98" i="129" s="1"/>
  <c r="O61" i="129" s="1"/>
  <c r="O14" i="128"/>
  <c r="K17" i="128"/>
  <c r="L17" i="128" s="1"/>
  <c r="L15" i="128"/>
  <c r="K147" i="129"/>
  <c r="I153" i="129"/>
  <c r="I155" i="129" s="1"/>
  <c r="O106" i="129" s="1"/>
  <c r="L36" i="129"/>
  <c r="K38" i="129"/>
  <c r="L38" i="129" s="1"/>
  <c r="L65" i="129"/>
  <c r="K67" i="129"/>
  <c r="L32" i="128"/>
  <c r="K34" i="128"/>
  <c r="L94" i="129" l="1"/>
  <c r="K96" i="129"/>
  <c r="I164" i="129"/>
  <c r="I167" i="129"/>
  <c r="K54" i="129"/>
  <c r="L54" i="129" s="1"/>
  <c r="L52" i="129"/>
  <c r="K118" i="129"/>
  <c r="L118" i="129" s="1"/>
  <c r="L116" i="129"/>
  <c r="L67" i="129"/>
  <c r="K69" i="129"/>
  <c r="L69" i="129" s="1"/>
  <c r="L81" i="129"/>
  <c r="K83" i="129"/>
  <c r="L83" i="129" s="1"/>
  <c r="L147" i="129"/>
  <c r="K153" i="129"/>
  <c r="K95" i="128"/>
  <c r="L95" i="128" s="1"/>
  <c r="L93" i="128"/>
  <c r="K36" i="128"/>
  <c r="L36" i="128" s="1"/>
  <c r="L34" i="128"/>
  <c r="K164" i="129"/>
  <c r="L164" i="129" s="1"/>
  <c r="L161" i="129"/>
  <c r="K136" i="129"/>
  <c r="L136" i="129" s="1"/>
  <c r="L134" i="129"/>
  <c r="I169" i="129" l="1"/>
  <c r="I174" i="129" s="1"/>
  <c r="K167" i="129"/>
  <c r="L153" i="129"/>
  <c r="K155" i="129"/>
  <c r="L155" i="129" s="1"/>
  <c r="L96" i="129"/>
  <c r="K98" i="129"/>
  <c r="L98" i="129" s="1"/>
  <c r="K169" i="129" l="1"/>
  <c r="L167" i="129"/>
  <c r="L169" i="129" l="1"/>
  <c r="K174" i="129"/>
  <c r="D24" i="100" l="1"/>
  <c r="M24" i="100" s="1"/>
  <c r="D17" i="100"/>
  <c r="M17" i="100" s="1"/>
  <c r="V17" i="100" l="1"/>
  <c r="S17" i="100"/>
  <c r="P17" i="100"/>
  <c r="G17" i="100"/>
  <c r="J17" i="100"/>
  <c r="V24" i="100"/>
  <c r="P24" i="100"/>
  <c r="J24" i="100"/>
  <c r="S24" i="100"/>
  <c r="G24" i="100"/>
  <c r="D23" i="100"/>
  <c r="M23" i="100" s="1"/>
  <c r="D22" i="100"/>
  <c r="M22" i="100" s="1"/>
  <c r="E7" i="90"/>
  <c r="S22" i="100" l="1"/>
  <c r="J22" i="100"/>
  <c r="G22" i="100"/>
  <c r="V23" i="100"/>
  <c r="J23" i="100"/>
  <c r="G23" i="100"/>
  <c r="P23" i="100"/>
  <c r="S23" i="100"/>
  <c r="S19" i="100"/>
  <c r="P19" i="100"/>
  <c r="G19" i="100"/>
  <c r="O40" i="123"/>
  <c r="N40" i="123"/>
  <c r="M40" i="123"/>
  <c r="L40" i="123"/>
  <c r="K40" i="123"/>
  <c r="J40" i="123"/>
  <c r="I40" i="123"/>
  <c r="H40" i="123"/>
  <c r="G40" i="123"/>
  <c r="F40" i="123"/>
  <c r="E40" i="123"/>
  <c r="D40" i="123"/>
  <c r="O39" i="123"/>
  <c r="N39" i="123"/>
  <c r="M39" i="123"/>
  <c r="L39" i="123"/>
  <c r="K39" i="123"/>
  <c r="J39" i="123"/>
  <c r="I39" i="123"/>
  <c r="H39" i="123"/>
  <c r="G39" i="123"/>
  <c r="F39" i="123"/>
  <c r="E39" i="123"/>
  <c r="D39" i="123"/>
  <c r="O38" i="123"/>
  <c r="N38" i="123"/>
  <c r="M38" i="123"/>
  <c r="L38" i="123"/>
  <c r="K38" i="123"/>
  <c r="J38" i="123"/>
  <c r="I38" i="123"/>
  <c r="H38" i="123"/>
  <c r="G38" i="123"/>
  <c r="F38" i="123"/>
  <c r="E38" i="123"/>
  <c r="D38" i="123"/>
  <c r="O37" i="123"/>
  <c r="N37" i="123"/>
  <c r="M37" i="123"/>
  <c r="L37" i="123"/>
  <c r="K37" i="123"/>
  <c r="J37" i="123"/>
  <c r="I37" i="123"/>
  <c r="H37" i="123"/>
  <c r="G37" i="123"/>
  <c r="F37" i="123"/>
  <c r="E37" i="123"/>
  <c r="D37" i="123"/>
  <c r="O36" i="123"/>
  <c r="N36" i="123"/>
  <c r="M36" i="123"/>
  <c r="L36" i="123"/>
  <c r="K36" i="123"/>
  <c r="J36" i="123"/>
  <c r="I36" i="123"/>
  <c r="H36" i="123"/>
  <c r="G36" i="123"/>
  <c r="F36" i="123"/>
  <c r="E36" i="123"/>
  <c r="D36" i="123"/>
  <c r="O35" i="123"/>
  <c r="N35" i="123"/>
  <c r="M35" i="123"/>
  <c r="L35" i="123"/>
  <c r="K35" i="123"/>
  <c r="J35" i="123"/>
  <c r="I35" i="123"/>
  <c r="H35" i="123"/>
  <c r="G35" i="123"/>
  <c r="F35" i="123"/>
  <c r="E35" i="123"/>
  <c r="D35" i="123"/>
  <c r="O34" i="123"/>
  <c r="N34" i="123"/>
  <c r="M34" i="123"/>
  <c r="L34" i="123"/>
  <c r="K34" i="123"/>
  <c r="J34" i="123"/>
  <c r="I34" i="123"/>
  <c r="H34" i="123"/>
  <c r="G34" i="123"/>
  <c r="F34" i="123"/>
  <c r="E34" i="123"/>
  <c r="D34" i="123"/>
  <c r="O29" i="123"/>
  <c r="N29" i="123"/>
  <c r="M29" i="123"/>
  <c r="L29" i="123"/>
  <c r="K29" i="123"/>
  <c r="J29" i="123"/>
  <c r="I29" i="123"/>
  <c r="H29" i="123"/>
  <c r="G29" i="123"/>
  <c r="F29" i="123"/>
  <c r="E29" i="123"/>
  <c r="D29" i="123"/>
  <c r="O26" i="123"/>
  <c r="N26" i="123"/>
  <c r="M26" i="123"/>
  <c r="L26" i="123"/>
  <c r="K26" i="123"/>
  <c r="J26" i="123"/>
  <c r="I26" i="123"/>
  <c r="H26" i="123"/>
  <c r="G26" i="123"/>
  <c r="F26" i="123"/>
  <c r="E26" i="123"/>
  <c r="D26" i="123"/>
  <c r="O25" i="123"/>
  <c r="N25" i="123"/>
  <c r="N27" i="123" s="1"/>
  <c r="N30" i="123" s="1"/>
  <c r="M25" i="123"/>
  <c r="M27" i="123" s="1"/>
  <c r="M30" i="123" s="1"/>
  <c r="L25" i="123"/>
  <c r="L27" i="123" s="1"/>
  <c r="K25" i="123"/>
  <c r="J25" i="123"/>
  <c r="I25" i="123"/>
  <c r="H25" i="123"/>
  <c r="G25" i="123"/>
  <c r="F25" i="123"/>
  <c r="F27" i="123" s="1"/>
  <c r="F30" i="123" s="1"/>
  <c r="E25" i="123"/>
  <c r="E27" i="123" s="1"/>
  <c r="E30" i="123" s="1"/>
  <c r="D25" i="123"/>
  <c r="O23" i="123"/>
  <c r="N23" i="123"/>
  <c r="M23" i="123"/>
  <c r="L23" i="123"/>
  <c r="K23" i="123"/>
  <c r="J23" i="123"/>
  <c r="J41" i="123" s="1"/>
  <c r="I23" i="123"/>
  <c r="H23" i="123"/>
  <c r="G23" i="123"/>
  <c r="F23" i="123"/>
  <c r="E23" i="123"/>
  <c r="D23" i="123"/>
  <c r="P22" i="123"/>
  <c r="P40" i="123" s="1"/>
  <c r="P21" i="123"/>
  <c r="P20" i="123"/>
  <c r="D46" i="48" s="1"/>
  <c r="P19" i="123"/>
  <c r="P18" i="123"/>
  <c r="D30" i="48" s="1"/>
  <c r="P17" i="123"/>
  <c r="P16" i="123"/>
  <c r="D35" i="60" s="1"/>
  <c r="P15" i="123"/>
  <c r="P14" i="123"/>
  <c r="P13" i="123"/>
  <c r="P12" i="123"/>
  <c r="P11" i="123"/>
  <c r="P10" i="123"/>
  <c r="P9" i="123"/>
  <c r="E7" i="123"/>
  <c r="F7" i="123" s="1"/>
  <c r="G7" i="123" s="1"/>
  <c r="H7" i="123" s="1"/>
  <c r="I7" i="123" s="1"/>
  <c r="J7" i="123" s="1"/>
  <c r="K7" i="123" s="1"/>
  <c r="L7" i="123" s="1"/>
  <c r="M7" i="123" s="1"/>
  <c r="N7" i="123" s="1"/>
  <c r="O7" i="123" s="1"/>
  <c r="L30" i="123" l="1"/>
  <c r="H27" i="123"/>
  <c r="H30" i="123" s="1"/>
  <c r="I27" i="123"/>
  <c r="I30" i="123" s="1"/>
  <c r="F41" i="123"/>
  <c r="N41" i="123"/>
  <c r="J27" i="123"/>
  <c r="J30" i="123" s="1"/>
  <c r="J31" i="123" s="1"/>
  <c r="E41" i="123"/>
  <c r="D30" i="60"/>
  <c r="D38" i="48"/>
  <c r="P23" i="123"/>
  <c r="P36" i="123"/>
  <c r="D21" i="48"/>
  <c r="D20" i="60"/>
  <c r="P37" i="123"/>
  <c r="D25" i="60"/>
  <c r="G27" i="123"/>
  <c r="G30" i="123" s="1"/>
  <c r="G31" i="123" s="1"/>
  <c r="K27" i="123"/>
  <c r="K30" i="123" s="1"/>
  <c r="K31" i="123" s="1"/>
  <c r="O27" i="123"/>
  <c r="O30" i="123" s="1"/>
  <c r="O31" i="123" s="1"/>
  <c r="P29" i="123"/>
  <c r="D41" i="123"/>
  <c r="H41" i="123"/>
  <c r="L41" i="123"/>
  <c r="G41" i="123"/>
  <c r="K41" i="123"/>
  <c r="O41" i="123"/>
  <c r="P38" i="123"/>
  <c r="P25" i="123"/>
  <c r="H31" i="123"/>
  <c r="L31" i="123"/>
  <c r="P26" i="123"/>
  <c r="P35" i="123"/>
  <c r="P39" i="123"/>
  <c r="I41" i="123"/>
  <c r="M41" i="123"/>
  <c r="D27" i="123"/>
  <c r="D30" i="123" s="1"/>
  <c r="D31" i="123" s="1"/>
  <c r="E31" i="123"/>
  <c r="I31" i="123"/>
  <c r="M31" i="123"/>
  <c r="P34" i="123"/>
  <c r="F31" i="123"/>
  <c r="N31" i="123"/>
  <c r="P27" i="123" l="1"/>
  <c r="P30" i="123" s="1"/>
  <c r="P31" i="123" s="1"/>
  <c r="P41" i="123"/>
  <c r="B4" i="100" l="1"/>
  <c r="B2" i="100"/>
  <c r="P10" i="10" l="1"/>
  <c r="S31" i="90" l="1"/>
  <c r="S33" i="90"/>
  <c r="I35" i="90"/>
  <c r="J35" i="90"/>
  <c r="K35" i="90"/>
  <c r="L35" i="90"/>
  <c r="S35" i="90"/>
  <c r="D28" i="100" l="1"/>
  <c r="M28" i="100" s="1"/>
  <c r="N28" i="100" s="1"/>
  <c r="D25" i="100"/>
  <c r="M25" i="100" s="1"/>
  <c r="D18" i="100"/>
  <c r="M18" i="100" s="1"/>
  <c r="M26" i="100" s="1"/>
  <c r="M39" i="100" l="1"/>
  <c r="N26" i="100"/>
  <c r="V18" i="100"/>
  <c r="J18" i="100"/>
  <c r="G18" i="100"/>
  <c r="P18" i="100"/>
  <c r="P26" i="100" s="1"/>
  <c r="S18" i="100"/>
  <c r="V25" i="100"/>
  <c r="S25" i="100"/>
  <c r="G25" i="100"/>
  <c r="J25" i="100"/>
  <c r="P25" i="100"/>
  <c r="V28" i="100"/>
  <c r="W28" i="100" s="1"/>
  <c r="J28" i="100"/>
  <c r="K28" i="100" s="1"/>
  <c r="G28" i="100"/>
  <c r="H28" i="100" s="1"/>
  <c r="P28" i="100"/>
  <c r="Q28" i="100" s="1"/>
  <c r="S28" i="100"/>
  <c r="T28" i="100" s="1"/>
  <c r="D26" i="100"/>
  <c r="E26" i="100" s="1"/>
  <c r="E28" i="100"/>
  <c r="D13" i="100"/>
  <c r="E12" i="100"/>
  <c r="J26" i="100" l="1"/>
  <c r="Q26" i="100"/>
  <c r="P39" i="100"/>
  <c r="G26" i="100"/>
  <c r="J39" i="100"/>
  <c r="K26" i="100"/>
  <c r="S26" i="100"/>
  <c r="V26" i="100"/>
  <c r="D39" i="100"/>
  <c r="E13" i="100"/>
  <c r="H26" i="100" l="1"/>
  <c r="G39" i="100"/>
  <c r="T26" i="100"/>
  <c r="S39" i="100"/>
  <c r="W26" i="100"/>
  <c r="V39" i="100"/>
  <c r="C8" i="22"/>
  <c r="D8" i="48"/>
  <c r="C8" i="93"/>
  <c r="C8" i="21"/>
  <c r="D8" i="11"/>
  <c r="C8" i="25"/>
  <c r="C9" i="24"/>
  <c r="D8" i="60"/>
  <c r="F22" i="90" l="1"/>
  <c r="E35" i="90" l="1"/>
  <c r="D35" i="90"/>
  <c r="E33" i="90"/>
  <c r="D33" i="90"/>
  <c r="E32" i="90"/>
  <c r="D32" i="90"/>
  <c r="E31" i="90"/>
  <c r="D31" i="90"/>
  <c r="E30" i="90"/>
  <c r="D30" i="90"/>
  <c r="E29" i="90"/>
  <c r="D29" i="90"/>
  <c r="E28" i="90"/>
  <c r="D28" i="90"/>
  <c r="E25" i="90"/>
  <c r="D25" i="90"/>
  <c r="F24" i="90"/>
  <c r="F21" i="90"/>
  <c r="F20" i="90"/>
  <c r="F19" i="90"/>
  <c r="F18" i="90"/>
  <c r="F17" i="90"/>
  <c r="F16" i="90"/>
  <c r="F15" i="90"/>
  <c r="F14" i="90"/>
  <c r="F13" i="90"/>
  <c r="F12" i="90"/>
  <c r="F11" i="90"/>
  <c r="F31" i="90" l="1"/>
  <c r="F29" i="90"/>
  <c r="F33" i="90"/>
  <c r="F28" i="90"/>
  <c r="F30" i="90"/>
  <c r="F32" i="90"/>
  <c r="F35" i="90"/>
  <c r="E36" i="90"/>
  <c r="D36" i="90"/>
  <c r="F25" i="90"/>
  <c r="F36" i="90" l="1"/>
  <c r="G14" i="24"/>
  <c r="G11" i="24"/>
  <c r="G13" i="24"/>
  <c r="G15" i="24"/>
  <c r="G10" i="24"/>
  <c r="G12" i="24"/>
  <c r="G16" i="24"/>
  <c r="D31" i="100" l="1"/>
  <c r="M31" i="100" s="1"/>
  <c r="M32" i="100" s="1"/>
  <c r="N32" i="100" l="1"/>
  <c r="N33" i="100" s="1"/>
  <c r="N35" i="100" s="1"/>
  <c r="M33" i="100"/>
  <c r="V31" i="100"/>
  <c r="V32" i="100" s="1"/>
  <c r="V33" i="100" s="1"/>
  <c r="P31" i="100"/>
  <c r="P32" i="100" s="1"/>
  <c r="G31" i="100"/>
  <c r="G32" i="100" s="1"/>
  <c r="S31" i="100"/>
  <c r="S32" i="100" s="1"/>
  <c r="J31" i="100"/>
  <c r="J32" i="100" s="1"/>
  <c r="W32" i="100"/>
  <c r="W33" i="100" s="1"/>
  <c r="W35" i="100" s="1"/>
  <c r="D32" i="100"/>
  <c r="T32" i="100" l="1"/>
  <c r="T33" i="100" s="1"/>
  <c r="T35" i="100" s="1"/>
  <c r="S33" i="100"/>
  <c r="H32" i="100"/>
  <c r="H33" i="100" s="1"/>
  <c r="H35" i="100" s="1"/>
  <c r="G33" i="100"/>
  <c r="Q32" i="100"/>
  <c r="Q33" i="100" s="1"/>
  <c r="Q35" i="100" s="1"/>
  <c r="P33" i="100"/>
  <c r="K32" i="100"/>
  <c r="K33" i="100" s="1"/>
  <c r="K35" i="100" s="1"/>
  <c r="J33" i="100"/>
  <c r="E32" i="100"/>
  <c r="E33" i="100" s="1"/>
  <c r="E35" i="100" s="1"/>
  <c r="N36" i="100" s="1"/>
  <c r="N37" i="100" s="1"/>
  <c r="D33" i="100"/>
  <c r="B35" i="13"/>
  <c r="W36" i="100" l="1"/>
  <c r="W37" i="100" s="1"/>
  <c r="K36" i="100"/>
  <c r="K37" i="100" s="1"/>
  <c r="T36" i="100"/>
  <c r="T37" i="100" s="1"/>
  <c r="Q36" i="100"/>
  <c r="Q37" i="100" s="1"/>
  <c r="H36" i="100"/>
  <c r="H37" i="100" s="1"/>
  <c r="C36" i="13"/>
  <c r="G36" i="13"/>
  <c r="F35" i="13"/>
  <c r="J35" i="13"/>
  <c r="E35" i="13"/>
  <c r="I35" i="13"/>
  <c r="M35" i="13"/>
  <c r="K36" i="13"/>
  <c r="D36" i="13"/>
  <c r="H36" i="13"/>
  <c r="L36" i="13"/>
  <c r="H35" i="13"/>
  <c r="G35" i="13"/>
  <c r="K35" i="13"/>
  <c r="C35" i="13"/>
  <c r="D35" i="13"/>
  <c r="L35" i="13"/>
  <c r="N43" i="39"/>
  <c r="N42" i="39"/>
  <c r="F36" i="13"/>
  <c r="N40" i="39"/>
  <c r="I36" i="13"/>
  <c r="B36" i="13"/>
  <c r="J36" i="13"/>
  <c r="N44" i="39"/>
  <c r="E36" i="13"/>
  <c r="M36" i="13"/>
  <c r="N41" i="39"/>
  <c r="N35" i="39" l="1"/>
  <c r="N30" i="39"/>
  <c r="N49" i="39"/>
  <c r="N53" i="39"/>
  <c r="N12" i="39"/>
  <c r="N50" i="39"/>
  <c r="N19" i="39"/>
  <c r="N52" i="39"/>
  <c r="N13" i="39"/>
  <c r="N51" i="39"/>
  <c r="N24" i="39"/>
  <c r="N25" i="39"/>
  <c r="N18" i="39"/>
  <c r="N36" i="39"/>
  <c r="N37" i="39" l="1"/>
  <c r="N35" i="13" s="1"/>
  <c r="L30" i="13"/>
  <c r="F30" i="13"/>
  <c r="N36" i="13" l="1"/>
  <c r="C8" i="13"/>
  <c r="I20" i="13"/>
  <c r="K8" i="13"/>
  <c r="F31" i="13"/>
  <c r="L31" i="13"/>
  <c r="I18" i="13"/>
  <c r="I19" i="13"/>
  <c r="J7" i="13"/>
  <c r="J6" i="13"/>
  <c r="C7" i="13"/>
  <c r="C6" i="13"/>
  <c r="K7" i="13"/>
  <c r="K6" i="13"/>
  <c r="G8" i="13"/>
  <c r="J8" i="13"/>
  <c r="G7" i="13"/>
  <c r="G6" i="13"/>
  <c r="M25" i="13"/>
  <c r="M24" i="13"/>
  <c r="M26" i="13"/>
  <c r="E14" i="13"/>
  <c r="E12" i="13"/>
  <c r="E13" i="13"/>
  <c r="C30" i="13"/>
  <c r="C31" i="13"/>
  <c r="I30" i="13"/>
  <c r="E30" i="13"/>
  <c r="H30" i="13"/>
  <c r="H8" i="13"/>
  <c r="M30" i="13"/>
  <c r="J30" i="13"/>
  <c r="G30" i="13"/>
  <c r="K30" i="13"/>
  <c r="G26" i="13" l="1"/>
  <c r="I45" i="13"/>
  <c r="E54" i="13"/>
  <c r="G45" i="13"/>
  <c r="F26" i="13"/>
  <c r="F14" i="13"/>
  <c r="G14" i="13"/>
  <c r="I26" i="13"/>
  <c r="C20" i="13"/>
  <c r="M8" i="13"/>
  <c r="F54" i="13"/>
  <c r="J20" i="13"/>
  <c r="G20" i="13"/>
  <c r="K20" i="13"/>
  <c r="I8" i="13"/>
  <c r="J14" i="13"/>
  <c r="F8" i="13"/>
  <c r="F45" i="13"/>
  <c r="D40" i="13"/>
  <c r="D44" i="13"/>
  <c r="D43" i="13"/>
  <c r="D41" i="13"/>
  <c r="D42" i="13"/>
  <c r="K45" i="13"/>
  <c r="C41" i="13"/>
  <c r="C42" i="13"/>
  <c r="C44" i="13"/>
  <c r="C43" i="13"/>
  <c r="C40" i="13"/>
  <c r="J40" i="13"/>
  <c r="J44" i="13"/>
  <c r="J42" i="13"/>
  <c r="J41" i="13"/>
  <c r="J43" i="13"/>
  <c r="F40" i="13"/>
  <c r="F42" i="13"/>
  <c r="F43" i="13"/>
  <c r="F41" i="13"/>
  <c r="F44" i="13"/>
  <c r="H43" i="13"/>
  <c r="H42" i="13"/>
  <c r="H41" i="13"/>
  <c r="H40" i="13"/>
  <c r="H44" i="13"/>
  <c r="E41" i="13"/>
  <c r="E44" i="13"/>
  <c r="E42" i="13"/>
  <c r="E40" i="13"/>
  <c r="E43" i="13"/>
  <c r="L40" i="13"/>
  <c r="L42" i="13"/>
  <c r="L41" i="13"/>
  <c r="L44" i="13"/>
  <c r="L43" i="13"/>
  <c r="K44" i="13"/>
  <c r="K43" i="13"/>
  <c r="K42" i="13"/>
  <c r="K41" i="13"/>
  <c r="K40" i="13"/>
  <c r="M40" i="13"/>
  <c r="M43" i="13"/>
  <c r="M41" i="13"/>
  <c r="M44" i="13"/>
  <c r="M42" i="13"/>
  <c r="L45" i="13"/>
  <c r="D45" i="13"/>
  <c r="M45" i="13"/>
  <c r="I43" i="13"/>
  <c r="I42" i="13"/>
  <c r="I40" i="13"/>
  <c r="I44" i="13"/>
  <c r="I41" i="13"/>
  <c r="G43" i="13"/>
  <c r="G40" i="13"/>
  <c r="G41" i="13"/>
  <c r="G42" i="13"/>
  <c r="G44" i="13"/>
  <c r="C45" i="13"/>
  <c r="J45" i="13"/>
  <c r="H45" i="13"/>
  <c r="E45" i="13"/>
  <c r="H31" i="13"/>
  <c r="E31" i="13"/>
  <c r="M31" i="13"/>
  <c r="I31" i="13"/>
  <c r="K31" i="13"/>
  <c r="G31" i="13"/>
  <c r="J31" i="13"/>
  <c r="F19" i="13"/>
  <c r="F18" i="13"/>
  <c r="K19" i="13"/>
  <c r="K18" i="13"/>
  <c r="L20" i="13"/>
  <c r="M19" i="13"/>
  <c r="M18" i="13"/>
  <c r="L18" i="13"/>
  <c r="L19" i="13"/>
  <c r="H18" i="13"/>
  <c r="H19" i="13"/>
  <c r="D19" i="13"/>
  <c r="D18" i="13"/>
  <c r="J19" i="13"/>
  <c r="J18" i="13"/>
  <c r="H20" i="13"/>
  <c r="D20" i="13"/>
  <c r="G18" i="13"/>
  <c r="G19" i="13"/>
  <c r="E18" i="13"/>
  <c r="E19" i="13"/>
  <c r="F20" i="13"/>
  <c r="C18" i="13"/>
  <c r="C19" i="13"/>
  <c r="E20" i="13"/>
  <c r="M20" i="13"/>
  <c r="E6" i="13"/>
  <c r="E7" i="13"/>
  <c r="F6" i="13"/>
  <c r="F7" i="13"/>
  <c r="L8" i="13"/>
  <c r="E8" i="13"/>
  <c r="H7" i="13"/>
  <c r="H6" i="13"/>
  <c r="L7" i="13"/>
  <c r="L6" i="13"/>
  <c r="I6" i="13"/>
  <c r="I7" i="13"/>
  <c r="M6" i="13"/>
  <c r="M7" i="13"/>
  <c r="D54" i="13"/>
  <c r="I54" i="13"/>
  <c r="J49" i="13"/>
  <c r="J51" i="13"/>
  <c r="J50" i="13"/>
  <c r="J53" i="13"/>
  <c r="J52" i="13"/>
  <c r="L51" i="13"/>
  <c r="L50" i="13"/>
  <c r="L53" i="13"/>
  <c r="L52" i="13"/>
  <c r="L49" i="13"/>
  <c r="J54" i="13"/>
  <c r="L54" i="13"/>
  <c r="G54" i="13"/>
  <c r="M50" i="13"/>
  <c r="M53" i="13"/>
  <c r="M51" i="13"/>
  <c r="M49" i="13"/>
  <c r="M52" i="13"/>
  <c r="H51" i="13"/>
  <c r="H53" i="13"/>
  <c r="H50" i="13"/>
  <c r="H52" i="13"/>
  <c r="H49" i="13"/>
  <c r="G52" i="13"/>
  <c r="G50" i="13"/>
  <c r="G51" i="13"/>
  <c r="G49" i="13"/>
  <c r="G53" i="13"/>
  <c r="I53" i="13"/>
  <c r="I50" i="13"/>
  <c r="I51" i="13"/>
  <c r="I49" i="13"/>
  <c r="I52" i="13"/>
  <c r="H54" i="13"/>
  <c r="E51" i="13"/>
  <c r="E52" i="13"/>
  <c r="E49" i="13"/>
  <c r="E50" i="13"/>
  <c r="E53" i="13"/>
  <c r="M54" i="13"/>
  <c r="D53" i="13"/>
  <c r="D51" i="13"/>
  <c r="D50" i="13"/>
  <c r="D49" i="13"/>
  <c r="D52" i="13"/>
  <c r="F49" i="13"/>
  <c r="F53" i="13"/>
  <c r="F52" i="13"/>
  <c r="F50" i="13"/>
  <c r="F51" i="13"/>
  <c r="L24" i="13"/>
  <c r="L25" i="13"/>
  <c r="E24" i="13"/>
  <c r="E25" i="13"/>
  <c r="H26" i="13"/>
  <c r="D26" i="13"/>
  <c r="I24" i="13"/>
  <c r="I25" i="13"/>
  <c r="J25" i="13"/>
  <c r="J24" i="13"/>
  <c r="H24" i="13"/>
  <c r="H25" i="13"/>
  <c r="D25" i="13"/>
  <c r="D24" i="13"/>
  <c r="L26" i="13"/>
  <c r="G25" i="13"/>
  <c r="G24" i="13"/>
  <c r="E26" i="13"/>
  <c r="J26" i="13"/>
  <c r="F24" i="13"/>
  <c r="F25" i="13"/>
  <c r="I12" i="13"/>
  <c r="I13" i="13"/>
  <c r="G12" i="13"/>
  <c r="G13" i="13"/>
  <c r="J12" i="13"/>
  <c r="J13" i="13"/>
  <c r="M13" i="13"/>
  <c r="M12" i="13"/>
  <c r="D13" i="13"/>
  <c r="D12" i="13"/>
  <c r="H12" i="13"/>
  <c r="H13" i="13"/>
  <c r="I14" i="13"/>
  <c r="D14" i="13"/>
  <c r="H14" i="13"/>
  <c r="L14" i="13"/>
  <c r="F13" i="13"/>
  <c r="F12" i="13"/>
  <c r="M14" i="13"/>
  <c r="L13" i="13"/>
  <c r="L12" i="13"/>
  <c r="D30" i="13"/>
  <c r="K26" i="13" l="1"/>
  <c r="C14" i="13"/>
  <c r="K14" i="13"/>
  <c r="D31" i="13"/>
  <c r="D7" i="13"/>
  <c r="D6" i="13"/>
  <c r="D8" i="13"/>
  <c r="C54" i="13"/>
  <c r="K49" i="13"/>
  <c r="K52" i="13"/>
  <c r="K53" i="13"/>
  <c r="K51" i="13"/>
  <c r="K50" i="13"/>
  <c r="K54" i="13"/>
  <c r="C52" i="13"/>
  <c r="C53" i="13"/>
  <c r="C50" i="13"/>
  <c r="C49" i="13"/>
  <c r="C51" i="13"/>
  <c r="C24" i="13"/>
  <c r="C25" i="13"/>
  <c r="C26" i="13"/>
  <c r="K24" i="13"/>
  <c r="K25" i="13"/>
  <c r="K12" i="13"/>
  <c r="K13" i="13"/>
  <c r="C12" i="13"/>
  <c r="C13" i="13"/>
  <c r="B41" i="13" l="1"/>
  <c r="B40" i="13"/>
  <c r="B43" i="13"/>
  <c r="B44" i="13"/>
  <c r="B42" i="13"/>
  <c r="B30" i="13"/>
  <c r="B19" i="13"/>
  <c r="B18" i="13"/>
  <c r="B51" i="13"/>
  <c r="B52" i="13"/>
  <c r="B49" i="13"/>
  <c r="B53" i="13"/>
  <c r="B50" i="13"/>
  <c r="B25" i="13"/>
  <c r="B24" i="13"/>
  <c r="B12" i="13"/>
  <c r="B13" i="13"/>
  <c r="N14" i="39"/>
  <c r="N15" i="39" s="1"/>
  <c r="B14" i="13"/>
  <c r="N54" i="39"/>
  <c r="N55" i="39" s="1"/>
  <c r="B54" i="13"/>
  <c r="N26" i="39"/>
  <c r="N27" i="39" s="1"/>
  <c r="B26" i="13"/>
  <c r="N31" i="39"/>
  <c r="N32" i="39" s="1"/>
  <c r="N30" i="13" s="1"/>
  <c r="B31" i="13"/>
  <c r="N20" i="39"/>
  <c r="N21" i="39" s="1"/>
  <c r="B20" i="13"/>
  <c r="N45" i="39"/>
  <c r="N46" i="39" s="1"/>
  <c r="B45" i="13"/>
  <c r="N57" i="39" l="1"/>
  <c r="N58" i="39" s="1"/>
  <c r="N45" i="13"/>
  <c r="N54" i="13"/>
  <c r="N42" i="13"/>
  <c r="N40" i="13"/>
  <c r="N41" i="13"/>
  <c r="N43" i="13"/>
  <c r="N44" i="13"/>
  <c r="N31" i="13"/>
  <c r="N20" i="13"/>
  <c r="N18" i="13"/>
  <c r="N19" i="13"/>
  <c r="B6" i="13"/>
  <c r="B7" i="13"/>
  <c r="N50" i="13"/>
  <c r="N53" i="13"/>
  <c r="N51" i="13"/>
  <c r="N52" i="13"/>
  <c r="N49" i="13"/>
  <c r="N26" i="13"/>
  <c r="N25" i="13"/>
  <c r="N24" i="13"/>
  <c r="N14" i="13"/>
  <c r="N12" i="13"/>
  <c r="N13" i="13"/>
  <c r="B8" i="13"/>
  <c r="N8" i="13" l="1"/>
  <c r="N6" i="13"/>
  <c r="N7" i="13"/>
  <c r="N37" i="13" l="1"/>
  <c r="C55" i="13"/>
  <c r="D55" i="13"/>
  <c r="E55" i="13"/>
  <c r="F55" i="13"/>
  <c r="G55" i="13"/>
  <c r="H55" i="13"/>
  <c r="I55" i="13"/>
  <c r="J55" i="13"/>
  <c r="K55" i="13"/>
  <c r="L55" i="13"/>
  <c r="M55" i="13"/>
  <c r="N55" i="13"/>
  <c r="B55" i="13"/>
  <c r="E7" i="10" l="1"/>
  <c r="F7" i="10" s="1"/>
  <c r="G7" i="10" s="1"/>
  <c r="H7" i="10" s="1"/>
  <c r="I7" i="10" s="1"/>
  <c r="J7" i="10" s="1"/>
  <c r="K7" i="10" s="1"/>
  <c r="L7" i="10" s="1"/>
  <c r="M7" i="10" s="1"/>
  <c r="N7" i="10" s="1"/>
  <c r="O7" i="10" s="1"/>
  <c r="C3" i="13" l="1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G38" i="48" l="1"/>
  <c r="G25" i="60"/>
  <c r="G35" i="60"/>
  <c r="G20" i="60"/>
  <c r="G30" i="60"/>
  <c r="G21" i="48"/>
  <c r="G46" i="48"/>
  <c r="D40" i="60"/>
  <c r="D54" i="48" l="1"/>
  <c r="G30" i="48"/>
  <c r="P9" i="10" l="1"/>
  <c r="C10" i="131" l="1"/>
  <c r="C11" i="125"/>
  <c r="C10" i="126"/>
  <c r="C11" i="124"/>
  <c r="C10" i="93"/>
  <c r="G12" i="90"/>
  <c r="D13" i="60"/>
  <c r="C10" i="25"/>
  <c r="C11" i="24"/>
  <c r="C10" i="21"/>
  <c r="G10" i="21" s="1"/>
  <c r="C10" i="22"/>
  <c r="G10" i="22" s="1"/>
  <c r="M11" i="124" l="1"/>
  <c r="P11" i="124" s="1"/>
  <c r="I12" i="133" s="1"/>
  <c r="N11" i="124"/>
  <c r="Q11" i="124" s="1"/>
  <c r="J11" i="124"/>
  <c r="K11" i="124"/>
  <c r="D12" i="135"/>
  <c r="H12" i="135"/>
  <c r="K11" i="125"/>
  <c r="J11" i="125"/>
  <c r="P12" i="90" s="1"/>
  <c r="F10" i="126"/>
  <c r="Q12" i="90" s="1"/>
  <c r="G10" i="126"/>
  <c r="H10" i="126" s="1"/>
  <c r="I10" i="126" s="1"/>
  <c r="G10" i="131"/>
  <c r="F10" i="131"/>
  <c r="I10" i="131" s="1"/>
  <c r="H12" i="90"/>
  <c r="G10" i="93"/>
  <c r="F10" i="93"/>
  <c r="G10" i="25"/>
  <c r="F10" i="25"/>
  <c r="L11" i="24"/>
  <c r="G13" i="60"/>
  <c r="F10" i="22"/>
  <c r="F10" i="21"/>
  <c r="L12" i="133" l="1"/>
  <c r="O11" i="124"/>
  <c r="R11" i="124" s="1"/>
  <c r="S11" i="124" s="1"/>
  <c r="L11" i="124"/>
  <c r="N12" i="90"/>
  <c r="H10" i="131"/>
  <c r="R12" i="133" s="1"/>
  <c r="O12" i="90"/>
  <c r="L11" i="125"/>
  <c r="O12" i="133" s="1"/>
  <c r="H10" i="21"/>
  <c r="M12" i="90"/>
  <c r="R12" i="90"/>
  <c r="K12" i="90"/>
  <c r="H10" i="93"/>
  <c r="I10" i="93" s="1"/>
  <c r="I12" i="90"/>
  <c r="J12" i="90"/>
  <c r="H10" i="22"/>
  <c r="H10" i="25"/>
  <c r="U12" i="133" l="1"/>
  <c r="M11" i="125"/>
  <c r="T12" i="90"/>
  <c r="I10" i="22"/>
  <c r="I10" i="25"/>
  <c r="I10" i="21"/>
  <c r="D12" i="133" l="1"/>
  <c r="E12" i="135"/>
  <c r="F12" i="135" s="1"/>
  <c r="G12" i="133"/>
  <c r="H32" i="13"/>
  <c r="D32" i="13"/>
  <c r="L37" i="13"/>
  <c r="K37" i="13"/>
  <c r="J37" i="13"/>
  <c r="I37" i="13"/>
  <c r="F37" i="13"/>
  <c r="D37" i="13"/>
  <c r="C37" i="13"/>
  <c r="L27" i="13"/>
  <c r="I27" i="13"/>
  <c r="H27" i="13"/>
  <c r="G27" i="13"/>
  <c r="D27" i="13"/>
  <c r="J12" i="133" l="1"/>
  <c r="M12" i="133"/>
  <c r="P12" i="133"/>
  <c r="S12" i="133"/>
  <c r="D46" i="13"/>
  <c r="H37" i="13"/>
  <c r="F15" i="13"/>
  <c r="M37" i="13"/>
  <c r="F9" i="13"/>
  <c r="J15" i="13"/>
  <c r="J9" i="13"/>
  <c r="H15" i="13"/>
  <c r="E15" i="13"/>
  <c r="K9" i="13"/>
  <c r="D21" i="13"/>
  <c r="H21" i="13"/>
  <c r="L21" i="13"/>
  <c r="E21" i="13"/>
  <c r="G32" i="13"/>
  <c r="I15" i="13"/>
  <c r="M15" i="13"/>
  <c r="E27" i="13"/>
  <c r="M27" i="13"/>
  <c r="C9" i="13"/>
  <c r="G9" i="13"/>
  <c r="L32" i="13"/>
  <c r="D15" i="13"/>
  <c r="L15" i="13"/>
  <c r="C15" i="13"/>
  <c r="G15" i="13"/>
  <c r="K15" i="13"/>
  <c r="D9" i="13"/>
  <c r="H9" i="13"/>
  <c r="L9" i="13"/>
  <c r="E9" i="13"/>
  <c r="I9" i="13"/>
  <c r="M9" i="13"/>
  <c r="I21" i="13"/>
  <c r="M21" i="13"/>
  <c r="F21" i="13"/>
  <c r="J21" i="13"/>
  <c r="E32" i="13"/>
  <c r="I32" i="13"/>
  <c r="M32" i="13"/>
  <c r="C46" i="13"/>
  <c r="G46" i="13"/>
  <c r="B9" i="13"/>
  <c r="I12" i="135" l="1"/>
  <c r="L12" i="135" s="1"/>
  <c r="V12" i="133"/>
  <c r="W12" i="133" s="1"/>
  <c r="H46" i="13"/>
  <c r="B21" i="13"/>
  <c r="C32" i="13"/>
  <c r="J32" i="13"/>
  <c r="E37" i="13"/>
  <c r="J27" i="13"/>
  <c r="G37" i="13"/>
  <c r="N21" i="13"/>
  <c r="F32" i="13"/>
  <c r="K27" i="13"/>
  <c r="F27" i="13"/>
  <c r="M46" i="13"/>
  <c r="K32" i="13"/>
  <c r="K21" i="13"/>
  <c r="C27" i="13"/>
  <c r="J46" i="13"/>
  <c r="I46" i="13"/>
  <c r="B46" i="13"/>
  <c r="B37" i="13"/>
  <c r="G21" i="13"/>
  <c r="F46" i="13"/>
  <c r="N15" i="13"/>
  <c r="B27" i="13"/>
  <c r="E46" i="13"/>
  <c r="N27" i="13"/>
  <c r="L46" i="13"/>
  <c r="C21" i="13"/>
  <c r="N32" i="13"/>
  <c r="B32" i="13"/>
  <c r="B15" i="13"/>
  <c r="K46" i="13"/>
  <c r="N12" i="135" l="1"/>
  <c r="J12" i="135"/>
  <c r="N46" i="13"/>
  <c r="N9" i="13"/>
  <c r="O42" i="10" l="1"/>
  <c r="N42" i="10"/>
  <c r="M42" i="10"/>
  <c r="L42" i="10"/>
  <c r="K42" i="10"/>
  <c r="J42" i="10"/>
  <c r="I42" i="10"/>
  <c r="H42" i="10"/>
  <c r="G42" i="10"/>
  <c r="F42" i="10"/>
  <c r="E42" i="10"/>
  <c r="D42" i="10"/>
  <c r="O30" i="10"/>
  <c r="N30" i="10"/>
  <c r="M30" i="10"/>
  <c r="L30" i="10"/>
  <c r="K30" i="10"/>
  <c r="J30" i="10"/>
  <c r="I30" i="10"/>
  <c r="H30" i="10"/>
  <c r="G30" i="10"/>
  <c r="D30" i="10"/>
  <c r="O40" i="10"/>
  <c r="N40" i="10"/>
  <c r="M40" i="10"/>
  <c r="L40" i="10"/>
  <c r="K40" i="10"/>
  <c r="J40" i="10"/>
  <c r="I40" i="10"/>
  <c r="H40" i="10"/>
  <c r="G40" i="10"/>
  <c r="F40" i="10"/>
  <c r="E40" i="10"/>
  <c r="O39" i="10"/>
  <c r="N39" i="10"/>
  <c r="M39" i="10"/>
  <c r="L39" i="10"/>
  <c r="K39" i="10"/>
  <c r="J39" i="10"/>
  <c r="I39" i="10"/>
  <c r="H39" i="10"/>
  <c r="G39" i="10"/>
  <c r="F39" i="10"/>
  <c r="E39" i="10"/>
  <c r="D39" i="10"/>
  <c r="N38" i="10"/>
  <c r="L38" i="10"/>
  <c r="J38" i="10"/>
  <c r="H38" i="10"/>
  <c r="F38" i="10"/>
  <c r="D38" i="10"/>
  <c r="O37" i="10"/>
  <c r="N37" i="10"/>
  <c r="M37" i="10"/>
  <c r="L37" i="10"/>
  <c r="K37" i="10"/>
  <c r="J37" i="10"/>
  <c r="I37" i="10"/>
  <c r="H37" i="10"/>
  <c r="G37" i="10"/>
  <c r="F37" i="10"/>
  <c r="E37" i="10"/>
  <c r="D37" i="10"/>
  <c r="O36" i="10"/>
  <c r="N36" i="10"/>
  <c r="M36" i="10"/>
  <c r="L36" i="10"/>
  <c r="K36" i="10"/>
  <c r="J36" i="10"/>
  <c r="I36" i="10"/>
  <c r="H36" i="10"/>
  <c r="G36" i="10"/>
  <c r="F36" i="10"/>
  <c r="E36" i="10"/>
  <c r="D36" i="10"/>
  <c r="H26" i="10" l="1"/>
  <c r="H35" i="10"/>
  <c r="E24" i="10"/>
  <c r="E35" i="10"/>
  <c r="M24" i="10"/>
  <c r="M35" i="10"/>
  <c r="E27" i="10"/>
  <c r="E38" i="10"/>
  <c r="M27" i="10"/>
  <c r="M38" i="10"/>
  <c r="F26" i="10"/>
  <c r="F35" i="10"/>
  <c r="J26" i="10"/>
  <c r="J35" i="10"/>
  <c r="N26" i="10"/>
  <c r="N35" i="10"/>
  <c r="D26" i="10"/>
  <c r="D35" i="10"/>
  <c r="L26" i="10"/>
  <c r="L35" i="10"/>
  <c r="I24" i="10"/>
  <c r="I35" i="10"/>
  <c r="I27" i="10"/>
  <c r="I38" i="10"/>
  <c r="G26" i="10"/>
  <c r="G35" i="10"/>
  <c r="K26" i="10"/>
  <c r="K35" i="10"/>
  <c r="O26" i="10"/>
  <c r="O35" i="10"/>
  <c r="G27" i="10"/>
  <c r="G38" i="10"/>
  <c r="K27" i="10"/>
  <c r="K38" i="10"/>
  <c r="O27" i="10"/>
  <c r="O38" i="10"/>
  <c r="F30" i="10"/>
  <c r="E30" i="10"/>
  <c r="D24" i="10"/>
  <c r="D43" i="10" s="1"/>
  <c r="H24" i="10"/>
  <c r="L24" i="10"/>
  <c r="P12" i="10"/>
  <c r="P13" i="10"/>
  <c r="P14" i="10"/>
  <c r="P15" i="10"/>
  <c r="H27" i="10"/>
  <c r="L27" i="10"/>
  <c r="P16" i="10"/>
  <c r="P18" i="10"/>
  <c r="P19" i="10"/>
  <c r="P20" i="10"/>
  <c r="P21" i="10"/>
  <c r="P23" i="10"/>
  <c r="F24" i="10"/>
  <c r="J24" i="10"/>
  <c r="N24" i="10"/>
  <c r="F27" i="10"/>
  <c r="J27" i="10"/>
  <c r="N27" i="10"/>
  <c r="P17" i="10"/>
  <c r="E26" i="10"/>
  <c r="I26" i="10"/>
  <c r="M26" i="10"/>
  <c r="D27" i="10"/>
  <c r="G24" i="10"/>
  <c r="K24" i="10"/>
  <c r="O24" i="10"/>
  <c r="P11" i="10"/>
  <c r="C22" i="126" l="1"/>
  <c r="C21" i="126"/>
  <c r="C20" i="126"/>
  <c r="C19" i="126"/>
  <c r="C18" i="126"/>
  <c r="C17" i="126"/>
  <c r="C53" i="131"/>
  <c r="C40" i="125"/>
  <c r="C49" i="124"/>
  <c r="C39" i="126"/>
  <c r="C9" i="131"/>
  <c r="C10" i="125"/>
  <c r="J10" i="125" s="1"/>
  <c r="C9" i="126"/>
  <c r="C10" i="124"/>
  <c r="C50" i="131"/>
  <c r="C49" i="131"/>
  <c r="C46" i="131"/>
  <c r="C48" i="131"/>
  <c r="C47" i="131"/>
  <c r="C45" i="131"/>
  <c r="C33" i="126"/>
  <c r="C36" i="125"/>
  <c r="C31" i="126"/>
  <c r="C33" i="124"/>
  <c r="C33" i="125"/>
  <c r="C32" i="125"/>
  <c r="C35" i="124"/>
  <c r="C35" i="126"/>
  <c r="C32" i="126"/>
  <c r="C35" i="125"/>
  <c r="C36" i="126"/>
  <c r="C36" i="124"/>
  <c r="C37" i="124"/>
  <c r="C34" i="126"/>
  <c r="C34" i="125"/>
  <c r="C34" i="124"/>
  <c r="C37" i="125"/>
  <c r="C32" i="124"/>
  <c r="C42" i="131"/>
  <c r="C29" i="125"/>
  <c r="C29" i="124"/>
  <c r="C28" i="126"/>
  <c r="C11" i="131"/>
  <c r="C12" i="124"/>
  <c r="C11" i="126"/>
  <c r="C12" i="125"/>
  <c r="C15" i="124"/>
  <c r="C15" i="125"/>
  <c r="C14" i="126"/>
  <c r="C39" i="131"/>
  <c r="C26" i="125"/>
  <c r="C26" i="124"/>
  <c r="C25" i="126"/>
  <c r="C13" i="126"/>
  <c r="C14" i="124"/>
  <c r="C14" i="125"/>
  <c r="N28" i="10"/>
  <c r="N31" i="10" s="1"/>
  <c r="C13" i="125"/>
  <c r="C12" i="126"/>
  <c r="C13" i="124"/>
  <c r="C41" i="131"/>
  <c r="C28" i="125"/>
  <c r="C28" i="124"/>
  <c r="C27" i="126"/>
  <c r="C40" i="131"/>
  <c r="C27" i="124"/>
  <c r="C27" i="125"/>
  <c r="C26" i="126"/>
  <c r="L28" i="10"/>
  <c r="L31" i="10" s="1"/>
  <c r="L32" i="10" s="1"/>
  <c r="C16" i="25"/>
  <c r="C20" i="25"/>
  <c r="C19" i="25"/>
  <c r="C18" i="25"/>
  <c r="C21" i="25"/>
  <c r="C17" i="25"/>
  <c r="C20" i="93"/>
  <c r="G22" i="90"/>
  <c r="C19" i="93"/>
  <c r="G21" i="90"/>
  <c r="C13" i="93"/>
  <c r="G15" i="90"/>
  <c r="G24" i="48"/>
  <c r="C12" i="93"/>
  <c r="G14" i="90"/>
  <c r="C18" i="93"/>
  <c r="G20" i="90"/>
  <c r="C11" i="93"/>
  <c r="G13" i="90"/>
  <c r="C16" i="93"/>
  <c r="G18" i="90"/>
  <c r="C15" i="93"/>
  <c r="G17" i="90"/>
  <c r="C21" i="93"/>
  <c r="G24" i="90"/>
  <c r="D32" i="48"/>
  <c r="C17" i="93"/>
  <c r="G19" i="90"/>
  <c r="C14" i="93"/>
  <c r="G16" i="90"/>
  <c r="C9" i="93"/>
  <c r="G11" i="90"/>
  <c r="D29" i="60"/>
  <c r="D34" i="60"/>
  <c r="D24" i="60"/>
  <c r="D19" i="60"/>
  <c r="D16" i="60"/>
  <c r="D10" i="60"/>
  <c r="H10" i="60" s="1"/>
  <c r="D18" i="48"/>
  <c r="I28" i="10"/>
  <c r="I31" i="10" s="1"/>
  <c r="I32" i="10" s="1"/>
  <c r="P42" i="10"/>
  <c r="D34" i="48"/>
  <c r="D33" i="48"/>
  <c r="D49" i="48"/>
  <c r="D48" i="48"/>
  <c r="D39" i="48"/>
  <c r="D14" i="48"/>
  <c r="D13" i="48"/>
  <c r="D22" i="48"/>
  <c r="D10" i="48"/>
  <c r="M28" i="10"/>
  <c r="M31" i="10" s="1"/>
  <c r="M32" i="10" s="1"/>
  <c r="G43" i="10"/>
  <c r="K28" i="10"/>
  <c r="K31" i="10" s="1"/>
  <c r="K32" i="10" s="1"/>
  <c r="J28" i="10"/>
  <c r="J31" i="10" s="1"/>
  <c r="J32" i="10" s="1"/>
  <c r="H28" i="10"/>
  <c r="H31" i="10" s="1"/>
  <c r="H32" i="10" s="1"/>
  <c r="E43" i="10"/>
  <c r="P36" i="10"/>
  <c r="P30" i="10"/>
  <c r="D9" i="11"/>
  <c r="C9" i="21"/>
  <c r="G9" i="21" s="1"/>
  <c r="C10" i="24"/>
  <c r="C9" i="25"/>
  <c r="P35" i="10"/>
  <c r="E28" i="10"/>
  <c r="E31" i="10" s="1"/>
  <c r="E32" i="10" s="1"/>
  <c r="O43" i="10"/>
  <c r="K43" i="10"/>
  <c r="P40" i="10"/>
  <c r="P38" i="10"/>
  <c r="P37" i="10"/>
  <c r="F28" i="10"/>
  <c r="F31" i="10" s="1"/>
  <c r="F32" i="10" s="1"/>
  <c r="P39" i="10"/>
  <c r="O28" i="10"/>
  <c r="O31" i="10" s="1"/>
  <c r="O32" i="10" s="1"/>
  <c r="G28" i="10"/>
  <c r="G31" i="10" s="1"/>
  <c r="G32" i="10" s="1"/>
  <c r="I43" i="10"/>
  <c r="M43" i="10"/>
  <c r="F43" i="10"/>
  <c r="N43" i="10"/>
  <c r="L43" i="10"/>
  <c r="J43" i="10"/>
  <c r="H43" i="10"/>
  <c r="C9" i="22"/>
  <c r="G9" i="22" s="1"/>
  <c r="P27" i="10"/>
  <c r="N32" i="10"/>
  <c r="C16" i="22"/>
  <c r="G16" i="22" s="1"/>
  <c r="C16" i="21"/>
  <c r="G16" i="21" s="1"/>
  <c r="D12" i="11"/>
  <c r="C20" i="22"/>
  <c r="C20" i="21"/>
  <c r="G20" i="21" s="1"/>
  <c r="D45" i="11"/>
  <c r="D44" i="11"/>
  <c r="D47" i="11"/>
  <c r="D43" i="11"/>
  <c r="D46" i="11"/>
  <c r="C14" i="21"/>
  <c r="G14" i="21" s="1"/>
  <c r="C14" i="25"/>
  <c r="C15" i="24"/>
  <c r="C14" i="22"/>
  <c r="G14" i="22" s="1"/>
  <c r="D23" i="11"/>
  <c r="C19" i="21"/>
  <c r="G19" i="21" s="1"/>
  <c r="C19" i="22"/>
  <c r="G19" i="22" s="1"/>
  <c r="D24" i="11"/>
  <c r="C15" i="21"/>
  <c r="G15" i="21" s="1"/>
  <c r="C15" i="25"/>
  <c r="C16" i="24"/>
  <c r="C15" i="22"/>
  <c r="G15" i="22" s="1"/>
  <c r="C13" i="25"/>
  <c r="C13" i="21"/>
  <c r="G13" i="21" s="1"/>
  <c r="C14" i="24"/>
  <c r="C13" i="22"/>
  <c r="G13" i="22" s="1"/>
  <c r="C18" i="22"/>
  <c r="G18" i="22" s="1"/>
  <c r="C18" i="21"/>
  <c r="G18" i="21" s="1"/>
  <c r="C13" i="24"/>
  <c r="C12" i="22"/>
  <c r="G12" i="22" s="1"/>
  <c r="C12" i="21"/>
  <c r="G12" i="21" s="1"/>
  <c r="C12" i="25"/>
  <c r="D14" i="11"/>
  <c r="C21" i="21"/>
  <c r="C21" i="22"/>
  <c r="G21" i="22" s="1"/>
  <c r="C17" i="22"/>
  <c r="G17" i="22" s="1"/>
  <c r="C17" i="21"/>
  <c r="G17" i="21" s="1"/>
  <c r="D15" i="11"/>
  <c r="C11" i="25"/>
  <c r="C11" i="21"/>
  <c r="G11" i="21" s="1"/>
  <c r="C12" i="24"/>
  <c r="C11" i="22"/>
  <c r="G11" i="22" s="1"/>
  <c r="D11" i="11"/>
  <c r="P24" i="10"/>
  <c r="D28" i="10"/>
  <c r="D31" i="10" s="1"/>
  <c r="D32" i="10" s="1"/>
  <c r="P26" i="10"/>
  <c r="M13" i="124" l="1"/>
  <c r="P13" i="124" s="1"/>
  <c r="I14" i="133" s="1"/>
  <c r="N13" i="124"/>
  <c r="Q13" i="124" s="1"/>
  <c r="L14" i="133" s="1"/>
  <c r="L31" i="133" s="1"/>
  <c r="N26" i="124"/>
  <c r="M26" i="124"/>
  <c r="O26" i="124" s="1"/>
  <c r="N12" i="124"/>
  <c r="Q12" i="124" s="1"/>
  <c r="L13" i="133" s="1"/>
  <c r="L30" i="133" s="1"/>
  <c r="M12" i="124"/>
  <c r="P12" i="124" s="1"/>
  <c r="I13" i="133" s="1"/>
  <c r="N34" i="124"/>
  <c r="M34" i="124"/>
  <c r="O34" i="124" s="1"/>
  <c r="M36" i="124"/>
  <c r="N36" i="124"/>
  <c r="M33" i="124"/>
  <c r="N33" i="124"/>
  <c r="O33" i="124" s="1"/>
  <c r="N28" i="124"/>
  <c r="M28" i="124"/>
  <c r="O28" i="124" s="1"/>
  <c r="M14" i="124"/>
  <c r="P14" i="124" s="1"/>
  <c r="I15" i="133" s="1"/>
  <c r="N14" i="124"/>
  <c r="Q14" i="124" s="1"/>
  <c r="L15" i="133" s="1"/>
  <c r="L32" i="133" s="1"/>
  <c r="N15" i="124"/>
  <c r="Q15" i="124" s="1"/>
  <c r="L16" i="133" s="1"/>
  <c r="L33" i="133" s="1"/>
  <c r="M15" i="124"/>
  <c r="N35" i="124"/>
  <c r="M35" i="124"/>
  <c r="O35" i="124" s="1"/>
  <c r="M27" i="124"/>
  <c r="N27" i="124"/>
  <c r="O27" i="124" s="1"/>
  <c r="N32" i="124"/>
  <c r="M32" i="124"/>
  <c r="N10" i="124"/>
  <c r="Q10" i="124" s="1"/>
  <c r="M10" i="124"/>
  <c r="P10" i="124" s="1"/>
  <c r="M29" i="124"/>
  <c r="N29" i="124"/>
  <c r="N37" i="124"/>
  <c r="M37" i="124"/>
  <c r="N49" i="124"/>
  <c r="M49" i="124"/>
  <c r="O49" i="124" s="1"/>
  <c r="K34" i="124"/>
  <c r="J34" i="124"/>
  <c r="L34" i="124" s="1"/>
  <c r="K28" i="124"/>
  <c r="J28" i="124"/>
  <c r="L28" i="124" s="1"/>
  <c r="J14" i="124"/>
  <c r="K14" i="124"/>
  <c r="K15" i="124"/>
  <c r="J15" i="124"/>
  <c r="L15" i="124" s="1"/>
  <c r="N16" i="90" s="1"/>
  <c r="J35" i="124"/>
  <c r="K35" i="124"/>
  <c r="J26" i="124"/>
  <c r="K26" i="124"/>
  <c r="J36" i="124"/>
  <c r="K36" i="124"/>
  <c r="K27" i="124"/>
  <c r="J27" i="124"/>
  <c r="L27" i="124" s="1"/>
  <c r="J32" i="124"/>
  <c r="K32" i="124"/>
  <c r="J10" i="124"/>
  <c r="K10" i="124"/>
  <c r="K13" i="124"/>
  <c r="J13" i="124"/>
  <c r="L13" i="124" s="1"/>
  <c r="K12" i="124"/>
  <c r="J12" i="124"/>
  <c r="L12" i="124" s="1"/>
  <c r="J33" i="124"/>
  <c r="K33" i="124"/>
  <c r="K29" i="124"/>
  <c r="J29" i="124"/>
  <c r="L29" i="124" s="1"/>
  <c r="K37" i="124"/>
  <c r="J37" i="124"/>
  <c r="L37" i="124" s="1"/>
  <c r="J49" i="124"/>
  <c r="K49" i="124"/>
  <c r="H20" i="135"/>
  <c r="D20" i="135"/>
  <c r="H16" i="135"/>
  <c r="D16" i="135"/>
  <c r="D11" i="135"/>
  <c r="H11" i="135"/>
  <c r="H14" i="135"/>
  <c r="H31" i="135" s="1"/>
  <c r="D14" i="135"/>
  <c r="D31" i="135" s="1"/>
  <c r="H15" i="135"/>
  <c r="H32" i="135" s="1"/>
  <c r="D15" i="135"/>
  <c r="D32" i="135" s="1"/>
  <c r="H13" i="135"/>
  <c r="D13" i="135"/>
  <c r="H24" i="135"/>
  <c r="H36" i="135" s="1"/>
  <c r="D24" i="135"/>
  <c r="D36" i="135" s="1"/>
  <c r="H22" i="135"/>
  <c r="D22" i="135"/>
  <c r="D17" i="135"/>
  <c r="H17" i="135"/>
  <c r="H18" i="135"/>
  <c r="D18" i="135"/>
  <c r="D19" i="135"/>
  <c r="H19" i="135"/>
  <c r="H21" i="135"/>
  <c r="D21" i="135"/>
  <c r="F26" i="131"/>
  <c r="C28" i="131"/>
  <c r="G26" i="131"/>
  <c r="F14" i="131"/>
  <c r="C17" i="131"/>
  <c r="G14" i="131"/>
  <c r="F21" i="131"/>
  <c r="I21" i="131" s="1"/>
  <c r="G21" i="131"/>
  <c r="H21" i="131" s="1"/>
  <c r="F20" i="131"/>
  <c r="C23" i="131"/>
  <c r="G20" i="131"/>
  <c r="F27" i="131"/>
  <c r="I27" i="131" s="1"/>
  <c r="G27" i="131"/>
  <c r="H27" i="131" s="1"/>
  <c r="F15" i="131"/>
  <c r="I15" i="131" s="1"/>
  <c r="G15" i="131"/>
  <c r="H15" i="131" s="1"/>
  <c r="F16" i="131"/>
  <c r="I16" i="131" s="1"/>
  <c r="G16" i="131"/>
  <c r="F22" i="131"/>
  <c r="I22" i="131" s="1"/>
  <c r="G22" i="131"/>
  <c r="H22" i="131" s="1"/>
  <c r="J27" i="125"/>
  <c r="P19" i="90" s="1"/>
  <c r="K27" i="125"/>
  <c r="L27" i="125" s="1"/>
  <c r="M27" i="125" s="1"/>
  <c r="J13" i="125"/>
  <c r="P14" i="90" s="1"/>
  <c r="K13" i="125"/>
  <c r="L13" i="125" s="1"/>
  <c r="O14" i="133" s="1"/>
  <c r="G40" i="131"/>
  <c r="F40" i="131"/>
  <c r="G35" i="126"/>
  <c r="F35" i="126"/>
  <c r="F11" i="131"/>
  <c r="G11" i="131"/>
  <c r="H11" i="131" s="1"/>
  <c r="R13" i="133" s="1"/>
  <c r="K21" i="125"/>
  <c r="J21" i="125"/>
  <c r="F28" i="126"/>
  <c r="Q21" i="90" s="1"/>
  <c r="G28" i="126"/>
  <c r="F17" i="126"/>
  <c r="C23" i="126"/>
  <c r="G17" i="126"/>
  <c r="K28" i="125"/>
  <c r="J28" i="125"/>
  <c r="K15" i="125"/>
  <c r="J15" i="125"/>
  <c r="P16" i="90" s="1"/>
  <c r="J33" i="125"/>
  <c r="K33" i="125"/>
  <c r="L33" i="125" s="1"/>
  <c r="M33" i="125" s="1"/>
  <c r="C51" i="131"/>
  <c r="G46" i="131"/>
  <c r="F46" i="131"/>
  <c r="G18" i="126"/>
  <c r="F18" i="126"/>
  <c r="H18" i="126" s="1"/>
  <c r="I18" i="126" s="1"/>
  <c r="G32" i="131"/>
  <c r="F32" i="131"/>
  <c r="I32" i="131" s="1"/>
  <c r="G25" i="126"/>
  <c r="F25" i="126"/>
  <c r="Q18" i="90" s="1"/>
  <c r="K12" i="125"/>
  <c r="J12" i="125"/>
  <c r="P13" i="90" s="1"/>
  <c r="K35" i="125"/>
  <c r="J35" i="125"/>
  <c r="K18" i="125"/>
  <c r="J18" i="125"/>
  <c r="C24" i="125"/>
  <c r="F11" i="126"/>
  <c r="Q13" i="90" s="1"/>
  <c r="G11" i="126"/>
  <c r="H11" i="126" s="1"/>
  <c r="I11" i="126" s="1"/>
  <c r="G32" i="126"/>
  <c r="F32" i="126"/>
  <c r="F33" i="126"/>
  <c r="G33" i="126"/>
  <c r="F21" i="126"/>
  <c r="G21" i="126"/>
  <c r="H21" i="126" s="1"/>
  <c r="I21" i="126" s="1"/>
  <c r="K10" i="125"/>
  <c r="F31" i="131"/>
  <c r="I31" i="131" s="1"/>
  <c r="C37" i="131"/>
  <c r="G31" i="131"/>
  <c r="K34" i="125"/>
  <c r="J34" i="125"/>
  <c r="L34" i="125" s="1"/>
  <c r="M34" i="125" s="1"/>
  <c r="F9" i="131"/>
  <c r="I9" i="131" s="1"/>
  <c r="G9" i="131"/>
  <c r="G34" i="131"/>
  <c r="F34" i="131"/>
  <c r="J14" i="125"/>
  <c r="P15" i="90" s="1"/>
  <c r="K14" i="125"/>
  <c r="L14" i="125" s="1"/>
  <c r="O15" i="133" s="1"/>
  <c r="F34" i="126"/>
  <c r="G34" i="126"/>
  <c r="H34" i="126" s="1"/>
  <c r="I34" i="126" s="1"/>
  <c r="F48" i="131"/>
  <c r="G48" i="131"/>
  <c r="G22" i="126"/>
  <c r="F22" i="126"/>
  <c r="H22" i="126" s="1"/>
  <c r="I22" i="126" s="1"/>
  <c r="F41" i="131"/>
  <c r="G41" i="131"/>
  <c r="G13" i="126"/>
  <c r="F13" i="126"/>
  <c r="Q15" i="90" s="1"/>
  <c r="Q31" i="90" s="1"/>
  <c r="K29" i="125"/>
  <c r="J29" i="125"/>
  <c r="P21" i="90" s="1"/>
  <c r="G49" i="131"/>
  <c r="F49" i="131"/>
  <c r="K40" i="125"/>
  <c r="J40" i="125"/>
  <c r="P24" i="90" s="1"/>
  <c r="P35" i="90" s="1"/>
  <c r="G19" i="126"/>
  <c r="F19" i="126"/>
  <c r="H19" i="126" s="1"/>
  <c r="I19" i="126" s="1"/>
  <c r="K22" i="125"/>
  <c r="J22" i="125"/>
  <c r="F33" i="131"/>
  <c r="I33" i="131" s="1"/>
  <c r="G33" i="131"/>
  <c r="G12" i="126"/>
  <c r="F12" i="126"/>
  <c r="Q14" i="90" s="1"/>
  <c r="C38" i="124"/>
  <c r="K36" i="125"/>
  <c r="J36" i="125"/>
  <c r="J23" i="125"/>
  <c r="K23" i="125"/>
  <c r="J37" i="125"/>
  <c r="K37" i="125"/>
  <c r="L37" i="125" s="1"/>
  <c r="M37" i="125" s="1"/>
  <c r="F9" i="126"/>
  <c r="Q11" i="90" s="1"/>
  <c r="G9" i="126"/>
  <c r="J20" i="125"/>
  <c r="K20" i="125"/>
  <c r="J26" i="125"/>
  <c r="P18" i="90" s="1"/>
  <c r="K26" i="125"/>
  <c r="L26" i="125" s="1"/>
  <c r="G45" i="131"/>
  <c r="F45" i="131"/>
  <c r="C24" i="124"/>
  <c r="F27" i="126"/>
  <c r="Q20" i="90" s="1"/>
  <c r="G27" i="126"/>
  <c r="H27" i="126" s="1"/>
  <c r="I27" i="126" s="1"/>
  <c r="G39" i="131"/>
  <c r="F39" i="131"/>
  <c r="G47" i="131"/>
  <c r="F47" i="131"/>
  <c r="J19" i="125"/>
  <c r="K19" i="125"/>
  <c r="L19" i="125" s="1"/>
  <c r="M19" i="125" s="1"/>
  <c r="F14" i="126"/>
  <c r="Q16" i="90" s="1"/>
  <c r="G14" i="126"/>
  <c r="J32" i="125"/>
  <c r="C38" i="125"/>
  <c r="K32" i="125"/>
  <c r="G39" i="126"/>
  <c r="F39" i="126"/>
  <c r="Q24" i="90" s="1"/>
  <c r="Q35" i="90" s="1"/>
  <c r="G35" i="131"/>
  <c r="F35" i="131"/>
  <c r="G26" i="126"/>
  <c r="F26" i="126"/>
  <c r="Q19" i="90" s="1"/>
  <c r="N14" i="90"/>
  <c r="G42" i="131"/>
  <c r="F42" i="131"/>
  <c r="G36" i="126"/>
  <c r="F36" i="126"/>
  <c r="G31" i="126"/>
  <c r="C37" i="126"/>
  <c r="F31" i="126"/>
  <c r="G50" i="131"/>
  <c r="F50" i="131"/>
  <c r="F53" i="131"/>
  <c r="G53" i="131"/>
  <c r="H53" i="131" s="1"/>
  <c r="F20" i="126"/>
  <c r="G20" i="126"/>
  <c r="G36" i="131"/>
  <c r="F36" i="131"/>
  <c r="I36" i="131" s="1"/>
  <c r="G32" i="48"/>
  <c r="G32" i="90"/>
  <c r="G35" i="90"/>
  <c r="G31" i="90"/>
  <c r="G33" i="90"/>
  <c r="G29" i="90"/>
  <c r="G30" i="90"/>
  <c r="G28" i="90"/>
  <c r="G17" i="25"/>
  <c r="F17" i="25"/>
  <c r="G18" i="25"/>
  <c r="F18" i="25"/>
  <c r="F20" i="25"/>
  <c r="G20" i="25"/>
  <c r="C22" i="25"/>
  <c r="F21" i="25"/>
  <c r="G21" i="25"/>
  <c r="G19" i="25"/>
  <c r="F19" i="25"/>
  <c r="F16" i="25"/>
  <c r="G16" i="25"/>
  <c r="H18" i="90"/>
  <c r="H21" i="90"/>
  <c r="H17" i="90"/>
  <c r="H14" i="90"/>
  <c r="H19" i="90"/>
  <c r="H24" i="90"/>
  <c r="H35" i="90" s="1"/>
  <c r="H20" i="90"/>
  <c r="H22" i="90"/>
  <c r="H15" i="90"/>
  <c r="H16" i="90"/>
  <c r="H13" i="90"/>
  <c r="G16" i="93"/>
  <c r="F16" i="93"/>
  <c r="G19" i="93"/>
  <c r="F19" i="93"/>
  <c r="G15" i="93"/>
  <c r="F15" i="93"/>
  <c r="F12" i="93"/>
  <c r="G12" i="93"/>
  <c r="F13" i="93"/>
  <c r="G13" i="93"/>
  <c r="F17" i="93"/>
  <c r="G17" i="93"/>
  <c r="F21" i="93"/>
  <c r="G21" i="93"/>
  <c r="G18" i="93"/>
  <c r="F18" i="93"/>
  <c r="G14" i="93"/>
  <c r="F14" i="93"/>
  <c r="G11" i="93"/>
  <c r="F11" i="93"/>
  <c r="G20" i="93"/>
  <c r="F20" i="93"/>
  <c r="G25" i="90"/>
  <c r="H11" i="90"/>
  <c r="G9" i="93"/>
  <c r="F9" i="93"/>
  <c r="C22" i="93"/>
  <c r="G20" i="22"/>
  <c r="D53" i="48"/>
  <c r="F21" i="21"/>
  <c r="G21" i="21"/>
  <c r="H20" i="11"/>
  <c r="G20" i="11"/>
  <c r="H43" i="11"/>
  <c r="G43" i="11"/>
  <c r="H23" i="11"/>
  <c r="G23" i="11"/>
  <c r="H36" i="11"/>
  <c r="G36" i="11"/>
  <c r="H18" i="11"/>
  <c r="G18" i="11"/>
  <c r="G28" i="11"/>
  <c r="H28" i="11"/>
  <c r="H27" i="11"/>
  <c r="G27" i="11"/>
  <c r="G42" i="11"/>
  <c r="H42" i="11"/>
  <c r="H44" i="11"/>
  <c r="G44" i="11"/>
  <c r="H38" i="11"/>
  <c r="G38" i="11"/>
  <c r="H29" i="11"/>
  <c r="G29" i="11"/>
  <c r="H30" i="11"/>
  <c r="G30" i="11"/>
  <c r="H47" i="11"/>
  <c r="G47" i="11"/>
  <c r="H37" i="11"/>
  <c r="G37" i="11"/>
  <c r="G19" i="11"/>
  <c r="H19" i="11"/>
  <c r="H32" i="11"/>
  <c r="G32" i="11"/>
  <c r="G31" i="11"/>
  <c r="H31" i="11"/>
  <c r="H24" i="11"/>
  <c r="G24" i="11"/>
  <c r="H46" i="11"/>
  <c r="G46" i="11"/>
  <c r="G45" i="11"/>
  <c r="H45" i="11"/>
  <c r="G13" i="25"/>
  <c r="F13" i="25"/>
  <c r="F9" i="25"/>
  <c r="G9" i="25"/>
  <c r="F15" i="25"/>
  <c r="G15" i="25"/>
  <c r="G12" i="25"/>
  <c r="F12" i="25"/>
  <c r="F11" i="25"/>
  <c r="G11" i="25"/>
  <c r="F14" i="25"/>
  <c r="G14" i="25"/>
  <c r="L12" i="24"/>
  <c r="L13" i="24"/>
  <c r="L14" i="24"/>
  <c r="L15" i="24"/>
  <c r="L16" i="24"/>
  <c r="G18" i="48"/>
  <c r="G29" i="60"/>
  <c r="G31" i="60" s="1"/>
  <c r="G19" i="60"/>
  <c r="G21" i="60" s="1"/>
  <c r="G34" i="60"/>
  <c r="G36" i="60" s="1"/>
  <c r="G24" i="60"/>
  <c r="G26" i="60" s="1"/>
  <c r="L10" i="24"/>
  <c r="G16" i="60"/>
  <c r="G10" i="60"/>
  <c r="D39" i="60"/>
  <c r="G10" i="48"/>
  <c r="G33" i="48"/>
  <c r="G48" i="48"/>
  <c r="G34" i="48"/>
  <c r="G49" i="48"/>
  <c r="G41" i="48"/>
  <c r="G39" i="48"/>
  <c r="G42" i="48"/>
  <c r="G25" i="48"/>
  <c r="G14" i="48"/>
  <c r="G22" i="48"/>
  <c r="G13" i="48"/>
  <c r="G26" i="48"/>
  <c r="P43" i="10"/>
  <c r="P28" i="10"/>
  <c r="P31" i="10" s="1"/>
  <c r="P32" i="10" s="1"/>
  <c r="F17" i="22"/>
  <c r="H14" i="11"/>
  <c r="G14" i="11"/>
  <c r="F18" i="21"/>
  <c r="D21" i="11"/>
  <c r="F19" i="22"/>
  <c r="F20" i="22"/>
  <c r="F11" i="22"/>
  <c r="F11" i="21"/>
  <c r="F21" i="22"/>
  <c r="C22" i="22"/>
  <c r="F9" i="22"/>
  <c r="F18" i="22"/>
  <c r="D33" i="11"/>
  <c r="F15" i="22"/>
  <c r="D48" i="11"/>
  <c r="F9" i="21"/>
  <c r="C22" i="21"/>
  <c r="G15" i="11"/>
  <c r="H15" i="11"/>
  <c r="C17" i="24"/>
  <c r="F12" i="21"/>
  <c r="F13" i="21"/>
  <c r="F15" i="21"/>
  <c r="F19" i="21"/>
  <c r="F14" i="22"/>
  <c r="F16" i="21"/>
  <c r="H11" i="11"/>
  <c r="G11" i="11"/>
  <c r="F17" i="21"/>
  <c r="H9" i="11"/>
  <c r="G9" i="11"/>
  <c r="F12" i="22"/>
  <c r="D39" i="11"/>
  <c r="F13" i="22"/>
  <c r="F14" i="21"/>
  <c r="F20" i="21"/>
  <c r="H12" i="11"/>
  <c r="G12" i="11"/>
  <c r="F16" i="22"/>
  <c r="I11" i="133" l="1"/>
  <c r="O15" i="124"/>
  <c r="R15" i="124" s="1"/>
  <c r="P15" i="124"/>
  <c r="I16" i="133" s="1"/>
  <c r="L11" i="133"/>
  <c r="Q50" i="124"/>
  <c r="M38" i="124"/>
  <c r="O32" i="124"/>
  <c r="R32" i="124" s="1"/>
  <c r="O29" i="124"/>
  <c r="N38" i="124"/>
  <c r="N50" i="124" s="1"/>
  <c r="O14" i="124"/>
  <c r="C50" i="124"/>
  <c r="O10" i="124"/>
  <c r="M50" i="124"/>
  <c r="O37" i="124"/>
  <c r="O36" i="124"/>
  <c r="R36" i="124" s="1"/>
  <c r="O12" i="124"/>
  <c r="R12" i="124" s="1"/>
  <c r="O13" i="124"/>
  <c r="L49" i="124"/>
  <c r="R49" i="124" s="1"/>
  <c r="J50" i="124"/>
  <c r="L10" i="124"/>
  <c r="N11" i="90" s="1"/>
  <c r="L26" i="124"/>
  <c r="R26" i="124" s="1"/>
  <c r="K38" i="124"/>
  <c r="L33" i="124"/>
  <c r="R33" i="124" s="1"/>
  <c r="K50" i="124"/>
  <c r="J38" i="124"/>
  <c r="L32" i="124"/>
  <c r="L36" i="124"/>
  <c r="L35" i="124"/>
  <c r="R35" i="124" s="1"/>
  <c r="L14" i="124"/>
  <c r="N15" i="90" s="1"/>
  <c r="N31" i="90" s="1"/>
  <c r="L22" i="125"/>
  <c r="M22" i="125" s="1"/>
  <c r="M14" i="125"/>
  <c r="M13" i="125"/>
  <c r="Q32" i="90"/>
  <c r="H29" i="135"/>
  <c r="H25" i="135"/>
  <c r="D29" i="135"/>
  <c r="D25" i="135"/>
  <c r="D33" i="135"/>
  <c r="H30" i="135"/>
  <c r="H34" i="135"/>
  <c r="D30" i="135"/>
  <c r="H33" i="135"/>
  <c r="D34" i="135"/>
  <c r="R23" i="124"/>
  <c r="S23" i="124" s="1"/>
  <c r="R13" i="124"/>
  <c r="N13" i="90"/>
  <c r="N29" i="90" s="1"/>
  <c r="O35" i="90"/>
  <c r="C54" i="131"/>
  <c r="O13" i="90"/>
  <c r="O29" i="90" s="1"/>
  <c r="I11" i="131"/>
  <c r="I14" i="131"/>
  <c r="F17" i="131"/>
  <c r="H47" i="131"/>
  <c r="R29" i="124"/>
  <c r="C40" i="126"/>
  <c r="H20" i="131"/>
  <c r="H23" i="131" s="1"/>
  <c r="G23" i="131"/>
  <c r="H26" i="131"/>
  <c r="H28" i="131" s="1"/>
  <c r="R16" i="133" s="1"/>
  <c r="G28" i="131"/>
  <c r="H20" i="126"/>
  <c r="I20" i="126" s="1"/>
  <c r="H32" i="126"/>
  <c r="I32" i="126" s="1"/>
  <c r="F23" i="126"/>
  <c r="P30" i="90"/>
  <c r="H14" i="131"/>
  <c r="G17" i="131"/>
  <c r="H36" i="126"/>
  <c r="I36" i="126" s="1"/>
  <c r="H33" i="131"/>
  <c r="H48" i="131"/>
  <c r="H9" i="131"/>
  <c r="R11" i="133" s="1"/>
  <c r="L35" i="125"/>
  <c r="M35" i="125" s="1"/>
  <c r="R21" i="124"/>
  <c r="S21" i="124" s="1"/>
  <c r="H28" i="126"/>
  <c r="I28" i="126" s="1"/>
  <c r="H35" i="126"/>
  <c r="I35" i="126" s="1"/>
  <c r="H16" i="131"/>
  <c r="F23" i="131"/>
  <c r="I20" i="131"/>
  <c r="I26" i="131"/>
  <c r="F28" i="131"/>
  <c r="P32" i="90"/>
  <c r="P29" i="90"/>
  <c r="H34" i="131"/>
  <c r="I34" i="131"/>
  <c r="H35" i="131"/>
  <c r="I35" i="131"/>
  <c r="H41" i="131"/>
  <c r="H50" i="131"/>
  <c r="R18" i="124"/>
  <c r="S18" i="124" s="1"/>
  <c r="P11" i="90"/>
  <c r="F37" i="126"/>
  <c r="Q22" i="90" s="1"/>
  <c r="L36" i="125"/>
  <c r="M36" i="125" s="1"/>
  <c r="H39" i="126"/>
  <c r="I39" i="126" s="1"/>
  <c r="H39" i="131"/>
  <c r="H13" i="126"/>
  <c r="I13" i="126" s="1"/>
  <c r="L12" i="125"/>
  <c r="O13" i="133" s="1"/>
  <c r="O30" i="133" s="1"/>
  <c r="L28" i="125"/>
  <c r="M28" i="125" s="1"/>
  <c r="P20" i="90"/>
  <c r="P31" i="90" s="1"/>
  <c r="L21" i="125"/>
  <c r="M21" i="125" s="1"/>
  <c r="H9" i="126"/>
  <c r="O11" i="90"/>
  <c r="L18" i="125"/>
  <c r="K24" i="125"/>
  <c r="R20" i="124"/>
  <c r="S20" i="124" s="1"/>
  <c r="R28" i="124"/>
  <c r="Q28" i="90"/>
  <c r="G37" i="126"/>
  <c r="H31" i="126"/>
  <c r="R19" i="124"/>
  <c r="S19" i="124" s="1"/>
  <c r="L32" i="125"/>
  <c r="K38" i="125"/>
  <c r="R34" i="124"/>
  <c r="J38" i="125"/>
  <c r="P22" i="90" s="1"/>
  <c r="Q30" i="90"/>
  <c r="F37" i="131"/>
  <c r="O17" i="90" s="1"/>
  <c r="R27" i="124"/>
  <c r="Q29" i="90"/>
  <c r="R37" i="124"/>
  <c r="J24" i="125"/>
  <c r="P17" i="90" s="1"/>
  <c r="F51" i="131"/>
  <c r="H49" i="131"/>
  <c r="H32" i="131"/>
  <c r="G51" i="131"/>
  <c r="H46" i="131"/>
  <c r="R22" i="124"/>
  <c r="S22" i="124" s="1"/>
  <c r="H45" i="131"/>
  <c r="L15" i="125"/>
  <c r="O16" i="133" s="1"/>
  <c r="H31" i="131"/>
  <c r="G37" i="131"/>
  <c r="R14" i="124"/>
  <c r="H40" i="131"/>
  <c r="H36" i="131"/>
  <c r="H42" i="131"/>
  <c r="H26" i="126"/>
  <c r="I26" i="126" s="1"/>
  <c r="H14" i="126"/>
  <c r="I14" i="126" s="1"/>
  <c r="L24" i="124"/>
  <c r="L20" i="125"/>
  <c r="M20" i="125" s="1"/>
  <c r="L23" i="125"/>
  <c r="M23" i="125" s="1"/>
  <c r="H12" i="126"/>
  <c r="I12" i="126" s="1"/>
  <c r="L40" i="125"/>
  <c r="L29" i="125"/>
  <c r="M29" i="125" s="1"/>
  <c r="L10" i="125"/>
  <c r="O11" i="133" s="1"/>
  <c r="H33" i="126"/>
  <c r="I33" i="126" s="1"/>
  <c r="C41" i="125"/>
  <c r="H25" i="126"/>
  <c r="I25" i="126" s="1"/>
  <c r="G23" i="126"/>
  <c r="H17" i="126"/>
  <c r="N35" i="90"/>
  <c r="N30" i="90"/>
  <c r="G36" i="90"/>
  <c r="N32" i="90"/>
  <c r="H30" i="90"/>
  <c r="H20" i="25"/>
  <c r="I20" i="25" s="1"/>
  <c r="H29" i="90"/>
  <c r="H31" i="90"/>
  <c r="H19" i="25"/>
  <c r="I19" i="25" s="1"/>
  <c r="H16" i="25"/>
  <c r="I16" i="25" s="1"/>
  <c r="H21" i="25"/>
  <c r="I21" i="25" s="1"/>
  <c r="H18" i="25"/>
  <c r="H17" i="25"/>
  <c r="F22" i="25"/>
  <c r="G22" i="25"/>
  <c r="H33" i="90"/>
  <c r="H32" i="90"/>
  <c r="H21" i="93"/>
  <c r="I21" i="93" s="1"/>
  <c r="H14" i="93"/>
  <c r="I14" i="93" s="1"/>
  <c r="H20" i="21"/>
  <c r="M22" i="90"/>
  <c r="H14" i="21"/>
  <c r="M16" i="90"/>
  <c r="H16" i="21"/>
  <c r="M18" i="90"/>
  <c r="R19" i="90"/>
  <c r="R14" i="90"/>
  <c r="H19" i="93"/>
  <c r="I19" i="93" s="1"/>
  <c r="R21" i="90"/>
  <c r="H19" i="21"/>
  <c r="M21" i="90"/>
  <c r="S18" i="90"/>
  <c r="K15" i="90"/>
  <c r="K31" i="90" s="1"/>
  <c r="R22" i="90"/>
  <c r="R13" i="90"/>
  <c r="H12" i="21"/>
  <c r="M14" i="90"/>
  <c r="K13" i="90"/>
  <c r="K29" i="90" s="1"/>
  <c r="K17" i="90"/>
  <c r="K33" i="90" s="1"/>
  <c r="M24" i="90"/>
  <c r="M35" i="90" s="1"/>
  <c r="H20" i="93"/>
  <c r="I20" i="93" s="1"/>
  <c r="H11" i="93"/>
  <c r="I11" i="93" s="1"/>
  <c r="R24" i="90"/>
  <c r="R35" i="90" s="1"/>
  <c r="H13" i="93"/>
  <c r="I13" i="93" s="1"/>
  <c r="R15" i="90"/>
  <c r="H15" i="93"/>
  <c r="I15" i="93" s="1"/>
  <c r="R17" i="90"/>
  <c r="R18" i="90"/>
  <c r="H17" i="21"/>
  <c r="M19" i="90"/>
  <c r="H11" i="21"/>
  <c r="M13" i="90"/>
  <c r="K16" i="90"/>
  <c r="K32" i="90" s="1"/>
  <c r="H15" i="21"/>
  <c r="M17" i="90"/>
  <c r="H13" i="21"/>
  <c r="M15" i="90"/>
  <c r="H18" i="21"/>
  <c r="M20" i="90"/>
  <c r="K14" i="90"/>
  <c r="K30" i="90" s="1"/>
  <c r="R16" i="90"/>
  <c r="R32" i="90" s="1"/>
  <c r="H18" i="93"/>
  <c r="I18" i="93" s="1"/>
  <c r="R20" i="90"/>
  <c r="H17" i="93"/>
  <c r="I17" i="93" s="1"/>
  <c r="H12" i="93"/>
  <c r="I12" i="93" s="1"/>
  <c r="H16" i="93"/>
  <c r="I16" i="93" s="1"/>
  <c r="H9" i="21"/>
  <c r="M11" i="90"/>
  <c r="R11" i="90"/>
  <c r="F22" i="93"/>
  <c r="H25" i="90"/>
  <c r="H28" i="90"/>
  <c r="S11" i="90"/>
  <c r="K11" i="90"/>
  <c r="G22" i="93"/>
  <c r="H9" i="93"/>
  <c r="I11" i="90"/>
  <c r="I13" i="90"/>
  <c r="I29" i="90" s="1"/>
  <c r="I17" i="90"/>
  <c r="I33" i="90" s="1"/>
  <c r="I16" i="90"/>
  <c r="I32" i="90" s="1"/>
  <c r="I15" i="90"/>
  <c r="I31" i="90" s="1"/>
  <c r="I14" i="90"/>
  <c r="I30" i="90" s="1"/>
  <c r="L18" i="90"/>
  <c r="L11" i="90"/>
  <c r="L13" i="90"/>
  <c r="L16" i="90"/>
  <c r="L19" i="90"/>
  <c r="L21" i="90"/>
  <c r="L14" i="90"/>
  <c r="J17" i="90"/>
  <c r="J33" i="90" s="1"/>
  <c r="J13" i="90"/>
  <c r="J29" i="90" s="1"/>
  <c r="J15" i="90"/>
  <c r="J31" i="90" s="1"/>
  <c r="J16" i="90"/>
  <c r="J32" i="90" s="1"/>
  <c r="J14" i="90"/>
  <c r="J30" i="90" s="1"/>
  <c r="J11" i="90"/>
  <c r="H21" i="22"/>
  <c r="H19" i="22"/>
  <c r="H18" i="22"/>
  <c r="H17" i="22"/>
  <c r="H16" i="22"/>
  <c r="H15" i="22"/>
  <c r="H14" i="22"/>
  <c r="H13" i="22"/>
  <c r="H12" i="22"/>
  <c r="H11" i="22"/>
  <c r="H9" i="22"/>
  <c r="H14" i="25"/>
  <c r="I45" i="11"/>
  <c r="J45" i="11" s="1"/>
  <c r="I28" i="11"/>
  <c r="J28" i="11" s="1"/>
  <c r="I31" i="11"/>
  <c r="J31" i="11" s="1"/>
  <c r="I19" i="11"/>
  <c r="J19" i="11" s="1"/>
  <c r="G21" i="11"/>
  <c r="H11" i="25"/>
  <c r="H15" i="25"/>
  <c r="H21" i="21"/>
  <c r="G22" i="21"/>
  <c r="H20" i="22"/>
  <c r="G22" i="22"/>
  <c r="I32" i="11"/>
  <c r="J32" i="11" s="1"/>
  <c r="I37" i="11"/>
  <c r="J37" i="11" s="1"/>
  <c r="I30" i="11"/>
  <c r="J30" i="11" s="1"/>
  <c r="H39" i="11"/>
  <c r="I36" i="11"/>
  <c r="I43" i="11"/>
  <c r="J43" i="11" s="1"/>
  <c r="H48" i="11"/>
  <c r="I42" i="11"/>
  <c r="G39" i="11"/>
  <c r="G48" i="11"/>
  <c r="G33" i="11"/>
  <c r="I24" i="11"/>
  <c r="I38" i="11"/>
  <c r="J38" i="11" s="1"/>
  <c r="I46" i="11"/>
  <c r="J46" i="11" s="1"/>
  <c r="I47" i="11"/>
  <c r="J47" i="11" s="1"/>
  <c r="I29" i="11"/>
  <c r="J29" i="11" s="1"/>
  <c r="I44" i="11"/>
  <c r="J44" i="11" s="1"/>
  <c r="I27" i="11"/>
  <c r="H33" i="11"/>
  <c r="I18" i="11"/>
  <c r="H21" i="11"/>
  <c r="I23" i="11"/>
  <c r="I20" i="11"/>
  <c r="J20" i="11" s="1"/>
  <c r="H12" i="25"/>
  <c r="H9" i="25"/>
  <c r="H13" i="25"/>
  <c r="G38" i="60"/>
  <c r="G15" i="48"/>
  <c r="D50" i="11"/>
  <c r="G43" i="48"/>
  <c r="G50" i="48"/>
  <c r="G35" i="48"/>
  <c r="G27" i="48"/>
  <c r="I9" i="11"/>
  <c r="I14" i="11"/>
  <c r="I11" i="11"/>
  <c r="F22" i="22"/>
  <c r="I12" i="11"/>
  <c r="F22" i="21"/>
  <c r="L17" i="24"/>
  <c r="I15" i="11"/>
  <c r="P50" i="124" l="1"/>
  <c r="M11" i="133"/>
  <c r="L25" i="133"/>
  <c r="L29" i="133"/>
  <c r="L37" i="133" s="1"/>
  <c r="U13" i="133"/>
  <c r="U11" i="133"/>
  <c r="J11" i="133"/>
  <c r="U16" i="133"/>
  <c r="R10" i="124"/>
  <c r="S10" i="124" s="1"/>
  <c r="O38" i="124"/>
  <c r="O50" i="124" s="1"/>
  <c r="L38" i="124"/>
  <c r="L50" i="124" s="1"/>
  <c r="O32" i="133"/>
  <c r="R15" i="133"/>
  <c r="O33" i="133"/>
  <c r="O29" i="133"/>
  <c r="M12" i="125"/>
  <c r="R30" i="133"/>
  <c r="M15" i="125"/>
  <c r="R33" i="133"/>
  <c r="I33" i="133"/>
  <c r="S15" i="124"/>
  <c r="R29" i="133"/>
  <c r="S12" i="124"/>
  <c r="I30" i="133"/>
  <c r="S13" i="124"/>
  <c r="I31" i="133"/>
  <c r="S14" i="124"/>
  <c r="I32" i="133"/>
  <c r="I29" i="133"/>
  <c r="H37" i="135"/>
  <c r="D37" i="135"/>
  <c r="K41" i="125"/>
  <c r="G54" i="131"/>
  <c r="F40" i="126"/>
  <c r="Q17" i="90"/>
  <c r="Q33" i="90" s="1"/>
  <c r="Q36" i="90" s="1"/>
  <c r="I17" i="131"/>
  <c r="O14" i="90"/>
  <c r="O30" i="90" s="1"/>
  <c r="I28" i="131"/>
  <c r="O16" i="90"/>
  <c r="O32" i="90" s="1"/>
  <c r="H17" i="131"/>
  <c r="G40" i="126"/>
  <c r="O15" i="90"/>
  <c r="O31" i="90" s="1"/>
  <c r="I23" i="131"/>
  <c r="P33" i="90"/>
  <c r="F54" i="131"/>
  <c r="I54" i="131" s="1"/>
  <c r="I37" i="131"/>
  <c r="M10" i="125"/>
  <c r="H51" i="131"/>
  <c r="M18" i="125"/>
  <c r="L24" i="125"/>
  <c r="O17" i="133" s="1"/>
  <c r="O28" i="90"/>
  <c r="Q25" i="90"/>
  <c r="P25" i="90"/>
  <c r="P28" i="90"/>
  <c r="M32" i="125"/>
  <c r="L38" i="125"/>
  <c r="M38" i="125" s="1"/>
  <c r="R24" i="124"/>
  <c r="I34" i="133" s="1"/>
  <c r="I17" i="126"/>
  <c r="H23" i="126"/>
  <c r="I23" i="126" s="1"/>
  <c r="H37" i="126"/>
  <c r="I37" i="126" s="1"/>
  <c r="I31" i="126"/>
  <c r="R38" i="124"/>
  <c r="J41" i="125"/>
  <c r="I9" i="126"/>
  <c r="N17" i="90"/>
  <c r="N33" i="90" s="1"/>
  <c r="H37" i="131"/>
  <c r="R17" i="133" s="1"/>
  <c r="O33" i="90"/>
  <c r="R33" i="90"/>
  <c r="R30" i="90"/>
  <c r="I19" i="21"/>
  <c r="I17" i="21"/>
  <c r="I16" i="21"/>
  <c r="I15" i="21"/>
  <c r="M29" i="90"/>
  <c r="M33" i="90"/>
  <c r="R29" i="90"/>
  <c r="M32" i="90"/>
  <c r="L32" i="90"/>
  <c r="L30" i="90"/>
  <c r="L29" i="90"/>
  <c r="M31" i="90"/>
  <c r="R31" i="90"/>
  <c r="M30" i="90"/>
  <c r="L28" i="90"/>
  <c r="M28" i="90"/>
  <c r="N28" i="90"/>
  <c r="J28" i="90"/>
  <c r="J36" i="90" s="1"/>
  <c r="K28" i="90"/>
  <c r="K36" i="90" s="1"/>
  <c r="I28" i="90"/>
  <c r="I36" i="90" s="1"/>
  <c r="S28" i="90"/>
  <c r="R28" i="90"/>
  <c r="H36" i="90"/>
  <c r="I18" i="25"/>
  <c r="I17" i="25"/>
  <c r="H22" i="25"/>
  <c r="I22" i="25" s="1"/>
  <c r="K25" i="90"/>
  <c r="I13" i="21"/>
  <c r="I9" i="21"/>
  <c r="I11" i="21"/>
  <c r="I21" i="21"/>
  <c r="I15" i="25"/>
  <c r="I14" i="25"/>
  <c r="I11" i="25"/>
  <c r="H22" i="21"/>
  <c r="I22" i="21" s="1"/>
  <c r="I14" i="21"/>
  <c r="I18" i="21"/>
  <c r="I20" i="21"/>
  <c r="T24" i="90"/>
  <c r="M25" i="90"/>
  <c r="I12" i="21"/>
  <c r="S13" i="90"/>
  <c r="S29" i="90" s="1"/>
  <c r="I21" i="22"/>
  <c r="I9" i="93"/>
  <c r="H22" i="93"/>
  <c r="I17" i="22"/>
  <c r="I19" i="22"/>
  <c r="I25" i="90"/>
  <c r="S21" i="90"/>
  <c r="S16" i="90"/>
  <c r="S19" i="90"/>
  <c r="T19" i="90" s="1"/>
  <c r="S14" i="90"/>
  <c r="L17" i="90"/>
  <c r="L22" i="90"/>
  <c r="L15" i="90"/>
  <c r="L20" i="90"/>
  <c r="T18" i="90"/>
  <c r="R25" i="90"/>
  <c r="I15" i="22"/>
  <c r="I11" i="22"/>
  <c r="I18" i="22"/>
  <c r="I9" i="22"/>
  <c r="I14" i="22"/>
  <c r="J25" i="90"/>
  <c r="I16" i="22"/>
  <c r="I13" i="22"/>
  <c r="I12" i="22"/>
  <c r="T11" i="90"/>
  <c r="J12" i="11"/>
  <c r="J23" i="11"/>
  <c r="J24" i="11"/>
  <c r="J11" i="11"/>
  <c r="J15" i="11"/>
  <c r="J14" i="11"/>
  <c r="J9" i="11"/>
  <c r="I20" i="22"/>
  <c r="H50" i="11"/>
  <c r="H22" i="22"/>
  <c r="I22" i="22" s="1"/>
  <c r="I13" i="25"/>
  <c r="G52" i="48"/>
  <c r="I12" i="25"/>
  <c r="I9" i="25"/>
  <c r="J42" i="11"/>
  <c r="I48" i="11"/>
  <c r="J27" i="11"/>
  <c r="I33" i="11"/>
  <c r="G50" i="11"/>
  <c r="J18" i="11"/>
  <c r="I21" i="11"/>
  <c r="J36" i="11"/>
  <c r="I39" i="11"/>
  <c r="R32" i="133" l="1"/>
  <c r="U15" i="133"/>
  <c r="U17" i="133"/>
  <c r="V11" i="133"/>
  <c r="W11" i="133" s="1"/>
  <c r="I37" i="133"/>
  <c r="O31" i="133"/>
  <c r="R14" i="133"/>
  <c r="O34" i="133"/>
  <c r="O37" i="133" s="1"/>
  <c r="I25" i="133"/>
  <c r="O25" i="133"/>
  <c r="M24" i="125"/>
  <c r="D11" i="133"/>
  <c r="E11" i="135"/>
  <c r="D19" i="133"/>
  <c r="E19" i="135"/>
  <c r="F19" i="135" s="1"/>
  <c r="P36" i="90"/>
  <c r="D24" i="133"/>
  <c r="M24" i="133" s="1"/>
  <c r="E24" i="135"/>
  <c r="D18" i="133"/>
  <c r="M18" i="133" s="1"/>
  <c r="E18" i="135"/>
  <c r="F18" i="135" s="1"/>
  <c r="D36" i="133"/>
  <c r="S24" i="124"/>
  <c r="R50" i="124"/>
  <c r="S50" i="124" s="1"/>
  <c r="H54" i="131"/>
  <c r="L41" i="125"/>
  <c r="M41" i="125" s="1"/>
  <c r="O25" i="90"/>
  <c r="N36" i="90"/>
  <c r="H40" i="126"/>
  <c r="I40" i="126" s="1"/>
  <c r="O36" i="90"/>
  <c r="R36" i="90"/>
  <c r="L31" i="90"/>
  <c r="S32" i="90"/>
  <c r="L33" i="90"/>
  <c r="M36" i="90"/>
  <c r="T14" i="90"/>
  <c r="S30" i="90"/>
  <c r="T35" i="90"/>
  <c r="T15" i="90"/>
  <c r="I22" i="93"/>
  <c r="T16" i="90"/>
  <c r="T17" i="90"/>
  <c r="L25" i="90"/>
  <c r="S25" i="90"/>
  <c r="N25" i="90"/>
  <c r="T20" i="90"/>
  <c r="T22" i="90"/>
  <c r="T21" i="90"/>
  <c r="T13" i="90"/>
  <c r="T28" i="90"/>
  <c r="J39" i="11"/>
  <c r="J33" i="11"/>
  <c r="J21" i="11"/>
  <c r="J48" i="11"/>
  <c r="I50" i="11"/>
  <c r="J50" i="11" s="1"/>
  <c r="R31" i="133" l="1"/>
  <c r="U14" i="133"/>
  <c r="U25" i="133" s="1"/>
  <c r="J19" i="133"/>
  <c r="M19" i="133"/>
  <c r="D29" i="133"/>
  <c r="S36" i="133"/>
  <c r="M36" i="133"/>
  <c r="G11" i="133"/>
  <c r="P11" i="133"/>
  <c r="P19" i="133"/>
  <c r="R34" i="133"/>
  <c r="R37" i="133" s="1"/>
  <c r="R25" i="133"/>
  <c r="D15" i="133"/>
  <c r="E15" i="135"/>
  <c r="S18" i="133"/>
  <c r="P18" i="133"/>
  <c r="E36" i="135"/>
  <c r="F36" i="135" s="1"/>
  <c r="F24" i="135"/>
  <c r="S24" i="133"/>
  <c r="D14" i="133"/>
  <c r="E14" i="135"/>
  <c r="D17" i="133"/>
  <c r="E17" i="135"/>
  <c r="G24" i="133"/>
  <c r="D13" i="133"/>
  <c r="M13" i="133" s="1"/>
  <c r="E13" i="135"/>
  <c r="J24" i="133"/>
  <c r="E29" i="135"/>
  <c r="F11" i="135"/>
  <c r="D22" i="133"/>
  <c r="E22" i="135"/>
  <c r="F22" i="135" s="1"/>
  <c r="D20" i="133"/>
  <c r="M20" i="133" s="1"/>
  <c r="E20" i="135"/>
  <c r="F20" i="135" s="1"/>
  <c r="J18" i="133"/>
  <c r="G18" i="133"/>
  <c r="S19" i="133"/>
  <c r="D16" i="133"/>
  <c r="E16" i="135"/>
  <c r="G19" i="133"/>
  <c r="D21" i="133"/>
  <c r="E21" i="135"/>
  <c r="F21" i="135" s="1"/>
  <c r="P24" i="133"/>
  <c r="S11" i="133"/>
  <c r="J36" i="133"/>
  <c r="G36" i="133"/>
  <c r="P36" i="133"/>
  <c r="J29" i="133"/>
  <c r="G29" i="133"/>
  <c r="L36" i="90"/>
  <c r="T30" i="90"/>
  <c r="S36" i="90"/>
  <c r="T29" i="90"/>
  <c r="T31" i="90"/>
  <c r="T33" i="90"/>
  <c r="T32" i="90"/>
  <c r="T25" i="90"/>
  <c r="P22" i="133" l="1"/>
  <c r="M22" i="133"/>
  <c r="S29" i="133"/>
  <c r="M29" i="133"/>
  <c r="G17" i="133"/>
  <c r="M17" i="133"/>
  <c r="G14" i="133"/>
  <c r="M14" i="133"/>
  <c r="G16" i="133"/>
  <c r="M16" i="133"/>
  <c r="J21" i="133"/>
  <c r="M21" i="133"/>
  <c r="P29" i="133"/>
  <c r="J15" i="133"/>
  <c r="M15" i="133"/>
  <c r="P15" i="133"/>
  <c r="J16" i="133"/>
  <c r="G15" i="133"/>
  <c r="P14" i="133"/>
  <c r="D31" i="133"/>
  <c r="G22" i="133"/>
  <c r="I24" i="135"/>
  <c r="L24" i="135" s="1"/>
  <c r="V24" i="133"/>
  <c r="V36" i="133" s="1"/>
  <c r="W36" i="133" s="1"/>
  <c r="U36" i="133"/>
  <c r="D33" i="133"/>
  <c r="S21" i="133"/>
  <c r="E30" i="135"/>
  <c r="F30" i="135" s="1"/>
  <c r="F13" i="135"/>
  <c r="P21" i="133"/>
  <c r="S13" i="133"/>
  <c r="E33" i="135"/>
  <c r="F33" i="135" s="1"/>
  <c r="F16" i="135"/>
  <c r="S16" i="133"/>
  <c r="F17" i="135"/>
  <c r="E34" i="135"/>
  <c r="F34" i="135" s="1"/>
  <c r="P16" i="133"/>
  <c r="J13" i="133"/>
  <c r="I19" i="135"/>
  <c r="L19" i="135" s="1"/>
  <c r="V19" i="133"/>
  <c r="W19" i="133" s="1"/>
  <c r="S17" i="133"/>
  <c r="I11" i="135"/>
  <c r="J11" i="135" s="1"/>
  <c r="U29" i="133"/>
  <c r="F29" i="135"/>
  <c r="F14" i="135"/>
  <c r="E31" i="135"/>
  <c r="F31" i="135" s="1"/>
  <c r="E25" i="135"/>
  <c r="F25" i="135" s="1"/>
  <c r="E32" i="135"/>
  <c r="F32" i="135" s="1"/>
  <c r="F15" i="135"/>
  <c r="S20" i="133"/>
  <c r="P13" i="133"/>
  <c r="G13" i="133"/>
  <c r="G21" i="133"/>
  <c r="J22" i="133"/>
  <c r="S22" i="133"/>
  <c r="D30" i="133"/>
  <c r="P20" i="133"/>
  <c r="I18" i="135"/>
  <c r="J18" i="135" s="1"/>
  <c r="V18" i="133"/>
  <c r="W18" i="133" s="1"/>
  <c r="D25" i="133"/>
  <c r="M25" i="133" s="1"/>
  <c r="D32" i="133"/>
  <c r="J17" i="133"/>
  <c r="G20" i="133"/>
  <c r="S14" i="133"/>
  <c r="D34" i="133"/>
  <c r="J14" i="133"/>
  <c r="P17" i="133"/>
  <c r="J20" i="133"/>
  <c r="S15" i="133"/>
  <c r="V29" i="133"/>
  <c r="W29" i="133" s="1"/>
  <c r="G30" i="133"/>
  <c r="T36" i="90"/>
  <c r="S31" i="133" l="1"/>
  <c r="M31" i="133"/>
  <c r="S34" i="133"/>
  <c r="M34" i="133"/>
  <c r="S32" i="133"/>
  <c r="M32" i="133"/>
  <c r="S25" i="133"/>
  <c r="S30" i="133"/>
  <c r="M30" i="133"/>
  <c r="S33" i="133"/>
  <c r="M33" i="133"/>
  <c r="J24" i="135"/>
  <c r="I36" i="135"/>
  <c r="W24" i="133"/>
  <c r="J31" i="133"/>
  <c r="P33" i="133"/>
  <c r="L18" i="135"/>
  <c r="N18" i="135" s="1"/>
  <c r="N19" i="135"/>
  <c r="J19" i="135"/>
  <c r="P30" i="133"/>
  <c r="J30" i="133"/>
  <c r="P31" i="133"/>
  <c r="G31" i="133"/>
  <c r="J34" i="133"/>
  <c r="G32" i="133"/>
  <c r="P32" i="133"/>
  <c r="G25" i="133"/>
  <c r="P25" i="133"/>
  <c r="J25" i="133"/>
  <c r="U34" i="133"/>
  <c r="I17" i="135"/>
  <c r="L17" i="135" s="1"/>
  <c r="V17" i="133"/>
  <c r="W17" i="133" s="1"/>
  <c r="I29" i="135"/>
  <c r="L29" i="135" s="1"/>
  <c r="N29" i="135" s="1"/>
  <c r="V22" i="133"/>
  <c r="W22" i="133" s="1"/>
  <c r="I22" i="135"/>
  <c r="L22" i="135" s="1"/>
  <c r="I21" i="135"/>
  <c r="J21" i="135" s="1"/>
  <c r="V21" i="133"/>
  <c r="W21" i="133" s="1"/>
  <c r="L11" i="135"/>
  <c r="N11" i="135" s="1"/>
  <c r="J33" i="133"/>
  <c r="P34" i="133"/>
  <c r="I14" i="135"/>
  <c r="I31" i="135" s="1"/>
  <c r="U31" i="133"/>
  <c r="V14" i="133"/>
  <c r="V31" i="133" s="1"/>
  <c r="W31" i="133" s="1"/>
  <c r="E37" i="135"/>
  <c r="F37" i="135" s="1"/>
  <c r="V13" i="133"/>
  <c r="W13" i="133" s="1"/>
  <c r="U30" i="133"/>
  <c r="I13" i="135"/>
  <c r="I30" i="135" s="1"/>
  <c r="U32" i="133"/>
  <c r="I15" i="135"/>
  <c r="J15" i="135" s="1"/>
  <c r="V15" i="133"/>
  <c r="W15" i="133" s="1"/>
  <c r="I16" i="135"/>
  <c r="J16" i="135" s="1"/>
  <c r="V16" i="133"/>
  <c r="V33" i="133" s="1"/>
  <c r="W33" i="133" s="1"/>
  <c r="U33" i="133"/>
  <c r="D37" i="133"/>
  <c r="G33" i="133"/>
  <c r="G34" i="133"/>
  <c r="J32" i="133"/>
  <c r="V20" i="133"/>
  <c r="W20" i="133" s="1"/>
  <c r="I20" i="135"/>
  <c r="L20" i="135" s="1"/>
  <c r="J36" i="135"/>
  <c r="L36" i="135"/>
  <c r="N36" i="135" s="1"/>
  <c r="N24" i="135"/>
  <c r="H24" i="48"/>
  <c r="I24" i="48" s="1"/>
  <c r="H32" i="48"/>
  <c r="I32" i="48" s="1"/>
  <c r="S37" i="133" l="1"/>
  <c r="M37" i="133"/>
  <c r="J22" i="135"/>
  <c r="N20" i="135"/>
  <c r="V30" i="133"/>
  <c r="W30" i="133" s="1"/>
  <c r="P37" i="133"/>
  <c r="J37" i="133"/>
  <c r="L15" i="135"/>
  <c r="U37" i="133"/>
  <c r="I34" i="135"/>
  <c r="J34" i="135" s="1"/>
  <c r="L14" i="135"/>
  <c r="J29" i="135"/>
  <c r="I25" i="135"/>
  <c r="L25" i="135" s="1"/>
  <c r="J17" i="135"/>
  <c r="J13" i="135"/>
  <c r="L13" i="135"/>
  <c r="N13" i="135" s="1"/>
  <c r="J14" i="135"/>
  <c r="I32" i="135"/>
  <c r="J20" i="135"/>
  <c r="N15" i="135"/>
  <c r="L16" i="135"/>
  <c r="V34" i="133"/>
  <c r="W34" i="133" s="1"/>
  <c r="N17" i="135"/>
  <c r="V32" i="133"/>
  <c r="W32" i="133" s="1"/>
  <c r="I33" i="135"/>
  <c r="J33" i="135" s="1"/>
  <c r="W16" i="133"/>
  <c r="L21" i="135"/>
  <c r="N21" i="135" s="1"/>
  <c r="V25" i="133"/>
  <c r="W25" i="133" s="1"/>
  <c r="G37" i="133"/>
  <c r="W14" i="133"/>
  <c r="J31" i="135"/>
  <c r="L31" i="135"/>
  <c r="N31" i="135" s="1"/>
  <c r="L30" i="135"/>
  <c r="N30" i="135" s="1"/>
  <c r="J30" i="135"/>
  <c r="N22" i="135"/>
  <c r="H20" i="60"/>
  <c r="I20" i="60" s="1"/>
  <c r="J20" i="60" s="1"/>
  <c r="L34" i="135" l="1"/>
  <c r="I37" i="135"/>
  <c r="L37" i="135" s="1"/>
  <c r="N16" i="135"/>
  <c r="J25" i="135"/>
  <c r="J32" i="135"/>
  <c r="N14" i="135"/>
  <c r="L32" i="135"/>
  <c r="N32" i="135" s="1"/>
  <c r="L33" i="135"/>
  <c r="N33" i="135" s="1"/>
  <c r="V37" i="133"/>
  <c r="W37" i="133" s="1"/>
  <c r="N25" i="135"/>
  <c r="N34" i="135"/>
  <c r="H35" i="60"/>
  <c r="I35" i="60" s="1"/>
  <c r="J35" i="60" s="1"/>
  <c r="J37" i="135" l="1"/>
  <c r="N37" i="135"/>
  <c r="H25" i="60"/>
  <c r="I25" i="60" s="1"/>
  <c r="J25" i="60" s="1"/>
  <c r="H30" i="60"/>
  <c r="I30" i="60" s="1"/>
  <c r="J30" i="60" s="1"/>
  <c r="K12" i="24" l="1"/>
  <c r="M12" i="24" s="1"/>
  <c r="N12" i="24" s="1"/>
  <c r="K13" i="24"/>
  <c r="M13" i="24" s="1"/>
  <c r="N13" i="24" s="1"/>
  <c r="K10" i="24"/>
  <c r="K11" i="24"/>
  <c r="M11" i="24" s="1"/>
  <c r="N11" i="24" s="1"/>
  <c r="K14" i="24"/>
  <c r="M14" i="24" s="1"/>
  <c r="N14" i="24" s="1"/>
  <c r="K16" i="24" l="1"/>
  <c r="M16" i="24" s="1"/>
  <c r="N16" i="24" s="1"/>
  <c r="O16" i="24" s="1"/>
  <c r="O12" i="24"/>
  <c r="O13" i="24"/>
  <c r="K15" i="24"/>
  <c r="M15" i="24" s="1"/>
  <c r="N15" i="24" s="1"/>
  <c r="O11" i="24"/>
  <c r="O14" i="24"/>
  <c r="M10" i="24"/>
  <c r="O15" i="24" l="1"/>
  <c r="M17" i="24"/>
  <c r="N10" i="24"/>
  <c r="N17" i="24" l="1"/>
  <c r="O17" i="24" s="1"/>
  <c r="O10" i="24"/>
  <c r="H16" i="60" l="1"/>
  <c r="I16" i="60" s="1"/>
  <c r="J16" i="60" l="1"/>
  <c r="H34" i="60"/>
  <c r="H24" i="60"/>
  <c r="H13" i="60"/>
  <c r="I13" i="60" s="1"/>
  <c r="I24" i="60" l="1"/>
  <c r="H26" i="60"/>
  <c r="H36" i="60"/>
  <c r="I34" i="60"/>
  <c r="J13" i="60"/>
  <c r="H19" i="60"/>
  <c r="H29" i="60"/>
  <c r="I10" i="60" l="1"/>
  <c r="I29" i="60"/>
  <c r="H31" i="60"/>
  <c r="I19" i="60"/>
  <c r="H21" i="60"/>
  <c r="H38" i="60" s="1"/>
  <c r="J34" i="60"/>
  <c r="I36" i="60"/>
  <c r="J24" i="60"/>
  <c r="I26" i="60"/>
  <c r="J26" i="60" l="1"/>
  <c r="I21" i="60"/>
  <c r="J19" i="60"/>
  <c r="J10" i="60"/>
  <c r="J29" i="60"/>
  <c r="I31" i="60"/>
  <c r="J36" i="60"/>
  <c r="I38" i="60" l="1"/>
  <c r="J38" i="60" s="1"/>
  <c r="J21" i="60"/>
  <c r="J31" i="60"/>
  <c r="H13" i="48" l="1"/>
  <c r="H14" i="48"/>
  <c r="I14" i="48" s="1"/>
  <c r="J14" i="48" s="1"/>
  <c r="H15" i="48" l="1"/>
  <c r="I13" i="48"/>
  <c r="H18" i="48"/>
  <c r="I18" i="48" s="1"/>
  <c r="J18" i="48" l="1"/>
  <c r="I15" i="48"/>
  <c r="J13" i="48"/>
  <c r="J15" i="48" l="1"/>
  <c r="H10" i="48" l="1"/>
  <c r="I10" i="48" l="1"/>
  <c r="J10" i="48" l="1"/>
  <c r="H38" i="48" l="1"/>
  <c r="H42" i="48"/>
  <c r="I42" i="48" s="1"/>
  <c r="J42" i="48" s="1"/>
  <c r="H22" i="48"/>
  <c r="I22" i="48" s="1"/>
  <c r="J22" i="48" s="1"/>
  <c r="H33" i="48"/>
  <c r="I33" i="48" s="1"/>
  <c r="J33" i="48" s="1"/>
  <c r="H48" i="48"/>
  <c r="I48" i="48" s="1"/>
  <c r="J48" i="48" s="1"/>
  <c r="H41" i="48"/>
  <c r="I41" i="48" s="1"/>
  <c r="J41" i="48" s="1"/>
  <c r="H21" i="48"/>
  <c r="H26" i="48"/>
  <c r="I26" i="48" s="1"/>
  <c r="J26" i="48" s="1"/>
  <c r="H30" i="48"/>
  <c r="H46" i="48"/>
  <c r="H34" i="48"/>
  <c r="I34" i="48" s="1"/>
  <c r="J34" i="48" s="1"/>
  <c r="H39" i="48"/>
  <c r="I39" i="48" s="1"/>
  <c r="J39" i="48" s="1"/>
  <c r="H25" i="48"/>
  <c r="I25" i="48" s="1"/>
  <c r="J25" i="48" s="1"/>
  <c r="H49" i="48"/>
  <c r="I49" i="48" s="1"/>
  <c r="J49" i="48" s="1"/>
  <c r="H50" i="48" l="1"/>
  <c r="I46" i="48"/>
  <c r="H43" i="48"/>
  <c r="I38" i="48"/>
  <c r="I30" i="48"/>
  <c r="H35" i="48"/>
  <c r="H27" i="48"/>
  <c r="H52" i="48" s="1"/>
  <c r="I21" i="48"/>
  <c r="I27" i="48" l="1"/>
  <c r="J21" i="48"/>
  <c r="I43" i="48"/>
  <c r="J38" i="48"/>
  <c r="J30" i="48"/>
  <c r="I35" i="48"/>
  <c r="J46" i="48"/>
  <c r="I50" i="48"/>
  <c r="J35" i="48" l="1"/>
  <c r="J50" i="48"/>
  <c r="J43" i="48"/>
  <c r="J27" i="48"/>
  <c r="I52" i="48"/>
  <c r="J52" i="48" s="1"/>
</calcChain>
</file>

<file path=xl/sharedStrings.xml><?xml version="1.0" encoding="utf-8"?>
<sst xmlns="http://schemas.openxmlformats.org/spreadsheetml/2006/main" count="2029" uniqueCount="460">
  <si>
    <t>Puget Sound Energy</t>
  </si>
  <si>
    <t>Proposed</t>
  </si>
  <si>
    <t>Revenue</t>
  </si>
  <si>
    <t>Volume (Therms)</t>
  </si>
  <si>
    <t>Rate Class</t>
  </si>
  <si>
    <t>Current</t>
  </si>
  <si>
    <t>Total</t>
  </si>
  <si>
    <t>Residential</t>
  </si>
  <si>
    <t>Commercial &amp; Industrial</t>
  </si>
  <si>
    <t>Large Volume</t>
  </si>
  <si>
    <t>Interruptible</t>
  </si>
  <si>
    <t>Limited Interruptible</t>
  </si>
  <si>
    <t>Non-exclusive Interruptible</t>
  </si>
  <si>
    <t>Contracts</t>
  </si>
  <si>
    <t>Subtotal</t>
  </si>
  <si>
    <t>Forecasted</t>
  </si>
  <si>
    <t>Sched 140</t>
  </si>
  <si>
    <t>Rate</t>
  </si>
  <si>
    <t>Sched 101</t>
  </si>
  <si>
    <t>Sched 106</t>
  </si>
  <si>
    <t>Percent</t>
  </si>
  <si>
    <t>Schedule</t>
  </si>
  <si>
    <t>Rates</t>
  </si>
  <si>
    <t>Current Rates</t>
  </si>
  <si>
    <t>Change</t>
  </si>
  <si>
    <t>A</t>
  </si>
  <si>
    <t>B</t>
  </si>
  <si>
    <t>C</t>
  </si>
  <si>
    <t>D</t>
  </si>
  <si>
    <t>J</t>
  </si>
  <si>
    <t>23,53</t>
  </si>
  <si>
    <t>Residential Gas Lights</t>
  </si>
  <si>
    <t>Commercial &amp; Industrial Transportation</t>
  </si>
  <si>
    <t>31T</t>
  </si>
  <si>
    <t>Large Volume Transportation</t>
  </si>
  <si>
    <t>41T</t>
  </si>
  <si>
    <t>Interruptible Transportation</t>
  </si>
  <si>
    <t>85T</t>
  </si>
  <si>
    <t>Limited Interruptible Transportation</t>
  </si>
  <si>
    <t>86T</t>
  </si>
  <si>
    <t>Non-exclusive Interruptible Transportation</t>
  </si>
  <si>
    <t>87T</t>
  </si>
  <si>
    <t>Check</t>
  </si>
  <si>
    <t>Sched 120</t>
  </si>
  <si>
    <t>K</t>
  </si>
  <si>
    <t>Sch 142</t>
  </si>
  <si>
    <t>Decoupling</t>
  </si>
  <si>
    <t>23/53</t>
  </si>
  <si>
    <t>Commercial &amp; industrial</t>
  </si>
  <si>
    <t>Large volume</t>
  </si>
  <si>
    <t>Demand Charge</t>
  </si>
  <si>
    <t>Delivery Charge:</t>
  </si>
  <si>
    <t>901 to 5,000 therms</t>
  </si>
  <si>
    <t>Over 5,000 therms</t>
  </si>
  <si>
    <t>Large volume - Trans.</t>
  </si>
  <si>
    <t>Procurement Charge</t>
  </si>
  <si>
    <t>First 25,000 therms</t>
  </si>
  <si>
    <t>Next 25,000 therms</t>
  </si>
  <si>
    <t>Over 50,000 therms</t>
  </si>
  <si>
    <t>First 1,000 therms</t>
  </si>
  <si>
    <t>Over 1,000 therms</t>
  </si>
  <si>
    <t>Limited Interruptible - Trans.</t>
  </si>
  <si>
    <t>Next 50,000 therms</t>
  </si>
  <si>
    <t>Next 100,000 therms</t>
  </si>
  <si>
    <t>Next 300,000 therms</t>
  </si>
  <si>
    <t>Over 500,000 therms</t>
  </si>
  <si>
    <t>Firm Sales</t>
  </si>
  <si>
    <t>Interruptible Sales</t>
  </si>
  <si>
    <t>Total Sales</t>
  </si>
  <si>
    <t>Transport</t>
  </si>
  <si>
    <t>check</t>
  </si>
  <si>
    <t>Sched 149</t>
  </si>
  <si>
    <t>H</t>
  </si>
  <si>
    <t>L</t>
  </si>
  <si>
    <t>N</t>
  </si>
  <si>
    <t>Sched 129</t>
  </si>
  <si>
    <t>Customer Class</t>
  </si>
  <si>
    <t>Transportation</t>
  </si>
  <si>
    <t xml:space="preserve">Weather Normalized Bill Frequency </t>
  </si>
  <si>
    <t>Schedule Number</t>
  </si>
  <si>
    <t>41T-C</t>
  </si>
  <si>
    <t>First 900 therms</t>
  </si>
  <si>
    <t>Next 4,100 therms</t>
  </si>
  <si>
    <t>All over 5,000 therms</t>
  </si>
  <si>
    <t>41T-I</t>
  </si>
  <si>
    <t>85T-C</t>
  </si>
  <si>
    <t>All over 50,000 therms</t>
  </si>
  <si>
    <t>85T-I</t>
  </si>
  <si>
    <t>86TG-I</t>
  </si>
  <si>
    <t>All over 1,000 therms</t>
  </si>
  <si>
    <t>87T-C</t>
  </si>
  <si>
    <t>All over 500,000 therms</t>
  </si>
  <si>
    <t>87T-I</t>
  </si>
  <si>
    <t xml:space="preserve">First 900 therms or less  </t>
  </si>
  <si>
    <t xml:space="preserve">Weather Normalized Therms By Block </t>
  </si>
  <si>
    <t>41G</t>
  </si>
  <si>
    <t>85G</t>
  </si>
  <si>
    <t>86G</t>
  </si>
  <si>
    <t>87G</t>
  </si>
  <si>
    <t>12 MO Total</t>
  </si>
  <si>
    <t>Demand</t>
  </si>
  <si>
    <t>Commercial &amp; industrial - Trans.</t>
  </si>
  <si>
    <t>Description</t>
  </si>
  <si>
    <t>Schedule 23 Residential</t>
  </si>
  <si>
    <t>Schedule 16 Gas Lights</t>
  </si>
  <si>
    <t>Schedule 31 Commercial &amp; Industrial - Sales</t>
  </si>
  <si>
    <t>Schedule 41 Large Volume High Load Factor - Sales</t>
  </si>
  <si>
    <t>Total Volume</t>
  </si>
  <si>
    <t>Schedule 85 Interruptible - Sales</t>
  </si>
  <si>
    <t>First 25,000 Therms</t>
  </si>
  <si>
    <t>Next 25,000 Therms</t>
  </si>
  <si>
    <t>All over 50,000 Therms</t>
  </si>
  <si>
    <t>Next 50,000 Therms</t>
  </si>
  <si>
    <t>Schedule 86 Limited Interruptible - Sales</t>
  </si>
  <si>
    <t>Schedule 87 Non-exclusive Interruptible - Sales</t>
  </si>
  <si>
    <t>Units</t>
  </si>
  <si>
    <t>Basic Charge</t>
  </si>
  <si>
    <t>Bills</t>
  </si>
  <si>
    <t>Delivery Charge</t>
  </si>
  <si>
    <t>Therms</t>
  </si>
  <si>
    <t>Mantles</t>
  </si>
  <si>
    <t>Minimum Bill</t>
  </si>
  <si>
    <t>Minimum Bills</t>
  </si>
  <si>
    <t>Revenue Change</t>
  </si>
  <si>
    <t xml:space="preserve">Rate </t>
  </si>
  <si>
    <t>31, 31T</t>
  </si>
  <si>
    <t>41, 41T</t>
  </si>
  <si>
    <t>86, 86T</t>
  </si>
  <si>
    <t>87, 87T</t>
  </si>
  <si>
    <t>85, 85T</t>
  </si>
  <si>
    <t>I</t>
  </si>
  <si>
    <t>M</t>
  </si>
  <si>
    <t>O</t>
  </si>
  <si>
    <t>P</t>
  </si>
  <si>
    <t xml:space="preserve">Billing </t>
  </si>
  <si>
    <t xml:space="preserve">Difference </t>
  </si>
  <si>
    <t>Target</t>
  </si>
  <si>
    <t>Determinants</t>
  </si>
  <si>
    <t>Revenues</t>
  </si>
  <si>
    <t>$</t>
  </si>
  <si>
    <t>%</t>
  </si>
  <si>
    <t>Increase</t>
  </si>
  <si>
    <t>Schedule 23</t>
  </si>
  <si>
    <t>over (under)</t>
  </si>
  <si>
    <t>Schedule 53</t>
  </si>
  <si>
    <t>Total Delivery Charges</t>
  </si>
  <si>
    <t>Schedule 16</t>
  </si>
  <si>
    <t>Total Delivery Charge</t>
  </si>
  <si>
    <t>Calculated Total Therms</t>
  </si>
  <si>
    <t>Residential Summary</t>
  </si>
  <si>
    <t>Schedule 31 - Sales</t>
  </si>
  <si>
    <t>TARGET 31/31T</t>
  </si>
  <si>
    <t>Schedule 31 - Transportation</t>
  </si>
  <si>
    <t>Schedule 31 - Total</t>
  </si>
  <si>
    <t>Schedule 41 - Sales</t>
  </si>
  <si>
    <t>TARGET 41/41T</t>
  </si>
  <si>
    <t>in minimum bills</t>
  </si>
  <si>
    <t>Schedule 41 - Transportation</t>
  </si>
  <si>
    <t>Schedule 41 - Total</t>
  </si>
  <si>
    <t>Commercial &amp; Industrial Summary</t>
  </si>
  <si>
    <t>Schedule 41, 41T</t>
  </si>
  <si>
    <t>Schedules 31, 31T</t>
  </si>
  <si>
    <t>Schedule 85 - Sales</t>
  </si>
  <si>
    <t>TARGET 85/85T</t>
  </si>
  <si>
    <t>Schedule 85 - Transportation</t>
  </si>
  <si>
    <t>Schedule 85 - Total</t>
  </si>
  <si>
    <t>Schedule 86 - Sales</t>
  </si>
  <si>
    <t>TARGET 86/86T</t>
  </si>
  <si>
    <t>Schedule 86 - Transportation</t>
  </si>
  <si>
    <t>Schedule 86 - Total</t>
  </si>
  <si>
    <t>Schedule 87 - Sales</t>
  </si>
  <si>
    <t>TARGET 87/87T</t>
  </si>
  <si>
    <t xml:space="preserve"> </t>
  </si>
  <si>
    <t>Schedule 87 - Transportation</t>
  </si>
  <si>
    <t>Schedule 87 - Total</t>
  </si>
  <si>
    <t>Interruptible Summary</t>
  </si>
  <si>
    <t>Schedules 85, 85T</t>
  </si>
  <si>
    <t>Schedules 86, 86T</t>
  </si>
  <si>
    <t>Schedules 87, 87T</t>
  </si>
  <si>
    <t>Total Summary</t>
  </si>
  <si>
    <t>Plus Contracts</t>
  </si>
  <si>
    <t>Grand Total</t>
  </si>
  <si>
    <t>Proposed Rates</t>
  </si>
  <si>
    <t>Sched 142</t>
  </si>
  <si>
    <t>Rate Change Impacts by Rate Schedule</t>
  </si>
  <si>
    <t>Volume</t>
  </si>
  <si>
    <t>Total Forecasted</t>
  </si>
  <si>
    <r>
      <t>(Therms)</t>
    </r>
    <r>
      <rPr>
        <vertAlign val="superscript"/>
        <sz val="11"/>
        <color theme="1"/>
        <rFont val="Calibri"/>
        <family val="2"/>
      </rPr>
      <t xml:space="preserve"> (1)</t>
    </r>
  </si>
  <si>
    <r>
      <t>Revenue</t>
    </r>
    <r>
      <rPr>
        <vertAlign val="superscript"/>
        <sz val="11"/>
        <color theme="1"/>
        <rFont val="Calibri"/>
        <family val="2"/>
      </rPr>
      <t xml:space="preserve"> (1)</t>
    </r>
  </si>
  <si>
    <t>$/Therm</t>
  </si>
  <si>
    <t>E=D/C</t>
  </si>
  <si>
    <t xml:space="preserve">F </t>
  </si>
  <si>
    <t xml:space="preserve">G=E*F </t>
  </si>
  <si>
    <t xml:space="preserve">SCH 106 </t>
  </si>
  <si>
    <t>SCH 106</t>
  </si>
  <si>
    <t>(Tracker)</t>
  </si>
  <si>
    <t>Combined</t>
  </si>
  <si>
    <t>SCH 106-A</t>
  </si>
  <si>
    <t>SCH 106-B</t>
  </si>
  <si>
    <t xml:space="preserve">(Supp) </t>
  </si>
  <si>
    <t>0 to 900 therms</t>
  </si>
  <si>
    <t>Gas Schedule 101</t>
  </si>
  <si>
    <t>Purchased Gas Adjustment</t>
  </si>
  <si>
    <t>Purchased Gas Adjustment - Deferred Account Adjustment</t>
  </si>
  <si>
    <t>Gas Schedule 120</t>
  </si>
  <si>
    <t>Conservation Program Tracker</t>
  </si>
  <si>
    <t>Gas Schedule 129</t>
  </si>
  <si>
    <t>Low Income Program</t>
  </si>
  <si>
    <t>Gas Schedule 140</t>
  </si>
  <si>
    <t>Property Tax Tracker</t>
  </si>
  <si>
    <t>Gas Schedule 142</t>
  </si>
  <si>
    <t>Revenue Decoupling Adjustment Mechanism - Decoupling Rates</t>
  </si>
  <si>
    <t>Gas Schedule 149</t>
  </si>
  <si>
    <t>Gas Schedule 106</t>
  </si>
  <si>
    <t>By Customer Class:</t>
  </si>
  <si>
    <t>Gas Schedule 141Z</t>
  </si>
  <si>
    <t>Unprotected Excess Deferred Income Taxes (EDIT)</t>
  </si>
  <si>
    <t>Sched 141Z</t>
  </si>
  <si>
    <t>Current and Proposed Rates by Rate Schedule (Schedules 16, 23 &amp; 53)</t>
  </si>
  <si>
    <t>(1) Schedule 101 rates in effective November 1, 2018</t>
  </si>
  <si>
    <t>Current and Proposed Rates by Rate Schedule (Schedules 31, 31T, 41 &amp; 41T)</t>
  </si>
  <si>
    <t>Current and Proposed Rates by Rate Schedule (Schedules 85, 85T, 86, 86T, 87 &amp; 87T)</t>
  </si>
  <si>
    <t>Rates Effective October 1, 2020</t>
  </si>
  <si>
    <r>
      <t>Revenue</t>
    </r>
    <r>
      <rPr>
        <vertAlign val="superscript"/>
        <sz val="11"/>
        <color theme="1"/>
        <rFont val="Calibri"/>
        <family val="2"/>
        <scheme val="minor"/>
      </rPr>
      <t xml:space="preserve"> (2)</t>
    </r>
  </si>
  <si>
    <t>Typical Residential Bill Impacts</t>
  </si>
  <si>
    <r>
      <t>Rates</t>
    </r>
    <r>
      <rPr>
        <vertAlign val="superscript"/>
        <sz val="11"/>
        <rFont val="Calibri"/>
        <family val="2"/>
        <scheme val="minor"/>
      </rPr>
      <t xml:space="preserve"> (1)</t>
    </r>
  </si>
  <si>
    <t>Charges</t>
  </si>
  <si>
    <t>Volume (therms)</t>
  </si>
  <si>
    <t>Customer charge ($/month)</t>
  </si>
  <si>
    <t>Volumetric charges ($/therm)</t>
  </si>
  <si>
    <t>Total volumetric charges</t>
  </si>
  <si>
    <t>Total monthly bill</t>
  </si>
  <si>
    <t>Change from bill under current rates</t>
  </si>
  <si>
    <t>Percent change from bill under current rates</t>
  </si>
  <si>
    <t>Total volumetric rates less gas costs</t>
  </si>
  <si>
    <t>23,16,53</t>
  </si>
  <si>
    <t>Gas Forecasted Delivered Volume (Therms)</t>
  </si>
  <si>
    <t>Sch. 101</t>
  </si>
  <si>
    <t>Sch. 106</t>
  </si>
  <si>
    <t>Sch. 120</t>
  </si>
  <si>
    <t>Sch. 140</t>
  </si>
  <si>
    <t>Sch. 142</t>
  </si>
  <si>
    <t>Basic charge (Sch. 23)</t>
  </si>
  <si>
    <t>Delivery charge (Sch. 23)</t>
  </si>
  <si>
    <t>Low income charge (Sch. 129)</t>
  </si>
  <si>
    <t>Property tax charge (Sch. 140)</t>
  </si>
  <si>
    <t>UP EDIT adjusting charge (Sch. 141Z)</t>
  </si>
  <si>
    <t>Decoupling charge (Sch. 142)</t>
  </si>
  <si>
    <t>Conservation charge (Sch. 120)</t>
  </si>
  <si>
    <t>Gas cost charge (Sch. 101)</t>
  </si>
  <si>
    <t>Gas cost amort. charge (Sch. 106)</t>
  </si>
  <si>
    <t>Rate Change</t>
  </si>
  <si>
    <t>Base Schedule</t>
  </si>
  <si>
    <t>Sch. 129</t>
  </si>
  <si>
    <t>Sch. 141Z</t>
  </si>
  <si>
    <t>Base Sch.</t>
  </si>
  <si>
    <t>16,23,53</t>
  </si>
  <si>
    <t>31,31T</t>
  </si>
  <si>
    <t>41,41T</t>
  </si>
  <si>
    <t>85,85T</t>
  </si>
  <si>
    <t>86,86T</t>
  </si>
  <si>
    <t>87,87T</t>
  </si>
  <si>
    <t>Limited interruptible</t>
  </si>
  <si>
    <t>Non-exclusive interruptible</t>
  </si>
  <si>
    <t>Pipeline Replacement Cost Recovery Mechanism (CRM)</t>
  </si>
  <si>
    <t>Gas Forecasted Demand Volume (Therms)</t>
  </si>
  <si>
    <t>Rates Effective November 1, 2022</t>
  </si>
  <si>
    <t>Rates Effective January 7, 2023</t>
  </si>
  <si>
    <t>Gas Schedule 141D</t>
  </si>
  <si>
    <t>Pipeline Provisional Recovery Adjustment</t>
  </si>
  <si>
    <t>Sched 141D</t>
  </si>
  <si>
    <t>Gas Schedule 141N</t>
  </si>
  <si>
    <t>Non-Refundable Rate Plan Rates</t>
  </si>
  <si>
    <t>Sched 141N</t>
  </si>
  <si>
    <t>Gas Schedule 141R</t>
  </si>
  <si>
    <t>Refundable Rate Plan Rates</t>
  </si>
  <si>
    <t>Sched 141R</t>
  </si>
  <si>
    <r>
      <rPr>
        <vertAlign val="superscript"/>
        <sz val="11"/>
        <color theme="1"/>
        <rFont val="Calibri"/>
        <family val="2"/>
      </rPr>
      <t xml:space="preserve">(1) </t>
    </r>
    <r>
      <rPr>
        <sz val="11"/>
        <color theme="1"/>
        <rFont val="Calibri"/>
        <family val="2"/>
        <scheme val="minor"/>
      </rPr>
      <t>Weather normalized volume and base schedule margin for 12 months ending June 2021, at approved rates from UG-220067 GRC compliance filing.</t>
    </r>
  </si>
  <si>
    <t>UG-220067</t>
  </si>
  <si>
    <t>Rates Not Subject to Refund (Sch. 141N)</t>
  </si>
  <si>
    <t>Rates Subject to Refund (Sch. 141R)</t>
  </si>
  <si>
    <t>Dist. Pipeline Provisional (Sch. 141D)</t>
  </si>
  <si>
    <t>Sch. 141D</t>
  </si>
  <si>
    <t>Sch. 141N</t>
  </si>
  <si>
    <t>Sch. 141R</t>
  </si>
  <si>
    <t>Q</t>
  </si>
  <si>
    <t>Current Base Rates</t>
  </si>
  <si>
    <t>Proposed Base Rates</t>
  </si>
  <si>
    <t>TARGET</t>
  </si>
  <si>
    <t>Total Base Revenues</t>
  </si>
  <si>
    <t>Total Residential Base Revenues</t>
  </si>
  <si>
    <t>Backup</t>
  </si>
  <si>
    <t>Delta</t>
  </si>
  <si>
    <t>2022 Gas General Rate Case Filing</t>
  </si>
  <si>
    <t>Gas Rate Spread &amp; Design Work Paper</t>
  </si>
  <si>
    <t>Rate Spread and Schedule 141R and 141N Allocation</t>
  </si>
  <si>
    <t>Rates Effective October 1, 2022</t>
  </si>
  <si>
    <t>Weather Normalized Therms by Rate Block</t>
  </si>
  <si>
    <t>Test Year Ended June 30, 2021</t>
  </si>
  <si>
    <t>41G-C</t>
  </si>
  <si>
    <t>41G-I</t>
  </si>
  <si>
    <t>85G-C</t>
  </si>
  <si>
    <t>85G-I</t>
  </si>
  <si>
    <t>86G-C</t>
  </si>
  <si>
    <t>86G-I</t>
  </si>
  <si>
    <t>86TG-C</t>
  </si>
  <si>
    <t>87G-C</t>
  </si>
  <si>
    <t>87G-I</t>
  </si>
  <si>
    <r>
      <rPr>
        <vertAlign val="superscript"/>
        <sz val="11"/>
        <color theme="1"/>
        <rFont val="Calibri"/>
        <family val="2"/>
      </rPr>
      <t xml:space="preserve">(2) </t>
    </r>
    <r>
      <rPr>
        <sz val="11"/>
        <color theme="1"/>
        <rFont val="Calibri"/>
        <family val="2"/>
        <scheme val="minor"/>
      </rPr>
      <t>Forecasted revenues at current rates effective May 1, 2023.</t>
    </r>
  </si>
  <si>
    <r>
      <rPr>
        <vertAlign val="superscript"/>
        <sz val="11"/>
        <rFont val="Calibri"/>
        <family val="2"/>
        <scheme val="minor"/>
      </rPr>
      <t xml:space="preserve">(1) </t>
    </r>
    <r>
      <rPr>
        <sz val="11"/>
        <rFont val="Calibri"/>
        <family val="2"/>
        <scheme val="minor"/>
      </rPr>
      <t>Rates for Schedule 23 customers in effect May 1, 2023</t>
    </r>
  </si>
  <si>
    <t>Rates Effective May 1, 2023</t>
  </si>
  <si>
    <t>Nov. 2023 -</t>
  </si>
  <si>
    <t>Oct. 2024</t>
  </si>
  <si>
    <t>12ME Oct. 2024</t>
  </si>
  <si>
    <t>Sch. 141LNG</t>
  </si>
  <si>
    <t>LNG Tracker (Sch. 141LNG)</t>
  </si>
  <si>
    <t>Gas Schedule 141LNG</t>
  </si>
  <si>
    <t>LNG Tracker</t>
  </si>
  <si>
    <t>Sched 141LNG</t>
  </si>
  <si>
    <t>R</t>
  </si>
  <si>
    <t>S = sum(G:R)</t>
  </si>
  <si>
    <t>November 2023 - October 2024</t>
  </si>
  <si>
    <t>First 10,000 therms</t>
  </si>
  <si>
    <t>Over 10,000 therms</t>
  </si>
  <si>
    <t xml:space="preserve">Revenue at </t>
  </si>
  <si>
    <t>Revenue at</t>
  </si>
  <si>
    <r>
      <t>Current Rates</t>
    </r>
    <r>
      <rPr>
        <vertAlign val="superscript"/>
        <sz val="11"/>
        <color theme="1"/>
        <rFont val="Calibri"/>
        <family val="2"/>
        <scheme val="minor"/>
      </rPr>
      <t xml:space="preserve"> (1)</t>
    </r>
  </si>
  <si>
    <t xml:space="preserve"> % Change</t>
  </si>
  <si>
    <t>% Change</t>
  </si>
  <si>
    <t>E = D/C</t>
  </si>
  <si>
    <t>F</t>
  </si>
  <si>
    <t>G = F/C</t>
  </si>
  <si>
    <t>I = H/C</t>
  </si>
  <si>
    <t>Total Rate Change</t>
  </si>
  <si>
    <t>Average Rate Per Therm Impacts by Rate Schedule</t>
  </si>
  <si>
    <t>Average Rate</t>
  </si>
  <si>
    <t>Per Therm</t>
  </si>
  <si>
    <t>G</t>
  </si>
  <si>
    <t>H = G/F</t>
  </si>
  <si>
    <t>I = (G-D)/D</t>
  </si>
  <si>
    <r>
      <rPr>
        <vertAlign val="superscript"/>
        <sz val="11"/>
        <rFont val="Calibri"/>
        <family val="2"/>
      </rPr>
      <t>(1)</t>
    </r>
    <r>
      <rPr>
        <sz val="11"/>
        <rFont val="Calibri"/>
        <family val="2"/>
      </rPr>
      <t xml:space="preserve"> Rates effective May 1, 2023</t>
    </r>
  </si>
  <si>
    <t>Base Rate</t>
  </si>
  <si>
    <t>Dist. Pipeline</t>
  </si>
  <si>
    <t>88T</t>
  </si>
  <si>
    <t>Gas Forecasted Volumes and Revenues</t>
  </si>
  <si>
    <t>Puget LNG</t>
  </si>
  <si>
    <t>Delivered Therms:</t>
  </si>
  <si>
    <t>Rate Schedule</t>
  </si>
  <si>
    <t>Delivered Therms by Rate Block:</t>
  </si>
  <si>
    <t>Demand Therms:</t>
  </si>
  <si>
    <t>87-I</t>
  </si>
  <si>
    <t>Customers:</t>
  </si>
  <si>
    <t>Basic charge</t>
  </si>
  <si>
    <t>$/month</t>
  </si>
  <si>
    <t>Delivery charge</t>
  </si>
  <si>
    <t xml:space="preserve">  First 25,000 therms</t>
  </si>
  <si>
    <t>$/therm</t>
  </si>
  <si>
    <t xml:space="preserve">  Next 25,000 therms</t>
  </si>
  <si>
    <t xml:space="preserve">  Next 50,000 therms</t>
  </si>
  <si>
    <t xml:space="preserve">  Next 100,000 therms</t>
  </si>
  <si>
    <t xml:space="preserve">  Next 300,000 therms</t>
  </si>
  <si>
    <t xml:space="preserve">  Over 500,000 therms</t>
  </si>
  <si>
    <t>Delivery demand charge</t>
  </si>
  <si>
    <t>Balancing charge (gas cost)</t>
  </si>
  <si>
    <t>Billing Determinants</t>
  </si>
  <si>
    <t>Total volume</t>
  </si>
  <si>
    <t>Contract thms</t>
  </si>
  <si>
    <t>Estimated Revenue</t>
  </si>
  <si>
    <t>Minimum bills</t>
  </si>
  <si>
    <t>Subtotal delivery charge</t>
  </si>
  <si>
    <t>Total revenue</t>
  </si>
  <si>
    <t>Gas cost</t>
  </si>
  <si>
    <t>Total base revenue</t>
  </si>
  <si>
    <t xml:space="preserve">Forecasted Therms by Rate Schedule </t>
  </si>
  <si>
    <t>Rate Year Ended December 31, 2024</t>
  </si>
  <si>
    <t>SCH_016GR</t>
  </si>
  <si>
    <t>SCH_023G</t>
  </si>
  <si>
    <t>SCH_031GC</t>
  </si>
  <si>
    <t>SCH_031GI</t>
  </si>
  <si>
    <t>SCH_031GTC</t>
  </si>
  <si>
    <t>SCH_031GTI</t>
  </si>
  <si>
    <t>SCH_041GC</t>
  </si>
  <si>
    <t>SCH_041GI</t>
  </si>
  <si>
    <t>SCH_041GTC</t>
  </si>
  <si>
    <t>SCH_041GTI</t>
  </si>
  <si>
    <t>SCH_053G</t>
  </si>
  <si>
    <t>SCH_085GC</t>
  </si>
  <si>
    <t>SCH_085GI</t>
  </si>
  <si>
    <t>SCH_085GTC</t>
  </si>
  <si>
    <t>SCH_085GTI</t>
  </si>
  <si>
    <t>SCH_086GC</t>
  </si>
  <si>
    <t>SCH_086GI</t>
  </si>
  <si>
    <t>SCH_086GTC</t>
  </si>
  <si>
    <t>SCH_086GTI</t>
  </si>
  <si>
    <t>SCH_087GC</t>
  </si>
  <si>
    <t>SCH_087GI</t>
  </si>
  <si>
    <t>SCH_087GTC</t>
  </si>
  <si>
    <t>SCH_087GTI</t>
  </si>
  <si>
    <t>SCH_099GT</t>
  </si>
  <si>
    <t>Residential Lighting (16)</t>
  </si>
  <si>
    <t xml:space="preserve">Residential (23) </t>
  </si>
  <si>
    <t>Residential (53)</t>
  </si>
  <si>
    <t>Commercial &amp; industrial (31)</t>
  </si>
  <si>
    <t>Large volume (41)</t>
  </si>
  <si>
    <t>Interruptible (85)</t>
  </si>
  <si>
    <t>Limited interruptible (86)</t>
  </si>
  <si>
    <t>Non exclusive interruptible (87)</t>
  </si>
  <si>
    <t>Trans. General Services (31T)</t>
  </si>
  <si>
    <t>Trans. large volume (41T)</t>
  </si>
  <si>
    <t>Trans. interrupt with firm option (85T)</t>
  </si>
  <si>
    <t>Trans. interrupt with firm option (86T)</t>
  </si>
  <si>
    <t>Trans. non-exclus inter w/firm option (87T)</t>
  </si>
  <si>
    <t>Sched 141N-A</t>
  </si>
  <si>
    <t>Regular</t>
  </si>
  <si>
    <t>Supplemental</t>
  </si>
  <si>
    <t>2023 Gas Schedules 88T, 141D, 141LNG, 141N Filings</t>
  </si>
  <si>
    <t>Rate Plan</t>
  </si>
  <si>
    <t>Schedule 141D Dist. Pipe</t>
  </si>
  <si>
    <t>Schedule 141LNG Tracker</t>
  </si>
  <si>
    <t>Schedule 141N Rate Plan</t>
  </si>
  <si>
    <t>Development of Total Revenue by Rate Schedule for Bill Impacts</t>
  </si>
  <si>
    <t>Forecasted Therms by Rate Block</t>
  </si>
  <si>
    <t>Source: UG-220067</t>
  </si>
  <si>
    <t>K = J/C</t>
  </si>
  <si>
    <t>Index</t>
  </si>
  <si>
    <t>Work Sheet</t>
  </si>
  <si>
    <t>Category</t>
  </si>
  <si>
    <t>Work Paper</t>
  </si>
  <si>
    <t>Dependent (Linked) Work Papers</t>
  </si>
  <si>
    <t>Precedent (Linked) Work Papers</t>
  </si>
  <si>
    <t>Gas Customer Bill Impacts</t>
  </si>
  <si>
    <t>Rate Impacts Combined</t>
  </si>
  <si>
    <t>Typical Res Bill Combined</t>
  </si>
  <si>
    <t>Avg Per Therm Combined</t>
  </si>
  <si>
    <t>Revenue Calculations</t>
  </si>
  <si>
    <t>Rider Revenue Calculations</t>
  </si>
  <si>
    <t>Forecast</t>
  </si>
  <si>
    <t>Data</t>
  </si>
  <si>
    <t>Exhibit JDT-7</t>
  </si>
  <si>
    <t>Summary of rate change impacts by rate schedule</t>
  </si>
  <si>
    <t>Typical residential bill impact for a customer using 64 therms</t>
  </si>
  <si>
    <t>Average per therm rate change impacts by rate schedule</t>
  </si>
  <si>
    <t>Revenue calculations that support rate change impacts</t>
  </si>
  <si>
    <t>Rider revenue calculations that support rate change impacts</t>
  </si>
  <si>
    <t>Therms and demand units used to calculate rate change impacts</t>
  </si>
  <si>
    <t>Other data supporting rate change impacts</t>
  </si>
  <si>
    <t>NEW-PSE-WP-JDT-3-GAS-RATE-SPREAD-DESIGN-SCH-141LNG-05-2023</t>
  </si>
  <si>
    <t>NEW-PSE-WP-JDT-4-5-6-GAS-RATE-SPREAD-DESIGN-SCH-141D-141N-88T-05-2023</t>
  </si>
  <si>
    <t>Exclusive Interruptible Transportation</t>
  </si>
  <si>
    <t>Exclusive Interruptible</t>
  </si>
  <si>
    <t>Base</t>
  </si>
  <si>
    <t>Supp. Credit</t>
  </si>
  <si>
    <t>M = L/C</t>
  </si>
  <si>
    <t>N = C+D+F+H+J+L</t>
  </si>
  <si>
    <t>O = N-C</t>
  </si>
  <si>
    <t>P = O/C</t>
  </si>
  <si>
    <t>Supp. Refund</t>
  </si>
  <si>
    <t>Schedule 141D Supp. Credit</t>
  </si>
  <si>
    <t>Supplemental Credit (Sch. 141D)</t>
  </si>
  <si>
    <t>Proposed Rates Effective May 11,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</si>
</sst>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.00000_);_(&quot;$&quot;* \(#,##0.00000\);_(&quot;$&quot;* &quot;-&quot;??_);_(@_)"/>
    <numFmt numFmtId="166" formatCode="_(&quot;$&quot;* #,##0.00000_);_(&quot;$&quot;* \(#,##0.00000\);_(&quot;$&quot;* &quot;-&quot;?????_);_(@_)"/>
    <numFmt numFmtId="167" formatCode="_(&quot;$&quot;* #,##0.00_);_(&quot;$&quot;* \(#,##0.00\);_(&quot;$&quot;* &quot;-&quot;?????_);_(@_)"/>
    <numFmt numFmtId="168" formatCode="_(* #,##0_);_(* \(#,##0\);_(* &quot;-&quot;??_);_(@_)"/>
    <numFmt numFmtId="169" formatCode="_(&quot;$&quot;* #,##0_);_(&quot;$&quot;* \(#,##0\);_(&quot;$&quot;* &quot;-&quot;??_);_(@_)"/>
    <numFmt numFmtId="170" formatCode="[$-409]mmm\-yy;@"/>
    <numFmt numFmtId="171" formatCode="&quot;$&quot;#,##0\ ;\(&quot;$&quot;#,##0\)"/>
    <numFmt numFmtId="172" formatCode="0.0000%"/>
    <numFmt numFmtId="173" formatCode="0.000%"/>
    <numFmt numFmtId="174" formatCode="#,##0.0"/>
    <numFmt numFmtId="175" formatCode="&quot;$&quot;#,##0.00\ ;\(&quot;$&quot;#,##0.00\)"/>
    <numFmt numFmtId="176" formatCode="&quot;$&quot;#,##0.00000\ ;\(&quot;$&quot;#,##0.00000\)"/>
    <numFmt numFmtId="177" formatCode="&quot;$&quot;#,##0.0000\ ;\(&quot;$&quot;#,##0.0000\)"/>
    <numFmt numFmtId="178" formatCode="&quot;$&quot;#,##0"/>
    <numFmt numFmtId="179" formatCode="_(&quot;$&quot;* #,##0.00_);_(&quot;$&quot;* \(#,##0.00\);_(&quot;$&quot;* &quot;-&quot;_);_(@_)"/>
    <numFmt numFmtId="180" formatCode="&quot;$&quot;#,##0.00000000_);\(&quot;$&quot;#,##0.00000000\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008080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rgb="FF0000FF"/>
      <name val="Calibri"/>
      <family val="2"/>
    </font>
    <font>
      <b/>
      <sz val="11"/>
      <name val="Calibri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1"/>
      <color theme="1"/>
      <name val="Calibri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sz val="10"/>
      <color rgb="FF0000FF"/>
      <name val="Arial"/>
      <family val="2"/>
    </font>
    <font>
      <sz val="10"/>
      <color rgb="FF008080"/>
      <name val="Arial"/>
      <family val="2"/>
    </font>
    <font>
      <sz val="11"/>
      <color rgb="FFFF0000"/>
      <name val="Calibri"/>
      <family val="2"/>
    </font>
    <font>
      <sz val="10"/>
      <color indexed="21"/>
      <name val="Arial"/>
      <family val="2"/>
    </font>
    <font>
      <b/>
      <sz val="11"/>
      <name val="Calibri"/>
      <family val="2"/>
      <scheme val="minor"/>
    </font>
    <font>
      <sz val="9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2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u/>
      <sz val="11"/>
      <name val="Calibri"/>
      <family val="2"/>
    </font>
    <font>
      <sz val="11"/>
      <color indexed="10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FF0000"/>
      <name val="Calibri"/>
      <family val="2"/>
      <scheme val="minor"/>
    </font>
    <font>
      <vertAlign val="superscript"/>
      <sz val="11"/>
      <name val="Calibri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1"/>
      <color rgb="FF008080"/>
      <name val="Calibri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4">
    <xf numFmtId="0" fontId="0" fillId="0" borderId="0"/>
    <xf numFmtId="0" fontId="6" fillId="0" borderId="0"/>
    <xf numFmtId="0" fontId="3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659">
    <xf numFmtId="0" fontId="0" fillId="0" borderId="0" xfId="0"/>
    <xf numFmtId="0" fontId="0" fillId="0" borderId="0" xfId="0" applyFont="1"/>
    <xf numFmtId="164" fontId="0" fillId="0" borderId="0" xfId="0" applyNumberFormat="1" applyFont="1"/>
    <xf numFmtId="164" fontId="0" fillId="0" borderId="2" xfId="0" applyNumberFormat="1" applyFont="1" applyBorder="1"/>
    <xf numFmtId="0" fontId="0" fillId="0" borderId="0" xfId="0" applyBorder="1" applyAlignment="1">
      <alignment horizontal="center"/>
    </xf>
    <xf numFmtId="42" fontId="0" fillId="0" borderId="0" xfId="0" applyNumberFormat="1" applyBorder="1" applyAlignment="1">
      <alignment horizontal="center"/>
    </xf>
    <xf numFmtId="165" fontId="0" fillId="0" borderId="0" xfId="0" applyNumberFormat="1"/>
    <xf numFmtId="165" fontId="2" fillId="0" borderId="0" xfId="0" applyNumberFormat="1" applyFont="1" applyFill="1"/>
    <xf numFmtId="42" fontId="0" fillId="0" borderId="0" xfId="0" applyNumberFormat="1"/>
    <xf numFmtId="165" fontId="2" fillId="0" borderId="1" xfId="0" applyNumberFormat="1" applyFont="1" applyBorder="1"/>
    <xf numFmtId="3" fontId="0" fillId="0" borderId="2" xfId="0" applyNumberFormat="1" applyBorder="1"/>
    <xf numFmtId="42" fontId="0" fillId="0" borderId="2" xfId="0" applyNumberFormat="1" applyBorder="1"/>
    <xf numFmtId="0" fontId="7" fillId="0" borderId="0" xfId="0" applyFont="1" applyBorder="1" applyAlignment="1">
      <alignment horizontal="left"/>
    </xf>
    <xf numFmtId="0" fontId="7" fillId="0" borderId="0" xfId="0" applyFont="1"/>
    <xf numFmtId="0" fontId="7" fillId="0" borderId="0" xfId="0" applyFont="1" applyFill="1"/>
    <xf numFmtId="3" fontId="0" fillId="0" borderId="0" xfId="0" applyNumberFormat="1"/>
    <xf numFmtId="0" fontId="9" fillId="0" borderId="0" xfId="0" applyFont="1" applyAlignment="1">
      <alignment horizontal="left"/>
    </xf>
    <xf numFmtId="169" fontId="7" fillId="0" borderId="0" xfId="0" applyNumberFormat="1" applyFont="1" applyFill="1"/>
    <xf numFmtId="0" fontId="7" fillId="0" borderId="0" xfId="0" applyFont="1" applyFill="1" applyBorder="1" applyAlignment="1">
      <alignment horizontal="left" vertical="center" textRotation="180"/>
    </xf>
    <xf numFmtId="0" fontId="7" fillId="0" borderId="0" xfId="0" applyFont="1" applyFill="1" applyBorder="1" applyAlignment="1">
      <alignment horizontal="left"/>
    </xf>
    <xf numFmtId="0" fontId="7" fillId="0" borderId="0" xfId="0" applyFont="1" applyBorder="1"/>
    <xf numFmtId="169" fontId="7" fillId="0" borderId="2" xfId="0" applyNumberFormat="1" applyFont="1" applyFill="1" applyBorder="1"/>
    <xf numFmtId="0" fontId="4" fillId="0" borderId="0" xfId="0" applyFont="1" applyBorder="1" applyAlignment="1">
      <alignment horizontal="left"/>
    </xf>
    <xf numFmtId="164" fontId="4" fillId="0" borderId="0" xfId="0" applyNumberFormat="1" applyFont="1"/>
    <xf numFmtId="0" fontId="12" fillId="0" borderId="0" xfId="0" applyFont="1"/>
    <xf numFmtId="168" fontId="12" fillId="0" borderId="0" xfId="0" applyNumberFormat="1" applyFont="1"/>
    <xf numFmtId="3" fontId="12" fillId="0" borderId="0" xfId="0" applyNumberFormat="1" applyFont="1"/>
    <xf numFmtId="0" fontId="12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3" fontId="12" fillId="0" borderId="2" xfId="0" applyNumberFormat="1" applyFont="1" applyBorder="1"/>
    <xf numFmtId="0" fontId="17" fillId="0" borderId="0" xfId="0" applyFont="1" applyAlignment="1">
      <alignment horizontal="left"/>
    </xf>
    <xf numFmtId="168" fontId="17" fillId="0" borderId="0" xfId="0" applyNumberFormat="1" applyFont="1"/>
    <xf numFmtId="170" fontId="0" fillId="0" borderId="1" xfId="0" applyNumberFormat="1" applyBorder="1"/>
    <xf numFmtId="169" fontId="0" fillId="0" borderId="1" xfId="0" applyNumberFormat="1" applyFont="1" applyBorder="1"/>
    <xf numFmtId="0" fontId="6" fillId="0" borderId="0" xfId="0" applyFont="1"/>
    <xf numFmtId="168" fontId="6" fillId="0" borderId="0" xfId="0" applyNumberFormat="1" applyFont="1"/>
    <xf numFmtId="168" fontId="6" fillId="0" borderId="0" xfId="0" applyNumberFormat="1" applyFont="1" applyAlignment="1">
      <alignment horizontal="left"/>
    </xf>
    <xf numFmtId="168" fontId="6" fillId="0" borderId="0" xfId="0" applyNumberFormat="1" applyFont="1"/>
    <xf numFmtId="168" fontId="0" fillId="0" borderId="0" xfId="0" applyNumberFormat="1" applyFont="1"/>
    <xf numFmtId="17" fontId="6" fillId="0" borderId="0" xfId="0" applyNumberFormat="1" applyFont="1"/>
    <xf numFmtId="165" fontId="2" fillId="0" borderId="1" xfId="0" applyNumberFormat="1" applyFont="1" applyFill="1" applyBorder="1"/>
    <xf numFmtId="43" fontId="6" fillId="0" borderId="0" xfId="0" applyNumberFormat="1" applyFont="1"/>
    <xf numFmtId="42" fontId="3" fillId="0" borderId="0" xfId="0" applyNumberFormat="1" applyFont="1"/>
    <xf numFmtId="42" fontId="4" fillId="0" borderId="0" xfId="0" applyNumberFormat="1" applyFont="1"/>
    <xf numFmtId="42" fontId="4" fillId="0" borderId="2" xfId="0" applyNumberFormat="1" applyFont="1" applyBorder="1"/>
    <xf numFmtId="169" fontId="0" fillId="0" borderId="0" xfId="0" applyNumberFormat="1" applyFont="1" applyBorder="1"/>
    <xf numFmtId="0" fontId="4" fillId="0" borderId="0" xfId="0" applyFont="1" applyAlignment="1">
      <alignment horizontal="centerContinuous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0" fontId="19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9" fillId="0" borderId="0" xfId="0" applyFont="1" applyFill="1" applyBorder="1" applyProtection="1">
      <protection locked="0"/>
    </xf>
    <xf numFmtId="0" fontId="4" fillId="0" borderId="0" xfId="0" applyFont="1" applyFill="1" applyBorder="1"/>
    <xf numFmtId="3" fontId="3" fillId="0" borderId="0" xfId="0" applyNumberFormat="1" applyFont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3" fontId="4" fillId="0" borderId="0" xfId="0" applyNumberFormat="1" applyFont="1" applyFill="1" applyBorder="1" applyAlignment="1" applyProtection="1">
      <alignment horizontal="left"/>
      <protection locked="0"/>
    </xf>
    <xf numFmtId="0" fontId="4" fillId="0" borderId="0" xfId="0" applyFont="1"/>
    <xf numFmtId="0" fontId="4" fillId="0" borderId="0" xfId="0" applyFont="1" applyBorder="1"/>
    <xf numFmtId="169" fontId="4" fillId="0" borderId="0" xfId="0" applyNumberFormat="1" applyFont="1"/>
    <xf numFmtId="3" fontId="4" fillId="0" borderId="0" xfId="0" applyNumberFormat="1" applyFont="1"/>
    <xf numFmtId="168" fontId="6" fillId="0" borderId="0" xfId="0" applyNumberFormat="1" applyFont="1"/>
    <xf numFmtId="0" fontId="7" fillId="0" borderId="0" xfId="0" applyFont="1" applyAlignment="1">
      <alignment horizontal="left"/>
    </xf>
    <xf numFmtId="3" fontId="3" fillId="0" borderId="0" xfId="0" applyNumberFormat="1" applyFont="1" applyFill="1"/>
    <xf numFmtId="0" fontId="20" fillId="0" borderId="0" xfId="0" applyFont="1" applyAlignment="1">
      <alignment horizontal="left"/>
    </xf>
    <xf numFmtId="17" fontId="6" fillId="0" borderId="0" xfId="0" applyNumberFormat="1" applyFont="1" applyBorder="1" applyAlignment="1">
      <alignment horizontal="center"/>
    </xf>
    <xf numFmtId="0" fontId="6" fillId="0" borderId="0" xfId="0" applyFont="1"/>
    <xf numFmtId="42" fontId="2" fillId="0" borderId="0" xfId="0" applyNumberFormat="1" applyFont="1"/>
    <xf numFmtId="3" fontId="3" fillId="0" borderId="0" xfId="0" applyNumberFormat="1" applyFont="1" applyBorder="1"/>
    <xf numFmtId="0" fontId="2" fillId="0" borderId="0" xfId="0" applyFont="1"/>
    <xf numFmtId="170" fontId="6" fillId="0" borderId="0" xfId="0" applyNumberFormat="1" applyFont="1" applyAlignment="1"/>
    <xf numFmtId="0" fontId="22" fillId="0" borderId="0" xfId="0" applyFont="1"/>
    <xf numFmtId="168" fontId="16" fillId="0" borderId="0" xfId="0" applyNumberFormat="1" applyFont="1"/>
    <xf numFmtId="10" fontId="0" fillId="0" borderId="0" xfId="0" applyNumberFormat="1" applyFont="1"/>
    <xf numFmtId="10" fontId="0" fillId="0" borderId="2" xfId="0" applyNumberFormat="1" applyFont="1" applyBorder="1"/>
    <xf numFmtId="0" fontId="1" fillId="0" borderId="0" xfId="0" applyFont="1" applyBorder="1" applyAlignment="1">
      <alignment horizontal="left"/>
    </xf>
    <xf numFmtId="166" fontId="0" fillId="0" borderId="0" xfId="0" applyNumberFormat="1" applyFont="1"/>
    <xf numFmtId="0" fontId="2" fillId="0" borderId="0" xfId="0" applyFont="1" applyBorder="1" applyAlignment="1">
      <alignment horizontal="center"/>
    </xf>
    <xf numFmtId="10" fontId="4" fillId="0" borderId="0" xfId="0" applyNumberFormat="1" applyFont="1"/>
    <xf numFmtId="171" fontId="6" fillId="0" borderId="0" xfId="0" applyNumberFormat="1" applyFont="1" applyAlignment="1">
      <alignment horizontal="centerContinuous"/>
    </xf>
    <xf numFmtId="0" fontId="10" fillId="0" borderId="0" xfId="0" applyFont="1" applyFill="1" applyAlignment="1">
      <alignment horizontal="centerContinuous"/>
    </xf>
    <xf numFmtId="171" fontId="6" fillId="0" borderId="0" xfId="0" applyNumberFormat="1" applyFont="1" applyAlignment="1">
      <alignment horizontal="righ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centerContinuous"/>
    </xf>
    <xf numFmtId="175" fontId="6" fillId="0" borderId="7" xfId="0" applyNumberFormat="1" applyFont="1" applyBorder="1" applyAlignment="1">
      <alignment horizontal="centerContinuous"/>
    </xf>
    <xf numFmtId="3" fontId="6" fillId="0" borderId="0" xfId="0" applyNumberFormat="1" applyFont="1" applyBorder="1" applyProtection="1">
      <protection locked="0"/>
    </xf>
    <xf numFmtId="0" fontId="6" fillId="0" borderId="14" xfId="0" applyFont="1" applyBorder="1" applyAlignment="1">
      <alignment horizontal="center"/>
    </xf>
    <xf numFmtId="0" fontId="10" fillId="0" borderId="5" xfId="0" applyFont="1" applyBorder="1"/>
    <xf numFmtId="0" fontId="10" fillId="0" borderId="0" xfId="0" applyFont="1" applyBorder="1"/>
    <xf numFmtId="171" fontId="10" fillId="0" borderId="0" xfId="0" applyNumberFormat="1" applyFont="1" applyBorder="1"/>
    <xf numFmtId="0" fontId="10" fillId="0" borderId="5" xfId="0" applyFont="1" applyFill="1" applyBorder="1"/>
    <xf numFmtId="0" fontId="10" fillId="0" borderId="0" xfId="0" applyFont="1" applyFill="1" applyBorder="1"/>
    <xf numFmtId="171" fontId="10" fillId="0" borderId="0" xfId="0" applyNumberFormat="1" applyFont="1" applyFill="1" applyBorder="1"/>
    <xf numFmtId="3" fontId="6" fillId="0" borderId="0" xfId="0" applyNumberFormat="1" applyFont="1" applyBorder="1" applyAlignment="1" applyProtection="1">
      <alignment horizontal="center"/>
      <protection locked="0"/>
    </xf>
    <xf numFmtId="3" fontId="6" fillId="0" borderId="0" xfId="0" applyNumberFormat="1" applyFont="1" applyFill="1" applyBorder="1" applyAlignment="1" applyProtection="1">
      <alignment horizontal="center"/>
      <protection locked="0"/>
    </xf>
    <xf numFmtId="177" fontId="6" fillId="0" borderId="0" xfId="0" applyNumberFormat="1" applyFont="1" applyBorder="1" applyAlignment="1">
      <alignment horizontal="right"/>
    </xf>
    <xf numFmtId="0" fontId="10" fillId="0" borderId="8" xfId="0" applyFont="1" applyBorder="1"/>
    <xf numFmtId="0" fontId="10" fillId="0" borderId="9" xfId="0" applyFont="1" applyBorder="1"/>
    <xf numFmtId="171" fontId="10" fillId="0" borderId="9" xfId="0" applyNumberFormat="1" applyFont="1" applyBorder="1"/>
    <xf numFmtId="175" fontId="6" fillId="0" borderId="0" xfId="0" applyNumberFormat="1" applyFont="1" applyAlignment="1">
      <alignment horizontal="centerContinuous"/>
    </xf>
    <xf numFmtId="3" fontId="6" fillId="0" borderId="0" xfId="0" applyNumberFormat="1" applyFont="1" applyFill="1" applyAlignment="1">
      <alignment horizontal="centerContinuous"/>
    </xf>
    <xf numFmtId="0" fontId="6" fillId="0" borderId="0" xfId="0" applyFont="1" applyFill="1" applyAlignment="1">
      <alignment horizontal="centerContinuous"/>
    </xf>
    <xf numFmtId="164" fontId="6" fillId="0" borderId="0" xfId="0" applyNumberFormat="1" applyFont="1" applyAlignment="1">
      <alignment horizontal="centerContinuous"/>
    </xf>
    <xf numFmtId="173" fontId="6" fillId="0" borderId="0" xfId="0" applyNumberFormat="1" applyFont="1" applyAlignment="1">
      <alignment horizontal="centerContinuous"/>
    </xf>
    <xf numFmtId="173" fontId="6" fillId="0" borderId="0" xfId="0" applyNumberFormat="1" applyFont="1" applyBorder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0" xfId="0" applyFont="1" applyAlignment="1"/>
    <xf numFmtId="175" fontId="6" fillId="0" borderId="0" xfId="0" applyNumberFormat="1" applyFont="1" applyAlignment="1"/>
    <xf numFmtId="3" fontId="6" fillId="0" borderId="9" xfId="0" applyNumberFormat="1" applyFont="1" applyFill="1" applyBorder="1" applyAlignment="1"/>
    <xf numFmtId="0" fontId="6" fillId="0" borderId="0" xfId="0" applyFont="1" applyFill="1" applyAlignment="1"/>
    <xf numFmtId="164" fontId="6" fillId="0" borderId="0" xfId="0" applyNumberFormat="1" applyFont="1" applyAlignment="1"/>
    <xf numFmtId="173" fontId="6" fillId="0" borderId="0" xfId="0" applyNumberFormat="1" applyFont="1" applyAlignment="1">
      <alignment horizontal="left"/>
    </xf>
    <xf numFmtId="173" fontId="6" fillId="0" borderId="0" xfId="0" applyNumberFormat="1" applyFont="1" applyBorder="1"/>
    <xf numFmtId="0" fontId="6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175" fontId="6" fillId="0" borderId="3" xfId="0" applyNumberFormat="1" applyFont="1" applyBorder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175" fontId="6" fillId="0" borderId="2" xfId="0" applyNumberFormat="1" applyFont="1" applyBorder="1" applyAlignment="1">
      <alignment horizontal="left"/>
    </xf>
    <xf numFmtId="175" fontId="6" fillId="0" borderId="0" xfId="0" applyNumberFormat="1" applyFont="1" applyBorder="1" applyAlignment="1">
      <alignment horizontal="left"/>
    </xf>
    <xf numFmtId="0" fontId="6" fillId="0" borderId="8" xfId="0" applyFont="1" applyBorder="1" applyAlignment="1">
      <alignment horizontal="center"/>
    </xf>
    <xf numFmtId="175" fontId="6" fillId="0" borderId="9" xfId="0" applyNumberFormat="1" applyFont="1" applyBorder="1" applyAlignment="1">
      <alignment horizontal="center"/>
    </xf>
    <xf numFmtId="164" fontId="6" fillId="0" borderId="10" xfId="0" applyNumberFormat="1" applyFont="1" applyBorder="1" applyAlignment="1">
      <alignment horizontal="center"/>
    </xf>
    <xf numFmtId="173" fontId="6" fillId="0" borderId="0" xfId="0" applyNumberFormat="1" applyFont="1" applyBorder="1" applyAlignment="1">
      <alignment horizontal="center"/>
    </xf>
    <xf numFmtId="175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10" fillId="0" borderId="11" xfId="0" applyFont="1" applyBorder="1" applyProtection="1">
      <protection locked="0"/>
    </xf>
    <xf numFmtId="171" fontId="6" fillId="0" borderId="2" xfId="0" applyNumberFormat="1" applyFont="1" applyBorder="1"/>
    <xf numFmtId="164" fontId="6" fillId="0" borderId="12" xfId="0" applyNumberFormat="1" applyFont="1" applyBorder="1"/>
    <xf numFmtId="164" fontId="6" fillId="0" borderId="0" xfId="0" applyNumberFormat="1" applyFont="1" applyBorder="1" applyAlignment="1">
      <alignment horizontal="left"/>
    </xf>
    <xf numFmtId="164" fontId="6" fillId="0" borderId="13" xfId="0" applyNumberFormat="1" applyFont="1" applyBorder="1"/>
    <xf numFmtId="171" fontId="18" fillId="0" borderId="15" xfId="0" applyNumberFormat="1" applyFont="1" applyFill="1" applyBorder="1" applyAlignment="1">
      <alignment horizontal="center"/>
    </xf>
    <xf numFmtId="171" fontId="6" fillId="0" borderId="15" xfId="0" applyNumberFormat="1" applyFont="1" applyBorder="1" applyAlignment="1">
      <alignment horizontal="center"/>
    </xf>
    <xf numFmtId="175" fontId="6" fillId="0" borderId="0" xfId="0" applyNumberFormat="1" applyFont="1" applyBorder="1" applyAlignment="1">
      <alignment horizontal="right"/>
    </xf>
    <xf numFmtId="164" fontId="6" fillId="0" borderId="13" xfId="0" applyNumberFormat="1" applyFont="1" applyBorder="1" applyAlignment="1">
      <alignment horizontal="center"/>
    </xf>
    <xf numFmtId="171" fontId="6" fillId="0" borderId="16" xfId="0" applyNumberFormat="1" applyFont="1" applyFill="1" applyBorder="1" applyAlignment="1">
      <alignment horizontal="center"/>
    </xf>
    <xf numFmtId="171" fontId="6" fillId="0" borderId="2" xfId="0" applyNumberFormat="1" applyFont="1" applyFill="1" applyBorder="1"/>
    <xf numFmtId="10" fontId="11" fillId="0" borderId="0" xfId="0" applyNumberFormat="1" applyFont="1" applyFill="1" applyBorder="1" applyAlignment="1">
      <alignment horizontal="center"/>
    </xf>
    <xf numFmtId="176" fontId="6" fillId="0" borderId="0" xfId="0" applyNumberFormat="1" applyFont="1" applyBorder="1"/>
    <xf numFmtId="174" fontId="6" fillId="0" borderId="0" xfId="0" applyNumberFormat="1" applyFont="1" applyFill="1" applyBorder="1"/>
    <xf numFmtId="0" fontId="6" fillId="0" borderId="8" xfId="0" applyFont="1" applyBorder="1"/>
    <xf numFmtId="0" fontId="6" fillId="0" borderId="9" xfId="0" applyFont="1" applyBorder="1" applyProtection="1">
      <protection locked="0"/>
    </xf>
    <xf numFmtId="175" fontId="6" fillId="0" borderId="9" xfId="0" applyNumberFormat="1" applyFont="1" applyFill="1" applyBorder="1" applyAlignment="1">
      <alignment horizontal="center"/>
    </xf>
    <xf numFmtId="171" fontId="6" fillId="0" borderId="9" xfId="0" applyNumberFormat="1" applyFont="1" applyFill="1" applyBorder="1" applyAlignment="1">
      <alignment horizontal="center"/>
    </xf>
    <xf numFmtId="9" fontId="6" fillId="0" borderId="9" xfId="0" applyNumberFormat="1" applyFont="1" applyFill="1" applyBorder="1"/>
    <xf numFmtId="171" fontId="6" fillId="0" borderId="9" xfId="0" applyNumberFormat="1" applyFont="1" applyBorder="1"/>
    <xf numFmtId="164" fontId="6" fillId="0" borderId="10" xfId="0" applyNumberFormat="1" applyFont="1" applyBorder="1"/>
    <xf numFmtId="0" fontId="10" fillId="0" borderId="11" xfId="0" applyFont="1" applyFill="1" applyBorder="1" applyProtection="1">
      <protection locked="0"/>
    </xf>
    <xf numFmtId="0" fontId="6" fillId="0" borderId="5" xfId="0" applyFont="1" applyFill="1" applyBorder="1" applyProtection="1">
      <protection locked="0"/>
    </xf>
    <xf numFmtId="176" fontId="15" fillId="0" borderId="0" xfId="0" applyNumberFormat="1" applyFont="1" applyFill="1" applyBorder="1"/>
    <xf numFmtId="175" fontId="11" fillId="0" borderId="0" xfId="0" applyNumberFormat="1" applyFont="1" applyFill="1" applyBorder="1"/>
    <xf numFmtId="176" fontId="11" fillId="0" borderId="0" xfId="0" applyNumberFormat="1" applyFont="1" applyFill="1" applyBorder="1"/>
    <xf numFmtId="0" fontId="6" fillId="0" borderId="5" xfId="0" applyFont="1" applyFill="1" applyBorder="1"/>
    <xf numFmtId="3" fontId="6" fillId="0" borderId="0" xfId="0" applyNumberFormat="1" applyFont="1" applyFill="1" applyBorder="1" applyProtection="1">
      <protection locked="0"/>
    </xf>
    <xf numFmtId="171" fontId="6" fillId="0" borderId="15" xfId="0" applyNumberFormat="1" applyFont="1" applyFill="1" applyBorder="1" applyAlignment="1">
      <alignment horizontal="center"/>
    </xf>
    <xf numFmtId="10" fontId="6" fillId="0" borderId="0" xfId="0" applyNumberFormat="1" applyFont="1" applyFill="1" applyBorder="1" applyAlignment="1">
      <alignment horizontal="center"/>
    </xf>
    <xf numFmtId="178" fontId="6" fillId="0" borderId="0" xfId="0" applyNumberFormat="1" applyFont="1"/>
    <xf numFmtId="176" fontId="6" fillId="0" borderId="0" xfId="0" applyNumberFormat="1" applyFont="1" applyFill="1" applyBorder="1"/>
    <xf numFmtId="171" fontId="6" fillId="0" borderId="0" xfId="0" applyNumberFormat="1" applyFont="1" applyBorder="1"/>
    <xf numFmtId="164" fontId="6" fillId="0" borderId="13" xfId="0" applyNumberFormat="1" applyFont="1" applyFill="1" applyBorder="1"/>
    <xf numFmtId="173" fontId="6" fillId="0" borderId="0" xfId="0" applyNumberFormat="1" applyFont="1" applyFill="1" applyBorder="1"/>
    <xf numFmtId="171" fontId="6" fillId="0" borderId="2" xfId="0" applyNumberFormat="1" applyFont="1" applyBorder="1" applyAlignment="1">
      <alignment horizontal="right"/>
    </xf>
    <xf numFmtId="0" fontId="6" fillId="0" borderId="0" xfId="0" applyFont="1" applyFill="1" applyAlignment="1">
      <alignment horizontal="center"/>
    </xf>
    <xf numFmtId="175" fontId="6" fillId="0" borderId="0" xfId="0" applyNumberFormat="1" applyFont="1" applyFill="1" applyAlignment="1">
      <alignment horizontal="center"/>
    </xf>
    <xf numFmtId="0" fontId="6" fillId="0" borderId="5" xfId="0" applyFont="1" applyBorder="1" applyProtection="1">
      <protection locked="0"/>
    </xf>
    <xf numFmtId="175" fontId="6" fillId="0" borderId="0" xfId="0" applyNumberFormat="1" applyFont="1" applyBorder="1"/>
    <xf numFmtId="0" fontId="6" fillId="0" borderId="8" xfId="0" applyFont="1" applyFill="1" applyBorder="1"/>
    <xf numFmtId="164" fontId="6" fillId="0" borderId="10" xfId="0" applyNumberFormat="1" applyFont="1" applyFill="1" applyBorder="1"/>
    <xf numFmtId="171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Protection="1">
      <protection locked="0"/>
    </xf>
    <xf numFmtId="175" fontId="6" fillId="0" borderId="0" xfId="0" applyNumberFormat="1" applyFont="1" applyFill="1" applyBorder="1"/>
    <xf numFmtId="8" fontId="6" fillId="0" borderId="0" xfId="0" applyNumberFormat="1" applyFont="1" applyBorder="1"/>
    <xf numFmtId="0" fontId="6" fillId="0" borderId="5" xfId="0" applyFont="1" applyBorder="1"/>
    <xf numFmtId="0" fontId="6" fillId="0" borderId="9" xfId="0" applyFont="1" applyFill="1" applyBorder="1"/>
    <xf numFmtId="171" fontId="6" fillId="0" borderId="9" xfId="0" applyNumberFormat="1" applyFont="1" applyFill="1" applyBorder="1"/>
    <xf numFmtId="171" fontId="6" fillId="0" borderId="0" xfId="0" applyNumberFormat="1" applyFont="1" applyFill="1" applyBorder="1"/>
    <xf numFmtId="171" fontId="6" fillId="0" borderId="0" xfId="0" applyNumberFormat="1" applyFont="1"/>
    <xf numFmtId="164" fontId="6" fillId="0" borderId="0" xfId="0" applyNumberFormat="1" applyFont="1"/>
    <xf numFmtId="176" fontId="6" fillId="0" borderId="0" xfId="0" applyNumberFormat="1" applyFont="1" applyAlignment="1">
      <alignment horizontal="center"/>
    </xf>
    <xf numFmtId="171" fontId="6" fillId="0" borderId="9" xfId="0" applyNumberFormat="1" applyFont="1" applyBorder="1" applyAlignment="1">
      <alignment horizontal="center"/>
    </xf>
    <xf numFmtId="178" fontId="6" fillId="0" borderId="0" xfId="0" applyNumberFormat="1" applyFont="1" applyFill="1"/>
    <xf numFmtId="173" fontId="6" fillId="0" borderId="0" xfId="0" applyNumberFormat="1" applyFont="1"/>
    <xf numFmtId="0" fontId="6" fillId="0" borderId="0" xfId="0" applyFont="1"/>
    <xf numFmtId="178" fontId="6" fillId="0" borderId="0" xfId="0" applyNumberFormat="1" applyFont="1" applyBorder="1"/>
    <xf numFmtId="178" fontId="6" fillId="0" borderId="0" xfId="0" applyNumberFormat="1" applyFont="1" applyAlignment="1">
      <alignment horizontal="left"/>
    </xf>
    <xf numFmtId="178" fontId="6" fillId="0" borderId="2" xfId="0" applyNumberFormat="1" applyFont="1" applyBorder="1"/>
    <xf numFmtId="176" fontId="6" fillId="0" borderId="0" xfId="0" applyNumberFormat="1" applyFont="1" applyAlignment="1">
      <alignment horizontal="centerContinuous"/>
    </xf>
    <xf numFmtId="3" fontId="6" fillId="0" borderId="0" xfId="0" applyNumberFormat="1" applyFont="1" applyFill="1" applyBorder="1" applyAlignment="1">
      <alignment horizontal="centerContinuous"/>
    </xf>
    <xf numFmtId="175" fontId="6" fillId="0" borderId="0" xfId="0" applyNumberFormat="1" applyFont="1" applyFill="1" applyAlignment="1">
      <alignment horizontal="centerContinuous"/>
    </xf>
    <xf numFmtId="0" fontId="13" fillId="0" borderId="0" xfId="0" applyFont="1" applyBorder="1" applyAlignment="1">
      <alignment horizontal="left"/>
    </xf>
    <xf numFmtId="173" fontId="6" fillId="0" borderId="0" xfId="0" applyNumberFormat="1" applyFont="1" applyBorder="1" applyAlignment="1">
      <alignment horizontal="right"/>
    </xf>
    <xf numFmtId="3" fontId="6" fillId="0" borderId="2" xfId="0" applyNumberFormat="1" applyFont="1" applyFill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3" fontId="6" fillId="0" borderId="9" xfId="0" applyNumberFormat="1" applyFont="1" applyFill="1" applyBorder="1" applyAlignment="1">
      <alignment horizontal="center"/>
    </xf>
    <xf numFmtId="176" fontId="6" fillId="0" borderId="9" xfId="0" applyNumberFormat="1" applyFont="1" applyBorder="1" applyAlignment="1">
      <alignment horizontal="center"/>
    </xf>
    <xf numFmtId="173" fontId="6" fillId="0" borderId="10" xfId="0" applyNumberFormat="1" applyFont="1" applyBorder="1" applyAlignment="1">
      <alignment horizontal="center"/>
    </xf>
    <xf numFmtId="173" fontId="6" fillId="0" borderId="13" xfId="0" applyNumberFormat="1" applyFont="1" applyBorder="1" applyAlignment="1">
      <alignment horizontal="right"/>
    </xf>
    <xf numFmtId="164" fontId="6" fillId="0" borderId="12" xfId="0" applyNumberFormat="1" applyFont="1" applyBorder="1" applyAlignment="1">
      <alignment horizontal="right"/>
    </xf>
    <xf numFmtId="164" fontId="6" fillId="0" borderId="13" xfId="0" applyNumberFormat="1" applyFont="1" applyBorder="1" applyAlignment="1">
      <alignment horizontal="right"/>
    </xf>
    <xf numFmtId="0" fontId="6" fillId="0" borderId="0" xfId="0" applyFont="1" applyBorder="1" applyProtection="1">
      <protection locked="0"/>
    </xf>
    <xf numFmtId="173" fontId="6" fillId="0" borderId="0" xfId="0" applyNumberFormat="1" applyFont="1" applyBorder="1" applyAlignment="1">
      <alignment horizontal="left"/>
    </xf>
    <xf numFmtId="171" fontId="6" fillId="0" borderId="16" xfId="0" applyNumberFormat="1" applyFont="1" applyBorder="1" applyAlignment="1">
      <alignment horizontal="center"/>
    </xf>
    <xf numFmtId="10" fontId="6" fillId="0" borderId="0" xfId="0" applyNumberFormat="1" applyFont="1" applyBorder="1" applyAlignment="1">
      <alignment horizontal="center"/>
    </xf>
    <xf numFmtId="9" fontId="11" fillId="0" borderId="0" xfId="0" applyNumberFormat="1" applyFont="1" applyFill="1" applyBorder="1"/>
    <xf numFmtId="164" fontId="6" fillId="0" borderId="12" xfId="0" applyNumberFormat="1" applyFont="1" applyFill="1" applyBorder="1" applyAlignment="1">
      <alignment horizontal="right"/>
    </xf>
    <xf numFmtId="176" fontId="6" fillId="0" borderId="0" xfId="0" applyNumberFormat="1" applyFont="1" applyFill="1" applyAlignment="1">
      <alignment horizontal="center"/>
    </xf>
    <xf numFmtId="175" fontId="6" fillId="0" borderId="0" xfId="0" applyNumberFormat="1" applyFont="1" applyAlignment="1">
      <alignment horizontal="center"/>
    </xf>
    <xf numFmtId="164" fontId="6" fillId="0" borderId="0" xfId="0" applyNumberFormat="1" applyFont="1" applyFill="1" applyBorder="1" applyAlignment="1">
      <alignment horizontal="left"/>
    </xf>
    <xf numFmtId="0" fontId="6" fillId="0" borderId="9" xfId="0" applyFont="1" applyBorder="1"/>
    <xf numFmtId="176" fontId="6" fillId="0" borderId="9" xfId="0" applyNumberFormat="1" applyFont="1" applyBorder="1"/>
    <xf numFmtId="175" fontId="6" fillId="0" borderId="9" xfId="0" applyNumberFormat="1" applyFont="1" applyFill="1" applyBorder="1"/>
    <xf numFmtId="175" fontId="6" fillId="0" borderId="9" xfId="0" applyNumberFormat="1" applyFont="1" applyBorder="1" applyAlignment="1">
      <alignment horizontal="right"/>
    </xf>
    <xf numFmtId="175" fontId="6" fillId="0" borderId="0" xfId="0" applyNumberFormat="1" applyFont="1" applyFill="1" applyBorder="1" applyAlignment="1">
      <alignment horizontal="right"/>
    </xf>
    <xf numFmtId="0" fontId="10" fillId="0" borderId="0" xfId="0" applyFont="1" applyFill="1" applyBorder="1" applyProtection="1">
      <protection locked="0"/>
    </xf>
    <xf numFmtId="171" fontId="6" fillId="0" borderId="0" xfId="0" applyNumberFormat="1" applyFont="1" applyBorder="1" applyAlignment="1">
      <alignment horizontal="right"/>
    </xf>
    <xf numFmtId="171" fontId="6" fillId="0" borderId="0" xfId="0" applyNumberFormat="1" applyFont="1" applyFill="1" applyBorder="1" applyProtection="1">
      <protection locked="0"/>
    </xf>
    <xf numFmtId="173" fontId="6" fillId="0" borderId="0" xfId="0" applyNumberFormat="1" applyFont="1" applyFill="1" applyBorder="1" applyAlignment="1">
      <alignment horizontal="left"/>
    </xf>
    <xf numFmtId="171" fontId="6" fillId="0" borderId="0" xfId="0" applyNumberFormat="1" applyFont="1" applyFill="1" applyBorder="1" applyAlignment="1">
      <alignment horizontal="right"/>
    </xf>
    <xf numFmtId="171" fontId="6" fillId="0" borderId="2" xfId="0" applyNumberFormat="1" applyFont="1" applyFill="1" applyBorder="1" applyAlignment="1">
      <alignment horizontal="right"/>
    </xf>
    <xf numFmtId="164" fontId="6" fillId="0" borderId="13" xfId="0" applyNumberFormat="1" applyFont="1" applyFill="1" applyBorder="1" applyAlignment="1">
      <alignment horizontal="right"/>
    </xf>
    <xf numFmtId="176" fontId="6" fillId="0" borderId="9" xfId="0" applyNumberFormat="1" applyFont="1" applyFill="1" applyBorder="1"/>
    <xf numFmtId="171" fontId="6" fillId="0" borderId="9" xfId="0" applyNumberFormat="1" applyFont="1" applyFill="1" applyBorder="1" applyAlignment="1">
      <alignment horizontal="right"/>
    </xf>
    <xf numFmtId="175" fontId="6" fillId="0" borderId="9" xfId="0" applyNumberFormat="1" applyFont="1" applyFill="1" applyBorder="1" applyAlignment="1">
      <alignment horizontal="right"/>
    </xf>
    <xf numFmtId="175" fontId="11" fillId="0" borderId="0" xfId="0" applyNumberFormat="1" applyFont="1" applyBorder="1" applyAlignment="1">
      <alignment horizontal="right"/>
    </xf>
    <xf numFmtId="176" fontId="6" fillId="0" borderId="0" xfId="0" applyNumberFormat="1" applyFont="1" applyBorder="1" applyAlignment="1">
      <alignment horizontal="center"/>
    </xf>
    <xf numFmtId="176" fontId="6" fillId="0" borderId="9" xfId="0" applyNumberFormat="1" applyFont="1" applyFill="1" applyBorder="1" applyAlignment="1">
      <alignment horizontal="right"/>
    </xf>
    <xf numFmtId="164" fontId="6" fillId="0" borderId="10" xfId="0" applyNumberFormat="1" applyFont="1" applyBorder="1" applyAlignment="1">
      <alignment horizontal="right"/>
    </xf>
    <xf numFmtId="176" fontId="6" fillId="0" borderId="0" xfId="0" applyNumberFormat="1" applyFont="1" applyFill="1" applyBorder="1" applyAlignment="1">
      <alignment horizontal="right"/>
    </xf>
    <xf numFmtId="164" fontId="6" fillId="0" borderId="0" xfId="0" applyNumberFormat="1" applyFont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4" fontId="6" fillId="0" borderId="0" xfId="0" applyNumberFormat="1" applyFont="1" applyBorder="1" applyAlignment="1">
      <alignment horizontal="center"/>
    </xf>
    <xf numFmtId="171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4" fontId="6" fillId="0" borderId="0" xfId="0" applyNumberFormat="1" applyFont="1" applyBorder="1"/>
    <xf numFmtId="172" fontId="11" fillId="0" borderId="0" xfId="0" applyNumberFormat="1" applyFont="1" applyFill="1" applyBorder="1"/>
    <xf numFmtId="164" fontId="6" fillId="0" borderId="13" xfId="0" applyNumberFormat="1" applyFont="1" applyFill="1" applyBorder="1" applyAlignment="1">
      <alignment horizontal="center"/>
    </xf>
    <xf numFmtId="171" fontId="11" fillId="0" borderId="0" xfId="0" applyNumberFormat="1" applyFont="1" applyFill="1" applyBorder="1" applyAlignment="1">
      <alignment horizontal="right"/>
    </xf>
    <xf numFmtId="175" fontId="6" fillId="0" borderId="9" xfId="0" applyNumberFormat="1" applyFont="1" applyBorder="1"/>
    <xf numFmtId="5" fontId="6" fillId="0" borderId="0" xfId="0" applyNumberFormat="1" applyFont="1" applyBorder="1"/>
    <xf numFmtId="5" fontId="6" fillId="0" borderId="0" xfId="0" applyNumberFormat="1" applyFont="1" applyFill="1" applyBorder="1"/>
    <xf numFmtId="5" fontId="6" fillId="0" borderId="0" xfId="0" applyNumberFormat="1" applyFont="1" applyFill="1" applyBorder="1" applyAlignment="1">
      <alignment horizontal="center"/>
    </xf>
    <xf numFmtId="5" fontId="6" fillId="0" borderId="0" xfId="0" applyNumberFormat="1" applyFont="1" applyFill="1"/>
    <xf numFmtId="173" fontId="6" fillId="0" borderId="0" xfId="0" applyNumberFormat="1" applyFont="1" applyAlignment="1">
      <alignment horizontal="right"/>
    </xf>
    <xf numFmtId="175" fontId="6" fillId="0" borderId="0" xfId="0" applyNumberFormat="1" applyFont="1"/>
    <xf numFmtId="5" fontId="6" fillId="0" borderId="0" xfId="0" applyNumberFormat="1" applyFont="1"/>
    <xf numFmtId="164" fontId="6" fillId="0" borderId="0" xfId="0" applyNumberFormat="1" applyFont="1" applyAlignment="1">
      <alignment horizontal="right"/>
    </xf>
    <xf numFmtId="5" fontId="6" fillId="0" borderId="2" xfId="0" applyNumberFormat="1" applyFont="1" applyBorder="1"/>
    <xf numFmtId="42" fontId="18" fillId="0" borderId="0" xfId="0" applyNumberFormat="1" applyFont="1"/>
    <xf numFmtId="176" fontId="6" fillId="0" borderId="0" xfId="0" applyNumberFormat="1" applyFont="1"/>
    <xf numFmtId="175" fontId="6" fillId="0" borderId="0" xfId="0" applyNumberFormat="1" applyFont="1" applyFill="1"/>
    <xf numFmtId="0" fontId="6" fillId="0" borderId="0" xfId="0" applyFont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6" fillId="0" borderId="0" xfId="0" applyFont="1" applyAlignment="1">
      <alignment horizontal="centerContinuous"/>
    </xf>
    <xf numFmtId="0" fontId="6" fillId="0" borderId="0" xfId="0" applyFont="1"/>
    <xf numFmtId="0" fontId="10" fillId="0" borderId="0" xfId="0" applyFont="1" applyAlignment="1">
      <alignment horizontal="centerContinuous"/>
    </xf>
    <xf numFmtId="0" fontId="6" fillId="0" borderId="9" xfId="0" applyFont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0" fillId="0" borderId="0" xfId="0" applyFont="1"/>
    <xf numFmtId="0" fontId="6" fillId="0" borderId="0" xfId="0" applyFont="1" applyFill="1"/>
    <xf numFmtId="3" fontId="6" fillId="0" borderId="0" xfId="0" applyNumberFormat="1" applyFont="1" applyFill="1"/>
    <xf numFmtId="0" fontId="6" fillId="0" borderId="0" xfId="0" applyFont="1" applyFill="1" applyBorder="1"/>
    <xf numFmtId="3" fontId="6" fillId="0" borderId="9" xfId="0" applyNumberFormat="1" applyFont="1" applyFill="1" applyBorder="1"/>
    <xf numFmtId="3" fontId="6" fillId="0" borderId="0" xfId="0" applyNumberFormat="1" applyFont="1" applyFill="1" applyBorder="1"/>
    <xf numFmtId="3" fontId="6" fillId="0" borderId="2" xfId="0" applyNumberFormat="1" applyFont="1" applyFill="1" applyBorder="1"/>
    <xf numFmtId="3" fontId="6" fillId="0" borderId="0" xfId="0" applyNumberFormat="1" applyFont="1"/>
    <xf numFmtId="3" fontId="6" fillId="0" borderId="0" xfId="0" applyNumberFormat="1" applyFont="1" applyBorder="1"/>
    <xf numFmtId="0" fontId="6" fillId="0" borderId="0" xfId="0" applyFont="1" applyBorder="1"/>
    <xf numFmtId="9" fontId="6" fillId="0" borderId="0" xfId="0" applyNumberFormat="1" applyFont="1" applyFill="1" applyBorder="1"/>
    <xf numFmtId="3" fontId="6" fillId="0" borderId="9" xfId="0" applyNumberFormat="1" applyFont="1" applyBorder="1"/>
    <xf numFmtId="164" fontId="6" fillId="0" borderId="0" xfId="0" applyNumberFormat="1" applyFont="1" applyFill="1" applyBorder="1"/>
    <xf numFmtId="0" fontId="4" fillId="0" borderId="9" xfId="0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165" fontId="0" fillId="0" borderId="9" xfId="0" applyNumberFormat="1" applyBorder="1"/>
    <xf numFmtId="3" fontId="7" fillId="0" borderId="0" xfId="0" applyNumberFormat="1" applyFont="1" applyBorder="1"/>
    <xf numFmtId="42" fontId="7" fillId="0" borderId="0" xfId="0" applyNumberFormat="1" applyFont="1" applyBorder="1"/>
    <xf numFmtId="168" fontId="7" fillId="0" borderId="0" xfId="0" applyNumberFormat="1" applyFont="1" applyFill="1"/>
    <xf numFmtId="168" fontId="7" fillId="0" borderId="2" xfId="0" applyNumberFormat="1" applyFont="1" applyFill="1" applyBorder="1"/>
    <xf numFmtId="3" fontId="8" fillId="0" borderId="0" xfId="0" applyNumberFormat="1" applyFont="1" applyFill="1"/>
    <xf numFmtId="0" fontId="4" fillId="0" borderId="9" xfId="0" applyFont="1" applyBorder="1"/>
    <xf numFmtId="42" fontId="4" fillId="0" borderId="0" xfId="0" applyNumberFormat="1" applyFont="1" applyBorder="1"/>
    <xf numFmtId="0" fontId="3" fillId="0" borderId="0" xfId="0" applyFont="1"/>
    <xf numFmtId="164" fontId="0" fillId="0" borderId="0" xfId="0" applyNumberFormat="1" applyFont="1" applyBorder="1"/>
    <xf numFmtId="165" fontId="2" fillId="0" borderId="0" xfId="0" applyNumberFormat="1" applyFont="1"/>
    <xf numFmtId="44" fontId="2" fillId="0" borderId="0" xfId="0" applyNumberFormat="1" applyFont="1"/>
    <xf numFmtId="169" fontId="0" fillId="0" borderId="2" xfId="0" applyNumberFormat="1" applyFont="1" applyBorder="1"/>
    <xf numFmtId="169" fontId="0" fillId="0" borderId="0" xfId="0" applyNumberFormat="1" applyFont="1"/>
    <xf numFmtId="0" fontId="0" fillId="0" borderId="0" xfId="0" applyFont="1" applyBorder="1" applyAlignment="1">
      <alignment horizontal="center"/>
    </xf>
    <xf numFmtId="42" fontId="0" fillId="0" borderId="0" xfId="0" applyNumberFormat="1" applyFont="1"/>
    <xf numFmtId="0" fontId="0" fillId="0" borderId="9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0" xfId="0" applyFont="1"/>
    <xf numFmtId="3" fontId="3" fillId="0" borderId="0" xfId="0" applyNumberFormat="1" applyFont="1"/>
    <xf numFmtId="165" fontId="2" fillId="0" borderId="13" xfId="0" applyNumberFormat="1" applyFont="1" applyFill="1" applyBorder="1"/>
    <xf numFmtId="165" fontId="4" fillId="0" borderId="15" xfId="0" applyNumberFormat="1" applyFont="1" applyFill="1" applyBorder="1"/>
    <xf numFmtId="42" fontId="4" fillId="0" borderId="0" xfId="0" applyNumberFormat="1" applyFont="1"/>
    <xf numFmtId="42" fontId="0" fillId="0" borderId="0" xfId="0" applyNumberFormat="1" applyFont="1"/>
    <xf numFmtId="164" fontId="0" fillId="0" borderId="0" xfId="0" applyNumberFormat="1" applyFont="1"/>
    <xf numFmtId="165" fontId="4" fillId="0" borderId="16" xfId="0" applyNumberFormat="1" applyFont="1" applyFill="1" applyBorder="1"/>
    <xf numFmtId="3" fontId="0" fillId="0" borderId="2" xfId="0" applyNumberFormat="1" applyFont="1" applyBorder="1"/>
    <xf numFmtId="165" fontId="0" fillId="0" borderId="0" xfId="0" applyNumberFormat="1" applyFont="1"/>
    <xf numFmtId="42" fontId="4" fillId="0" borderId="2" xfId="0" applyNumberFormat="1" applyFont="1" applyBorder="1"/>
    <xf numFmtId="42" fontId="0" fillId="0" borderId="2" xfId="0" applyNumberFormat="1" applyFont="1" applyBorder="1"/>
    <xf numFmtId="164" fontId="0" fillId="0" borderId="2" xfId="0" applyNumberFormat="1" applyFont="1" applyBorder="1"/>
    <xf numFmtId="165" fontId="2" fillId="0" borderId="14" xfId="0" applyNumberFormat="1" applyFont="1" applyFill="1" applyBorder="1"/>
    <xf numFmtId="165" fontId="2" fillId="0" borderId="15" xfId="0" applyNumberFormat="1" applyFont="1" applyFill="1" applyBorder="1"/>
    <xf numFmtId="165" fontId="2" fillId="0" borderId="16" xfId="0" applyNumberFormat="1" applyFont="1" applyFill="1" applyBorder="1"/>
    <xf numFmtId="0" fontId="19" fillId="0" borderId="0" xfId="0" applyFont="1"/>
    <xf numFmtId="166" fontId="3" fillId="0" borderId="0" xfId="0" applyNumberFormat="1" applyFont="1"/>
    <xf numFmtId="3" fontId="3" fillId="0" borderId="0" xfId="0" quotePrefix="1" applyNumberFormat="1" applyFont="1" applyFill="1"/>
    <xf numFmtId="3" fontId="23" fillId="0" borderId="0" xfId="0" applyNumberFormat="1" applyFont="1"/>
    <xf numFmtId="165" fontId="2" fillId="0" borderId="0" xfId="0" applyNumberFormat="1" applyFont="1" applyBorder="1"/>
    <xf numFmtId="3" fontId="4" fillId="0" borderId="0" xfId="0" applyNumberFormat="1" applyFont="1" applyFill="1"/>
    <xf numFmtId="3" fontId="23" fillId="0" borderId="0" xfId="0" applyNumberFormat="1" applyFont="1" applyFill="1"/>
    <xf numFmtId="3" fontId="4" fillId="0" borderId="1" xfId="0" applyNumberFormat="1" applyFont="1" applyBorder="1"/>
    <xf numFmtId="3" fontId="4" fillId="0" borderId="2" xfId="0" applyNumberFormat="1" applyFont="1" applyBorder="1"/>
    <xf numFmtId="3" fontId="4" fillId="0" borderId="2" xfId="0" applyNumberFormat="1" applyFont="1" applyFill="1" applyBorder="1"/>
    <xf numFmtId="169" fontId="0" fillId="0" borderId="0" xfId="0" applyNumberFormat="1" applyFont="1"/>
    <xf numFmtId="164" fontId="4" fillId="0" borderId="0" xfId="0" applyNumberFormat="1" applyFont="1"/>
    <xf numFmtId="164" fontId="4" fillId="0" borderId="2" xfId="0" applyNumberFormat="1" applyFont="1" applyBorder="1"/>
    <xf numFmtId="166" fontId="2" fillId="0" borderId="0" xfId="0" applyNumberFormat="1" applyFont="1"/>
    <xf numFmtId="0" fontId="0" fillId="0" borderId="0" xfId="0" applyFont="1" applyAlignment="1">
      <alignment horizontal="left"/>
    </xf>
    <xf numFmtId="3" fontId="0" fillId="0" borderId="0" xfId="0" applyNumberFormat="1" applyFont="1"/>
    <xf numFmtId="0" fontId="0" fillId="0" borderId="0" xfId="0" quotePrefix="1" applyFont="1" applyFill="1" applyAlignment="1">
      <alignment vertical="top"/>
    </xf>
    <xf numFmtId="42" fontId="22" fillId="0" borderId="0" xfId="0" applyNumberFormat="1" applyFont="1" applyBorder="1" applyAlignment="1">
      <alignment horizontal="center"/>
    </xf>
    <xf numFmtId="42" fontId="0" fillId="0" borderId="0" xfId="0" applyNumberFormat="1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25" fillId="0" borderId="0" xfId="0" applyFont="1" applyBorder="1" applyAlignment="1">
      <alignment horizontal="left"/>
    </xf>
    <xf numFmtId="0" fontId="2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8" fontId="4" fillId="0" borderId="0" xfId="0" applyNumberFormat="1" applyFont="1"/>
    <xf numFmtId="169" fontId="4" fillId="0" borderId="0" xfId="0" applyNumberFormat="1" applyFont="1" applyBorder="1"/>
    <xf numFmtId="0" fontId="4" fillId="0" borderId="0" xfId="0" quotePrefix="1" applyFont="1" applyAlignment="1">
      <alignment vertical="top"/>
    </xf>
    <xf numFmtId="0" fontId="26" fillId="0" borderId="0" xfId="0" applyFont="1"/>
    <xf numFmtId="0" fontId="26" fillId="0" borderId="0" xfId="0" applyFont="1" applyFill="1"/>
    <xf numFmtId="169" fontId="4" fillId="0" borderId="0" xfId="0" applyNumberFormat="1" applyFont="1"/>
    <xf numFmtId="41" fontId="4" fillId="0" borderId="0" xfId="0" quotePrefix="1" applyNumberFormat="1" applyFont="1" applyAlignment="1">
      <alignment horizontal="right"/>
    </xf>
    <xf numFmtId="0" fontId="4" fillId="0" borderId="0" xfId="0" applyFont="1" applyFill="1" applyBorder="1" applyAlignment="1">
      <alignment horizontal="left"/>
    </xf>
    <xf numFmtId="3" fontId="4" fillId="0" borderId="0" xfId="0" applyNumberFormat="1" applyFont="1" applyFill="1" applyBorder="1"/>
    <xf numFmtId="0" fontId="0" fillId="0" borderId="0" xfId="0" applyFont="1" applyAlignment="1"/>
    <xf numFmtId="0" fontId="0" fillId="0" borderId="0" xfId="0" applyFont="1" applyFill="1" applyAlignment="1">
      <alignment horizontal="center"/>
    </xf>
    <xf numFmtId="0" fontId="0" fillId="0" borderId="9" xfId="0" applyFont="1" applyBorder="1" applyAlignment="1"/>
    <xf numFmtId="0" fontId="3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/>
    <xf numFmtId="164" fontId="0" fillId="0" borderId="0" xfId="0" applyNumberFormat="1" applyFont="1"/>
    <xf numFmtId="164" fontId="0" fillId="0" borderId="2" xfId="0" applyNumberFormat="1" applyFont="1" applyBorder="1"/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169" fontId="0" fillId="0" borderId="0" xfId="0" applyNumberFormat="1" applyFont="1" applyAlignment="1">
      <alignment wrapText="1"/>
    </xf>
    <xf numFmtId="0" fontId="0" fillId="0" borderId="0" xfId="0" applyFont="1" applyFill="1"/>
    <xf numFmtId="3" fontId="0" fillId="0" borderId="2" xfId="0" applyNumberFormat="1" applyFont="1" applyBorder="1"/>
    <xf numFmtId="165" fontId="0" fillId="0" borderId="0" xfId="0" applyNumberFormat="1" applyFont="1"/>
    <xf numFmtId="42" fontId="0" fillId="0" borderId="2" xfId="0" applyNumberFormat="1" applyFont="1" applyBorder="1"/>
    <xf numFmtId="0" fontId="0" fillId="0" borderId="0" xfId="0" quotePrefix="1" applyFont="1"/>
    <xf numFmtId="166" fontId="4" fillId="0" borderId="0" xfId="0" applyNumberFormat="1" applyFont="1" applyFill="1"/>
    <xf numFmtId="166" fontId="4" fillId="0" borderId="0" xfId="0" applyNumberFormat="1" applyFont="1" applyFill="1" applyBorder="1"/>
    <xf numFmtId="37" fontId="4" fillId="0" borderId="0" xfId="0" applyNumberFormat="1" applyFont="1"/>
    <xf numFmtId="37" fontId="4" fillId="0" borderId="0" xfId="0" applyNumberFormat="1" applyFont="1" applyFill="1"/>
    <xf numFmtId="0" fontId="24" fillId="0" borderId="0" xfId="0" applyFont="1"/>
    <xf numFmtId="0" fontId="19" fillId="0" borderId="0" xfId="0" applyFont="1" applyAlignment="1">
      <alignment horizontal="centerContinuous"/>
    </xf>
    <xf numFmtId="42" fontId="0" fillId="0" borderId="0" xfId="0" applyNumberFormat="1" applyFont="1" applyBorder="1"/>
    <xf numFmtId="165" fontId="0" fillId="0" borderId="2" xfId="0" applyNumberFormat="1" applyBorder="1"/>
    <xf numFmtId="165" fontId="0" fillId="0" borderId="2" xfId="0" applyNumberFormat="1" applyFont="1" applyBorder="1"/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169" fontId="0" fillId="0" borderId="0" xfId="0" applyNumberFormat="1" applyFont="1"/>
    <xf numFmtId="165" fontId="4" fillId="0" borderId="13" xfId="0" applyNumberFormat="1" applyFont="1" applyFill="1" applyBorder="1"/>
    <xf numFmtId="0" fontId="6" fillId="0" borderId="17" xfId="0" applyFont="1" applyBorder="1"/>
    <xf numFmtId="0" fontId="6" fillId="0" borderId="18" xfId="0" applyFont="1" applyFill="1" applyBorder="1"/>
    <xf numFmtId="0" fontId="14" fillId="0" borderId="14" xfId="0" applyFont="1" applyBorder="1" applyAlignment="1">
      <alignment horizontal="center"/>
    </xf>
    <xf numFmtId="0" fontId="14" fillId="0" borderId="14" xfId="0" applyFont="1" applyFill="1" applyBorder="1" applyAlignment="1">
      <alignment horizontal="center"/>
    </xf>
    <xf numFmtId="171" fontId="18" fillId="0" borderId="15" xfId="0" applyNumberFormat="1" applyFont="1" applyBorder="1" applyAlignment="1">
      <alignment horizontal="center"/>
    </xf>
    <xf numFmtId="0" fontId="14" fillId="0" borderId="20" xfId="0" applyFont="1" applyBorder="1"/>
    <xf numFmtId="0" fontId="6" fillId="0" borderId="21" xfId="0" applyFont="1" applyBorder="1"/>
    <xf numFmtId="0" fontId="14" fillId="0" borderId="23" xfId="0" applyFont="1" applyBorder="1"/>
    <xf numFmtId="0" fontId="6" fillId="0" borderId="24" xfId="0" applyFont="1" applyBorder="1"/>
    <xf numFmtId="0" fontId="6" fillId="0" borderId="0" xfId="0" applyFont="1"/>
    <xf numFmtId="0" fontId="6" fillId="0" borderId="9" xfId="0" applyFont="1" applyBorder="1" applyAlignment="1">
      <alignment horizontal="center"/>
    </xf>
    <xf numFmtId="0" fontId="10" fillId="0" borderId="0" xfId="0" applyFont="1"/>
    <xf numFmtId="0" fontId="3" fillId="0" borderId="0" xfId="0" applyFont="1" applyAlignment="1">
      <alignment wrapText="1"/>
    </xf>
    <xf numFmtId="0" fontId="4" fillId="0" borderId="9" xfId="0" applyFont="1" applyBorder="1" applyAlignment="1">
      <alignment horizontal="centerContinuous"/>
    </xf>
    <xf numFmtId="0" fontId="28" fillId="0" borderId="0" xfId="0" applyFont="1"/>
    <xf numFmtId="179" fontId="4" fillId="0" borderId="0" xfId="0" applyNumberFormat="1" applyFont="1"/>
    <xf numFmtId="0" fontId="28" fillId="0" borderId="0" xfId="0" applyFont="1" applyBorder="1"/>
    <xf numFmtId="44" fontId="3" fillId="0" borderId="0" xfId="0" applyNumberFormat="1" applyFont="1"/>
    <xf numFmtId="44" fontId="28" fillId="0" borderId="0" xfId="0" applyNumberFormat="1" applyFont="1" applyBorder="1"/>
    <xf numFmtId="44" fontId="4" fillId="0" borderId="0" xfId="0" applyNumberFormat="1" applyFont="1"/>
    <xf numFmtId="44" fontId="4" fillId="0" borderId="0" xfId="0" applyNumberFormat="1" applyFont="1" applyBorder="1"/>
    <xf numFmtId="44" fontId="4" fillId="0" borderId="2" xfId="0" applyNumberFormat="1" applyFont="1" applyBorder="1"/>
    <xf numFmtId="44" fontId="28" fillId="0" borderId="0" xfId="0" applyNumberFormat="1" applyFont="1"/>
    <xf numFmtId="166" fontId="28" fillId="0" borderId="0" xfId="0" applyNumberFormat="1" applyFont="1" applyBorder="1"/>
    <xf numFmtId="166" fontId="4" fillId="0" borderId="0" xfId="0" applyNumberFormat="1" applyFont="1"/>
    <xf numFmtId="166" fontId="3" fillId="0" borderId="0" xfId="0" applyNumberFormat="1" applyFont="1" applyFill="1"/>
    <xf numFmtId="166" fontId="4" fillId="0" borderId="2" xfId="0" applyNumberFormat="1" applyFont="1" applyBorder="1"/>
    <xf numFmtId="179" fontId="4" fillId="0" borderId="2" xfId="0" applyNumberFormat="1" applyFont="1" applyBorder="1"/>
    <xf numFmtId="166" fontId="4" fillId="0" borderId="0" xfId="0" applyNumberFormat="1" applyFont="1" applyBorder="1"/>
    <xf numFmtId="164" fontId="4" fillId="0" borderId="0" xfId="0" applyNumberFormat="1" applyFont="1" applyBorder="1"/>
    <xf numFmtId="0" fontId="4" fillId="0" borderId="0" xfId="0" applyFont="1" applyFill="1" applyAlignment="1"/>
    <xf numFmtId="0" fontId="4" fillId="0" borderId="0" xfId="0" applyFont="1" applyAlignment="1"/>
    <xf numFmtId="0" fontId="0" fillId="0" borderId="0" xfId="0" applyFont="1" applyBorder="1" applyAlignment="1">
      <alignment horizontal="left"/>
    </xf>
    <xf numFmtId="168" fontId="7" fillId="0" borderId="0" xfId="0" applyNumberFormat="1" applyFont="1" applyFill="1"/>
    <xf numFmtId="168" fontId="7" fillId="0" borderId="2" xfId="0" applyNumberFormat="1" applyFont="1" applyFill="1" applyBorder="1"/>
    <xf numFmtId="165" fontId="3" fillId="0" borderId="0" xfId="0" applyNumberFormat="1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Border="1" applyAlignment="1">
      <alignment horizontal="centerContinuous"/>
    </xf>
    <xf numFmtId="0" fontId="2" fillId="0" borderId="9" xfId="0" quotePrefix="1" applyFont="1" applyFill="1" applyBorder="1" applyAlignment="1">
      <alignment horizontal="center"/>
    </xf>
    <xf numFmtId="0" fontId="0" fillId="0" borderId="0" xfId="0" applyAlignment="1">
      <alignment horizontal="centerContinuous"/>
    </xf>
    <xf numFmtId="0" fontId="4" fillId="0" borderId="0" xfId="0" applyFont="1" applyFill="1" applyAlignment="1">
      <alignment horizontal="centerContinuous"/>
    </xf>
    <xf numFmtId="165" fontId="2" fillId="0" borderId="0" xfId="0" applyNumberFormat="1" applyFont="1" applyFill="1" applyBorder="1"/>
    <xf numFmtId="165" fontId="2" fillId="0" borderId="10" xfId="0" applyNumberFormat="1" applyFont="1" applyFill="1" applyBorder="1"/>
    <xf numFmtId="166" fontId="29" fillId="0" borderId="0" xfId="0" applyNumberFormat="1" applyFont="1"/>
    <xf numFmtId="165" fontId="3" fillId="0" borderId="9" xfId="0" applyNumberFormat="1" applyFont="1" applyBorder="1"/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Fill="1"/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Font="1" applyFill="1" applyAlignment="1">
      <alignment horizontal="left"/>
    </xf>
    <xf numFmtId="165" fontId="3" fillId="0" borderId="0" xfId="0" applyNumberFormat="1" applyFont="1" applyFill="1"/>
    <xf numFmtId="42" fontId="0" fillId="0" borderId="0" xfId="0" applyNumberFormat="1" applyFont="1" applyFill="1"/>
    <xf numFmtId="164" fontId="0" fillId="0" borderId="0" xfId="0" applyNumberFormat="1" applyFont="1" applyFill="1"/>
    <xf numFmtId="165" fontId="2" fillId="0" borderId="9" xfId="0" applyNumberFormat="1" applyFont="1" applyBorder="1"/>
    <xf numFmtId="0" fontId="30" fillId="0" borderId="0" xfId="0" applyFont="1" applyFill="1"/>
    <xf numFmtId="0" fontId="10" fillId="0" borderId="0" xfId="0" applyFont="1" applyAlignment="1"/>
    <xf numFmtId="0" fontId="10" fillId="0" borderId="0" xfId="0" applyFont="1" applyAlignment="1">
      <alignment horizontal="left"/>
    </xf>
    <xf numFmtId="0" fontId="6" fillId="0" borderId="16" xfId="0" applyFont="1" applyBorder="1" applyAlignment="1">
      <alignment horizontal="center"/>
    </xf>
    <xf numFmtId="0" fontId="10" fillId="0" borderId="3" xfId="0" applyFont="1" applyBorder="1" applyProtection="1">
      <protection locked="0"/>
    </xf>
    <xf numFmtId="0" fontId="6" fillId="0" borderId="3" xfId="0" applyFont="1" applyFill="1" applyBorder="1"/>
    <xf numFmtId="0" fontId="6" fillId="0" borderId="3" xfId="0" applyFont="1" applyBorder="1"/>
    <xf numFmtId="3" fontId="6" fillId="0" borderId="3" xfId="0" applyNumberFormat="1" applyFont="1" applyBorder="1"/>
    <xf numFmtId="171" fontId="6" fillId="0" borderId="3" xfId="0" applyNumberFormat="1" applyFont="1" applyBorder="1"/>
    <xf numFmtId="164" fontId="6" fillId="0" borderId="7" xfId="0" applyNumberFormat="1" applyFont="1" applyBorder="1" applyAlignment="1">
      <alignment horizontal="right"/>
    </xf>
    <xf numFmtId="175" fontId="15" fillId="0" borderId="0" xfId="0" applyNumberFormat="1" applyFont="1" applyFill="1" applyBorder="1"/>
    <xf numFmtId="171" fontId="16" fillId="0" borderId="15" xfId="0" applyNumberFormat="1" applyFont="1" applyFill="1" applyBorder="1" applyAlignment="1">
      <alignment horizontal="center"/>
    </xf>
    <xf numFmtId="10" fontId="16" fillId="0" borderId="0" xfId="0" applyNumberFormat="1" applyFont="1" applyBorder="1" applyAlignment="1">
      <alignment horizontal="center"/>
    </xf>
    <xf numFmtId="0" fontId="10" fillId="0" borderId="3" xfId="0" applyFont="1" applyFill="1" applyBorder="1" applyProtection="1">
      <protection locked="0"/>
    </xf>
    <xf numFmtId="164" fontId="6" fillId="0" borderId="7" xfId="0" applyNumberFormat="1" applyFont="1" applyBorder="1"/>
    <xf numFmtId="180" fontId="6" fillId="0" borderId="0" xfId="0" applyNumberFormat="1" applyFont="1" applyFill="1" applyBorder="1" applyAlignment="1">
      <alignment horizontal="center"/>
    </xf>
    <xf numFmtId="180" fontId="6" fillId="0" borderId="0" xfId="0" applyNumberFormat="1" applyFont="1" applyFill="1" applyAlignment="1">
      <alignment horizontal="center"/>
    </xf>
    <xf numFmtId="180" fontId="6" fillId="0" borderId="0" xfId="0" applyNumberFormat="1" applyFont="1" applyFill="1"/>
    <xf numFmtId="0" fontId="6" fillId="0" borderId="18" xfId="0" applyFont="1" applyBorder="1"/>
    <xf numFmtId="169" fontId="6" fillId="0" borderId="18" xfId="0" applyNumberFormat="1" applyFont="1" applyBorder="1"/>
    <xf numFmtId="171" fontId="6" fillId="0" borderId="19" xfId="0" applyNumberFormat="1" applyFont="1" applyFill="1" applyBorder="1"/>
    <xf numFmtId="0" fontId="6" fillId="0" borderId="3" xfId="0" applyFont="1" applyBorder="1" applyProtection="1">
      <protection locked="0"/>
    </xf>
    <xf numFmtId="3" fontId="6" fillId="0" borderId="3" xfId="0" applyNumberFormat="1" applyFont="1" applyFill="1" applyBorder="1"/>
    <xf numFmtId="10" fontId="16" fillId="0" borderId="4" xfId="0" applyNumberFormat="1" applyFont="1" applyBorder="1" applyAlignment="1">
      <alignment horizontal="center"/>
    </xf>
    <xf numFmtId="165" fontId="6" fillId="0" borderId="0" xfId="0" applyNumberFormat="1" applyFont="1" applyBorder="1"/>
    <xf numFmtId="169" fontId="6" fillId="0" borderId="0" xfId="0" applyNumberFormat="1" applyFont="1" applyFill="1"/>
    <xf numFmtId="168" fontId="6" fillId="0" borderId="2" xfId="0" applyNumberFormat="1" applyFont="1" applyBorder="1"/>
    <xf numFmtId="171" fontId="6" fillId="0" borderId="19" xfId="0" applyNumberFormat="1" applyFont="1" applyBorder="1"/>
    <xf numFmtId="176" fontId="6" fillId="0" borderId="3" xfId="0" applyNumberFormat="1" applyFont="1" applyBorder="1"/>
    <xf numFmtId="3" fontId="6" fillId="0" borderId="3" xfId="0" applyNumberFormat="1" applyFont="1" applyFill="1" applyBorder="1" applyProtection="1">
      <protection locked="0"/>
    </xf>
    <xf numFmtId="175" fontId="6" fillId="0" borderId="3" xfId="0" applyNumberFormat="1" applyFont="1" applyFill="1" applyBorder="1"/>
    <xf numFmtId="175" fontId="6" fillId="0" borderId="3" xfId="0" applyNumberFormat="1" applyFont="1" applyBorder="1" applyAlignment="1">
      <alignment horizontal="right"/>
    </xf>
    <xf numFmtId="7" fontId="6" fillId="0" borderId="0" xfId="0" applyNumberFormat="1" applyFont="1"/>
    <xf numFmtId="171" fontId="6" fillId="0" borderId="3" xfId="0" applyNumberFormat="1" applyFont="1" applyFill="1" applyBorder="1"/>
    <xf numFmtId="175" fontId="6" fillId="0" borderId="3" xfId="0" applyNumberFormat="1" applyFont="1" applyFill="1" applyBorder="1" applyAlignment="1">
      <alignment horizontal="right"/>
    </xf>
    <xf numFmtId="171" fontId="6" fillId="0" borderId="3" xfId="0" applyNumberFormat="1" applyFont="1" applyFill="1" applyBorder="1" applyAlignment="1">
      <alignment horizontal="right"/>
    </xf>
    <xf numFmtId="10" fontId="14" fillId="0" borderId="4" xfId="0" applyNumberFormat="1" applyFont="1" applyBorder="1" applyAlignment="1">
      <alignment horizontal="center"/>
    </xf>
    <xf numFmtId="10" fontId="6" fillId="0" borderId="4" xfId="0" applyNumberFormat="1" applyFont="1" applyBorder="1" applyAlignment="1">
      <alignment horizontal="center"/>
    </xf>
    <xf numFmtId="10" fontId="6" fillId="0" borderId="4" xfId="0" applyNumberFormat="1" applyFont="1" applyFill="1" applyBorder="1" applyAlignment="1">
      <alignment horizontal="center"/>
    </xf>
    <xf numFmtId="0" fontId="6" fillId="0" borderId="3" xfId="0" applyFont="1" applyFill="1" applyBorder="1" applyProtection="1">
      <protection locked="0"/>
    </xf>
    <xf numFmtId="169" fontId="6" fillId="0" borderId="3" xfId="0" applyNumberFormat="1" applyFont="1" applyFill="1" applyBorder="1"/>
    <xf numFmtId="164" fontId="6" fillId="0" borderId="7" xfId="0" applyNumberFormat="1" applyFont="1" applyFill="1" applyBorder="1" applyAlignment="1">
      <alignment horizontal="right"/>
    </xf>
    <xf numFmtId="5" fontId="6" fillId="0" borderId="2" xfId="0" applyNumberFormat="1" applyFont="1" applyFill="1" applyBorder="1"/>
    <xf numFmtId="5" fontId="18" fillId="0" borderId="0" xfId="0" applyNumberFormat="1" applyFont="1" applyFill="1"/>
    <xf numFmtId="41" fontId="18" fillId="0" borderId="0" xfId="0" applyNumberFormat="1" applyFont="1" applyFill="1"/>
    <xf numFmtId="41" fontId="6" fillId="0" borderId="0" xfId="0" applyNumberFormat="1" applyFont="1"/>
    <xf numFmtId="42" fontId="6" fillId="0" borderId="0" xfId="0" applyNumberFormat="1" applyFont="1"/>
    <xf numFmtId="169" fontId="6" fillId="0" borderId="21" xfId="0" applyNumberFormat="1" applyFont="1" applyFill="1" applyBorder="1"/>
    <xf numFmtId="171" fontId="6" fillId="0" borderId="22" xfId="0" applyNumberFormat="1" applyFont="1" applyBorder="1"/>
    <xf numFmtId="169" fontId="6" fillId="0" borderId="24" xfId="0" applyNumberFormat="1" applyFont="1" applyFill="1" applyBorder="1"/>
    <xf numFmtId="171" fontId="6" fillId="0" borderId="25" xfId="0" applyNumberFormat="1" applyFont="1" applyBorder="1"/>
    <xf numFmtId="17" fontId="6" fillId="0" borderId="9" xfId="0" applyNumberFormat="1" applyFont="1" applyBorder="1" applyAlignment="1">
      <alignment horizontal="center"/>
    </xf>
    <xf numFmtId="170" fontId="14" fillId="0" borderId="9" xfId="0" applyNumberFormat="1" applyFont="1" applyBorder="1" applyAlignment="1">
      <alignment horizontal="center" wrapText="1"/>
    </xf>
    <xf numFmtId="17" fontId="6" fillId="0" borderId="0" xfId="0" applyNumberFormat="1" applyFont="1"/>
    <xf numFmtId="168" fontId="14" fillId="0" borderId="0" xfId="0" applyNumberFormat="1" applyFont="1"/>
    <xf numFmtId="168" fontId="6" fillId="0" borderId="0" xfId="0" applyNumberFormat="1" applyFont="1"/>
    <xf numFmtId="168" fontId="6" fillId="0" borderId="0" xfId="0" applyNumberFormat="1" applyFont="1" applyAlignment="1">
      <alignment horizontal="left"/>
    </xf>
    <xf numFmtId="168" fontId="15" fillId="0" borderId="0" xfId="0" applyNumberFormat="1" applyFont="1"/>
    <xf numFmtId="168" fontId="16" fillId="0" borderId="2" xfId="0" applyNumberFormat="1" applyFont="1" applyBorder="1"/>
    <xf numFmtId="168" fontId="14" fillId="0" borderId="2" xfId="0" applyNumberFormat="1" applyFont="1" applyBorder="1"/>
    <xf numFmtId="168" fontId="21" fillId="0" borderId="0" xfId="0" applyNumberFormat="1" applyFont="1"/>
    <xf numFmtId="170" fontId="6" fillId="0" borderId="0" xfId="0" applyNumberFormat="1" applyFont="1" applyAlignment="1">
      <alignment horizontal="center" wrapText="1"/>
    </xf>
    <xf numFmtId="43" fontId="21" fillId="0" borderId="0" xfId="0" applyNumberFormat="1" applyFont="1"/>
    <xf numFmtId="0" fontId="21" fillId="0" borderId="0" xfId="0" applyFont="1"/>
    <xf numFmtId="164" fontId="16" fillId="0" borderId="0" xfId="0" applyNumberFormat="1" applyFont="1"/>
    <xf numFmtId="164" fontId="6" fillId="0" borderId="0" xfId="0" applyNumberFormat="1" applyFont="1"/>
    <xf numFmtId="164" fontId="0" fillId="0" borderId="0" xfId="0" applyNumberFormat="1" applyFont="1"/>
    <xf numFmtId="164" fontId="15" fillId="0" borderId="0" xfId="0" applyNumberFormat="1" applyFont="1"/>
    <xf numFmtId="164" fontId="3" fillId="0" borderId="0" xfId="0" applyNumberFormat="1" applyFont="1"/>
    <xf numFmtId="164" fontId="0" fillId="0" borderId="2" xfId="0" applyNumberFormat="1" applyFont="1" applyBorder="1"/>
    <xf numFmtId="164" fontId="6" fillId="0" borderId="2" xfId="0" applyNumberFormat="1" applyFont="1" applyBorder="1"/>
    <xf numFmtId="167" fontId="2" fillId="0" borderId="0" xfId="0" applyNumberFormat="1" applyFont="1"/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6" fontId="0" fillId="0" borderId="0" xfId="0" applyNumberFormat="1" applyFont="1" applyFill="1"/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/>
    <xf numFmtId="42" fontId="3" fillId="0" borderId="0" xfId="0" applyNumberFormat="1" applyFont="1" applyAlignment="1">
      <alignment horizontal="left"/>
    </xf>
    <xf numFmtId="169" fontId="3" fillId="0" borderId="0" xfId="0" applyNumberFormat="1" applyFont="1"/>
    <xf numFmtId="169" fontId="1" fillId="0" borderId="0" xfId="0" applyNumberFormat="1" applyFont="1"/>
    <xf numFmtId="165" fontId="0" fillId="0" borderId="0" xfId="0" applyNumberFormat="1" applyBorder="1"/>
    <xf numFmtId="42" fontId="3" fillId="0" borderId="0" xfId="0" applyNumberFormat="1" applyFont="1" applyBorder="1"/>
    <xf numFmtId="10" fontId="0" fillId="0" borderId="0" xfId="0" applyNumberFormat="1" applyFont="1" applyBorder="1"/>
    <xf numFmtId="0" fontId="0" fillId="0" borderId="0" xfId="0" applyBorder="1"/>
    <xf numFmtId="42" fontId="0" fillId="0" borderId="0" xfId="0" applyNumberFormat="1" applyBorder="1"/>
    <xf numFmtId="3" fontId="7" fillId="0" borderId="0" xfId="0" applyNumberFormat="1" applyFont="1" applyFill="1" applyBorder="1"/>
    <xf numFmtId="169" fontId="7" fillId="0" borderId="0" xfId="0" applyNumberFormat="1" applyFont="1" applyFill="1" applyBorder="1"/>
    <xf numFmtId="166" fontId="12" fillId="0" borderId="0" xfId="0" applyNumberFormat="1" applyFont="1" applyFill="1" applyBorder="1"/>
    <xf numFmtId="166" fontId="7" fillId="0" borderId="0" xfId="0" applyNumberFormat="1" applyFont="1" applyFill="1" applyBorder="1"/>
    <xf numFmtId="10" fontId="7" fillId="0" borderId="0" xfId="0" applyNumberFormat="1" applyFont="1" applyBorder="1"/>
    <xf numFmtId="10" fontId="0" fillId="0" borderId="0" xfId="0" applyNumberFormat="1" applyBorder="1"/>
    <xf numFmtId="169" fontId="7" fillId="0" borderId="0" xfId="0" applyNumberFormat="1" applyFont="1" applyBorder="1"/>
    <xf numFmtId="42" fontId="12" fillId="0" borderId="0" xfId="0" applyNumberFormat="1" applyFont="1" applyBorder="1"/>
    <xf numFmtId="0" fontId="7" fillId="0" borderId="0" xfId="0" applyFont="1" applyFill="1" applyBorder="1"/>
    <xf numFmtId="169" fontId="7" fillId="0" borderId="2" xfId="0" applyNumberFormat="1" applyFont="1" applyBorder="1" applyAlignment="1">
      <alignment horizontal="left"/>
    </xf>
    <xf numFmtId="169" fontId="7" fillId="0" borderId="0" xfId="0" applyNumberFormat="1" applyFont="1" applyBorder="1" applyAlignment="1">
      <alignment horizontal="left"/>
    </xf>
    <xf numFmtId="169" fontId="12" fillId="0" borderId="0" xfId="0" applyNumberFormat="1" applyFont="1" applyFill="1"/>
    <xf numFmtId="0" fontId="0" fillId="0" borderId="9" xfId="0" applyFill="1" applyBorder="1" applyAlignment="1">
      <alignment horizontal="center"/>
    </xf>
    <xf numFmtId="168" fontId="3" fillId="0" borderId="0" xfId="0" applyNumberFormat="1" applyFont="1" applyAlignment="1">
      <alignment horizontal="left"/>
    </xf>
    <xf numFmtId="165" fontId="1" fillId="0" borderId="0" xfId="0" applyNumberFormat="1" applyFont="1"/>
    <xf numFmtId="169" fontId="3" fillId="0" borderId="0" xfId="0" applyNumberFormat="1" applyFont="1" applyBorder="1"/>
    <xf numFmtId="10" fontId="31" fillId="0" borderId="0" xfId="0" applyNumberFormat="1" applyFont="1"/>
    <xf numFmtId="168" fontId="0" fillId="0" borderId="2" xfId="0" applyNumberFormat="1" applyBorder="1"/>
    <xf numFmtId="43" fontId="31" fillId="0" borderId="0" xfId="0" applyNumberFormat="1" applyFont="1"/>
    <xf numFmtId="165" fontId="7" fillId="0" borderId="0" xfId="0" applyNumberFormat="1" applyFont="1" applyFill="1"/>
    <xf numFmtId="168" fontId="7" fillId="0" borderId="2" xfId="0" applyNumberFormat="1" applyFont="1" applyBorder="1" applyAlignment="1">
      <alignment horizontal="left"/>
    </xf>
    <xf numFmtId="165" fontId="7" fillId="0" borderId="2" xfId="0" applyNumberFormat="1" applyFont="1" applyFill="1" applyBorder="1"/>
    <xf numFmtId="0" fontId="0" fillId="0" borderId="0" xfId="0" quotePrefix="1"/>
    <xf numFmtId="0" fontId="10" fillId="0" borderId="0" xfId="1" applyFont="1" applyFill="1" applyAlignment="1"/>
    <xf numFmtId="0" fontId="6" fillId="0" borderId="0" xfId="1" applyFont="1" applyFill="1"/>
    <xf numFmtId="0" fontId="10" fillId="0" borderId="0" xfId="1" applyFont="1" applyFill="1" applyAlignment="1">
      <alignment horizontal="centerContinuous"/>
    </xf>
    <xf numFmtId="0" fontId="10" fillId="0" borderId="0" xfId="1" applyFont="1" applyFill="1"/>
    <xf numFmtId="0" fontId="6" fillId="0" borderId="0" xfId="1" applyFont="1" applyFill="1" applyAlignment="1">
      <alignment horizontal="center"/>
    </xf>
    <xf numFmtId="0" fontId="6" fillId="0" borderId="9" xfId="1" applyFont="1" applyFill="1" applyBorder="1" applyAlignment="1">
      <alignment horizontal="center"/>
    </xf>
    <xf numFmtId="17" fontId="15" fillId="0" borderId="9" xfId="1" applyNumberFormat="1" applyFont="1" applyFill="1" applyBorder="1" applyAlignment="1">
      <alignment horizontal="center"/>
    </xf>
    <xf numFmtId="17" fontId="6" fillId="0" borderId="9" xfId="1" applyNumberFormat="1" applyFont="1" applyFill="1" applyBorder="1" applyAlignment="1">
      <alignment horizontal="center"/>
    </xf>
    <xf numFmtId="0" fontId="6" fillId="0" borderId="0" xfId="1" applyFont="1" applyFill="1" applyAlignment="1">
      <alignment horizontal="left"/>
    </xf>
    <xf numFmtId="168" fontId="15" fillId="0" borderId="0" xfId="1" applyNumberFormat="1" applyFont="1" applyFill="1" applyBorder="1"/>
    <xf numFmtId="0" fontId="21" fillId="0" borderId="0" xfId="1" applyFont="1" applyFill="1" applyAlignment="1">
      <alignment horizontal="right"/>
    </xf>
    <xf numFmtId="168" fontId="21" fillId="0" borderId="0" xfId="1" applyNumberFormat="1" applyFont="1" applyFill="1" applyAlignment="1">
      <alignment horizontal="left"/>
    </xf>
    <xf numFmtId="0" fontId="6" fillId="0" borderId="0" xfId="1" applyFont="1" applyFill="1" applyBorder="1" applyAlignment="1">
      <alignment horizontal="center"/>
    </xf>
    <xf numFmtId="17" fontId="6" fillId="0" borderId="0" xfId="1" applyNumberFormat="1" applyFont="1"/>
    <xf numFmtId="168" fontId="6" fillId="0" borderId="0" xfId="1" applyNumberFormat="1" applyFont="1" applyAlignment="1">
      <alignment horizontal="left"/>
    </xf>
    <xf numFmtId="168" fontId="14" fillId="0" borderId="0" xfId="1" applyNumberFormat="1" applyFont="1" applyFill="1" applyAlignment="1">
      <alignment horizontal="left"/>
    </xf>
    <xf numFmtId="168" fontId="14" fillId="0" borderId="2" xfId="1" applyNumberFormat="1" applyFont="1" applyFill="1" applyBorder="1" applyAlignment="1">
      <alignment horizontal="left"/>
    </xf>
    <xf numFmtId="0" fontId="21" fillId="0" borderId="0" xfId="1" applyFont="1" applyFill="1" applyAlignment="1">
      <alignment horizontal="left"/>
    </xf>
    <xf numFmtId="17" fontId="14" fillId="0" borderId="9" xfId="1" applyNumberFormat="1" applyFont="1" applyFill="1" applyBorder="1" applyAlignment="1">
      <alignment horizontal="center"/>
    </xf>
    <xf numFmtId="37" fontId="6" fillId="0" borderId="0" xfId="1" applyNumberFormat="1" applyFont="1" applyFill="1"/>
    <xf numFmtId="0" fontId="6" fillId="0" borderId="0" xfId="1" applyFill="1"/>
    <xf numFmtId="0" fontId="6" fillId="0" borderId="0" xfId="1" applyFill="1" applyAlignment="1">
      <alignment horizontal="right"/>
    </xf>
    <xf numFmtId="44" fontId="16" fillId="0" borderId="0" xfId="1" applyNumberFormat="1" applyFont="1" applyFill="1"/>
    <xf numFmtId="166" fontId="16" fillId="0" borderId="0" xfId="1" applyNumberFormat="1" applyFont="1" applyFill="1"/>
    <xf numFmtId="0" fontId="10" fillId="0" borderId="0" xfId="1" applyFont="1"/>
    <xf numFmtId="0" fontId="6" fillId="0" borderId="0" xfId="1"/>
    <xf numFmtId="3" fontId="14" fillId="0" borderId="0" xfId="1" applyNumberFormat="1" applyFont="1"/>
    <xf numFmtId="3" fontId="11" fillId="0" borderId="0" xfId="1" applyNumberFormat="1" applyFont="1" applyFill="1"/>
    <xf numFmtId="168" fontId="6" fillId="0" borderId="2" xfId="1" applyNumberFormat="1" applyFont="1" applyFill="1" applyBorder="1"/>
    <xf numFmtId="168" fontId="14" fillId="0" borderId="0" xfId="1" applyNumberFormat="1" applyFont="1" applyFill="1"/>
    <xf numFmtId="42" fontId="6" fillId="0" borderId="0" xfId="1" applyNumberFormat="1" applyFill="1"/>
    <xf numFmtId="42" fontId="15" fillId="0" borderId="0" xfId="1" applyNumberFormat="1" applyFont="1" applyFill="1"/>
    <xf numFmtId="42" fontId="6" fillId="0" borderId="0" xfId="1" applyNumberFormat="1"/>
    <xf numFmtId="42" fontId="6" fillId="0" borderId="2" xfId="1" applyNumberFormat="1" applyBorder="1"/>
    <xf numFmtId="0" fontId="6" fillId="0" borderId="0" xfId="1" applyBorder="1"/>
    <xf numFmtId="0" fontId="6" fillId="0" borderId="0" xfId="1" applyFill="1" applyBorder="1" applyAlignment="1">
      <alignment horizontal="right"/>
    </xf>
    <xf numFmtId="42" fontId="6" fillId="0" borderId="0" xfId="1" applyNumberFormat="1" applyBorder="1"/>
    <xf numFmtId="42" fontId="6" fillId="0" borderId="2" xfId="1" applyNumberFormat="1" applyFill="1" applyBorder="1"/>
    <xf numFmtId="42" fontId="6" fillId="0" borderId="0" xfId="1" applyNumberFormat="1" applyFont="1" applyFill="1"/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6" fillId="0" borderId="0" xfId="1" applyFont="1" applyFill="1" applyBorder="1"/>
    <xf numFmtId="0" fontId="6" fillId="0" borderId="0" xfId="1" applyFont="1" applyFill="1" applyBorder="1" applyAlignment="1">
      <alignment horizontal="left"/>
    </xf>
    <xf numFmtId="3" fontId="16" fillId="0" borderId="0" xfId="1" applyNumberFormat="1" applyFont="1" applyFill="1" applyBorder="1"/>
    <xf numFmtId="3" fontId="6" fillId="0" borderId="0" xfId="1" applyNumberFormat="1" applyFont="1" applyFill="1" applyBorder="1"/>
    <xf numFmtId="168" fontId="34" fillId="0" borderId="0" xfId="1" applyNumberFormat="1" applyFont="1" applyFill="1"/>
    <xf numFmtId="168" fontId="14" fillId="0" borderId="2" xfId="1" applyNumberFormat="1" applyFont="1" applyFill="1" applyBorder="1"/>
    <xf numFmtId="43" fontId="21" fillId="0" borderId="0" xfId="1" applyNumberFormat="1" applyFont="1" applyFill="1" applyBorder="1"/>
    <xf numFmtId="3" fontId="6" fillId="0" borderId="0" xfId="1" applyNumberFormat="1" applyFont="1" applyFill="1"/>
    <xf numFmtId="3" fontId="6" fillId="0" borderId="2" xfId="1" applyNumberFormat="1" applyFont="1" applyFill="1" applyBorder="1"/>
    <xf numFmtId="43" fontId="21" fillId="0" borderId="0" xfId="1" applyNumberFormat="1" applyFont="1" applyFill="1"/>
    <xf numFmtId="0" fontId="30" fillId="0" borderId="0" xfId="1" applyFont="1" applyFill="1"/>
    <xf numFmtId="0" fontId="21" fillId="0" borderId="0" xfId="1" applyFont="1"/>
    <xf numFmtId="0" fontId="12" fillId="0" borderId="0" xfId="0" applyFont="1" applyFill="1" applyAlignment="1">
      <alignment horizontal="left"/>
    </xf>
    <xf numFmtId="0" fontId="12" fillId="0" borderId="0" xfId="0" applyFont="1" applyFill="1"/>
    <xf numFmtId="3" fontId="12" fillId="0" borderId="0" xfId="0" applyNumberFormat="1" applyFont="1" applyFill="1"/>
    <xf numFmtId="3" fontId="12" fillId="0" borderId="2" xfId="0" applyNumberFormat="1" applyFont="1" applyFill="1" applyBorder="1"/>
    <xf numFmtId="3" fontId="35" fillId="0" borderId="0" xfId="0" applyNumberFormat="1" applyFont="1" applyFill="1"/>
    <xf numFmtId="168" fontId="21" fillId="0" borderId="0" xfId="1" applyNumberFormat="1" applyFont="1"/>
    <xf numFmtId="0" fontId="0" fillId="0" borderId="2" xfId="0" applyBorder="1" applyAlignment="1">
      <alignment horizontal="center"/>
    </xf>
    <xf numFmtId="0" fontId="6" fillId="0" borderId="0" xfId="1" applyFont="1"/>
    <xf numFmtId="17" fontId="6" fillId="0" borderId="9" xfId="1" applyNumberFormat="1" applyFont="1" applyBorder="1" applyAlignment="1">
      <alignment horizontal="center"/>
    </xf>
    <xf numFmtId="170" fontId="14" fillId="0" borderId="9" xfId="1" applyNumberFormat="1" applyFont="1" applyBorder="1" applyAlignment="1">
      <alignment horizontal="center" wrapText="1"/>
    </xf>
    <xf numFmtId="0" fontId="6" fillId="0" borderId="9" xfId="1" applyFont="1" applyBorder="1" applyAlignment="1">
      <alignment horizontal="center"/>
    </xf>
    <xf numFmtId="168" fontId="14" fillId="0" borderId="0" xfId="1" applyNumberFormat="1" applyFont="1"/>
    <xf numFmtId="168" fontId="6" fillId="0" borderId="0" xfId="1" applyNumberFormat="1" applyFont="1"/>
    <xf numFmtId="168" fontId="16" fillId="0" borderId="0" xfId="1" applyNumberFormat="1" applyFont="1"/>
    <xf numFmtId="168" fontId="14" fillId="0" borderId="2" xfId="1" applyNumberFormat="1" applyFont="1" applyBorder="1"/>
    <xf numFmtId="168" fontId="16" fillId="0" borderId="0" xfId="1" applyNumberFormat="1" applyFont="1" applyBorder="1"/>
    <xf numFmtId="168" fontId="16" fillId="0" borderId="9" xfId="1" applyNumberFormat="1" applyFont="1" applyBorder="1"/>
    <xf numFmtId="0" fontId="6" fillId="0" borderId="0" xfId="0" applyFont="1" applyAlignment="1">
      <alignment horizontal="left" wrapText="1"/>
    </xf>
    <xf numFmtId="0" fontId="10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10" fillId="0" borderId="9" xfId="0" applyFont="1" applyBorder="1" applyAlignment="1">
      <alignment horizontal="left"/>
    </xf>
    <xf numFmtId="0" fontId="36" fillId="0" borderId="0" xfId="2" applyFill="1"/>
    <xf numFmtId="0" fontId="14" fillId="0" borderId="0" xfId="0" applyFont="1"/>
    <xf numFmtId="0" fontId="33" fillId="0" borderId="9" xfId="0" applyFont="1" applyBorder="1"/>
    <xf numFmtId="0" fontId="14" fillId="0" borderId="9" xfId="0" applyFont="1" applyBorder="1"/>
    <xf numFmtId="0" fontId="0" fillId="0" borderId="0" xfId="0" applyFont="1" applyAlignment="1">
      <alignment horizontal="center"/>
    </xf>
    <xf numFmtId="165" fontId="0" fillId="0" borderId="0" xfId="0" applyNumberFormat="1" applyFont="1" applyBorder="1"/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Font="1" applyAlignment="1">
      <alignment horizontal="center"/>
    </xf>
    <xf numFmtId="169" fontId="0" fillId="0" borderId="0" xfId="3" applyNumberFormat="1" applyFont="1"/>
    <xf numFmtId="179" fontId="4" fillId="0" borderId="0" xfId="0" applyNumberFormat="1" applyFont="1" applyBorder="1"/>
    <xf numFmtId="0" fontId="4" fillId="0" borderId="0" xfId="0" applyFont="1" applyBorder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0" fillId="0" borderId="1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22" fillId="0" borderId="0" xfId="0" applyFont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1" applyFont="1" applyFill="1" applyAlignment="1">
      <alignment horizontal="center"/>
    </xf>
    <xf numFmtId="0" fontId="33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0" fillId="0" borderId="0" xfId="0" applyFont="1" applyAlignment="1">
      <alignment horizontal="center"/>
    </xf>
    <xf numFmtId="175" fontId="6" fillId="0" borderId="3" xfId="0" applyNumberFormat="1" applyFont="1" applyBorder="1" applyAlignment="1">
      <alignment horizontal="center"/>
    </xf>
    <xf numFmtId="175" fontId="6" fillId="0" borderId="7" xfId="0" applyNumberFormat="1" applyFont="1" applyBorder="1" applyAlignment="1">
      <alignment horizontal="center"/>
    </xf>
  </cellXfs>
  <cellStyles count="4">
    <cellStyle name="Currency" xfId="3" builtinId="4"/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2.xml"/><Relationship Id="rId43" Type="http://schemas.openxmlformats.org/officeDocument/2006/relationships/customXml" Target="../customXml/item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30393-PSE-WP-Compl-GAS-RATE-SPREAD-DESIGN-SCH-141D-141N-88T-04-30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30393-PSE-WP-Compl-GAS-RATE-SPREAD-DESIGN-SCH-141LNG-04-30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Rate Summary"/>
      <sheetName val="Rate Design (Sch. 141D Refund)"/>
      <sheetName val="Rate Spread (Sch. 141D Refund)"/>
      <sheetName val="Rate Design (Sch. 141D)"/>
      <sheetName val="Rate Spread (Sch. 141D Blocks)"/>
      <sheetName val="Rate Spread (Sch. 141D)"/>
      <sheetName val="Sch. 88T Rate Design"/>
      <sheetName val="Rate Design (Sch. 141N)"/>
      <sheetName val="Rate Spread (Sch. 141N Blocks)"/>
      <sheetName val="Rate Spread (Sch. 141N)"/>
      <sheetName val="Workpapers--&gt;"/>
      <sheetName val="Exh. WJD-3 p. 1"/>
      <sheetName val="Exh JDT-5 (JDT-Rate Spread)"/>
      <sheetName val="Exh JDT-5 (JDT-INTRPL-RD)"/>
      <sheetName val="RY#2 Therms"/>
      <sheetName val="Puget LNG"/>
    </sheetNames>
    <sheetDataSet>
      <sheetData sheetId="0" refreshError="1"/>
      <sheetData sheetId="1">
        <row r="9">
          <cell r="E9">
            <v>1.2099999999999999E-3</v>
          </cell>
          <cell r="F9">
            <v>8.5999999999999998E-4</v>
          </cell>
          <cell r="G9">
            <v>-3.0599999999999998E-3</v>
          </cell>
        </row>
        <row r="13">
          <cell r="E13">
            <v>1.1000000000000001E-3</v>
          </cell>
          <cell r="F13">
            <v>7.9000000000000001E-4</v>
          </cell>
          <cell r="G13">
            <v>-2.81E-3</v>
          </cell>
        </row>
        <row r="15">
          <cell r="E15">
            <v>8.4000000000000003E-4</v>
          </cell>
          <cell r="F15">
            <v>5.9999999999999995E-4</v>
          </cell>
          <cell r="G15">
            <v>-2.14E-3</v>
          </cell>
        </row>
        <row r="17">
          <cell r="E17">
            <v>7.1000000000000002E-4</v>
          </cell>
          <cell r="F17">
            <v>5.1000000000000004E-4</v>
          </cell>
          <cell r="G17">
            <v>-1.8E-3</v>
          </cell>
        </row>
        <row r="19">
          <cell r="E19">
            <v>1.9000000000000001E-4</v>
          </cell>
          <cell r="F19">
            <v>1.2999999999999999E-4</v>
          </cell>
          <cell r="G19">
            <v>-4.8000000000000001E-4</v>
          </cell>
        </row>
        <row r="21">
          <cell r="E21">
            <v>1.2899999999999999E-3</v>
          </cell>
          <cell r="F21">
            <v>9.3000000000000005E-4</v>
          </cell>
          <cell r="G21">
            <v>-3.2799999999999999E-3</v>
          </cell>
        </row>
        <row r="22">
          <cell r="E22">
            <v>7.7999999999999999E-4</v>
          </cell>
          <cell r="F22">
            <v>5.5999999999999995E-4</v>
          </cell>
          <cell r="G22">
            <v>-1.98E-3</v>
          </cell>
        </row>
        <row r="23">
          <cell r="E23">
            <v>5.0000000000000001E-4</v>
          </cell>
          <cell r="F23">
            <v>3.6000000000000002E-4</v>
          </cell>
          <cell r="G23">
            <v>-1.2600000000000001E-3</v>
          </cell>
        </row>
        <row r="24">
          <cell r="E24">
            <v>3.2000000000000003E-4</v>
          </cell>
          <cell r="F24">
            <v>2.3000000000000001E-4</v>
          </cell>
          <cell r="G24">
            <v>-8.0999999999999996E-4</v>
          </cell>
        </row>
        <row r="25">
          <cell r="E25">
            <v>2.3000000000000001E-4</v>
          </cell>
          <cell r="F25">
            <v>1.6000000000000001E-4</v>
          </cell>
          <cell r="G25">
            <v>-5.8E-4</v>
          </cell>
        </row>
        <row r="26">
          <cell r="E26">
            <v>4.0000000000000003E-5</v>
          </cell>
          <cell r="F26">
            <v>3.0000000000000001E-5</v>
          </cell>
          <cell r="G26">
            <v>-1.1E-4</v>
          </cell>
        </row>
        <row r="32">
          <cell r="F32">
            <v>0.3034</v>
          </cell>
          <cell r="G32">
            <v>0.45274999999999999</v>
          </cell>
        </row>
        <row r="33">
          <cell r="F33">
            <v>0.18332999999999999</v>
          </cell>
          <cell r="G33">
            <v>0.27357999999999999</v>
          </cell>
        </row>
        <row r="34">
          <cell r="F34">
            <v>0.11667</v>
          </cell>
          <cell r="G34">
            <v>0.17410999999999999</v>
          </cell>
        </row>
        <row r="35">
          <cell r="F35">
            <v>7.4800000000000005E-2</v>
          </cell>
          <cell r="G35">
            <v>0.11162999999999999</v>
          </cell>
        </row>
        <row r="36">
          <cell r="F36">
            <v>5.3839999999999999E-2</v>
          </cell>
          <cell r="G36">
            <v>8.0350000000000005E-2</v>
          </cell>
        </row>
        <row r="37">
          <cell r="F37">
            <v>3.6299999999999999E-2</v>
          </cell>
          <cell r="G37">
            <v>5.4170000000000003E-2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6">
          <cell r="F26">
            <v>1310923.79</v>
          </cell>
          <cell r="K26">
            <v>-1114990.58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Rate Summary"/>
      <sheetName val="Rate Design"/>
      <sheetName val="Rate Spread (Blocks)"/>
      <sheetName val="Rate Spread"/>
      <sheetName val="Workpapers--&gt;"/>
      <sheetName val="Summary"/>
      <sheetName val="RY#2 Therms"/>
      <sheetName val="RY#2 Therms By Block"/>
      <sheetName val="Exh JDT-5 (JDT-RES_RD)"/>
      <sheetName val="Exh JDT-5 (JDT-C&amp;I-RD)"/>
      <sheetName val="Exh JDT-5 (JDT-INTRPL-RD)"/>
      <sheetName val="C-COS Allocation Factors (PSE)"/>
    </sheetNames>
    <sheetDataSet>
      <sheetData sheetId="0" refreshError="1"/>
      <sheetData sheetId="1">
        <row r="8">
          <cell r="D8">
            <v>4.6739999999999997E-2</v>
          </cell>
        </row>
        <row r="12">
          <cell r="D12">
            <v>3.968E-2</v>
          </cell>
        </row>
        <row r="14">
          <cell r="D14">
            <v>2.9180000000000001E-2</v>
          </cell>
        </row>
        <row r="15">
          <cell r="D15">
            <v>2.9180000000000001E-2</v>
          </cell>
        </row>
        <row r="16">
          <cell r="D16">
            <v>2.5219999999999999E-2</v>
          </cell>
        </row>
        <row r="18">
          <cell r="D18">
            <v>7.1590000000000001E-2</v>
          </cell>
        </row>
        <row r="19">
          <cell r="D19">
            <v>3.4020000000000002E-2</v>
          </cell>
        </row>
        <row r="20">
          <cell r="D20">
            <v>3.2539999999999999E-2</v>
          </cell>
        </row>
        <row r="22">
          <cell r="D22">
            <v>5.4550000000000001E-2</v>
          </cell>
        </row>
        <row r="23">
          <cell r="D23">
            <v>3.8670000000000003E-2</v>
          </cell>
        </row>
        <row r="25">
          <cell r="D25">
            <v>8.208E-2</v>
          </cell>
        </row>
        <row r="26">
          <cell r="D26">
            <v>4.9599999999999998E-2</v>
          </cell>
        </row>
        <row r="27">
          <cell r="D27">
            <v>3.1559999999999998E-2</v>
          </cell>
        </row>
        <row r="28">
          <cell r="D28">
            <v>2.0240000000000001E-2</v>
          </cell>
        </row>
        <row r="29">
          <cell r="D29">
            <v>1.457E-2</v>
          </cell>
        </row>
        <row r="30">
          <cell r="D30">
            <v>2.7799999999999999E-3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4.bin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6.bin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8.bin"/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0.bin"/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2.bin"/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4.bin"/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6.bin"/><Relationship Id="rId2" Type="http://schemas.openxmlformats.org/officeDocument/2006/relationships/customProperty" Target="../customProperty25.bin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8.bin"/><Relationship Id="rId2" Type="http://schemas.openxmlformats.org/officeDocument/2006/relationships/customProperty" Target="../customProperty27.bin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0.bin"/><Relationship Id="rId2" Type="http://schemas.openxmlformats.org/officeDocument/2006/relationships/customProperty" Target="../customProperty29.bin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2.bin"/><Relationship Id="rId2" Type="http://schemas.openxmlformats.org/officeDocument/2006/relationships/customProperty" Target="../customProperty31.bin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4.bin"/><Relationship Id="rId2" Type="http://schemas.openxmlformats.org/officeDocument/2006/relationships/customProperty" Target="../customProperty33.bin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6.bin"/><Relationship Id="rId2" Type="http://schemas.openxmlformats.org/officeDocument/2006/relationships/customProperty" Target="../customProperty35.bin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8.bin"/><Relationship Id="rId2" Type="http://schemas.openxmlformats.org/officeDocument/2006/relationships/customProperty" Target="../customProperty37.bin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0.bin"/><Relationship Id="rId2" Type="http://schemas.openxmlformats.org/officeDocument/2006/relationships/customProperty" Target="../customProperty39.bin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2.bin"/><Relationship Id="rId2" Type="http://schemas.openxmlformats.org/officeDocument/2006/relationships/customProperty" Target="../customProperty41.bin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4.bin"/><Relationship Id="rId2" Type="http://schemas.openxmlformats.org/officeDocument/2006/relationships/customProperty" Target="../customProperty43.bin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6.bin"/><Relationship Id="rId2" Type="http://schemas.openxmlformats.org/officeDocument/2006/relationships/customProperty" Target="../customProperty45.bin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8.bin"/><Relationship Id="rId2" Type="http://schemas.openxmlformats.org/officeDocument/2006/relationships/customProperty" Target="../customProperty47.bin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0.bin"/><Relationship Id="rId2" Type="http://schemas.openxmlformats.org/officeDocument/2006/relationships/customProperty" Target="../customProperty49.bin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6"/>
  <sheetViews>
    <sheetView zoomScaleNormal="100" zoomScaleSheetLayoutView="175" workbookViewId="0">
      <selection activeCell="A19" sqref="A19"/>
    </sheetView>
  </sheetViews>
  <sheetFormatPr defaultRowHeight="12.75" x14ac:dyDescent="0.2"/>
  <cols>
    <col min="1" max="1" width="32" style="622" customWidth="1"/>
    <col min="2" max="2" width="16.85546875" style="622" customWidth="1"/>
    <col min="3" max="3" width="86.7109375" style="622" bestFit="1" customWidth="1"/>
    <col min="4" max="16384" width="9.140625" style="622"/>
  </cols>
  <sheetData>
    <row r="1" spans="1:3" s="617" customFormat="1" x14ac:dyDescent="0.2">
      <c r="A1" s="440" t="s">
        <v>0</v>
      </c>
    </row>
    <row r="2" spans="1:3" s="617" customFormat="1" x14ac:dyDescent="0.2">
      <c r="A2" s="440" t="s">
        <v>415</v>
      </c>
    </row>
    <row r="3" spans="1:3" s="617" customFormat="1" x14ac:dyDescent="0.2">
      <c r="A3" s="440" t="s">
        <v>430</v>
      </c>
    </row>
    <row r="4" spans="1:3" s="617" customFormat="1" x14ac:dyDescent="0.2">
      <c r="A4" s="618" t="s">
        <v>424</v>
      </c>
      <c r="B4" s="619"/>
    </row>
    <row r="5" spans="1:3" s="617" customFormat="1" x14ac:dyDescent="0.2"/>
    <row r="6" spans="1:3" s="617" customFormat="1" x14ac:dyDescent="0.2">
      <c r="A6" s="620" t="s">
        <v>425</v>
      </c>
      <c r="B6" s="620" t="s">
        <v>426</v>
      </c>
      <c r="C6" s="620" t="s">
        <v>102</v>
      </c>
    </row>
    <row r="7" spans="1:3" ht="15" x14ac:dyDescent="0.25">
      <c r="A7" s="621" t="s">
        <v>431</v>
      </c>
      <c r="B7" s="622" t="s">
        <v>438</v>
      </c>
      <c r="C7" s="619" t="s">
        <v>439</v>
      </c>
    </row>
    <row r="8" spans="1:3" ht="15" x14ac:dyDescent="0.25">
      <c r="A8" s="621" t="s">
        <v>432</v>
      </c>
      <c r="B8" s="622" t="s">
        <v>438</v>
      </c>
      <c r="C8" s="617" t="s">
        <v>440</v>
      </c>
    </row>
    <row r="9" spans="1:3" ht="15" x14ac:dyDescent="0.25">
      <c r="A9" s="621" t="s">
        <v>433</v>
      </c>
      <c r="B9" s="622" t="s">
        <v>427</v>
      </c>
      <c r="C9" s="617" t="s">
        <v>441</v>
      </c>
    </row>
    <row r="10" spans="1:3" ht="15" x14ac:dyDescent="0.25">
      <c r="A10" s="621" t="s">
        <v>434</v>
      </c>
      <c r="B10" s="622" t="s">
        <v>427</v>
      </c>
      <c r="C10" s="617" t="s">
        <v>442</v>
      </c>
    </row>
    <row r="11" spans="1:3" ht="15" x14ac:dyDescent="0.25">
      <c r="A11" s="621" t="s">
        <v>435</v>
      </c>
      <c r="B11" s="622" t="s">
        <v>427</v>
      </c>
      <c r="C11" s="617" t="s">
        <v>443</v>
      </c>
    </row>
    <row r="12" spans="1:3" ht="15" x14ac:dyDescent="0.25">
      <c r="A12" s="621" t="s">
        <v>436</v>
      </c>
      <c r="B12" s="622" t="s">
        <v>427</v>
      </c>
      <c r="C12" s="617" t="s">
        <v>444</v>
      </c>
    </row>
    <row r="13" spans="1:3" ht="15" x14ac:dyDescent="0.25">
      <c r="A13" s="621" t="s">
        <v>437</v>
      </c>
      <c r="B13" s="622" t="s">
        <v>427</v>
      </c>
      <c r="C13" s="617" t="s">
        <v>445</v>
      </c>
    </row>
    <row r="14" spans="1:3" x14ac:dyDescent="0.2">
      <c r="C14" s="617"/>
    </row>
    <row r="16" spans="1:3" x14ac:dyDescent="0.2">
      <c r="A16" s="623" t="s">
        <v>428</v>
      </c>
      <c r="B16" s="624"/>
    </row>
    <row r="24" spans="1:2" x14ac:dyDescent="0.2">
      <c r="A24" s="623" t="s">
        <v>429</v>
      </c>
      <c r="B24" s="624"/>
    </row>
    <row r="25" spans="1:2" x14ac:dyDescent="0.2">
      <c r="A25" s="622" t="s">
        <v>446</v>
      </c>
    </row>
    <row r="26" spans="1:2" x14ac:dyDescent="0.2">
      <c r="A26" s="622" t="s">
        <v>447</v>
      </c>
    </row>
  </sheetData>
  <hyperlinks>
    <hyperlink ref="A7" location="'Rate Impacts Combined '!A1" display="Rate Impacts Combined"/>
    <hyperlink ref="A12" location="'Forecast--&gt;'!A1" display="Forecast"/>
    <hyperlink ref="A13" location="'Data--&gt;'!A1" display="Data"/>
    <hyperlink ref="A11" location="'Rider Revenue Calculation--&gt;'!A1" display="Rider Revenue Calculations"/>
    <hyperlink ref="A8" location="'Typical Res Bill Combined'!A1" display="Typical Res Bill Combined"/>
    <hyperlink ref="A9" location="'Avg Per Therm Combined'!A1" display="Avg Per Therm Combined"/>
    <hyperlink ref="A10" location="'Revenue Calculations--&gt;'!A1" display="Revenue Calculations"/>
  </hyperlinks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zoomScale="90" zoomScaleNormal="90" workbookViewId="0">
      <selection activeCell="O19" sqref="O19"/>
    </sheetView>
  </sheetViews>
  <sheetFormatPr defaultColWidth="9.140625" defaultRowHeight="15" x14ac:dyDescent="0.25"/>
  <cols>
    <col min="1" max="1" width="23.5703125" style="1" bestFit="1" customWidth="1"/>
    <col min="2" max="2" width="9.140625" style="1" bestFit="1" customWidth="1"/>
    <col min="3" max="3" width="16.140625" style="1" customWidth="1"/>
    <col min="4" max="11" width="10.7109375" style="1" customWidth="1"/>
    <col min="12" max="12" width="13.140625" style="1" bestFit="1" customWidth="1"/>
    <col min="13" max="13" width="13.85546875" style="1" bestFit="1" customWidth="1"/>
    <col min="14" max="14" width="13.42578125" style="1" bestFit="1" customWidth="1"/>
    <col min="15" max="15" width="8.28515625" style="1" bestFit="1" customWidth="1"/>
    <col min="16" max="16384" width="9.140625" style="1"/>
  </cols>
  <sheetData>
    <row r="1" spans="1:15" x14ac:dyDescent="0.25">
      <c r="A1" s="639" t="s">
        <v>0</v>
      </c>
      <c r="B1" s="639"/>
      <c r="C1" s="639"/>
      <c r="D1" s="639"/>
      <c r="E1" s="639"/>
      <c r="F1" s="639"/>
      <c r="G1" s="639"/>
      <c r="H1" s="639"/>
      <c r="I1" s="639"/>
      <c r="J1" s="639"/>
      <c r="K1" s="639"/>
      <c r="L1" s="639"/>
      <c r="M1" s="639"/>
      <c r="N1" s="639"/>
      <c r="O1" s="639"/>
    </row>
    <row r="2" spans="1:15" x14ac:dyDescent="0.25">
      <c r="A2" s="639" t="s">
        <v>213</v>
      </c>
      <c r="B2" s="639"/>
      <c r="C2" s="639"/>
      <c r="D2" s="639"/>
      <c r="E2" s="639"/>
      <c r="F2" s="639"/>
      <c r="G2" s="639"/>
      <c r="H2" s="639"/>
      <c r="I2" s="639"/>
      <c r="J2" s="639"/>
      <c r="K2" s="639"/>
      <c r="L2" s="639"/>
      <c r="M2" s="639"/>
      <c r="N2" s="639"/>
      <c r="O2" s="639"/>
    </row>
    <row r="3" spans="1:15" x14ac:dyDescent="0.25">
      <c r="A3" s="639" t="s">
        <v>203</v>
      </c>
      <c r="B3" s="639"/>
      <c r="C3" s="639"/>
      <c r="D3" s="639"/>
      <c r="E3" s="639"/>
      <c r="F3" s="639"/>
      <c r="G3" s="639"/>
      <c r="H3" s="639"/>
      <c r="I3" s="639"/>
      <c r="J3" s="639"/>
      <c r="K3" s="639"/>
      <c r="L3" s="639"/>
      <c r="M3" s="639"/>
      <c r="N3" s="639"/>
      <c r="O3" s="639"/>
    </row>
    <row r="4" spans="1:15" x14ac:dyDescent="0.25">
      <c r="A4" s="634" t="s">
        <v>266</v>
      </c>
      <c r="B4" s="634"/>
      <c r="C4" s="634"/>
      <c r="D4" s="634"/>
      <c r="E4" s="634"/>
      <c r="F4" s="634"/>
      <c r="G4" s="634"/>
      <c r="H4" s="634"/>
      <c r="I4" s="634"/>
      <c r="J4" s="634"/>
      <c r="K4" s="634"/>
      <c r="L4" s="634"/>
      <c r="M4" s="634"/>
      <c r="N4" s="634"/>
      <c r="O4" s="634"/>
    </row>
    <row r="5" spans="1:15" x14ac:dyDescent="0.25">
      <c r="A5" s="336"/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6"/>
    </row>
    <row r="6" spans="1:15" x14ac:dyDescent="0.25">
      <c r="A6" s="291"/>
      <c r="B6" s="291"/>
      <c r="C6" s="291"/>
      <c r="D6" s="642" t="s">
        <v>23</v>
      </c>
      <c r="E6" s="643"/>
      <c r="F6" s="643"/>
      <c r="G6" s="644"/>
      <c r="H6" s="642" t="s">
        <v>182</v>
      </c>
      <c r="I6" s="643"/>
      <c r="J6" s="643"/>
      <c r="K6" s="644"/>
      <c r="L6" s="291"/>
      <c r="M6" s="291"/>
      <c r="N6" s="640"/>
      <c r="O6" s="641"/>
    </row>
    <row r="7" spans="1:15" x14ac:dyDescent="0.25">
      <c r="A7" s="291"/>
      <c r="B7" s="291"/>
      <c r="C7" s="291" t="s">
        <v>15</v>
      </c>
      <c r="D7" s="292" t="s">
        <v>193</v>
      </c>
      <c r="E7" s="293" t="s">
        <v>197</v>
      </c>
      <c r="F7" s="293" t="s">
        <v>198</v>
      </c>
      <c r="G7" s="292" t="s">
        <v>194</v>
      </c>
      <c r="H7" s="292" t="s">
        <v>193</v>
      </c>
      <c r="I7" s="293" t="s">
        <v>197</v>
      </c>
      <c r="J7" s="293" t="s">
        <v>198</v>
      </c>
      <c r="K7" s="294" t="s">
        <v>194</v>
      </c>
      <c r="L7" s="336" t="s">
        <v>15</v>
      </c>
      <c r="M7" s="336" t="s">
        <v>15</v>
      </c>
      <c r="N7" s="288" t="s">
        <v>19</v>
      </c>
    </row>
    <row r="8" spans="1:15" x14ac:dyDescent="0.25">
      <c r="A8" s="291"/>
      <c r="B8" s="291" t="s">
        <v>17</v>
      </c>
      <c r="C8" s="291" t="s">
        <v>3</v>
      </c>
      <c r="D8" s="294" t="s">
        <v>195</v>
      </c>
      <c r="E8" s="293" t="s">
        <v>199</v>
      </c>
      <c r="F8" s="293" t="s">
        <v>199</v>
      </c>
      <c r="G8" s="294" t="s">
        <v>196</v>
      </c>
      <c r="H8" s="294" t="s">
        <v>195</v>
      </c>
      <c r="I8" s="293" t="s">
        <v>199</v>
      </c>
      <c r="J8" s="293" t="s">
        <v>199</v>
      </c>
      <c r="K8" s="294" t="s">
        <v>196</v>
      </c>
      <c r="L8" s="336" t="s">
        <v>2</v>
      </c>
      <c r="M8" s="336" t="s">
        <v>2</v>
      </c>
      <c r="N8" s="288" t="s">
        <v>2</v>
      </c>
      <c r="O8" s="291" t="s">
        <v>20</v>
      </c>
    </row>
    <row r="9" spans="1:15" x14ac:dyDescent="0.25">
      <c r="A9" s="295" t="s">
        <v>4</v>
      </c>
      <c r="B9" s="295" t="s">
        <v>21</v>
      </c>
      <c r="C9" s="252" t="str">
        <f>'Current Revenue Calc.'!$T$7</f>
        <v>12ME Oct. 2024</v>
      </c>
      <c r="D9" s="296" t="s">
        <v>22</v>
      </c>
      <c r="E9" s="297" t="s">
        <v>22</v>
      </c>
      <c r="F9" s="297" t="s">
        <v>22</v>
      </c>
      <c r="G9" s="296" t="s">
        <v>22</v>
      </c>
      <c r="H9" s="296" t="s">
        <v>22</v>
      </c>
      <c r="I9" s="297" t="s">
        <v>22</v>
      </c>
      <c r="J9" s="296" t="s">
        <v>22</v>
      </c>
      <c r="K9" s="296" t="s">
        <v>22</v>
      </c>
      <c r="L9" s="56" t="s">
        <v>23</v>
      </c>
      <c r="M9" s="56" t="s">
        <v>182</v>
      </c>
      <c r="N9" s="339" t="s">
        <v>24</v>
      </c>
      <c r="O9" s="295" t="s">
        <v>24</v>
      </c>
    </row>
    <row r="10" spans="1:15" x14ac:dyDescent="0.25">
      <c r="A10" s="298" t="s">
        <v>7</v>
      </c>
      <c r="B10" s="416">
        <v>23</v>
      </c>
      <c r="C10" s="299">
        <f>Therms!P10</f>
        <v>639464549</v>
      </c>
      <c r="D10" s="311">
        <v>1.541E-2</v>
      </c>
      <c r="E10" s="311">
        <v>0</v>
      </c>
      <c r="F10" s="300">
        <v>2.495E-2</v>
      </c>
      <c r="G10" s="301">
        <f>SUM(D10:F10)</f>
        <v>4.036E-2</v>
      </c>
      <c r="H10" s="311">
        <v>1.541E-2</v>
      </c>
      <c r="I10" s="421">
        <v>0</v>
      </c>
      <c r="J10" s="311">
        <v>2.495E-2</v>
      </c>
      <c r="K10" s="377">
        <f>SUM(H10:J10)</f>
        <v>4.036E-2</v>
      </c>
      <c r="L10" s="302">
        <f t="shared" ref="L10:L16" si="0">ROUND(C10*G10,2)</f>
        <v>25808789.199999999</v>
      </c>
      <c r="M10" s="302">
        <f>ROUND(C10*K10,2)</f>
        <v>25808789.199999999</v>
      </c>
      <c r="N10" s="303">
        <f>M10-L10</f>
        <v>0</v>
      </c>
      <c r="O10" s="304">
        <f>N10/L10</f>
        <v>0</v>
      </c>
    </row>
    <row r="11" spans="1:15" x14ac:dyDescent="0.25">
      <c r="A11" s="298" t="s">
        <v>31</v>
      </c>
      <c r="B11" s="416">
        <v>16</v>
      </c>
      <c r="C11" s="299">
        <f>Therms!P9</f>
        <v>8832</v>
      </c>
      <c r="D11" s="312">
        <v>1.541E-2</v>
      </c>
      <c r="E11" s="312">
        <v>0</v>
      </c>
      <c r="F11" s="300">
        <v>2.495E-2</v>
      </c>
      <c r="G11" s="301">
        <f t="shared" ref="G11:G16" si="1">SUM(D11:F11)</f>
        <v>4.036E-2</v>
      </c>
      <c r="H11" s="312">
        <v>1.541E-2</v>
      </c>
      <c r="I11" s="300">
        <v>0</v>
      </c>
      <c r="J11" s="312">
        <v>2.495E-2</v>
      </c>
      <c r="K11" s="301">
        <f t="shared" ref="K11:K16" si="2">SUM(H11:J11)</f>
        <v>4.036E-2</v>
      </c>
      <c r="L11" s="302">
        <f t="shared" si="0"/>
        <v>356.46</v>
      </c>
      <c r="M11" s="302">
        <f t="shared" ref="M11:M16" si="3">ROUND(C11*K11,2)</f>
        <v>356.46</v>
      </c>
      <c r="N11" s="303">
        <f t="shared" ref="N11:N16" si="4">M11-L11</f>
        <v>0</v>
      </c>
      <c r="O11" s="304">
        <f t="shared" ref="O11:O16" si="5">N11/L11</f>
        <v>0</v>
      </c>
    </row>
    <row r="12" spans="1:15" x14ac:dyDescent="0.25">
      <c r="A12" s="298" t="s">
        <v>8</v>
      </c>
      <c r="B12" s="416">
        <v>31</v>
      </c>
      <c r="C12" s="299">
        <f>Therms!P12</f>
        <v>245936243</v>
      </c>
      <c r="D12" s="312">
        <v>1.54E-2</v>
      </c>
      <c r="E12" s="312">
        <v>0</v>
      </c>
      <c r="F12" s="300">
        <v>2.495E-2</v>
      </c>
      <c r="G12" s="301">
        <f t="shared" si="1"/>
        <v>4.0349999999999997E-2</v>
      </c>
      <c r="H12" s="312">
        <v>1.54E-2</v>
      </c>
      <c r="I12" s="300">
        <v>0</v>
      </c>
      <c r="J12" s="312">
        <v>2.495E-2</v>
      </c>
      <c r="K12" s="301">
        <f t="shared" si="2"/>
        <v>4.0349999999999997E-2</v>
      </c>
      <c r="L12" s="302">
        <f t="shared" si="0"/>
        <v>9923527.4100000001</v>
      </c>
      <c r="M12" s="302">
        <f t="shared" si="3"/>
        <v>9923527.4100000001</v>
      </c>
      <c r="N12" s="303">
        <f t="shared" si="4"/>
        <v>0</v>
      </c>
      <c r="O12" s="304">
        <f t="shared" si="5"/>
        <v>0</v>
      </c>
    </row>
    <row r="13" spans="1:15" x14ac:dyDescent="0.25">
      <c r="A13" s="298" t="s">
        <v>9</v>
      </c>
      <c r="B13" s="416">
        <v>41</v>
      </c>
      <c r="C13" s="299">
        <f>Therms!P13</f>
        <v>66890541</v>
      </c>
      <c r="D13" s="312">
        <v>1.533E-2</v>
      </c>
      <c r="E13" s="312">
        <v>0</v>
      </c>
      <c r="F13" s="300">
        <v>2.495E-2</v>
      </c>
      <c r="G13" s="301">
        <f t="shared" si="1"/>
        <v>4.0279999999999996E-2</v>
      </c>
      <c r="H13" s="312">
        <v>1.533E-2</v>
      </c>
      <c r="I13" s="300">
        <v>0</v>
      </c>
      <c r="J13" s="312">
        <v>2.495E-2</v>
      </c>
      <c r="K13" s="301">
        <f t="shared" si="2"/>
        <v>4.0279999999999996E-2</v>
      </c>
      <c r="L13" s="302">
        <f t="shared" si="0"/>
        <v>2694350.99</v>
      </c>
      <c r="M13" s="302">
        <f t="shared" si="3"/>
        <v>2694350.99</v>
      </c>
      <c r="N13" s="303">
        <f t="shared" si="4"/>
        <v>0</v>
      </c>
      <c r="O13" s="304">
        <f t="shared" si="5"/>
        <v>0</v>
      </c>
    </row>
    <row r="14" spans="1:15" x14ac:dyDescent="0.25">
      <c r="A14" s="298" t="s">
        <v>10</v>
      </c>
      <c r="B14" s="416">
        <v>85</v>
      </c>
      <c r="C14" s="299">
        <f>Therms!P14</f>
        <v>10745378</v>
      </c>
      <c r="D14" s="312">
        <v>1.5270000000000001E-2</v>
      </c>
      <c r="E14" s="312">
        <v>0</v>
      </c>
      <c r="F14" s="300">
        <v>2.495E-2</v>
      </c>
      <c r="G14" s="301">
        <f t="shared" si="1"/>
        <v>4.0219999999999999E-2</v>
      </c>
      <c r="H14" s="312">
        <v>1.5270000000000001E-2</v>
      </c>
      <c r="I14" s="300">
        <v>0</v>
      </c>
      <c r="J14" s="312">
        <v>2.495E-2</v>
      </c>
      <c r="K14" s="301">
        <f t="shared" si="2"/>
        <v>4.0219999999999999E-2</v>
      </c>
      <c r="L14" s="302">
        <f t="shared" si="0"/>
        <v>432179.1</v>
      </c>
      <c r="M14" s="302">
        <f t="shared" si="3"/>
        <v>432179.1</v>
      </c>
      <c r="N14" s="303">
        <f t="shared" si="4"/>
        <v>0</v>
      </c>
      <c r="O14" s="304">
        <f t="shared" si="5"/>
        <v>0</v>
      </c>
    </row>
    <row r="15" spans="1:15" x14ac:dyDescent="0.25">
      <c r="A15" s="298" t="s">
        <v>11</v>
      </c>
      <c r="B15" s="416">
        <v>86</v>
      </c>
      <c r="C15" s="299">
        <f>Therms!P15</f>
        <v>5489408</v>
      </c>
      <c r="D15" s="312">
        <v>1.5299999999999999E-2</v>
      </c>
      <c r="E15" s="312">
        <v>0</v>
      </c>
      <c r="F15" s="300">
        <v>2.495E-2</v>
      </c>
      <c r="G15" s="301">
        <f t="shared" si="1"/>
        <v>4.0250000000000001E-2</v>
      </c>
      <c r="H15" s="312">
        <v>1.5299999999999999E-2</v>
      </c>
      <c r="I15" s="300">
        <v>0</v>
      </c>
      <c r="J15" s="312">
        <v>2.495E-2</v>
      </c>
      <c r="K15" s="301">
        <f t="shared" si="2"/>
        <v>4.0250000000000001E-2</v>
      </c>
      <c r="L15" s="302">
        <f t="shared" si="0"/>
        <v>220948.67</v>
      </c>
      <c r="M15" s="302">
        <f t="shared" si="3"/>
        <v>220948.67</v>
      </c>
      <c r="N15" s="303">
        <f t="shared" si="4"/>
        <v>0</v>
      </c>
      <c r="O15" s="304">
        <f t="shared" si="5"/>
        <v>0</v>
      </c>
    </row>
    <row r="16" spans="1:15" x14ac:dyDescent="0.25">
      <c r="A16" s="298" t="s">
        <v>12</v>
      </c>
      <c r="B16" s="416">
        <v>87</v>
      </c>
      <c r="C16" s="299">
        <f>Therms!P16</f>
        <v>21819455.762355205</v>
      </c>
      <c r="D16" s="313">
        <v>1.5270000000000001E-2</v>
      </c>
      <c r="E16" s="313">
        <v>0</v>
      </c>
      <c r="F16" s="300">
        <v>2.495E-2</v>
      </c>
      <c r="G16" s="305">
        <f t="shared" si="1"/>
        <v>4.0219999999999999E-2</v>
      </c>
      <c r="H16" s="313">
        <v>1.5270000000000001E-2</v>
      </c>
      <c r="I16" s="422">
        <v>0</v>
      </c>
      <c r="J16" s="312">
        <v>2.495E-2</v>
      </c>
      <c r="K16" s="305">
        <f t="shared" si="2"/>
        <v>4.0219999999999999E-2</v>
      </c>
      <c r="L16" s="302">
        <f t="shared" si="0"/>
        <v>877578.51</v>
      </c>
      <c r="M16" s="302">
        <f t="shared" si="3"/>
        <v>877578.51</v>
      </c>
      <c r="N16" s="303">
        <f t="shared" si="4"/>
        <v>0</v>
      </c>
      <c r="O16" s="304">
        <f t="shared" si="5"/>
        <v>0</v>
      </c>
    </row>
    <row r="17" spans="1:15" x14ac:dyDescent="0.25">
      <c r="A17" s="298" t="s">
        <v>6</v>
      </c>
      <c r="B17" s="298"/>
      <c r="C17" s="306">
        <f>SUM(C10:C16)</f>
        <v>990354406.76235521</v>
      </c>
      <c r="D17" s="307"/>
      <c r="E17" s="307"/>
      <c r="F17" s="373"/>
      <c r="G17" s="307"/>
      <c r="H17" s="307"/>
      <c r="I17" s="307"/>
      <c r="J17" s="373"/>
      <c r="K17" s="307"/>
      <c r="L17" s="308">
        <f>SUM(L10:L16)</f>
        <v>39957730.340000004</v>
      </c>
      <c r="M17" s="308">
        <f>SUM(M10:M16)</f>
        <v>39957730.340000004</v>
      </c>
      <c r="N17" s="309">
        <f>SUM(N10:N16)</f>
        <v>0</v>
      </c>
      <c r="O17" s="310">
        <f>N17/L17</f>
        <v>0</v>
      </c>
    </row>
  </sheetData>
  <mergeCells count="7">
    <mergeCell ref="N6:O6"/>
    <mergeCell ref="A1:O1"/>
    <mergeCell ref="A3:O3"/>
    <mergeCell ref="A4:O4"/>
    <mergeCell ref="D6:G6"/>
    <mergeCell ref="H6:K6"/>
    <mergeCell ref="A2:O2"/>
  </mergeCells>
  <pageMargins left="0.7" right="0.7" top="0.75" bottom="0.75" header="0.3" footer="0.3"/>
  <pageSetup scale="64" orientation="landscape" blackAndWhite="1" r:id="rId1"/>
  <headerFooter>
    <oddFooter>&amp;L&amp;F
&amp;A&amp;C&amp;P&amp;R&amp;D</oddFooter>
  </headerFooter>
  <customProperties>
    <customPr name="_pios_id" r:id="rId2"/>
    <customPr name="EpmWorksheetKeyString_GUID" r:id="rId3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zoomScale="90" zoomScaleNormal="90" workbookViewId="0">
      <selection activeCell="E28" sqref="E28"/>
    </sheetView>
  </sheetViews>
  <sheetFormatPr defaultColWidth="8.7109375" defaultRowHeight="15" x14ac:dyDescent="0.25"/>
  <cols>
    <col min="1" max="1" width="31.140625" style="1" customWidth="1"/>
    <col min="2" max="2" width="8.7109375" style="1"/>
    <col min="3" max="3" width="18.5703125" style="1" bestFit="1" customWidth="1"/>
    <col min="4" max="5" width="13.7109375" style="1" customWidth="1"/>
    <col min="6" max="8" width="14.42578125" style="1" customWidth="1"/>
    <col min="9" max="9" width="8.28515625" style="1" customWidth="1"/>
    <col min="10" max="16384" width="8.7109375" style="1"/>
  </cols>
  <sheetData>
    <row r="1" spans="1:9" x14ac:dyDescent="0.25">
      <c r="A1" s="639" t="s">
        <v>0</v>
      </c>
      <c r="B1" s="639"/>
      <c r="C1" s="639"/>
      <c r="D1" s="639"/>
      <c r="E1" s="639"/>
      <c r="F1" s="639"/>
      <c r="G1" s="639"/>
      <c r="H1" s="639"/>
      <c r="I1" s="639"/>
    </row>
    <row r="2" spans="1:9" x14ac:dyDescent="0.25">
      <c r="A2" s="639" t="s">
        <v>204</v>
      </c>
      <c r="B2" s="639"/>
      <c r="C2" s="639"/>
      <c r="D2" s="639"/>
      <c r="E2" s="639"/>
      <c r="F2" s="639"/>
      <c r="G2" s="639"/>
      <c r="H2" s="639"/>
      <c r="I2" s="639"/>
    </row>
    <row r="3" spans="1:9" x14ac:dyDescent="0.25">
      <c r="A3" s="639" t="s">
        <v>205</v>
      </c>
      <c r="B3" s="639"/>
      <c r="C3" s="639"/>
      <c r="D3" s="639"/>
      <c r="E3" s="639"/>
      <c r="F3" s="639"/>
      <c r="G3" s="639"/>
      <c r="H3" s="639"/>
      <c r="I3" s="639"/>
    </row>
    <row r="4" spans="1:9" x14ac:dyDescent="0.25">
      <c r="A4" s="639" t="s">
        <v>310</v>
      </c>
      <c r="B4" s="639"/>
      <c r="C4" s="639"/>
      <c r="D4" s="639"/>
      <c r="E4" s="639"/>
      <c r="F4" s="639"/>
      <c r="G4" s="639"/>
      <c r="H4" s="639"/>
      <c r="I4" s="639"/>
    </row>
    <row r="5" spans="1:9" x14ac:dyDescent="0.25">
      <c r="D5" s="338"/>
      <c r="E5" s="338"/>
    </row>
    <row r="6" spans="1:9" x14ac:dyDescent="0.25">
      <c r="A6" s="288"/>
      <c r="B6" s="288"/>
      <c r="C6" s="288" t="s">
        <v>15</v>
      </c>
      <c r="D6" s="288" t="s">
        <v>5</v>
      </c>
      <c r="E6" s="288" t="s">
        <v>1</v>
      </c>
      <c r="F6" s="336" t="s">
        <v>15</v>
      </c>
      <c r="G6" s="336" t="s">
        <v>15</v>
      </c>
      <c r="H6" s="288" t="s">
        <v>43</v>
      </c>
      <c r="I6" s="288"/>
    </row>
    <row r="7" spans="1:9" x14ac:dyDescent="0.25">
      <c r="A7" s="288"/>
      <c r="B7" s="288" t="s">
        <v>17</v>
      </c>
      <c r="C7" s="288" t="s">
        <v>3</v>
      </c>
      <c r="D7" s="288" t="s">
        <v>43</v>
      </c>
      <c r="E7" s="288" t="s">
        <v>43</v>
      </c>
      <c r="F7" s="336" t="s">
        <v>2</v>
      </c>
      <c r="G7" s="336" t="s">
        <v>2</v>
      </c>
      <c r="H7" s="288" t="s">
        <v>2</v>
      </c>
      <c r="I7" s="288" t="s">
        <v>20</v>
      </c>
    </row>
    <row r="8" spans="1:9" x14ac:dyDescent="0.25">
      <c r="A8" s="339" t="s">
        <v>4</v>
      </c>
      <c r="B8" s="339" t="s">
        <v>21</v>
      </c>
      <c r="C8" s="252" t="str">
        <f>'Current Revenue Calc.'!$T$7</f>
        <v>12ME Oct. 2024</v>
      </c>
      <c r="D8" s="339" t="s">
        <v>22</v>
      </c>
      <c r="E8" s="339" t="s">
        <v>22</v>
      </c>
      <c r="F8" s="56" t="s">
        <v>23</v>
      </c>
      <c r="G8" s="56" t="s">
        <v>182</v>
      </c>
      <c r="H8" s="339" t="s">
        <v>24</v>
      </c>
      <c r="I8" s="339" t="s">
        <v>24</v>
      </c>
    </row>
    <row r="9" spans="1:9" x14ac:dyDescent="0.25">
      <c r="A9" s="1" t="s">
        <v>7</v>
      </c>
      <c r="B9" s="416" t="s">
        <v>30</v>
      </c>
      <c r="C9" s="54">
        <f>SUM(Therms!P10,Therms!P11)</f>
        <v>639464549</v>
      </c>
      <c r="D9" s="7">
        <v>2.8750000000000001E-2</v>
      </c>
      <c r="E9" s="7">
        <v>2.8750000000000001E-2</v>
      </c>
      <c r="F9" s="44">
        <f>C9*D9</f>
        <v>18384605.783750001</v>
      </c>
      <c r="G9" s="44">
        <f>C9*E9</f>
        <v>18384605.783750001</v>
      </c>
      <c r="H9" s="289">
        <f>G9-F9</f>
        <v>0</v>
      </c>
      <c r="I9" s="2">
        <f>H9/F9</f>
        <v>0</v>
      </c>
    </row>
    <row r="10" spans="1:9" x14ac:dyDescent="0.25">
      <c r="A10" s="1" t="s">
        <v>31</v>
      </c>
      <c r="B10" s="416">
        <v>16</v>
      </c>
      <c r="C10" s="64">
        <f>Therms!P9</f>
        <v>8832</v>
      </c>
      <c r="D10" s="7">
        <v>2.8750000000000001E-2</v>
      </c>
      <c r="E10" s="7">
        <v>2.8750000000000001E-2</v>
      </c>
      <c r="F10" s="44">
        <f t="shared" ref="F10:F21" si="0">C10*D10</f>
        <v>253.92000000000002</v>
      </c>
      <c r="G10" s="44">
        <f t="shared" ref="G10:G21" si="1">C10*E10</f>
        <v>253.92000000000002</v>
      </c>
      <c r="H10" s="289">
        <f t="shared" ref="H10:H21" si="2">G10-F10</f>
        <v>0</v>
      </c>
      <c r="I10" s="2">
        <f t="shared" ref="I10:I20" si="3">H10/F10</f>
        <v>0</v>
      </c>
    </row>
    <row r="11" spans="1:9" x14ac:dyDescent="0.25">
      <c r="A11" s="1" t="s">
        <v>8</v>
      </c>
      <c r="B11" s="416">
        <v>31</v>
      </c>
      <c r="C11" s="54">
        <f>Therms!P12</f>
        <v>245936243</v>
      </c>
      <c r="D11" s="7">
        <v>2.8750000000000001E-2</v>
      </c>
      <c r="E11" s="7">
        <v>2.8750000000000001E-2</v>
      </c>
      <c r="F11" s="44">
        <f t="shared" si="0"/>
        <v>7070666.9862500001</v>
      </c>
      <c r="G11" s="44">
        <f t="shared" si="1"/>
        <v>7070666.9862500001</v>
      </c>
      <c r="H11" s="289">
        <f t="shared" si="2"/>
        <v>0</v>
      </c>
      <c r="I11" s="2">
        <f t="shared" si="3"/>
        <v>0</v>
      </c>
    </row>
    <row r="12" spans="1:9" x14ac:dyDescent="0.25">
      <c r="A12" s="1" t="s">
        <v>9</v>
      </c>
      <c r="B12" s="416">
        <v>41</v>
      </c>
      <c r="C12" s="54">
        <f>Therms!P13</f>
        <v>66890541</v>
      </c>
      <c r="D12" s="7">
        <v>2.8750000000000001E-2</v>
      </c>
      <c r="E12" s="7">
        <v>2.8750000000000001E-2</v>
      </c>
      <c r="F12" s="44">
        <f t="shared" si="0"/>
        <v>1923103.0537500002</v>
      </c>
      <c r="G12" s="44">
        <f t="shared" si="1"/>
        <v>1923103.0537500002</v>
      </c>
      <c r="H12" s="289">
        <f t="shared" si="2"/>
        <v>0</v>
      </c>
      <c r="I12" s="2">
        <f t="shared" si="3"/>
        <v>0</v>
      </c>
    </row>
    <row r="13" spans="1:9" x14ac:dyDescent="0.25">
      <c r="A13" s="1" t="s">
        <v>10</v>
      </c>
      <c r="B13" s="416">
        <v>85</v>
      </c>
      <c r="C13" s="54">
        <f>Therms!P14</f>
        <v>10745378</v>
      </c>
      <c r="D13" s="7">
        <v>2.5839999999999998E-2</v>
      </c>
      <c r="E13" s="7">
        <v>2.5839999999999998E-2</v>
      </c>
      <c r="F13" s="44">
        <f t="shared" si="0"/>
        <v>277660.56751999998</v>
      </c>
      <c r="G13" s="44">
        <f t="shared" si="1"/>
        <v>277660.56751999998</v>
      </c>
      <c r="H13" s="289">
        <f t="shared" si="2"/>
        <v>0</v>
      </c>
      <c r="I13" s="2">
        <f t="shared" si="3"/>
        <v>0</v>
      </c>
    </row>
    <row r="14" spans="1:9" x14ac:dyDescent="0.25">
      <c r="A14" s="1" t="s">
        <v>11</v>
      </c>
      <c r="B14" s="416">
        <v>86</v>
      </c>
      <c r="C14" s="54">
        <f>Therms!P15</f>
        <v>5489408</v>
      </c>
      <c r="D14" s="7">
        <v>2.5839999999999998E-2</v>
      </c>
      <c r="E14" s="7">
        <v>2.5839999999999998E-2</v>
      </c>
      <c r="F14" s="44">
        <f t="shared" si="0"/>
        <v>141846.30271999998</v>
      </c>
      <c r="G14" s="44">
        <f t="shared" si="1"/>
        <v>141846.30271999998</v>
      </c>
      <c r="H14" s="289">
        <f t="shared" si="2"/>
        <v>0</v>
      </c>
      <c r="I14" s="2">
        <f t="shared" si="3"/>
        <v>0</v>
      </c>
    </row>
    <row r="15" spans="1:9" x14ac:dyDescent="0.25">
      <c r="A15" s="1" t="s">
        <v>12</v>
      </c>
      <c r="B15" s="416">
        <v>87</v>
      </c>
      <c r="C15" s="54">
        <f>Therms!P16</f>
        <v>21819455.762355205</v>
      </c>
      <c r="D15" s="7">
        <v>2.5839999999999998E-2</v>
      </c>
      <c r="E15" s="7">
        <v>2.5839999999999998E-2</v>
      </c>
      <c r="F15" s="44">
        <f t="shared" si="0"/>
        <v>563814.73689925845</v>
      </c>
      <c r="G15" s="44">
        <f t="shared" si="1"/>
        <v>563814.73689925845</v>
      </c>
      <c r="H15" s="289">
        <f t="shared" si="2"/>
        <v>0</v>
      </c>
      <c r="I15" s="2">
        <f t="shared" si="3"/>
        <v>0</v>
      </c>
    </row>
    <row r="16" spans="1:9" s="298" customFormat="1" x14ac:dyDescent="0.25">
      <c r="A16" s="298" t="s">
        <v>32</v>
      </c>
      <c r="B16" s="416" t="s">
        <v>33</v>
      </c>
      <c r="C16" s="299">
        <f>Therms!P17</f>
        <v>33867</v>
      </c>
      <c r="D16" s="284">
        <v>0</v>
      </c>
      <c r="E16" s="284">
        <v>0</v>
      </c>
      <c r="F16" s="302">
        <f t="shared" si="0"/>
        <v>0</v>
      </c>
      <c r="G16" s="302">
        <f t="shared" si="1"/>
        <v>0</v>
      </c>
      <c r="H16" s="303">
        <f t="shared" si="2"/>
        <v>0</v>
      </c>
      <c r="I16" s="355" t="e">
        <f t="shared" si="3"/>
        <v>#DIV/0!</v>
      </c>
    </row>
    <row r="17" spans="1:9" s="298" customFormat="1" x14ac:dyDescent="0.25">
      <c r="A17" s="298" t="s">
        <v>34</v>
      </c>
      <c r="B17" s="416" t="s">
        <v>35</v>
      </c>
      <c r="C17" s="299">
        <f>Therms!P18</f>
        <v>26510234</v>
      </c>
      <c r="D17" s="284">
        <v>0</v>
      </c>
      <c r="E17" s="284">
        <v>0</v>
      </c>
      <c r="F17" s="302">
        <f t="shared" si="0"/>
        <v>0</v>
      </c>
      <c r="G17" s="302">
        <f t="shared" si="1"/>
        <v>0</v>
      </c>
      <c r="H17" s="303">
        <f t="shared" si="2"/>
        <v>0</v>
      </c>
      <c r="I17" s="355" t="e">
        <f t="shared" si="3"/>
        <v>#DIV/0!</v>
      </c>
    </row>
    <row r="18" spans="1:9" s="298" customFormat="1" x14ac:dyDescent="0.25">
      <c r="A18" s="298" t="s">
        <v>36</v>
      </c>
      <c r="B18" s="416" t="s">
        <v>37</v>
      </c>
      <c r="C18" s="299">
        <f>Therms!P19</f>
        <v>62288926</v>
      </c>
      <c r="D18" s="284">
        <v>0</v>
      </c>
      <c r="E18" s="284">
        <v>0</v>
      </c>
      <c r="F18" s="302">
        <f t="shared" si="0"/>
        <v>0</v>
      </c>
      <c r="G18" s="302">
        <f t="shared" si="1"/>
        <v>0</v>
      </c>
      <c r="H18" s="303">
        <f t="shared" si="2"/>
        <v>0</v>
      </c>
      <c r="I18" s="355" t="e">
        <f t="shared" si="3"/>
        <v>#DIV/0!</v>
      </c>
    </row>
    <row r="19" spans="1:9" s="298" customFormat="1" x14ac:dyDescent="0.25">
      <c r="A19" s="298" t="s">
        <v>38</v>
      </c>
      <c r="B19" s="416" t="s">
        <v>39</v>
      </c>
      <c r="C19" s="299">
        <f>Therms!P20</f>
        <v>578702</v>
      </c>
      <c r="D19" s="284">
        <v>0</v>
      </c>
      <c r="E19" s="284">
        <v>0</v>
      </c>
      <c r="F19" s="302">
        <f t="shared" si="0"/>
        <v>0</v>
      </c>
      <c r="G19" s="302">
        <f t="shared" si="1"/>
        <v>0</v>
      </c>
      <c r="H19" s="303">
        <f t="shared" si="2"/>
        <v>0</v>
      </c>
      <c r="I19" s="355" t="e">
        <f t="shared" si="3"/>
        <v>#DIV/0!</v>
      </c>
    </row>
    <row r="20" spans="1:9" s="298" customFormat="1" x14ac:dyDescent="0.25">
      <c r="A20" s="298" t="s">
        <v>40</v>
      </c>
      <c r="B20" s="416" t="s">
        <v>41</v>
      </c>
      <c r="C20" s="299">
        <f>Therms!P21</f>
        <v>97500425.645479575</v>
      </c>
      <c r="D20" s="284">
        <v>0</v>
      </c>
      <c r="E20" s="284">
        <v>0</v>
      </c>
      <c r="F20" s="302">
        <f t="shared" si="0"/>
        <v>0</v>
      </c>
      <c r="G20" s="302">
        <f t="shared" si="1"/>
        <v>0</v>
      </c>
      <c r="H20" s="303">
        <f t="shared" si="2"/>
        <v>0</v>
      </c>
      <c r="I20" s="355" t="e">
        <f t="shared" si="3"/>
        <v>#DIV/0!</v>
      </c>
    </row>
    <row r="21" spans="1:9" s="298" customFormat="1" x14ac:dyDescent="0.25">
      <c r="A21" s="298" t="s">
        <v>13</v>
      </c>
      <c r="B21" s="416"/>
      <c r="C21" s="299">
        <f>Therms!P23</f>
        <v>30967900</v>
      </c>
      <c r="D21" s="9">
        <v>0</v>
      </c>
      <c r="E21" s="284">
        <v>0</v>
      </c>
      <c r="F21" s="302">
        <f t="shared" si="0"/>
        <v>0</v>
      </c>
      <c r="G21" s="302">
        <f t="shared" si="1"/>
        <v>0</v>
      </c>
      <c r="H21" s="303">
        <f t="shared" si="2"/>
        <v>0</v>
      </c>
      <c r="I21" s="355" t="e">
        <f>H21/F21</f>
        <v>#DIV/0!</v>
      </c>
    </row>
    <row r="22" spans="1:9" x14ac:dyDescent="0.25">
      <c r="A22" s="1" t="s">
        <v>6</v>
      </c>
      <c r="C22" s="361">
        <f>SUM(C9:C21)</f>
        <v>1208234461.407835</v>
      </c>
      <c r="D22" s="362"/>
      <c r="E22" s="373"/>
      <c r="F22" s="45">
        <f>SUM(F9:F21)</f>
        <v>28361951.350889262</v>
      </c>
      <c r="G22" s="45">
        <f>SUM(G9:G21)</f>
        <v>28361951.350889262</v>
      </c>
      <c r="H22" s="363">
        <f>SUM(H9:H21)</f>
        <v>0</v>
      </c>
      <c r="I22" s="3">
        <f>H22/F22</f>
        <v>0</v>
      </c>
    </row>
    <row r="23" spans="1:9" x14ac:dyDescent="0.25">
      <c r="A23" s="22"/>
      <c r="B23" s="348"/>
      <c r="C23" s="365"/>
      <c r="D23" s="366"/>
      <c r="E23" s="366"/>
      <c r="F23" s="366"/>
      <c r="G23" s="366"/>
      <c r="H23" s="23"/>
      <c r="I23" s="58"/>
    </row>
  </sheetData>
  <mergeCells count="4">
    <mergeCell ref="A1:I1"/>
    <mergeCell ref="A3:I3"/>
    <mergeCell ref="A4:I4"/>
    <mergeCell ref="A2:I2"/>
  </mergeCells>
  <pageMargins left="0.7" right="0.7" top="0.75" bottom="0.75" header="0.3" footer="0.3"/>
  <pageSetup orientation="landscape" blackAndWhite="1" r:id="rId1"/>
  <headerFooter>
    <oddFooter>&amp;L&amp;F
&amp;A&amp;C&amp;P&amp;R&amp;D</oddFooter>
  </headerFooter>
  <customProperties>
    <customPr name="_pios_id" r:id="rId2"/>
    <customPr name="EpmWorksheetKeyString_GUID" r:id="rId3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zoomScale="90" zoomScaleNormal="90" workbookViewId="0">
      <pane ySplit="8" topLeftCell="A27" activePane="bottomLeft" state="frozen"/>
      <selection pane="bottomLeft" activeCell="G52" sqref="G52"/>
    </sheetView>
  </sheetViews>
  <sheetFormatPr defaultColWidth="9.140625" defaultRowHeight="15" x14ac:dyDescent="0.25"/>
  <cols>
    <col min="1" max="1" width="3.5703125" style="58" customWidth="1"/>
    <col min="2" max="2" width="19.85546875" style="58" customWidth="1"/>
    <col min="3" max="3" width="8.7109375" style="58" bestFit="1" customWidth="1"/>
    <col min="4" max="4" width="18.5703125" style="58" bestFit="1" customWidth="1"/>
    <col min="5" max="5" width="13.7109375" style="58" customWidth="1"/>
    <col min="6" max="6" width="13.7109375" style="48" customWidth="1"/>
    <col min="7" max="9" width="14.42578125" style="58" customWidth="1"/>
    <col min="10" max="10" width="8.28515625" style="58" customWidth="1"/>
    <col min="11" max="11" width="11.85546875" style="58" bestFit="1" customWidth="1"/>
    <col min="12" max="12" width="11.28515625" style="58" bestFit="1" customWidth="1"/>
    <col min="13" max="13" width="10.5703125" style="58" customWidth="1"/>
    <col min="14" max="16384" width="9.140625" style="58"/>
  </cols>
  <sheetData>
    <row r="1" spans="1:10" ht="15" customHeight="1" x14ac:dyDescent="0.25">
      <c r="A1" s="639" t="s">
        <v>0</v>
      </c>
      <c r="B1" s="639"/>
      <c r="C1" s="639"/>
      <c r="D1" s="639"/>
      <c r="E1" s="639"/>
      <c r="F1" s="639"/>
      <c r="G1" s="639"/>
      <c r="H1" s="639"/>
      <c r="I1" s="639"/>
      <c r="J1" s="639"/>
    </row>
    <row r="2" spans="1:10" ht="15" customHeight="1" x14ac:dyDescent="0.25">
      <c r="A2" s="639" t="s">
        <v>206</v>
      </c>
      <c r="B2" s="639"/>
      <c r="C2" s="639"/>
      <c r="D2" s="639"/>
      <c r="E2" s="639"/>
      <c r="F2" s="639"/>
      <c r="G2" s="639"/>
      <c r="H2" s="639"/>
      <c r="I2" s="639"/>
      <c r="J2" s="639"/>
    </row>
    <row r="3" spans="1:10" ht="15" customHeight="1" x14ac:dyDescent="0.25">
      <c r="A3" s="639" t="s">
        <v>207</v>
      </c>
      <c r="B3" s="639"/>
      <c r="C3" s="639"/>
      <c r="D3" s="639"/>
      <c r="E3" s="639"/>
      <c r="F3" s="639"/>
      <c r="G3" s="639"/>
      <c r="H3" s="639"/>
      <c r="I3" s="639"/>
      <c r="J3" s="639"/>
    </row>
    <row r="4" spans="1:10" ht="15" customHeight="1" x14ac:dyDescent="0.25">
      <c r="A4" s="646" t="s">
        <v>296</v>
      </c>
      <c r="B4" s="646"/>
      <c r="C4" s="646"/>
      <c r="D4" s="646"/>
      <c r="E4" s="646"/>
      <c r="F4" s="646"/>
      <c r="G4" s="646"/>
      <c r="H4" s="646"/>
      <c r="I4" s="646"/>
      <c r="J4" s="646"/>
    </row>
    <row r="6" spans="1:10" x14ac:dyDescent="0.25">
      <c r="D6" s="288" t="s">
        <v>15</v>
      </c>
      <c r="E6" s="336"/>
      <c r="F6" s="337"/>
      <c r="G6" s="336" t="s">
        <v>15</v>
      </c>
      <c r="H6" s="336" t="s">
        <v>15</v>
      </c>
      <c r="I6" s="336" t="s">
        <v>75</v>
      </c>
    </row>
    <row r="7" spans="1:10" x14ac:dyDescent="0.25">
      <c r="C7" s="336" t="s">
        <v>17</v>
      </c>
      <c r="D7" s="288" t="s">
        <v>3</v>
      </c>
      <c r="E7" s="336" t="s">
        <v>5</v>
      </c>
      <c r="F7" s="337" t="s">
        <v>1</v>
      </c>
      <c r="G7" s="336" t="s">
        <v>2</v>
      </c>
      <c r="H7" s="336" t="s">
        <v>2</v>
      </c>
      <c r="I7" s="336" t="s">
        <v>2</v>
      </c>
      <c r="J7" s="288" t="s">
        <v>20</v>
      </c>
    </row>
    <row r="8" spans="1:10" x14ac:dyDescent="0.25">
      <c r="A8" s="645" t="s">
        <v>76</v>
      </c>
      <c r="B8" s="645"/>
      <c r="C8" s="56" t="s">
        <v>21</v>
      </c>
      <c r="D8" s="252" t="str">
        <f>'Current Revenue Calc.'!$T$7</f>
        <v>12ME Oct. 2024</v>
      </c>
      <c r="E8" s="56" t="s">
        <v>124</v>
      </c>
      <c r="F8" s="49" t="s">
        <v>17</v>
      </c>
      <c r="G8" s="56" t="s">
        <v>23</v>
      </c>
      <c r="H8" s="56" t="s">
        <v>182</v>
      </c>
      <c r="I8" s="56" t="s">
        <v>24</v>
      </c>
      <c r="J8" s="339" t="s">
        <v>24</v>
      </c>
    </row>
    <row r="9" spans="1:10" x14ac:dyDescent="0.25">
      <c r="A9" s="58" t="s">
        <v>7</v>
      </c>
      <c r="C9" s="336" t="s">
        <v>47</v>
      </c>
      <c r="D9" s="54">
        <f>SUM(Therms!P10,Therms!P11)</f>
        <v>639464549</v>
      </c>
      <c r="E9" s="284">
        <v>3.16E-3</v>
      </c>
      <c r="F9" s="284">
        <v>3.16E-3</v>
      </c>
      <c r="G9" s="287">
        <f>D9*(E9)</f>
        <v>2020707.97484</v>
      </c>
      <c r="H9" s="287">
        <f>D9*(F9)</f>
        <v>2020707.97484</v>
      </c>
      <c r="I9" s="60">
        <f>H9-G9</f>
        <v>0</v>
      </c>
      <c r="J9" s="325">
        <f>I9/G9</f>
        <v>0</v>
      </c>
    </row>
    <row r="10" spans="1:10" x14ac:dyDescent="0.25">
      <c r="C10" s="336"/>
      <c r="D10" s="54"/>
      <c r="E10" s="284"/>
      <c r="F10" s="284"/>
      <c r="G10" s="287"/>
      <c r="H10" s="287"/>
      <c r="I10" s="60"/>
    </row>
    <row r="11" spans="1:10" x14ac:dyDescent="0.25">
      <c r="A11" s="58" t="s">
        <v>48</v>
      </c>
      <c r="C11" s="336">
        <v>31</v>
      </c>
      <c r="D11" s="64">
        <f>Therms!P12</f>
        <v>245936243</v>
      </c>
      <c r="E11" s="284">
        <v>2.6700000000000001E-3</v>
      </c>
      <c r="F11" s="284">
        <v>2.6700000000000001E-3</v>
      </c>
      <c r="G11" s="287">
        <f>D11*(E11)</f>
        <v>656649.76881000004</v>
      </c>
      <c r="H11" s="287">
        <f>D11*(F11)</f>
        <v>656649.76881000004</v>
      </c>
      <c r="I11" s="60">
        <f t="shared" ref="I11:I47" si="0">H11-G11</f>
        <v>0</v>
      </c>
      <c r="J11" s="325">
        <f t="shared" ref="J11:J12" si="1">I11/G11</f>
        <v>0</v>
      </c>
    </row>
    <row r="12" spans="1:10" x14ac:dyDescent="0.25">
      <c r="A12" s="58" t="s">
        <v>48</v>
      </c>
      <c r="C12" s="336" t="s">
        <v>33</v>
      </c>
      <c r="D12" s="64">
        <f>Therms!P17</f>
        <v>33867</v>
      </c>
      <c r="E12" s="284">
        <v>2.6700000000000001E-3</v>
      </c>
      <c r="F12" s="284">
        <v>2.6700000000000001E-3</v>
      </c>
      <c r="G12" s="287">
        <f>D12*(E12)</f>
        <v>90.424890000000005</v>
      </c>
      <c r="H12" s="287">
        <f>D12*(F12)</f>
        <v>90.424890000000005</v>
      </c>
      <c r="I12" s="60">
        <f t="shared" si="0"/>
        <v>0</v>
      </c>
      <c r="J12" s="325">
        <f t="shared" si="1"/>
        <v>0</v>
      </c>
    </row>
    <row r="13" spans="1:10" x14ac:dyDescent="0.25">
      <c r="C13" s="336"/>
      <c r="D13" s="54"/>
      <c r="E13" s="284"/>
      <c r="F13" s="284"/>
      <c r="G13" s="287"/>
      <c r="H13" s="287"/>
      <c r="I13" s="60"/>
    </row>
    <row r="14" spans="1:10" x14ac:dyDescent="0.25">
      <c r="A14" s="58" t="s">
        <v>49</v>
      </c>
      <c r="C14" s="336">
        <v>41</v>
      </c>
      <c r="D14" s="64">
        <f>Therms!P13</f>
        <v>66890541</v>
      </c>
      <c r="E14" s="284">
        <v>1.2899999999999999E-3</v>
      </c>
      <c r="F14" s="284">
        <v>1.2899999999999999E-3</v>
      </c>
      <c r="G14" s="287">
        <f>D14*(E14)</f>
        <v>86288.797889999987</v>
      </c>
      <c r="H14" s="287">
        <f>D14*(F14)</f>
        <v>86288.797889999987</v>
      </c>
      <c r="I14" s="60">
        <f t="shared" si="0"/>
        <v>0</v>
      </c>
      <c r="J14" s="325">
        <f t="shared" ref="J14:J15" si="2">I14/G14</f>
        <v>0</v>
      </c>
    </row>
    <row r="15" spans="1:10" x14ac:dyDescent="0.25">
      <c r="A15" s="58" t="s">
        <v>49</v>
      </c>
      <c r="C15" s="336" t="s">
        <v>35</v>
      </c>
      <c r="D15" s="316">
        <f>Therms!P18</f>
        <v>26510234</v>
      </c>
      <c r="E15" s="284">
        <v>1.2899999999999999E-3</v>
      </c>
      <c r="F15" s="284">
        <v>1.2899999999999999E-3</v>
      </c>
      <c r="G15" s="287">
        <f>D15*(E15)</f>
        <v>34198.201860000001</v>
      </c>
      <c r="H15" s="287">
        <f>D15*(F15)</f>
        <v>34198.201860000001</v>
      </c>
      <c r="I15" s="60">
        <f t="shared" si="0"/>
        <v>0</v>
      </c>
      <c r="J15" s="325">
        <f t="shared" si="2"/>
        <v>0</v>
      </c>
    </row>
    <row r="16" spans="1:10" x14ac:dyDescent="0.25">
      <c r="C16" s="336"/>
      <c r="D16" s="61"/>
      <c r="E16" s="284"/>
      <c r="F16" s="284"/>
      <c r="G16" s="287"/>
      <c r="H16" s="287"/>
      <c r="I16" s="60"/>
    </row>
    <row r="17" spans="1:10" x14ac:dyDescent="0.25">
      <c r="A17" s="58" t="s">
        <v>10</v>
      </c>
      <c r="C17" s="336">
        <v>85</v>
      </c>
      <c r="D17" s="317"/>
      <c r="E17" s="284"/>
      <c r="F17" s="284"/>
      <c r="G17" s="287"/>
      <c r="H17" s="287"/>
      <c r="I17" s="60"/>
    </row>
    <row r="18" spans="1:10" x14ac:dyDescent="0.25">
      <c r="B18" s="58" t="s">
        <v>56</v>
      </c>
      <c r="C18" s="336"/>
      <c r="D18" s="317">
        <f>SUM('RY#2 Therms By Block'!N37,'RY#2 Therms By Block'!N44)</f>
        <v>4513873.5650214646</v>
      </c>
      <c r="E18" s="318">
        <v>9.1E-4</v>
      </c>
      <c r="F18" s="318">
        <v>9.1E-4</v>
      </c>
      <c r="G18" s="287">
        <f t="shared" ref="G18:G47" si="3">D18*(E18)</f>
        <v>4107.6249441695327</v>
      </c>
      <c r="H18" s="287">
        <f t="shared" ref="H18:H47" si="4">D18*(F18)</f>
        <v>4107.6249441695327</v>
      </c>
      <c r="I18" s="60">
        <f t="shared" si="0"/>
        <v>0</v>
      </c>
      <c r="J18" s="325">
        <f t="shared" ref="J18:J21" si="5">I18/G18</f>
        <v>0</v>
      </c>
    </row>
    <row r="19" spans="1:10" x14ac:dyDescent="0.25">
      <c r="B19" s="58" t="s">
        <v>57</v>
      </c>
      <c r="C19" s="336"/>
      <c r="D19" s="317">
        <f>SUM('RY#2 Therms By Block'!N38,'RY#2 Therms By Block'!N45)</f>
        <v>2478939.5524124894</v>
      </c>
      <c r="E19" s="318">
        <v>5.5999999999999995E-4</v>
      </c>
      <c r="F19" s="318">
        <v>5.5999999999999995E-4</v>
      </c>
      <c r="G19" s="287">
        <f t="shared" si="3"/>
        <v>1388.2061493509939</v>
      </c>
      <c r="H19" s="287">
        <f t="shared" si="4"/>
        <v>1388.2061493509939</v>
      </c>
      <c r="I19" s="60">
        <f t="shared" si="0"/>
        <v>0</v>
      </c>
      <c r="J19" s="325">
        <f t="shared" si="5"/>
        <v>0</v>
      </c>
    </row>
    <row r="20" spans="1:10" x14ac:dyDescent="0.25">
      <c r="B20" s="58" t="s">
        <v>58</v>
      </c>
      <c r="C20" s="336"/>
      <c r="D20" s="317">
        <f>SUM('RY#2 Therms By Block'!N39,'RY#2 Therms By Block'!N46)</f>
        <v>3752564.882566046</v>
      </c>
      <c r="E20" s="318">
        <v>3.2000000000000003E-4</v>
      </c>
      <c r="F20" s="318">
        <v>3.2000000000000003E-4</v>
      </c>
      <c r="G20" s="287">
        <f t="shared" si="3"/>
        <v>1200.8207624211348</v>
      </c>
      <c r="H20" s="287">
        <f t="shared" si="4"/>
        <v>1200.8207624211348</v>
      </c>
      <c r="I20" s="60">
        <f t="shared" si="0"/>
        <v>0</v>
      </c>
      <c r="J20" s="325">
        <f t="shared" si="5"/>
        <v>0</v>
      </c>
    </row>
    <row r="21" spans="1:10" x14ac:dyDescent="0.25">
      <c r="B21" s="58" t="s">
        <v>6</v>
      </c>
      <c r="C21" s="336"/>
      <c r="D21" s="323">
        <f>SUM(D18:D20)</f>
        <v>10745378</v>
      </c>
      <c r="E21" s="284"/>
      <c r="F21" s="284"/>
      <c r="G21" s="286">
        <f>SUM(G18:G20)</f>
        <v>6696.6518559416609</v>
      </c>
      <c r="H21" s="286">
        <f t="shared" ref="H21:I21" si="6">SUM(H18:H20)</f>
        <v>6696.6518559416609</v>
      </c>
      <c r="I21" s="286">
        <f t="shared" si="6"/>
        <v>0</v>
      </c>
      <c r="J21" s="326">
        <f t="shared" si="5"/>
        <v>0</v>
      </c>
    </row>
    <row r="22" spans="1:10" x14ac:dyDescent="0.25">
      <c r="C22" s="336"/>
      <c r="D22" s="61"/>
      <c r="E22" s="284"/>
      <c r="F22" s="284"/>
      <c r="G22" s="287"/>
      <c r="H22" s="287"/>
      <c r="I22" s="60"/>
    </row>
    <row r="23" spans="1:10" x14ac:dyDescent="0.25">
      <c r="A23" s="58" t="s">
        <v>10</v>
      </c>
      <c r="C23" s="336">
        <v>86</v>
      </c>
      <c r="D23" s="64">
        <f>Therms!P15</f>
        <v>5489408</v>
      </c>
      <c r="E23" s="284">
        <v>1.1199999999999999E-3</v>
      </c>
      <c r="F23" s="284">
        <v>1.1199999999999999E-3</v>
      </c>
      <c r="G23" s="287">
        <f t="shared" si="3"/>
        <v>6148.1369599999998</v>
      </c>
      <c r="H23" s="287">
        <f t="shared" si="4"/>
        <v>6148.1369599999998</v>
      </c>
      <c r="I23" s="60">
        <f t="shared" si="0"/>
        <v>0</v>
      </c>
      <c r="J23" s="325">
        <f t="shared" ref="J23:J24" si="7">I23/G23</f>
        <v>0</v>
      </c>
    </row>
    <row r="24" spans="1:10" x14ac:dyDescent="0.25">
      <c r="A24" s="58" t="s">
        <v>10</v>
      </c>
      <c r="C24" s="336" t="s">
        <v>39</v>
      </c>
      <c r="D24" s="316">
        <f>Therms!P20</f>
        <v>578702</v>
      </c>
      <c r="E24" s="284">
        <v>1.1199999999999999E-3</v>
      </c>
      <c r="F24" s="284">
        <v>1.1199999999999999E-3</v>
      </c>
      <c r="G24" s="287">
        <f t="shared" si="3"/>
        <v>648.14623999999992</v>
      </c>
      <c r="H24" s="287">
        <f t="shared" si="4"/>
        <v>648.14623999999992</v>
      </c>
      <c r="I24" s="60">
        <f t="shared" si="0"/>
        <v>0</v>
      </c>
      <c r="J24" s="325">
        <f t="shared" si="7"/>
        <v>0</v>
      </c>
    </row>
    <row r="25" spans="1:10" x14ac:dyDescent="0.25">
      <c r="C25" s="336"/>
      <c r="D25" s="61"/>
      <c r="E25" s="284"/>
      <c r="F25" s="284"/>
      <c r="G25" s="287"/>
      <c r="H25" s="287"/>
      <c r="I25" s="60"/>
    </row>
    <row r="26" spans="1:10" x14ac:dyDescent="0.25">
      <c r="A26" s="58" t="s">
        <v>10</v>
      </c>
      <c r="C26" s="336">
        <v>87</v>
      </c>
      <c r="D26" s="61"/>
      <c r="E26" s="284"/>
      <c r="F26" s="284"/>
      <c r="G26" s="287"/>
      <c r="H26" s="287"/>
      <c r="I26" s="60"/>
    </row>
    <row r="27" spans="1:10" x14ac:dyDescent="0.25">
      <c r="B27" s="58" t="s">
        <v>56</v>
      </c>
      <c r="C27" s="336"/>
      <c r="D27" s="317">
        <f>'RY#2 Therms By Block'!N89</f>
        <v>1512193</v>
      </c>
      <c r="E27" s="318">
        <v>9.1E-4</v>
      </c>
      <c r="F27" s="318">
        <v>9.1E-4</v>
      </c>
      <c r="G27" s="287">
        <f t="shared" si="3"/>
        <v>1376.09563</v>
      </c>
      <c r="H27" s="287">
        <f t="shared" si="4"/>
        <v>1376.09563</v>
      </c>
      <c r="I27" s="60">
        <f t="shared" si="0"/>
        <v>0</v>
      </c>
      <c r="J27" s="325">
        <f t="shared" ref="J27:J33" si="8">I27/G27</f>
        <v>0</v>
      </c>
    </row>
    <row r="28" spans="1:10" x14ac:dyDescent="0.25">
      <c r="B28" s="58" t="s">
        <v>57</v>
      </c>
      <c r="C28" s="336"/>
      <c r="D28" s="317">
        <f>'RY#2 Therms By Block'!N90</f>
        <v>1398016.115</v>
      </c>
      <c r="E28" s="318">
        <v>5.5999999999999995E-4</v>
      </c>
      <c r="F28" s="318">
        <v>5.5999999999999995E-4</v>
      </c>
      <c r="G28" s="287">
        <f t="shared" si="3"/>
        <v>782.88902439999993</v>
      </c>
      <c r="H28" s="287">
        <f t="shared" si="4"/>
        <v>782.88902439999993</v>
      </c>
      <c r="I28" s="60">
        <f t="shared" si="0"/>
        <v>0</v>
      </c>
      <c r="J28" s="325">
        <f t="shared" si="8"/>
        <v>0</v>
      </c>
    </row>
    <row r="29" spans="1:10" x14ac:dyDescent="0.25">
      <c r="B29" s="58" t="s">
        <v>62</v>
      </c>
      <c r="C29" s="336"/>
      <c r="D29" s="317">
        <f>'RY#2 Therms By Block'!N91</f>
        <v>2316890.0959999999</v>
      </c>
      <c r="E29" s="318">
        <v>3.6999999999999999E-4</v>
      </c>
      <c r="F29" s="318">
        <v>3.6999999999999999E-4</v>
      </c>
      <c r="G29" s="287">
        <f t="shared" si="3"/>
        <v>857.24933551999993</v>
      </c>
      <c r="H29" s="287">
        <f t="shared" si="4"/>
        <v>857.24933551999993</v>
      </c>
      <c r="I29" s="60">
        <f t="shared" si="0"/>
        <v>0</v>
      </c>
      <c r="J29" s="325">
        <f t="shared" si="8"/>
        <v>0</v>
      </c>
    </row>
    <row r="30" spans="1:10" x14ac:dyDescent="0.25">
      <c r="B30" s="58" t="s">
        <v>63</v>
      </c>
      <c r="C30" s="336"/>
      <c r="D30" s="317">
        <f>'RY#2 Therms By Block'!N92</f>
        <v>3045256.878</v>
      </c>
      <c r="E30" s="318">
        <v>2.5000000000000001E-4</v>
      </c>
      <c r="F30" s="318">
        <v>2.5000000000000001E-4</v>
      </c>
      <c r="G30" s="287">
        <f t="shared" si="3"/>
        <v>761.31421950000004</v>
      </c>
      <c r="H30" s="287">
        <f t="shared" si="4"/>
        <v>761.31421950000004</v>
      </c>
      <c r="I30" s="60">
        <f t="shared" si="0"/>
        <v>0</v>
      </c>
      <c r="J30" s="325">
        <f t="shared" si="8"/>
        <v>0</v>
      </c>
    </row>
    <row r="31" spans="1:10" x14ac:dyDescent="0.25">
      <c r="B31" s="58" t="s">
        <v>64</v>
      </c>
      <c r="C31" s="336"/>
      <c r="D31" s="317">
        <f>'RY#2 Therms By Block'!N93</f>
        <v>3792042.2029999997</v>
      </c>
      <c r="E31" s="318">
        <v>1.9000000000000001E-4</v>
      </c>
      <c r="F31" s="318">
        <v>1.9000000000000001E-4</v>
      </c>
      <c r="G31" s="287">
        <f t="shared" si="3"/>
        <v>720.48801857000001</v>
      </c>
      <c r="H31" s="287">
        <f t="shared" si="4"/>
        <v>720.48801857000001</v>
      </c>
      <c r="I31" s="60">
        <f t="shared" si="0"/>
        <v>0</v>
      </c>
      <c r="J31" s="325">
        <f t="shared" si="8"/>
        <v>0</v>
      </c>
    </row>
    <row r="32" spans="1:10" x14ac:dyDescent="0.25">
      <c r="B32" s="58" t="s">
        <v>65</v>
      </c>
      <c r="C32" s="336"/>
      <c r="D32" s="317">
        <f>'RY#2 Therms By Block'!N94</f>
        <v>9755057.4703552071</v>
      </c>
      <c r="E32" s="318">
        <v>1.4999999999999999E-4</v>
      </c>
      <c r="F32" s="318">
        <v>1.4999999999999999E-4</v>
      </c>
      <c r="G32" s="287">
        <f t="shared" si="3"/>
        <v>1463.2586205532809</v>
      </c>
      <c r="H32" s="287">
        <f t="shared" si="4"/>
        <v>1463.2586205532809</v>
      </c>
      <c r="I32" s="60">
        <f t="shared" si="0"/>
        <v>0</v>
      </c>
      <c r="J32" s="325">
        <f t="shared" si="8"/>
        <v>0</v>
      </c>
    </row>
    <row r="33" spans="1:10" x14ac:dyDescent="0.25">
      <c r="B33" s="58" t="s">
        <v>6</v>
      </c>
      <c r="C33" s="336"/>
      <c r="D33" s="323">
        <f>SUM(D27:D32)</f>
        <v>21819455.762355208</v>
      </c>
      <c r="E33" s="284"/>
      <c r="F33" s="284"/>
      <c r="G33" s="286">
        <f>SUM(G27:G32)</f>
        <v>5961.2948485432808</v>
      </c>
      <c r="H33" s="286">
        <f t="shared" ref="H33:I33" si="9">SUM(H27:H32)</f>
        <v>5961.2948485432808</v>
      </c>
      <c r="I33" s="286">
        <f t="shared" si="9"/>
        <v>0</v>
      </c>
      <c r="J33" s="326">
        <f t="shared" si="8"/>
        <v>0</v>
      </c>
    </row>
    <row r="34" spans="1:10" x14ac:dyDescent="0.25">
      <c r="C34" s="336"/>
      <c r="D34" s="319"/>
      <c r="E34" s="284"/>
      <c r="F34" s="284"/>
      <c r="G34" s="287"/>
      <c r="H34" s="287"/>
      <c r="I34" s="60"/>
      <c r="J34" s="340"/>
    </row>
    <row r="35" spans="1:10" x14ac:dyDescent="0.25">
      <c r="A35" s="58" t="s">
        <v>77</v>
      </c>
      <c r="C35" s="336" t="s">
        <v>37</v>
      </c>
      <c r="D35" s="319"/>
      <c r="E35" s="284"/>
      <c r="F35" s="284"/>
      <c r="G35" s="287"/>
      <c r="H35" s="287"/>
      <c r="I35" s="60"/>
      <c r="J35" s="340"/>
    </row>
    <row r="36" spans="1:10" x14ac:dyDescent="0.25">
      <c r="B36" s="58" t="s">
        <v>56</v>
      </c>
      <c r="C36" s="336"/>
      <c r="D36" s="320">
        <f>Therms!$P$19*'12ME Jun21 Bill Freq'!N24</f>
        <v>22021970.314905547</v>
      </c>
      <c r="E36" s="318">
        <v>9.1E-4</v>
      </c>
      <c r="F36" s="318">
        <v>9.1E-4</v>
      </c>
      <c r="G36" s="287">
        <f t="shared" si="3"/>
        <v>20039.992986564048</v>
      </c>
      <c r="H36" s="287">
        <f t="shared" si="4"/>
        <v>20039.992986564048</v>
      </c>
      <c r="I36" s="60">
        <f t="shared" si="0"/>
        <v>0</v>
      </c>
      <c r="J36" s="325">
        <f t="shared" ref="J36:J39" si="10">I36/G36</f>
        <v>0</v>
      </c>
    </row>
    <row r="37" spans="1:10" x14ac:dyDescent="0.25">
      <c r="B37" s="58" t="s">
        <v>57</v>
      </c>
      <c r="C37" s="336"/>
      <c r="D37" s="320">
        <f>Therms!$P$19*'12ME Jun21 Bill Freq'!N25</f>
        <v>15669363.678513754</v>
      </c>
      <c r="E37" s="318">
        <v>5.5999999999999995E-4</v>
      </c>
      <c r="F37" s="318">
        <v>5.5999999999999995E-4</v>
      </c>
      <c r="G37" s="287">
        <f t="shared" si="3"/>
        <v>8774.8436599677007</v>
      </c>
      <c r="H37" s="287">
        <f t="shared" si="4"/>
        <v>8774.8436599677007</v>
      </c>
      <c r="I37" s="60">
        <f t="shared" si="0"/>
        <v>0</v>
      </c>
      <c r="J37" s="325">
        <f t="shared" si="10"/>
        <v>0</v>
      </c>
    </row>
    <row r="38" spans="1:10" x14ac:dyDescent="0.25">
      <c r="B38" s="58" t="s">
        <v>58</v>
      </c>
      <c r="C38" s="336"/>
      <c r="D38" s="320">
        <f>Therms!$P$19*'12ME Jun21 Bill Freq'!N26</f>
        <v>24597592.006580703</v>
      </c>
      <c r="E38" s="318">
        <v>3.2000000000000003E-4</v>
      </c>
      <c r="F38" s="318">
        <v>3.2000000000000003E-4</v>
      </c>
      <c r="G38" s="287">
        <f t="shared" si="3"/>
        <v>7871.2294421058259</v>
      </c>
      <c r="H38" s="287">
        <f t="shared" si="4"/>
        <v>7871.2294421058259</v>
      </c>
      <c r="I38" s="60">
        <f t="shared" si="0"/>
        <v>0</v>
      </c>
      <c r="J38" s="325">
        <f t="shared" si="10"/>
        <v>0</v>
      </c>
    </row>
    <row r="39" spans="1:10" x14ac:dyDescent="0.25">
      <c r="B39" s="58" t="s">
        <v>6</v>
      </c>
      <c r="C39" s="336"/>
      <c r="D39" s="323">
        <f>SUM(D36:D38)</f>
        <v>62288926.000000007</v>
      </c>
      <c r="E39" s="284"/>
      <c r="F39" s="284"/>
      <c r="G39" s="286">
        <f>SUM(G36:G38)</f>
        <v>36686.066088637577</v>
      </c>
      <c r="H39" s="286">
        <f t="shared" ref="H39:I39" si="11">SUM(H36:H38)</f>
        <v>36686.066088637577</v>
      </c>
      <c r="I39" s="286">
        <f t="shared" si="11"/>
        <v>0</v>
      </c>
      <c r="J39" s="326">
        <f t="shared" si="10"/>
        <v>0</v>
      </c>
    </row>
    <row r="40" spans="1:10" x14ac:dyDescent="0.25">
      <c r="C40" s="336"/>
      <c r="D40" s="319"/>
      <c r="E40" s="284"/>
      <c r="F40" s="284"/>
      <c r="G40" s="287"/>
      <c r="H40" s="287"/>
      <c r="I40" s="60"/>
      <c r="J40" s="340"/>
    </row>
    <row r="41" spans="1:10" x14ac:dyDescent="0.25">
      <c r="A41" s="58" t="s">
        <v>77</v>
      </c>
      <c r="C41" s="336" t="s">
        <v>41</v>
      </c>
      <c r="D41" s="319"/>
      <c r="E41" s="284"/>
      <c r="F41" s="284"/>
      <c r="G41" s="287"/>
      <c r="H41" s="287"/>
      <c r="I41" s="60"/>
    </row>
    <row r="42" spans="1:10" x14ac:dyDescent="0.25">
      <c r="B42" s="58" t="s">
        <v>56</v>
      </c>
      <c r="C42" s="336"/>
      <c r="D42" s="320">
        <f>Therms!$P$21*'12ME Jun21 Bill Freq'!N49</f>
        <v>2998789.669999999</v>
      </c>
      <c r="E42" s="318">
        <v>9.1E-4</v>
      </c>
      <c r="F42" s="318">
        <v>9.1E-4</v>
      </c>
      <c r="G42" s="287">
        <f t="shared" si="3"/>
        <v>2728.8985996999991</v>
      </c>
      <c r="H42" s="287">
        <f t="shared" si="4"/>
        <v>2728.8985996999991</v>
      </c>
      <c r="I42" s="60">
        <f t="shared" si="0"/>
        <v>0</v>
      </c>
      <c r="J42" s="325">
        <f t="shared" ref="J42:J48" si="12">I42/G42</f>
        <v>0</v>
      </c>
    </row>
    <row r="43" spans="1:10" x14ac:dyDescent="0.25">
      <c r="B43" s="58" t="s">
        <v>57</v>
      </c>
      <c r="C43" s="336"/>
      <c r="D43" s="320">
        <f>Therms!$P$21*'12ME Jun21 Bill Freq'!N50</f>
        <v>2999999.9999999995</v>
      </c>
      <c r="E43" s="318">
        <v>5.5999999999999995E-4</v>
      </c>
      <c r="F43" s="318">
        <v>5.5999999999999995E-4</v>
      </c>
      <c r="G43" s="287">
        <f t="shared" si="3"/>
        <v>1679.9999999999995</v>
      </c>
      <c r="H43" s="287">
        <f t="shared" si="4"/>
        <v>1679.9999999999995</v>
      </c>
      <c r="I43" s="60">
        <f t="shared" si="0"/>
        <v>0</v>
      </c>
      <c r="J43" s="325">
        <f t="shared" si="12"/>
        <v>0</v>
      </c>
    </row>
    <row r="44" spans="1:10" x14ac:dyDescent="0.25">
      <c r="B44" s="58" t="s">
        <v>62</v>
      </c>
      <c r="C44" s="336"/>
      <c r="D44" s="320">
        <f>Therms!$P$21*'12ME Jun21 Bill Freq'!N51</f>
        <v>5999999.9999999991</v>
      </c>
      <c r="E44" s="318">
        <v>3.6999999999999999E-4</v>
      </c>
      <c r="F44" s="318">
        <v>3.6999999999999999E-4</v>
      </c>
      <c r="G44" s="287">
        <f t="shared" si="3"/>
        <v>2219.9999999999995</v>
      </c>
      <c r="H44" s="287">
        <f t="shared" si="4"/>
        <v>2219.9999999999995</v>
      </c>
      <c r="I44" s="60">
        <f t="shared" si="0"/>
        <v>0</v>
      </c>
      <c r="J44" s="325">
        <f t="shared" si="12"/>
        <v>0</v>
      </c>
    </row>
    <row r="45" spans="1:10" x14ac:dyDescent="0.25">
      <c r="B45" s="58" t="s">
        <v>63</v>
      </c>
      <c r="C45" s="336"/>
      <c r="D45" s="320">
        <f>Therms!$P$21*'12ME Jun21 Bill Freq'!N52</f>
        <v>11463691.02</v>
      </c>
      <c r="E45" s="318">
        <v>2.5000000000000001E-4</v>
      </c>
      <c r="F45" s="318">
        <v>2.5000000000000001E-4</v>
      </c>
      <c r="G45" s="287">
        <f t="shared" si="3"/>
        <v>2865.9227550000001</v>
      </c>
      <c r="H45" s="287">
        <f t="shared" si="4"/>
        <v>2865.9227550000001</v>
      </c>
      <c r="I45" s="60">
        <f t="shared" si="0"/>
        <v>0</v>
      </c>
      <c r="J45" s="325">
        <f t="shared" si="12"/>
        <v>0</v>
      </c>
    </row>
    <row r="46" spans="1:10" x14ac:dyDescent="0.25">
      <c r="B46" s="58" t="s">
        <v>64</v>
      </c>
      <c r="C46" s="336"/>
      <c r="D46" s="320">
        <f>Therms!$P$21*'12ME Jun21 Bill Freq'!N53</f>
        <v>25744602.149999995</v>
      </c>
      <c r="E46" s="318">
        <v>1.9000000000000001E-4</v>
      </c>
      <c r="F46" s="318">
        <v>1.9000000000000001E-4</v>
      </c>
      <c r="G46" s="287">
        <f t="shared" si="3"/>
        <v>4891.4744084999993</v>
      </c>
      <c r="H46" s="287">
        <f t="shared" si="4"/>
        <v>4891.4744084999993</v>
      </c>
      <c r="I46" s="60">
        <f t="shared" si="0"/>
        <v>0</v>
      </c>
      <c r="J46" s="325">
        <f t="shared" si="12"/>
        <v>0</v>
      </c>
    </row>
    <row r="47" spans="1:10" x14ac:dyDescent="0.25">
      <c r="B47" s="58" t="s">
        <v>65</v>
      </c>
      <c r="C47" s="336"/>
      <c r="D47" s="320">
        <f>Therms!$P$21*'12ME Jun21 Bill Freq'!N54</f>
        <v>48293342.805479579</v>
      </c>
      <c r="E47" s="318">
        <v>1.4999999999999999E-4</v>
      </c>
      <c r="F47" s="318">
        <v>1.4999999999999999E-4</v>
      </c>
      <c r="G47" s="287">
        <f t="shared" si="3"/>
        <v>7244.0014208219363</v>
      </c>
      <c r="H47" s="287">
        <f t="shared" si="4"/>
        <v>7244.0014208219363</v>
      </c>
      <c r="I47" s="60">
        <f t="shared" si="0"/>
        <v>0</v>
      </c>
      <c r="J47" s="325">
        <f t="shared" si="12"/>
        <v>0</v>
      </c>
    </row>
    <row r="48" spans="1:10" x14ac:dyDescent="0.25">
      <c r="B48" s="58" t="s">
        <v>6</v>
      </c>
      <c r="C48" s="336"/>
      <c r="D48" s="323">
        <f>SUM(D42:D47)</f>
        <v>97500425.64547956</v>
      </c>
      <c r="E48" s="284"/>
      <c r="F48" s="7"/>
      <c r="G48" s="286">
        <f>SUM(G42:G47)</f>
        <v>21630.297184021932</v>
      </c>
      <c r="H48" s="286">
        <f t="shared" ref="H48:I48" si="13">SUM(H42:H47)</f>
        <v>21630.297184021932</v>
      </c>
      <c r="I48" s="286">
        <f t="shared" si="13"/>
        <v>0</v>
      </c>
      <c r="J48" s="326">
        <f t="shared" si="12"/>
        <v>0</v>
      </c>
    </row>
    <row r="49" spans="2:12" x14ac:dyDescent="0.25">
      <c r="D49" s="321"/>
      <c r="E49" s="41"/>
      <c r="F49" s="41"/>
      <c r="G49" s="34"/>
      <c r="H49" s="46"/>
      <c r="I49" s="60"/>
      <c r="J49" s="59"/>
    </row>
    <row r="50" spans="2:12" x14ac:dyDescent="0.25">
      <c r="B50" s="58" t="s">
        <v>6</v>
      </c>
      <c r="D50" s="322">
        <f>D9+D11+D14+D21+D23+D33+D39+D48+D12+D15+D24</f>
        <v>1177257729.4078348</v>
      </c>
      <c r="E50" s="284"/>
      <c r="F50" s="7"/>
      <c r="G50" s="45">
        <f>G9+G11+G14+G21+G23+G33+G39+G48+G12+G15+G24</f>
        <v>2875705.7614671448</v>
      </c>
      <c r="H50" s="45">
        <f>H9+H11+H14+H21+H23+H33+H39+H48+H12+H15+H24</f>
        <v>2875705.7614671448</v>
      </c>
      <c r="I50" s="45">
        <f>I9+I11+I14+I21+I23+I33+I39+I48+I12+I15+I24</f>
        <v>0</v>
      </c>
      <c r="J50" s="326">
        <f>I50/G50</f>
        <v>0</v>
      </c>
    </row>
    <row r="51" spans="2:12" x14ac:dyDescent="0.25">
      <c r="D51" s="59"/>
      <c r="E51" s="59"/>
      <c r="F51" s="53"/>
      <c r="G51" s="59"/>
      <c r="H51" s="59"/>
      <c r="J51" s="340"/>
    </row>
    <row r="52" spans="2:12" x14ac:dyDescent="0.25">
      <c r="D52" s="59"/>
      <c r="E52" s="59"/>
      <c r="F52" s="53"/>
      <c r="G52" s="341"/>
      <c r="H52" s="341"/>
    </row>
    <row r="53" spans="2:12" x14ac:dyDescent="0.25">
      <c r="L53" s="340"/>
    </row>
    <row r="54" spans="2:12" x14ac:dyDescent="0.25">
      <c r="B54" s="342"/>
      <c r="D54" s="343"/>
      <c r="E54" s="343"/>
      <c r="F54" s="344"/>
      <c r="G54" s="345"/>
      <c r="H54" s="345"/>
    </row>
    <row r="55" spans="2:12" x14ac:dyDescent="0.25">
      <c r="C55" s="53"/>
      <c r="D55" s="346"/>
      <c r="E55" s="59"/>
      <c r="F55" s="53"/>
    </row>
    <row r="56" spans="2:12" x14ac:dyDescent="0.25">
      <c r="C56" s="53"/>
      <c r="D56" s="59"/>
      <c r="E56" s="53"/>
      <c r="F56" s="53"/>
    </row>
    <row r="57" spans="2:12" x14ac:dyDescent="0.25">
      <c r="C57" s="53"/>
      <c r="D57" s="59"/>
      <c r="E57" s="347"/>
      <c r="F57" s="348"/>
    </row>
    <row r="58" spans="2:12" x14ac:dyDescent="0.25">
      <c r="C58" s="343"/>
      <c r="D58" s="343"/>
      <c r="E58" s="347"/>
      <c r="F58" s="348"/>
    </row>
    <row r="59" spans="2:12" x14ac:dyDescent="0.25">
      <c r="E59" s="347"/>
      <c r="F59" s="348"/>
    </row>
    <row r="60" spans="2:12" x14ac:dyDescent="0.25">
      <c r="E60" s="59"/>
      <c r="F60" s="53"/>
    </row>
    <row r="61" spans="2:12" x14ac:dyDescent="0.25">
      <c r="E61" s="59"/>
      <c r="F61" s="53"/>
    </row>
    <row r="62" spans="2:12" x14ac:dyDescent="0.25">
      <c r="E62" s="59"/>
      <c r="F62" s="53"/>
    </row>
  </sheetData>
  <mergeCells count="5">
    <mergeCell ref="A8:B8"/>
    <mergeCell ref="A1:J1"/>
    <mergeCell ref="A3:J3"/>
    <mergeCell ref="A4:J4"/>
    <mergeCell ref="A2:J2"/>
  </mergeCells>
  <printOptions horizontalCentered="1"/>
  <pageMargins left="0.75" right="0.75" top="1" bottom="1" header="0.5" footer="0.5"/>
  <pageSetup scale="64" orientation="landscape" blackAndWhite="1" horizontalDpi="300" verticalDpi="300" r:id="rId1"/>
  <headerFooter alignWithMargins="0">
    <oddFooter>&amp;L&amp;F 
&amp;A&amp;C&amp;P&amp;R&amp;D</oddFooter>
  </headerFooter>
  <customProperties>
    <customPr name="_pios_id" r:id="rId2"/>
    <customPr name="EpmWorksheetKeyString_GUID" r:id="rId3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zoomScale="90" zoomScaleNormal="90" workbookViewId="0">
      <selection activeCell="C34" sqref="C34"/>
    </sheetView>
  </sheetViews>
  <sheetFormatPr defaultColWidth="8.7109375" defaultRowHeight="15" x14ac:dyDescent="0.25"/>
  <cols>
    <col min="1" max="1" width="37.7109375" style="1" customWidth="1"/>
    <col min="2" max="2" width="9.140625" style="1" bestFit="1" customWidth="1"/>
    <col min="3" max="3" width="18.5703125" style="1" bestFit="1" customWidth="1"/>
    <col min="4" max="5" width="13.7109375" style="1" customWidth="1"/>
    <col min="6" max="8" width="14.42578125" style="1" customWidth="1"/>
    <col min="9" max="9" width="7.85546875" style="1" bestFit="1" customWidth="1"/>
    <col min="10" max="16384" width="8.7109375" style="1"/>
  </cols>
  <sheetData>
    <row r="1" spans="1:21" s="58" customFormat="1" x14ac:dyDescent="0.25">
      <c r="A1" s="639" t="s">
        <v>0</v>
      </c>
      <c r="B1" s="639"/>
      <c r="C1" s="639"/>
      <c r="D1" s="639"/>
      <c r="E1" s="639"/>
      <c r="F1" s="639"/>
      <c r="G1" s="639"/>
      <c r="H1" s="639"/>
      <c r="I1" s="639"/>
      <c r="J1" s="47"/>
    </row>
    <row r="2" spans="1:21" s="58" customFormat="1" x14ac:dyDescent="0.25">
      <c r="A2" s="639" t="s">
        <v>208</v>
      </c>
      <c r="B2" s="647"/>
      <c r="C2" s="647"/>
      <c r="D2" s="647"/>
      <c r="E2" s="647"/>
      <c r="F2" s="647"/>
      <c r="G2" s="647"/>
      <c r="H2" s="647"/>
      <c r="I2" s="647"/>
      <c r="J2" s="370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</row>
    <row r="3" spans="1:21" s="58" customFormat="1" x14ac:dyDescent="0.25">
      <c r="A3" s="639" t="s">
        <v>209</v>
      </c>
      <c r="B3" s="639"/>
      <c r="C3" s="639"/>
      <c r="D3" s="639"/>
      <c r="E3" s="639"/>
      <c r="F3" s="639"/>
      <c r="G3" s="639"/>
      <c r="H3" s="639"/>
      <c r="I3" s="639"/>
      <c r="J3" s="47"/>
    </row>
    <row r="4" spans="1:21" s="58" customFormat="1" x14ac:dyDescent="0.25">
      <c r="A4" s="639" t="s">
        <v>310</v>
      </c>
      <c r="B4" s="639"/>
      <c r="C4" s="639"/>
      <c r="D4" s="639"/>
      <c r="E4" s="639"/>
      <c r="F4" s="639"/>
      <c r="G4" s="639"/>
      <c r="H4" s="639"/>
      <c r="I4" s="639"/>
      <c r="J4" s="47"/>
    </row>
    <row r="5" spans="1:21" x14ac:dyDescent="0.25">
      <c r="D5" s="338"/>
      <c r="E5" s="338"/>
    </row>
    <row r="6" spans="1:21" x14ac:dyDescent="0.25">
      <c r="A6" s="288"/>
      <c r="B6" s="288"/>
      <c r="C6" s="288" t="s">
        <v>15</v>
      </c>
      <c r="D6" s="288" t="s">
        <v>5</v>
      </c>
      <c r="E6" s="288" t="s">
        <v>1</v>
      </c>
      <c r="F6" s="336" t="s">
        <v>15</v>
      </c>
      <c r="G6" s="336" t="s">
        <v>15</v>
      </c>
      <c r="H6" s="288" t="s">
        <v>16</v>
      </c>
      <c r="I6" s="288"/>
      <c r="R6" s="354"/>
      <c r="S6" s="354"/>
      <c r="T6" s="354"/>
    </row>
    <row r="7" spans="1:21" x14ac:dyDescent="0.25">
      <c r="A7" s="288"/>
      <c r="B7" s="288" t="s">
        <v>17</v>
      </c>
      <c r="C7" s="288" t="s">
        <v>3</v>
      </c>
      <c r="D7" s="288" t="s">
        <v>16</v>
      </c>
      <c r="E7" s="288" t="s">
        <v>16</v>
      </c>
      <c r="F7" s="336" t="s">
        <v>2</v>
      </c>
      <c r="G7" s="336" t="s">
        <v>2</v>
      </c>
      <c r="H7" s="288" t="s">
        <v>2</v>
      </c>
      <c r="I7" s="288" t="s">
        <v>20</v>
      </c>
      <c r="R7" s="354"/>
      <c r="S7" s="354"/>
      <c r="T7" s="354"/>
    </row>
    <row r="8" spans="1:21" x14ac:dyDescent="0.25">
      <c r="A8" s="339" t="s">
        <v>4</v>
      </c>
      <c r="B8" s="339" t="s">
        <v>21</v>
      </c>
      <c r="C8" s="252" t="str">
        <f>'Current Revenue Calc.'!$T$7</f>
        <v>12ME Oct. 2024</v>
      </c>
      <c r="D8" s="339" t="s">
        <v>22</v>
      </c>
      <c r="E8" s="339" t="s">
        <v>22</v>
      </c>
      <c r="F8" s="56" t="s">
        <v>23</v>
      </c>
      <c r="G8" s="56" t="s">
        <v>182</v>
      </c>
      <c r="H8" s="339" t="s">
        <v>24</v>
      </c>
      <c r="I8" s="339" t="s">
        <v>24</v>
      </c>
      <c r="R8" s="354"/>
      <c r="S8" s="335"/>
      <c r="T8" s="354"/>
    </row>
    <row r="9" spans="1:21" x14ac:dyDescent="0.25">
      <c r="A9" s="1" t="s">
        <v>7</v>
      </c>
      <c r="B9" s="416" t="s">
        <v>30</v>
      </c>
      <c r="C9" s="54">
        <f>SUM(Therms!P10,Therms!P11)</f>
        <v>639464549</v>
      </c>
      <c r="D9" s="284">
        <v>2.2849999999999999E-2</v>
      </c>
      <c r="E9" s="284">
        <v>2.2849999999999999E-2</v>
      </c>
      <c r="F9" s="44">
        <f>C9*D9</f>
        <v>14611764.94465</v>
      </c>
      <c r="G9" s="44">
        <f>C9*E9</f>
        <v>14611764.94465</v>
      </c>
      <c r="H9" s="289">
        <f>G9-F9</f>
        <v>0</v>
      </c>
      <c r="I9" s="2">
        <f>H9/F9</f>
        <v>0</v>
      </c>
      <c r="R9" s="354"/>
      <c r="S9" s="331"/>
      <c r="T9" s="354"/>
    </row>
    <row r="10" spans="1:21" x14ac:dyDescent="0.25">
      <c r="A10" s="1" t="s">
        <v>31</v>
      </c>
      <c r="B10" s="416">
        <v>16</v>
      </c>
      <c r="C10" s="64">
        <f>Therms!P9</f>
        <v>8832</v>
      </c>
      <c r="D10" s="284">
        <v>2.2849999999999999E-2</v>
      </c>
      <c r="E10" s="284">
        <v>2.2849999999999999E-2</v>
      </c>
      <c r="F10" s="44">
        <f t="shared" ref="F10:F20" si="0">C10*D10</f>
        <v>201.81119999999999</v>
      </c>
      <c r="G10" s="44">
        <f t="shared" ref="G10:G21" si="1">C10*E10</f>
        <v>201.81119999999999</v>
      </c>
      <c r="H10" s="289">
        <f t="shared" ref="H10:H21" si="2">G10-F10</f>
        <v>0</v>
      </c>
      <c r="I10" s="2">
        <f t="shared" ref="I10:I22" si="3">H10/F10</f>
        <v>0</v>
      </c>
      <c r="R10" s="354"/>
      <c r="S10" s="354"/>
      <c r="T10" s="354"/>
    </row>
    <row r="11" spans="1:21" x14ac:dyDescent="0.25">
      <c r="A11" s="1" t="s">
        <v>8</v>
      </c>
      <c r="B11" s="416">
        <v>31</v>
      </c>
      <c r="C11" s="54">
        <f>Therms!P12</f>
        <v>245936243</v>
      </c>
      <c r="D11" s="284">
        <v>2.513E-2</v>
      </c>
      <c r="E11" s="284">
        <v>2.513E-2</v>
      </c>
      <c r="F11" s="44">
        <f t="shared" si="0"/>
        <v>6180377.7865899997</v>
      </c>
      <c r="G11" s="44">
        <f t="shared" si="1"/>
        <v>6180377.7865899997</v>
      </c>
      <c r="H11" s="289">
        <f t="shared" si="2"/>
        <v>0</v>
      </c>
      <c r="I11" s="2">
        <f t="shared" si="3"/>
        <v>0</v>
      </c>
      <c r="R11" s="354"/>
      <c r="S11" s="354"/>
      <c r="T11" s="354"/>
    </row>
    <row r="12" spans="1:21" x14ac:dyDescent="0.25">
      <c r="A12" s="1" t="s">
        <v>9</v>
      </c>
      <c r="B12" s="416">
        <v>41</v>
      </c>
      <c r="C12" s="54">
        <f>Therms!P13</f>
        <v>66890541</v>
      </c>
      <c r="D12" s="284">
        <v>1.004E-2</v>
      </c>
      <c r="E12" s="284">
        <v>1.004E-2</v>
      </c>
      <c r="F12" s="44">
        <f t="shared" si="0"/>
        <v>671581.03164000006</v>
      </c>
      <c r="G12" s="44">
        <f t="shared" si="1"/>
        <v>671581.03164000006</v>
      </c>
      <c r="H12" s="289">
        <f t="shared" si="2"/>
        <v>0</v>
      </c>
      <c r="I12" s="2">
        <f t="shared" si="3"/>
        <v>0</v>
      </c>
    </row>
    <row r="13" spans="1:21" x14ac:dyDescent="0.25">
      <c r="A13" s="1" t="s">
        <v>10</v>
      </c>
      <c r="B13" s="416">
        <v>85</v>
      </c>
      <c r="C13" s="54">
        <f>Therms!P14</f>
        <v>10745378</v>
      </c>
      <c r="D13" s="284">
        <v>5.2900000000000004E-3</v>
      </c>
      <c r="E13" s="284">
        <v>5.2900000000000004E-3</v>
      </c>
      <c r="F13" s="44">
        <f t="shared" si="0"/>
        <v>56843.049620000005</v>
      </c>
      <c r="G13" s="44">
        <f t="shared" si="1"/>
        <v>56843.049620000005</v>
      </c>
      <c r="H13" s="289">
        <f t="shared" si="2"/>
        <v>0</v>
      </c>
      <c r="I13" s="2">
        <f t="shared" si="3"/>
        <v>0</v>
      </c>
    </row>
    <row r="14" spans="1:21" x14ac:dyDescent="0.25">
      <c r="A14" s="1" t="s">
        <v>11</v>
      </c>
      <c r="B14" s="416">
        <v>86</v>
      </c>
      <c r="C14" s="54">
        <f>Therms!P15</f>
        <v>5489408</v>
      </c>
      <c r="D14" s="284">
        <v>6.7299999999999999E-3</v>
      </c>
      <c r="E14" s="284">
        <v>6.7299999999999999E-3</v>
      </c>
      <c r="F14" s="44">
        <f t="shared" si="0"/>
        <v>36943.715839999997</v>
      </c>
      <c r="G14" s="44">
        <f t="shared" si="1"/>
        <v>36943.715839999997</v>
      </c>
      <c r="H14" s="289">
        <f t="shared" si="2"/>
        <v>0</v>
      </c>
      <c r="I14" s="2">
        <f t="shared" si="3"/>
        <v>0</v>
      </c>
    </row>
    <row r="15" spans="1:21" x14ac:dyDescent="0.25">
      <c r="A15" s="1" t="s">
        <v>12</v>
      </c>
      <c r="B15" s="416">
        <v>87</v>
      </c>
      <c r="C15" s="54">
        <f>Therms!P16</f>
        <v>21819455.762355205</v>
      </c>
      <c r="D15" s="284">
        <v>3.7699999999999999E-3</v>
      </c>
      <c r="E15" s="284">
        <v>3.7699999999999999E-3</v>
      </c>
      <c r="F15" s="44">
        <f t="shared" si="0"/>
        <v>82259.34822407912</v>
      </c>
      <c r="G15" s="44">
        <f t="shared" si="1"/>
        <v>82259.34822407912</v>
      </c>
      <c r="H15" s="289">
        <f t="shared" si="2"/>
        <v>0</v>
      </c>
      <c r="I15" s="2">
        <f t="shared" si="3"/>
        <v>0</v>
      </c>
    </row>
    <row r="16" spans="1:21" x14ac:dyDescent="0.25">
      <c r="A16" s="1" t="s">
        <v>32</v>
      </c>
      <c r="B16" s="416" t="s">
        <v>33</v>
      </c>
      <c r="C16" s="54">
        <f>Therms!P17</f>
        <v>33867</v>
      </c>
      <c r="D16" s="284">
        <v>2.513E-2</v>
      </c>
      <c r="E16" s="284">
        <v>2.513E-2</v>
      </c>
      <c r="F16" s="44">
        <f t="shared" si="0"/>
        <v>851.07771000000002</v>
      </c>
      <c r="G16" s="44">
        <f t="shared" si="1"/>
        <v>851.07771000000002</v>
      </c>
      <c r="H16" s="289">
        <f t="shared" si="2"/>
        <v>0</v>
      </c>
      <c r="I16" s="2">
        <f t="shared" si="3"/>
        <v>0</v>
      </c>
    </row>
    <row r="17" spans="1:9" x14ac:dyDescent="0.25">
      <c r="A17" s="1" t="s">
        <v>34</v>
      </c>
      <c r="B17" s="416" t="s">
        <v>35</v>
      </c>
      <c r="C17" s="54">
        <f>Therms!P18</f>
        <v>26510234</v>
      </c>
      <c r="D17" s="284">
        <v>1.004E-2</v>
      </c>
      <c r="E17" s="284">
        <v>1.004E-2</v>
      </c>
      <c r="F17" s="44">
        <f t="shared" si="0"/>
        <v>266162.74936000002</v>
      </c>
      <c r="G17" s="44">
        <f t="shared" si="1"/>
        <v>266162.74936000002</v>
      </c>
      <c r="H17" s="289">
        <f t="shared" si="2"/>
        <v>0</v>
      </c>
      <c r="I17" s="2">
        <f t="shared" si="3"/>
        <v>0</v>
      </c>
    </row>
    <row r="18" spans="1:9" x14ac:dyDescent="0.25">
      <c r="A18" s="1" t="s">
        <v>36</v>
      </c>
      <c r="B18" s="416" t="s">
        <v>37</v>
      </c>
      <c r="C18" s="54">
        <f>Therms!P19</f>
        <v>62288926</v>
      </c>
      <c r="D18" s="284">
        <v>5.2900000000000004E-3</v>
      </c>
      <c r="E18" s="284">
        <v>5.2900000000000004E-3</v>
      </c>
      <c r="F18" s="44">
        <f t="shared" si="0"/>
        <v>329508.41854000004</v>
      </c>
      <c r="G18" s="44">
        <f t="shared" si="1"/>
        <v>329508.41854000004</v>
      </c>
      <c r="H18" s="289">
        <f t="shared" si="2"/>
        <v>0</v>
      </c>
      <c r="I18" s="2">
        <f t="shared" si="3"/>
        <v>0</v>
      </c>
    </row>
    <row r="19" spans="1:9" x14ac:dyDescent="0.25">
      <c r="A19" s="1" t="s">
        <v>38</v>
      </c>
      <c r="B19" s="416" t="s">
        <v>39</v>
      </c>
      <c r="C19" s="54">
        <f>Therms!P20</f>
        <v>578702</v>
      </c>
      <c r="D19" s="284">
        <v>6.7299999999999999E-3</v>
      </c>
      <c r="E19" s="284">
        <v>6.7299999999999999E-3</v>
      </c>
      <c r="F19" s="44">
        <f t="shared" si="0"/>
        <v>3894.66446</v>
      </c>
      <c r="G19" s="44">
        <f t="shared" si="1"/>
        <v>3894.66446</v>
      </c>
      <c r="H19" s="289">
        <f t="shared" si="2"/>
        <v>0</v>
      </c>
      <c r="I19" s="2">
        <f t="shared" si="3"/>
        <v>0</v>
      </c>
    </row>
    <row r="20" spans="1:9" x14ac:dyDescent="0.25">
      <c r="A20" s="1" t="s">
        <v>40</v>
      </c>
      <c r="B20" s="416" t="s">
        <v>41</v>
      </c>
      <c r="C20" s="54">
        <f>Therms!P21</f>
        <v>97500425.645479575</v>
      </c>
      <c r="D20" s="284">
        <v>3.7699999999999999E-3</v>
      </c>
      <c r="E20" s="284">
        <v>3.7699999999999999E-3</v>
      </c>
      <c r="F20" s="44">
        <f t="shared" si="0"/>
        <v>367576.60468345799</v>
      </c>
      <c r="G20" s="44">
        <f t="shared" si="1"/>
        <v>367576.60468345799</v>
      </c>
      <c r="H20" s="289">
        <f t="shared" si="2"/>
        <v>0</v>
      </c>
      <c r="I20" s="2">
        <f t="shared" si="3"/>
        <v>0</v>
      </c>
    </row>
    <row r="21" spans="1:9" x14ac:dyDescent="0.25">
      <c r="A21" s="1" t="s">
        <v>13</v>
      </c>
      <c r="B21" s="416"/>
      <c r="C21" s="54">
        <f>Therms!P23</f>
        <v>30967900</v>
      </c>
      <c r="D21" s="9">
        <v>9.3999999999999997E-4</v>
      </c>
      <c r="E21" s="9">
        <v>9.3999999999999997E-4</v>
      </c>
      <c r="F21" s="44">
        <f>C21*D21</f>
        <v>29109.826000000001</v>
      </c>
      <c r="G21" s="44">
        <f t="shared" si="1"/>
        <v>29109.826000000001</v>
      </c>
      <c r="H21" s="289">
        <f t="shared" si="2"/>
        <v>0</v>
      </c>
      <c r="I21" s="2">
        <f t="shared" si="3"/>
        <v>0</v>
      </c>
    </row>
    <row r="22" spans="1:9" x14ac:dyDescent="0.25">
      <c r="A22" s="1" t="s">
        <v>6</v>
      </c>
      <c r="C22" s="361">
        <f>SUM(C9:C21)</f>
        <v>1208234461.407835</v>
      </c>
      <c r="D22" s="362"/>
      <c r="E22" s="362"/>
      <c r="F22" s="45">
        <f t="shared" ref="F22:H22" si="4">SUM(F9:F21)</f>
        <v>22637075.028517537</v>
      </c>
      <c r="G22" s="45">
        <f t="shared" si="4"/>
        <v>22637075.028517537</v>
      </c>
      <c r="H22" s="363">
        <f t="shared" si="4"/>
        <v>0</v>
      </c>
      <c r="I22" s="3">
        <f t="shared" si="3"/>
        <v>0</v>
      </c>
    </row>
    <row r="23" spans="1:9" x14ac:dyDescent="0.25">
      <c r="F23" s="289"/>
      <c r="G23" s="289"/>
    </row>
    <row r="24" spans="1:9" x14ac:dyDescent="0.25">
      <c r="C24" s="329"/>
      <c r="F24" s="289"/>
      <c r="G24" s="289"/>
    </row>
    <row r="25" spans="1:9" x14ac:dyDescent="0.25">
      <c r="A25" s="364"/>
      <c r="B25" s="354"/>
      <c r="C25" s="354"/>
      <c r="D25" s="354"/>
      <c r="E25" s="354"/>
      <c r="F25" s="354"/>
      <c r="G25" s="354"/>
      <c r="H25" s="354"/>
    </row>
    <row r="26" spans="1:9" x14ac:dyDescent="0.25">
      <c r="B26" s="354"/>
      <c r="C26" s="354"/>
      <c r="D26" s="354"/>
      <c r="E26" s="354"/>
      <c r="F26" s="354"/>
      <c r="G26" s="354"/>
      <c r="H26" s="354"/>
    </row>
    <row r="41" spans="2:2" ht="17.25" x14ac:dyDescent="0.25">
      <c r="B41" s="369"/>
    </row>
  </sheetData>
  <mergeCells count="4">
    <mergeCell ref="A1:I1"/>
    <mergeCell ref="A3:I3"/>
    <mergeCell ref="A4:I4"/>
    <mergeCell ref="A2:I2"/>
  </mergeCells>
  <printOptions horizontalCentered="1"/>
  <pageMargins left="0.7" right="0.7" top="0.75" bottom="0.75" header="0.3" footer="0.3"/>
  <pageSetup scale="84" orientation="landscape" blackAndWhite="1" r:id="rId1"/>
  <headerFooter>
    <oddFooter>&amp;L&amp;F 
&amp;A&amp;C&amp;P&amp;R&amp;D</oddFooter>
  </headerFooter>
  <customProperties>
    <customPr name="_pios_id" r:id="rId2"/>
    <customPr name="EpmWorksheetKeyString_GUID" r:id="rId3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90" zoomScaleNormal="90" workbookViewId="0">
      <selection activeCell="G33" sqref="G33"/>
    </sheetView>
  </sheetViews>
  <sheetFormatPr defaultRowHeight="15" x14ac:dyDescent="0.25"/>
  <cols>
    <col min="1" max="1" width="36.85546875" style="298" bestFit="1" customWidth="1"/>
    <col min="2" max="2" width="9.28515625" style="298" bestFit="1" customWidth="1"/>
    <col min="3" max="3" width="18.7109375" style="298" bestFit="1" customWidth="1"/>
    <col min="4" max="18" width="12.7109375" style="298" customWidth="1"/>
    <col min="19" max="19" width="9.85546875" style="298" bestFit="1" customWidth="1"/>
    <col min="20" max="16384" width="9.140625" style="298"/>
  </cols>
  <sheetData>
    <row r="1" spans="1:20" s="58" customFormat="1" x14ac:dyDescent="0.25">
      <c r="A1" s="639" t="s">
        <v>0</v>
      </c>
      <c r="B1" s="639"/>
      <c r="C1" s="639"/>
      <c r="D1" s="639"/>
      <c r="E1" s="639"/>
      <c r="F1" s="639"/>
      <c r="G1" s="639"/>
      <c r="H1" s="639"/>
      <c r="I1" s="639"/>
      <c r="J1" s="639"/>
      <c r="K1" s="639"/>
      <c r="L1" s="639"/>
      <c r="M1" s="639"/>
      <c r="N1" s="639"/>
      <c r="O1" s="639"/>
      <c r="P1" s="639"/>
      <c r="Q1" s="639"/>
      <c r="R1" s="639"/>
      <c r="S1" s="639"/>
      <c r="T1" s="47"/>
    </row>
    <row r="2" spans="1:20" s="58" customFormat="1" x14ac:dyDescent="0.25">
      <c r="A2" s="639" t="s">
        <v>268</v>
      </c>
      <c r="B2" s="639"/>
      <c r="C2" s="639"/>
      <c r="D2" s="639"/>
      <c r="E2" s="639"/>
      <c r="F2" s="639"/>
      <c r="G2" s="639"/>
      <c r="H2" s="639"/>
      <c r="I2" s="639"/>
      <c r="J2" s="639"/>
      <c r="K2" s="639"/>
      <c r="L2" s="639"/>
      <c r="M2" s="639"/>
      <c r="N2" s="639"/>
      <c r="O2" s="639"/>
      <c r="P2" s="639"/>
      <c r="Q2" s="639"/>
      <c r="R2" s="639"/>
      <c r="S2" s="639"/>
      <c r="T2" s="47"/>
    </row>
    <row r="3" spans="1:20" s="58" customFormat="1" x14ac:dyDescent="0.25">
      <c r="A3" s="639" t="s">
        <v>269</v>
      </c>
      <c r="B3" s="639"/>
      <c r="C3" s="639"/>
      <c r="D3" s="639"/>
      <c r="E3" s="639"/>
      <c r="F3" s="639"/>
      <c r="G3" s="639"/>
      <c r="H3" s="639"/>
      <c r="I3" s="639"/>
      <c r="J3" s="639"/>
      <c r="K3" s="639"/>
      <c r="L3" s="639"/>
      <c r="M3" s="639"/>
      <c r="N3" s="639"/>
      <c r="O3" s="639"/>
      <c r="P3" s="639"/>
      <c r="Q3" s="639"/>
      <c r="R3" s="639"/>
      <c r="S3" s="639"/>
      <c r="T3" s="47"/>
    </row>
    <row r="4" spans="1:20" s="58" customFormat="1" x14ac:dyDescent="0.25">
      <c r="A4" s="639" t="str">
        <f>'Current Revenue Calc.'!$B$4</f>
        <v>Proposed Rates Effective May 11, 2024</v>
      </c>
      <c r="B4" s="639"/>
      <c r="C4" s="639"/>
      <c r="D4" s="639"/>
      <c r="E4" s="639"/>
      <c r="F4" s="639"/>
      <c r="G4" s="639"/>
      <c r="H4" s="639"/>
      <c r="I4" s="639"/>
      <c r="J4" s="639"/>
      <c r="K4" s="639"/>
      <c r="L4" s="639"/>
      <c r="M4" s="639"/>
      <c r="N4" s="639"/>
      <c r="O4" s="639"/>
      <c r="P4" s="639"/>
      <c r="Q4" s="639"/>
      <c r="R4" s="639"/>
      <c r="S4" s="639"/>
      <c r="T4" s="47"/>
    </row>
    <row r="5" spans="1:20" x14ac:dyDescent="0.25">
      <c r="D5" s="429"/>
      <c r="E5" s="625"/>
      <c r="F5" s="625"/>
      <c r="G5" s="429"/>
      <c r="H5" s="625"/>
      <c r="I5" s="625"/>
      <c r="J5" s="629"/>
      <c r="K5" s="629"/>
    </row>
    <row r="6" spans="1:20" x14ac:dyDescent="0.25">
      <c r="D6" s="648" t="s">
        <v>5</v>
      </c>
      <c r="E6" s="649"/>
      <c r="F6" s="650"/>
      <c r="G6" s="648" t="s">
        <v>1</v>
      </c>
      <c r="H6" s="649"/>
      <c r="I6" s="650"/>
      <c r="J6" s="648" t="s">
        <v>5</v>
      </c>
      <c r="K6" s="649"/>
      <c r="L6" s="650"/>
      <c r="M6" s="648" t="s">
        <v>1</v>
      </c>
      <c r="N6" s="649"/>
      <c r="O6" s="650"/>
      <c r="P6" s="291" t="s">
        <v>270</v>
      </c>
      <c r="Q6" s="291" t="s">
        <v>270</v>
      </c>
      <c r="R6" s="291" t="s">
        <v>270</v>
      </c>
    </row>
    <row r="7" spans="1:20" x14ac:dyDescent="0.25">
      <c r="A7" s="291"/>
      <c r="B7" s="291"/>
      <c r="C7" s="291" t="s">
        <v>15</v>
      </c>
      <c r="D7" s="291" t="s">
        <v>270</v>
      </c>
      <c r="E7" s="291" t="s">
        <v>270</v>
      </c>
      <c r="F7" s="291" t="s">
        <v>270</v>
      </c>
      <c r="G7" s="291" t="s">
        <v>270</v>
      </c>
      <c r="H7" s="291" t="s">
        <v>270</v>
      </c>
      <c r="I7" s="291" t="s">
        <v>270</v>
      </c>
      <c r="J7" s="291" t="s">
        <v>270</v>
      </c>
      <c r="K7" s="291" t="s">
        <v>270</v>
      </c>
      <c r="L7" s="291" t="s">
        <v>270</v>
      </c>
      <c r="M7" s="291" t="s">
        <v>270</v>
      </c>
      <c r="N7" s="291" t="s">
        <v>270</v>
      </c>
      <c r="O7" s="291" t="s">
        <v>270</v>
      </c>
      <c r="P7" s="353" t="s">
        <v>450</v>
      </c>
      <c r="Q7" s="353" t="s">
        <v>451</v>
      </c>
      <c r="R7" s="353" t="s">
        <v>6</v>
      </c>
      <c r="S7" s="291"/>
    </row>
    <row r="8" spans="1:20" x14ac:dyDescent="0.25">
      <c r="A8" s="291"/>
      <c r="B8" s="291" t="s">
        <v>17</v>
      </c>
      <c r="C8" s="291" t="s">
        <v>3</v>
      </c>
      <c r="D8" s="291" t="s">
        <v>450</v>
      </c>
      <c r="E8" s="291" t="s">
        <v>451</v>
      </c>
      <c r="F8" s="291" t="s">
        <v>6</v>
      </c>
      <c r="G8" s="291" t="s">
        <v>450</v>
      </c>
      <c r="H8" s="291" t="s">
        <v>451</v>
      </c>
      <c r="I8" s="291" t="s">
        <v>6</v>
      </c>
      <c r="J8" s="291" t="s">
        <v>450</v>
      </c>
      <c r="K8" s="291" t="s">
        <v>451</v>
      </c>
      <c r="L8" s="291" t="s">
        <v>6</v>
      </c>
      <c r="M8" s="291" t="s">
        <v>450</v>
      </c>
      <c r="N8" s="291" t="s">
        <v>451</v>
      </c>
      <c r="O8" s="291" t="s">
        <v>6</v>
      </c>
      <c r="P8" s="291" t="s">
        <v>2</v>
      </c>
      <c r="Q8" s="291" t="s">
        <v>2</v>
      </c>
      <c r="R8" s="291" t="s">
        <v>2</v>
      </c>
      <c r="S8" s="291" t="s">
        <v>20</v>
      </c>
    </row>
    <row r="9" spans="1:20" x14ac:dyDescent="0.25">
      <c r="A9" s="333" t="s">
        <v>4</v>
      </c>
      <c r="B9" s="333" t="s">
        <v>21</v>
      </c>
      <c r="C9" s="252" t="str">
        <f>'Current Revenue Calc.'!$T$7</f>
        <v>12ME Oct. 2024</v>
      </c>
      <c r="D9" s="333" t="s">
        <v>22</v>
      </c>
      <c r="E9" s="333" t="s">
        <v>22</v>
      </c>
      <c r="F9" s="333" t="s">
        <v>22</v>
      </c>
      <c r="G9" s="333" t="s">
        <v>22</v>
      </c>
      <c r="H9" s="333" t="s">
        <v>22</v>
      </c>
      <c r="I9" s="333" t="s">
        <v>22</v>
      </c>
      <c r="J9" s="333" t="s">
        <v>2</v>
      </c>
      <c r="K9" s="333" t="s">
        <v>2</v>
      </c>
      <c r="L9" s="333" t="s">
        <v>2</v>
      </c>
      <c r="M9" s="333" t="s">
        <v>2</v>
      </c>
      <c r="N9" s="333" t="s">
        <v>2</v>
      </c>
      <c r="O9" s="333" t="s">
        <v>2</v>
      </c>
      <c r="P9" s="333" t="s">
        <v>24</v>
      </c>
      <c r="Q9" s="333" t="s">
        <v>24</v>
      </c>
      <c r="R9" s="333" t="s">
        <v>24</v>
      </c>
      <c r="S9" s="333" t="s">
        <v>24</v>
      </c>
    </row>
    <row r="10" spans="1:20" x14ac:dyDescent="0.25">
      <c r="A10" s="298" t="s">
        <v>7</v>
      </c>
      <c r="B10" s="328" t="s">
        <v>30</v>
      </c>
      <c r="C10" s="299">
        <f>SUM(Therms!P10:P11)</f>
        <v>639464549</v>
      </c>
      <c r="D10" s="284">
        <v>3.15E-3</v>
      </c>
      <c r="E10" s="284">
        <v>0</v>
      </c>
      <c r="F10" s="362">
        <f>SUM(D10:E10)</f>
        <v>3.15E-3</v>
      </c>
      <c r="G10" s="413">
        <f>'[1]Rate Summary'!$F$9</f>
        <v>8.5999999999999998E-4</v>
      </c>
      <c r="H10" s="413">
        <f>'[1]Rate Summary'!$G$9</f>
        <v>-3.0599999999999998E-3</v>
      </c>
      <c r="I10" s="362">
        <f>SUM(G10:H10)</f>
        <v>-2.1999999999999997E-3</v>
      </c>
      <c r="J10" s="630">
        <f>$C10*D10</f>
        <v>2014313.32935</v>
      </c>
      <c r="K10" s="630">
        <f>$C10*E10</f>
        <v>0</v>
      </c>
      <c r="L10" s="302">
        <f>SUM(J10:K10)</f>
        <v>2014313.32935</v>
      </c>
      <c r="M10" s="630">
        <f>$C10*G10</f>
        <v>549939.51214000001</v>
      </c>
      <c r="N10" s="630">
        <f>$C10*H10</f>
        <v>-1956761.5199399998</v>
      </c>
      <c r="O10" s="302">
        <f>SUM(M10:N10)</f>
        <v>-1406822.0077999998</v>
      </c>
      <c r="P10" s="303">
        <f t="shared" ref="P10:Q15" si="0">M10-J10</f>
        <v>-1464373.81721</v>
      </c>
      <c r="Q10" s="303">
        <f t="shared" si="0"/>
        <v>-1956761.5199399998</v>
      </c>
      <c r="R10" s="303">
        <f>O10-L10</f>
        <v>-3421135.33715</v>
      </c>
      <c r="S10" s="355">
        <f>R10/L10</f>
        <v>-1.6984126984126984</v>
      </c>
    </row>
    <row r="11" spans="1:20" x14ac:dyDescent="0.25">
      <c r="A11" s="298" t="s">
        <v>31</v>
      </c>
      <c r="B11" s="328">
        <v>16</v>
      </c>
      <c r="C11" s="64">
        <f>Therms!P9</f>
        <v>8832</v>
      </c>
      <c r="D11" s="284">
        <v>3.15E-3</v>
      </c>
      <c r="E11" s="284">
        <v>0</v>
      </c>
      <c r="F11" s="362">
        <f t="shared" ref="F11:F15" si="1">SUM(D11:E11)</f>
        <v>3.15E-3</v>
      </c>
      <c r="G11" s="413">
        <f>'[1]Rate Summary'!$F$9</f>
        <v>8.5999999999999998E-4</v>
      </c>
      <c r="H11" s="413">
        <f>'[1]Rate Summary'!$G$9</f>
        <v>-3.0599999999999998E-3</v>
      </c>
      <c r="I11" s="362">
        <f t="shared" ref="I11:I15" si="2">SUM(G11:H11)</f>
        <v>-2.1999999999999997E-3</v>
      </c>
      <c r="J11" s="630">
        <f t="shared" ref="J11:K49" si="3">$C11*D11</f>
        <v>27.820799999999998</v>
      </c>
      <c r="K11" s="630">
        <f t="shared" si="3"/>
        <v>0</v>
      </c>
      <c r="L11" s="302">
        <f t="shared" ref="L11:L15" si="4">SUM(J11:K11)</f>
        <v>27.820799999999998</v>
      </c>
      <c r="M11" s="630">
        <f t="shared" ref="M11:M15" si="5">$C11*G11</f>
        <v>7.5955199999999996</v>
      </c>
      <c r="N11" s="630">
        <f t="shared" ref="N11:N15" si="6">$C11*H11</f>
        <v>-27.025919999999999</v>
      </c>
      <c r="O11" s="302">
        <f t="shared" ref="O11:O15" si="7">SUM(M11:N11)</f>
        <v>-19.430399999999999</v>
      </c>
      <c r="P11" s="303">
        <f t="shared" si="0"/>
        <v>-20.225279999999998</v>
      </c>
      <c r="Q11" s="303">
        <f t="shared" si="0"/>
        <v>-27.025919999999999</v>
      </c>
      <c r="R11" s="303">
        <f t="shared" ref="R11:R49" si="8">O11-L11</f>
        <v>-47.251199999999997</v>
      </c>
      <c r="S11" s="504">
        <f t="shared" ref="S11:S15" si="9">R11/L11</f>
        <v>-1.6984126984126984</v>
      </c>
    </row>
    <row r="12" spans="1:20" x14ac:dyDescent="0.25">
      <c r="A12" s="298" t="s">
        <v>8</v>
      </c>
      <c r="B12" s="328">
        <v>31</v>
      </c>
      <c r="C12" s="299">
        <f>Therms!P12</f>
        <v>245936243</v>
      </c>
      <c r="D12" s="284">
        <v>2.8900000000000002E-3</v>
      </c>
      <c r="E12" s="284">
        <v>0</v>
      </c>
      <c r="F12" s="362">
        <f t="shared" si="1"/>
        <v>2.8900000000000002E-3</v>
      </c>
      <c r="G12" s="413">
        <f>'[1]Rate Summary'!$F$13</f>
        <v>7.9000000000000001E-4</v>
      </c>
      <c r="H12" s="413">
        <f>'[1]Rate Summary'!$G$13</f>
        <v>-2.81E-3</v>
      </c>
      <c r="I12" s="362">
        <f t="shared" si="2"/>
        <v>-2.0200000000000001E-3</v>
      </c>
      <c r="J12" s="630">
        <f t="shared" si="3"/>
        <v>710755.74227000005</v>
      </c>
      <c r="K12" s="630">
        <f t="shared" si="3"/>
        <v>0</v>
      </c>
      <c r="L12" s="302">
        <f t="shared" si="4"/>
        <v>710755.74227000005</v>
      </c>
      <c r="M12" s="630">
        <f t="shared" si="5"/>
        <v>194289.63197000002</v>
      </c>
      <c r="N12" s="630">
        <f t="shared" si="6"/>
        <v>-691080.84282999998</v>
      </c>
      <c r="O12" s="302">
        <f t="shared" si="7"/>
        <v>-496791.21085999999</v>
      </c>
      <c r="P12" s="303">
        <f t="shared" si="0"/>
        <v>-516466.11030000006</v>
      </c>
      <c r="Q12" s="303">
        <f t="shared" si="0"/>
        <v>-691080.84282999998</v>
      </c>
      <c r="R12" s="303">
        <f t="shared" si="8"/>
        <v>-1207546.95313</v>
      </c>
      <c r="S12" s="504">
        <f t="shared" si="9"/>
        <v>-1.698961937716263</v>
      </c>
    </row>
    <row r="13" spans="1:20" x14ac:dyDescent="0.25">
      <c r="A13" s="298" t="s">
        <v>9</v>
      </c>
      <c r="B13" s="328">
        <v>41</v>
      </c>
      <c r="C13" s="299">
        <f>Therms!P13</f>
        <v>66890541</v>
      </c>
      <c r="D13" s="284">
        <v>2.2000000000000001E-3</v>
      </c>
      <c r="E13" s="284">
        <v>0</v>
      </c>
      <c r="F13" s="362">
        <f t="shared" si="1"/>
        <v>2.2000000000000001E-3</v>
      </c>
      <c r="G13" s="413">
        <f>'[1]Rate Summary'!$F$15</f>
        <v>5.9999999999999995E-4</v>
      </c>
      <c r="H13" s="413">
        <f>'[1]Rate Summary'!$G$15</f>
        <v>-2.14E-3</v>
      </c>
      <c r="I13" s="362">
        <f t="shared" si="2"/>
        <v>-1.5400000000000001E-3</v>
      </c>
      <c r="J13" s="630">
        <f t="shared" si="3"/>
        <v>147159.19020000001</v>
      </c>
      <c r="K13" s="630">
        <f t="shared" si="3"/>
        <v>0</v>
      </c>
      <c r="L13" s="302">
        <f t="shared" si="4"/>
        <v>147159.19020000001</v>
      </c>
      <c r="M13" s="630">
        <f t="shared" si="5"/>
        <v>40134.3246</v>
      </c>
      <c r="N13" s="630">
        <f t="shared" si="6"/>
        <v>-143145.75774</v>
      </c>
      <c r="O13" s="302">
        <f t="shared" si="7"/>
        <v>-103011.43314000001</v>
      </c>
      <c r="P13" s="303">
        <f t="shared" si="0"/>
        <v>-107024.86560000002</v>
      </c>
      <c r="Q13" s="303">
        <f t="shared" si="0"/>
        <v>-143145.75774</v>
      </c>
      <c r="R13" s="303">
        <f t="shared" si="8"/>
        <v>-250170.62334000002</v>
      </c>
      <c r="S13" s="504">
        <f t="shared" si="9"/>
        <v>-1.7</v>
      </c>
    </row>
    <row r="14" spans="1:20" x14ac:dyDescent="0.25">
      <c r="A14" s="298" t="s">
        <v>10</v>
      </c>
      <c r="B14" s="328">
        <v>85</v>
      </c>
      <c r="C14" s="299">
        <f>Therms!P14</f>
        <v>10745378</v>
      </c>
      <c r="D14" s="284">
        <v>1.8500000000000001E-3</v>
      </c>
      <c r="E14" s="284">
        <v>0</v>
      </c>
      <c r="F14" s="362">
        <f t="shared" si="1"/>
        <v>1.8500000000000001E-3</v>
      </c>
      <c r="G14" s="413">
        <f>'[1]Rate Summary'!$F$17</f>
        <v>5.1000000000000004E-4</v>
      </c>
      <c r="H14" s="413">
        <f>'[1]Rate Summary'!$G$17</f>
        <v>-1.8E-3</v>
      </c>
      <c r="I14" s="362">
        <f t="shared" si="2"/>
        <v>-1.2899999999999999E-3</v>
      </c>
      <c r="J14" s="630">
        <f t="shared" si="3"/>
        <v>19878.9493</v>
      </c>
      <c r="K14" s="630">
        <f t="shared" si="3"/>
        <v>0</v>
      </c>
      <c r="L14" s="302">
        <f t="shared" si="4"/>
        <v>19878.9493</v>
      </c>
      <c r="M14" s="630">
        <f t="shared" si="5"/>
        <v>5480.1427800000001</v>
      </c>
      <c r="N14" s="630">
        <f t="shared" si="6"/>
        <v>-19341.680400000001</v>
      </c>
      <c r="O14" s="302">
        <f t="shared" si="7"/>
        <v>-13861.537620000001</v>
      </c>
      <c r="P14" s="303">
        <f t="shared" si="0"/>
        <v>-14398.80652</v>
      </c>
      <c r="Q14" s="303">
        <f t="shared" si="0"/>
        <v>-19341.680400000001</v>
      </c>
      <c r="R14" s="303">
        <f t="shared" si="8"/>
        <v>-33740.486920000003</v>
      </c>
      <c r="S14" s="504">
        <f t="shared" si="9"/>
        <v>-1.6972972972972975</v>
      </c>
    </row>
    <row r="15" spans="1:20" x14ac:dyDescent="0.25">
      <c r="A15" s="298" t="s">
        <v>11</v>
      </c>
      <c r="B15" s="328">
        <v>86</v>
      </c>
      <c r="C15" s="299">
        <f>Therms!P15</f>
        <v>5489408</v>
      </c>
      <c r="D15" s="284">
        <v>4.8999999999999998E-4</v>
      </c>
      <c r="E15" s="284">
        <v>0</v>
      </c>
      <c r="F15" s="362">
        <f t="shared" si="1"/>
        <v>4.8999999999999998E-4</v>
      </c>
      <c r="G15" s="413">
        <f>'[1]Rate Summary'!$F$19</f>
        <v>1.2999999999999999E-4</v>
      </c>
      <c r="H15" s="413">
        <f>'[1]Rate Summary'!$G$19</f>
        <v>-4.8000000000000001E-4</v>
      </c>
      <c r="I15" s="362">
        <f t="shared" si="2"/>
        <v>-3.5000000000000005E-4</v>
      </c>
      <c r="J15" s="630">
        <f t="shared" si="3"/>
        <v>2689.8099199999997</v>
      </c>
      <c r="K15" s="630">
        <f t="shared" si="3"/>
        <v>0</v>
      </c>
      <c r="L15" s="302">
        <f t="shared" si="4"/>
        <v>2689.8099199999997</v>
      </c>
      <c r="M15" s="630">
        <f t="shared" si="5"/>
        <v>713.62303999999995</v>
      </c>
      <c r="N15" s="630">
        <f t="shared" si="6"/>
        <v>-2634.9158400000001</v>
      </c>
      <c r="O15" s="302">
        <f t="shared" si="7"/>
        <v>-1921.2928000000002</v>
      </c>
      <c r="P15" s="303">
        <f t="shared" si="0"/>
        <v>-1976.1868799999997</v>
      </c>
      <c r="Q15" s="303">
        <f t="shared" si="0"/>
        <v>-2634.9158400000001</v>
      </c>
      <c r="R15" s="303">
        <f t="shared" si="8"/>
        <v>-4611.1027199999999</v>
      </c>
      <c r="S15" s="504">
        <f t="shared" si="9"/>
        <v>-1.7142857142857144</v>
      </c>
    </row>
    <row r="16" spans="1:20" x14ac:dyDescent="0.25">
      <c r="B16" s="328"/>
      <c r="C16" s="299"/>
      <c r="D16" s="284"/>
      <c r="E16" s="284"/>
      <c r="F16" s="284"/>
      <c r="G16" s="284"/>
      <c r="H16" s="284"/>
      <c r="I16" s="284"/>
      <c r="J16" s="630"/>
      <c r="K16" s="630"/>
      <c r="L16" s="302"/>
      <c r="M16" s="630"/>
      <c r="N16" s="630"/>
      <c r="O16" s="302"/>
      <c r="P16" s="303"/>
      <c r="Q16" s="303"/>
      <c r="R16" s="303"/>
      <c r="S16" s="355"/>
    </row>
    <row r="17" spans="1:19" x14ac:dyDescent="0.25">
      <c r="A17" s="298" t="s">
        <v>12</v>
      </c>
      <c r="B17" s="328">
        <v>87</v>
      </c>
      <c r="D17" s="70"/>
      <c r="E17" s="70"/>
      <c r="F17" s="70"/>
      <c r="G17" s="70"/>
      <c r="H17" s="70"/>
      <c r="I17" s="70"/>
      <c r="J17" s="630"/>
      <c r="K17" s="630"/>
      <c r="M17" s="630"/>
      <c r="N17" s="630"/>
    </row>
    <row r="18" spans="1:19" x14ac:dyDescent="0.25">
      <c r="A18" s="360" t="s">
        <v>109</v>
      </c>
      <c r="B18" s="433">
        <v>87</v>
      </c>
      <c r="C18" s="64">
        <f>'RY#2 Therms By Block'!N89</f>
        <v>1512193</v>
      </c>
      <c r="D18" s="7">
        <v>3.3899999999999998E-3</v>
      </c>
      <c r="E18" s="7">
        <v>0</v>
      </c>
      <c r="F18" s="362">
        <f t="shared" ref="F18:F23" si="10">SUM(D18:E18)</f>
        <v>3.3899999999999998E-3</v>
      </c>
      <c r="G18" s="434">
        <f>'[1]Rate Summary'!F21</f>
        <v>9.3000000000000005E-4</v>
      </c>
      <c r="H18" s="434">
        <f>'[1]Rate Summary'!G21</f>
        <v>-3.2799999999999999E-3</v>
      </c>
      <c r="I18" s="362">
        <f t="shared" ref="I18:I23" si="11">SUM(G18:H18)</f>
        <v>-2.3499999999999997E-3</v>
      </c>
      <c r="J18" s="630">
        <f t="shared" si="3"/>
        <v>5126.3342699999994</v>
      </c>
      <c r="K18" s="630">
        <f t="shared" si="3"/>
        <v>0</v>
      </c>
      <c r="L18" s="302">
        <f>SUM(J18:K18)</f>
        <v>5126.3342699999994</v>
      </c>
      <c r="M18" s="630">
        <f t="shared" ref="M18:M23" si="12">$C18*G18</f>
        <v>1406.3394900000001</v>
      </c>
      <c r="N18" s="630">
        <f t="shared" ref="N18:N23" si="13">$C18*H18</f>
        <v>-4959.9930400000003</v>
      </c>
      <c r="O18" s="302">
        <f>SUM(M18:N18)</f>
        <v>-3553.65355</v>
      </c>
      <c r="P18" s="435">
        <f t="shared" ref="P18:Q23" si="14">M18-J18</f>
        <v>-3719.9947799999991</v>
      </c>
      <c r="Q18" s="435">
        <f t="shared" si="14"/>
        <v>-4959.9930400000003</v>
      </c>
      <c r="R18" s="435">
        <f>O18-L18</f>
        <v>-8679.9878199999985</v>
      </c>
      <c r="S18" s="504">
        <f t="shared" ref="S18:S24" si="15">R18/L18</f>
        <v>-1.6932153392330382</v>
      </c>
    </row>
    <row r="19" spans="1:19" x14ac:dyDescent="0.25">
      <c r="A19" s="360" t="s">
        <v>110</v>
      </c>
      <c r="B19" s="433">
        <v>87</v>
      </c>
      <c r="C19" s="64">
        <f>'RY#2 Therms By Block'!N90</f>
        <v>1398016.115</v>
      </c>
      <c r="D19" s="7">
        <v>2.0500000000000002E-3</v>
      </c>
      <c r="E19" s="7">
        <v>0</v>
      </c>
      <c r="F19" s="362">
        <f t="shared" si="10"/>
        <v>2.0500000000000002E-3</v>
      </c>
      <c r="G19" s="434">
        <f>'[1]Rate Summary'!F22</f>
        <v>5.5999999999999995E-4</v>
      </c>
      <c r="H19" s="434">
        <f>'[1]Rate Summary'!G22</f>
        <v>-1.98E-3</v>
      </c>
      <c r="I19" s="362">
        <f t="shared" si="11"/>
        <v>-1.42E-3</v>
      </c>
      <c r="J19" s="630">
        <f t="shared" si="3"/>
        <v>2865.9330357500003</v>
      </c>
      <c r="K19" s="630">
        <f t="shared" si="3"/>
        <v>0</v>
      </c>
      <c r="L19" s="302">
        <f t="shared" ref="L19:L23" si="16">SUM(J19:K19)</f>
        <v>2865.9330357500003</v>
      </c>
      <c r="M19" s="630">
        <f t="shared" si="12"/>
        <v>782.88902439999993</v>
      </c>
      <c r="N19" s="630">
        <f t="shared" si="13"/>
        <v>-2768.0719076999999</v>
      </c>
      <c r="O19" s="302">
        <f t="shared" ref="O19:O23" si="17">SUM(M19:N19)</f>
        <v>-1985.1828833</v>
      </c>
      <c r="P19" s="435">
        <f t="shared" si="14"/>
        <v>-2083.0440113500003</v>
      </c>
      <c r="Q19" s="435">
        <f t="shared" si="14"/>
        <v>-2768.0719076999999</v>
      </c>
      <c r="R19" s="435">
        <f t="shared" si="8"/>
        <v>-4851.1159190500002</v>
      </c>
      <c r="S19" s="504">
        <f t="shared" si="15"/>
        <v>-1.6926829268292682</v>
      </c>
    </row>
    <row r="20" spans="1:19" x14ac:dyDescent="0.25">
      <c r="A20" s="360" t="s">
        <v>112</v>
      </c>
      <c r="B20" s="433">
        <v>87</v>
      </c>
      <c r="C20" s="64">
        <f>'RY#2 Therms By Block'!N91</f>
        <v>2316890.0959999999</v>
      </c>
      <c r="D20" s="7">
        <v>1.2999999999999999E-3</v>
      </c>
      <c r="E20" s="7">
        <v>0</v>
      </c>
      <c r="F20" s="362">
        <f t="shared" si="10"/>
        <v>1.2999999999999999E-3</v>
      </c>
      <c r="G20" s="434">
        <f>'[1]Rate Summary'!F23</f>
        <v>3.6000000000000002E-4</v>
      </c>
      <c r="H20" s="434">
        <f>'[1]Rate Summary'!G23</f>
        <v>-1.2600000000000001E-3</v>
      </c>
      <c r="I20" s="362">
        <f t="shared" si="11"/>
        <v>-8.9999999999999998E-4</v>
      </c>
      <c r="J20" s="630">
        <f t="shared" si="3"/>
        <v>3011.9571247999997</v>
      </c>
      <c r="K20" s="630">
        <f t="shared" si="3"/>
        <v>0</v>
      </c>
      <c r="L20" s="302">
        <f t="shared" si="16"/>
        <v>3011.9571247999997</v>
      </c>
      <c r="M20" s="630">
        <f t="shared" si="12"/>
        <v>834.08043456000007</v>
      </c>
      <c r="N20" s="630">
        <f t="shared" si="13"/>
        <v>-2919.2815209599999</v>
      </c>
      <c r="O20" s="302">
        <f t="shared" si="17"/>
        <v>-2085.2010863999999</v>
      </c>
      <c r="P20" s="435">
        <f t="shared" si="14"/>
        <v>-2177.8766902399998</v>
      </c>
      <c r="Q20" s="435">
        <f t="shared" si="14"/>
        <v>-2919.2815209599999</v>
      </c>
      <c r="R20" s="435">
        <f t="shared" si="8"/>
        <v>-5097.1582111999996</v>
      </c>
      <c r="S20" s="504">
        <f t="shared" si="15"/>
        <v>-1.6923076923076923</v>
      </c>
    </row>
    <row r="21" spans="1:19" x14ac:dyDescent="0.25">
      <c r="A21" s="360" t="s">
        <v>63</v>
      </c>
      <c r="B21" s="433">
        <v>87</v>
      </c>
      <c r="C21" s="64">
        <f>'RY#2 Therms By Block'!N92</f>
        <v>3045256.878</v>
      </c>
      <c r="D21" s="7">
        <v>8.4000000000000003E-4</v>
      </c>
      <c r="E21" s="7">
        <v>0</v>
      </c>
      <c r="F21" s="362">
        <f t="shared" si="10"/>
        <v>8.4000000000000003E-4</v>
      </c>
      <c r="G21" s="434">
        <f>'[1]Rate Summary'!F24</f>
        <v>2.3000000000000001E-4</v>
      </c>
      <c r="H21" s="434">
        <f>'[1]Rate Summary'!G24</f>
        <v>-8.0999999999999996E-4</v>
      </c>
      <c r="I21" s="362">
        <f t="shared" si="11"/>
        <v>-5.8E-4</v>
      </c>
      <c r="J21" s="630">
        <f t="shared" si="3"/>
        <v>2558.01577752</v>
      </c>
      <c r="K21" s="630">
        <f t="shared" si="3"/>
        <v>0</v>
      </c>
      <c r="L21" s="302">
        <f t="shared" si="16"/>
        <v>2558.01577752</v>
      </c>
      <c r="M21" s="630">
        <f t="shared" si="12"/>
        <v>700.40908194000008</v>
      </c>
      <c r="N21" s="630">
        <f t="shared" si="13"/>
        <v>-2466.6580711799998</v>
      </c>
      <c r="O21" s="302">
        <f t="shared" si="17"/>
        <v>-1766.2489892399997</v>
      </c>
      <c r="P21" s="435">
        <f t="shared" si="14"/>
        <v>-1857.60669558</v>
      </c>
      <c r="Q21" s="435">
        <f t="shared" si="14"/>
        <v>-2466.6580711799998</v>
      </c>
      <c r="R21" s="435">
        <f t="shared" si="8"/>
        <v>-4324.2647667599995</v>
      </c>
      <c r="S21" s="504">
        <f t="shared" si="15"/>
        <v>-1.6904761904761902</v>
      </c>
    </row>
    <row r="22" spans="1:19" x14ac:dyDescent="0.25">
      <c r="A22" s="360" t="s">
        <v>64</v>
      </c>
      <c r="B22" s="433">
        <v>87</v>
      </c>
      <c r="C22" s="64">
        <f>'RY#2 Therms By Block'!N93</f>
        <v>3792042.2029999997</v>
      </c>
      <c r="D22" s="7">
        <v>5.9999999999999995E-4</v>
      </c>
      <c r="E22" s="7">
        <v>0</v>
      </c>
      <c r="F22" s="362">
        <f t="shared" si="10"/>
        <v>5.9999999999999995E-4</v>
      </c>
      <c r="G22" s="434">
        <f>'[1]Rate Summary'!F25</f>
        <v>1.6000000000000001E-4</v>
      </c>
      <c r="H22" s="434">
        <f>'[1]Rate Summary'!G25</f>
        <v>-5.8E-4</v>
      </c>
      <c r="I22" s="362">
        <f t="shared" si="11"/>
        <v>-4.2000000000000002E-4</v>
      </c>
      <c r="J22" s="630">
        <f t="shared" si="3"/>
        <v>2275.2253217999996</v>
      </c>
      <c r="K22" s="630">
        <f t="shared" si="3"/>
        <v>0</v>
      </c>
      <c r="L22" s="302">
        <f t="shared" si="16"/>
        <v>2275.2253217999996</v>
      </c>
      <c r="M22" s="630">
        <f t="shared" si="12"/>
        <v>606.72675247999996</v>
      </c>
      <c r="N22" s="630">
        <f t="shared" si="13"/>
        <v>-2199.38447774</v>
      </c>
      <c r="O22" s="302">
        <f t="shared" si="17"/>
        <v>-1592.65772526</v>
      </c>
      <c r="P22" s="435">
        <f t="shared" si="14"/>
        <v>-1668.4985693199997</v>
      </c>
      <c r="Q22" s="435">
        <f t="shared" si="14"/>
        <v>-2199.38447774</v>
      </c>
      <c r="R22" s="435">
        <f t="shared" si="8"/>
        <v>-3867.8830470599996</v>
      </c>
      <c r="S22" s="504">
        <f t="shared" si="15"/>
        <v>-1.7000000000000002</v>
      </c>
    </row>
    <row r="23" spans="1:19" x14ac:dyDescent="0.25">
      <c r="A23" s="360" t="s">
        <v>91</v>
      </c>
      <c r="B23" s="433">
        <v>87</v>
      </c>
      <c r="C23" s="64">
        <f>'RY#2 Therms By Block'!N94</f>
        <v>9755057.4703552071</v>
      </c>
      <c r="D23" s="7">
        <v>1.1E-4</v>
      </c>
      <c r="E23" s="7">
        <v>0</v>
      </c>
      <c r="F23" s="362">
        <f t="shared" si="10"/>
        <v>1.1E-4</v>
      </c>
      <c r="G23" s="434">
        <f>'[1]Rate Summary'!F26</f>
        <v>3.0000000000000001E-5</v>
      </c>
      <c r="H23" s="434">
        <f>'[1]Rate Summary'!G26</f>
        <v>-1.1E-4</v>
      </c>
      <c r="I23" s="362">
        <f t="shared" si="11"/>
        <v>-8.0000000000000007E-5</v>
      </c>
      <c r="J23" s="630">
        <f t="shared" si="3"/>
        <v>1073.0563217390729</v>
      </c>
      <c r="K23" s="630">
        <f t="shared" si="3"/>
        <v>0</v>
      </c>
      <c r="L23" s="302">
        <f t="shared" si="16"/>
        <v>1073.0563217390729</v>
      </c>
      <c r="M23" s="630">
        <f t="shared" si="12"/>
        <v>292.65172411065623</v>
      </c>
      <c r="N23" s="630">
        <f t="shared" si="13"/>
        <v>-1073.0563217390729</v>
      </c>
      <c r="O23" s="302">
        <f t="shared" si="17"/>
        <v>-780.4045976284167</v>
      </c>
      <c r="P23" s="435">
        <f t="shared" si="14"/>
        <v>-780.4045976284167</v>
      </c>
      <c r="Q23" s="435">
        <f t="shared" si="14"/>
        <v>-1073.0563217390729</v>
      </c>
      <c r="R23" s="435">
        <f t="shared" si="8"/>
        <v>-1853.4609193674896</v>
      </c>
      <c r="S23" s="504">
        <f t="shared" si="15"/>
        <v>-1.7272727272727273</v>
      </c>
    </row>
    <row r="24" spans="1:19" x14ac:dyDescent="0.25">
      <c r="A24" s="298" t="s">
        <v>6</v>
      </c>
      <c r="B24" s="328">
        <v>87</v>
      </c>
      <c r="C24" s="329">
        <f>SUM(C18:C23)</f>
        <v>21819455.762355208</v>
      </c>
      <c r="D24" s="413"/>
      <c r="E24" s="413"/>
      <c r="F24" s="413"/>
      <c r="G24" s="413"/>
      <c r="H24" s="413"/>
      <c r="I24" s="413"/>
      <c r="J24" s="630">
        <f t="shared" ref="J24:O24" si="18">SUM(J18:J23)</f>
        <v>16910.521851609072</v>
      </c>
      <c r="K24" s="630">
        <f t="shared" si="18"/>
        <v>0</v>
      </c>
      <c r="L24" s="302">
        <f t="shared" si="18"/>
        <v>16910.521851609072</v>
      </c>
      <c r="M24" s="630">
        <f t="shared" si="18"/>
        <v>4623.0965074906562</v>
      </c>
      <c r="N24" s="630">
        <f t="shared" si="18"/>
        <v>-16386.445339319074</v>
      </c>
      <c r="O24" s="302">
        <f t="shared" si="18"/>
        <v>-11763.348831828414</v>
      </c>
      <c r="P24" s="302">
        <f t="shared" ref="P24:Q24" si="19">SUM(P18:P23)</f>
        <v>-12287.425344118416</v>
      </c>
      <c r="Q24" s="302">
        <f t="shared" si="19"/>
        <v>-16386.445339319074</v>
      </c>
      <c r="R24" s="302">
        <f>SUM(R18:R23)</f>
        <v>-28673.87068343749</v>
      </c>
      <c r="S24" s="504">
        <f t="shared" si="15"/>
        <v>-1.6956230526208811</v>
      </c>
    </row>
    <row r="25" spans="1:19" x14ac:dyDescent="0.25">
      <c r="B25" s="328"/>
      <c r="C25" s="299"/>
      <c r="D25" s="413"/>
      <c r="E25" s="413"/>
      <c r="F25" s="413"/>
      <c r="G25" s="413"/>
      <c r="H25" s="413"/>
      <c r="I25" s="413"/>
      <c r="J25" s="630"/>
      <c r="K25" s="630"/>
      <c r="L25" s="302"/>
      <c r="M25" s="630"/>
      <c r="N25" s="630"/>
      <c r="O25" s="302"/>
      <c r="P25" s="303"/>
      <c r="Q25" s="303"/>
      <c r="R25" s="303"/>
      <c r="S25" s="355"/>
    </row>
    <row r="26" spans="1:19" x14ac:dyDescent="0.25">
      <c r="A26" s="298" t="s">
        <v>32</v>
      </c>
      <c r="B26" s="328" t="s">
        <v>33</v>
      </c>
      <c r="C26" s="299">
        <f>Therms!P17</f>
        <v>33867</v>
      </c>
      <c r="D26" s="413"/>
      <c r="E26" s="413"/>
      <c r="F26" s="413"/>
      <c r="G26" s="413"/>
      <c r="H26" s="413"/>
      <c r="I26" s="413"/>
      <c r="J26" s="630">
        <f t="shared" si="3"/>
        <v>0</v>
      </c>
      <c r="K26" s="630">
        <f t="shared" si="3"/>
        <v>0</v>
      </c>
      <c r="L26" s="302">
        <f>SUM(J26:K26)</f>
        <v>0</v>
      </c>
      <c r="M26" s="630">
        <f t="shared" ref="M26:M29" si="20">$C26*G26</f>
        <v>0</v>
      </c>
      <c r="N26" s="630">
        <f t="shared" ref="N26:N29" si="21">$C26*H26</f>
        <v>0</v>
      </c>
      <c r="O26" s="302">
        <f>SUM(M26:N26)</f>
        <v>0</v>
      </c>
      <c r="P26" s="303">
        <f t="shared" ref="P26:P29" si="22">M26-J26</f>
        <v>0</v>
      </c>
      <c r="Q26" s="303">
        <f t="shared" ref="Q26:Q29" si="23">N26-K26</f>
        <v>0</v>
      </c>
      <c r="R26" s="303">
        <f t="shared" si="8"/>
        <v>0</v>
      </c>
      <c r="S26" s="504">
        <v>0</v>
      </c>
    </row>
    <row r="27" spans="1:19" x14ac:dyDescent="0.25">
      <c r="A27" s="298" t="s">
        <v>34</v>
      </c>
      <c r="B27" s="298" t="s">
        <v>35</v>
      </c>
      <c r="C27" s="299">
        <f>Therms!P18</f>
        <v>26510234</v>
      </c>
      <c r="D27" s="413"/>
      <c r="E27" s="413"/>
      <c r="F27" s="413"/>
      <c r="G27" s="413"/>
      <c r="H27" s="413"/>
      <c r="I27" s="413"/>
      <c r="J27" s="630">
        <f t="shared" si="3"/>
        <v>0</v>
      </c>
      <c r="K27" s="630">
        <f t="shared" si="3"/>
        <v>0</v>
      </c>
      <c r="L27" s="302">
        <f t="shared" ref="L27:L29" si="24">SUM(J27:K27)</f>
        <v>0</v>
      </c>
      <c r="M27" s="630">
        <f t="shared" si="20"/>
        <v>0</v>
      </c>
      <c r="N27" s="630">
        <f t="shared" si="21"/>
        <v>0</v>
      </c>
      <c r="O27" s="302">
        <f t="shared" ref="O27:O29" si="25">SUM(M27:N27)</f>
        <v>0</v>
      </c>
      <c r="P27" s="303">
        <f t="shared" si="22"/>
        <v>0</v>
      </c>
      <c r="Q27" s="303">
        <f t="shared" si="23"/>
        <v>0</v>
      </c>
      <c r="R27" s="303">
        <f t="shared" si="8"/>
        <v>0</v>
      </c>
      <c r="S27" s="504">
        <v>0</v>
      </c>
    </row>
    <row r="28" spans="1:19" x14ac:dyDescent="0.25">
      <c r="A28" s="298" t="s">
        <v>36</v>
      </c>
      <c r="B28" s="298" t="s">
        <v>37</v>
      </c>
      <c r="C28" s="299">
        <f>Therms!P19</f>
        <v>62288926</v>
      </c>
      <c r="D28" s="413"/>
      <c r="E28" s="413"/>
      <c r="F28" s="413"/>
      <c r="G28" s="413"/>
      <c r="H28" s="413"/>
      <c r="I28" s="413"/>
      <c r="J28" s="630">
        <f t="shared" si="3"/>
        <v>0</v>
      </c>
      <c r="K28" s="630">
        <f t="shared" si="3"/>
        <v>0</v>
      </c>
      <c r="L28" s="302">
        <f t="shared" si="24"/>
        <v>0</v>
      </c>
      <c r="M28" s="630">
        <f t="shared" si="20"/>
        <v>0</v>
      </c>
      <c r="N28" s="630">
        <f t="shared" si="21"/>
        <v>0</v>
      </c>
      <c r="O28" s="302">
        <f t="shared" si="25"/>
        <v>0</v>
      </c>
      <c r="P28" s="303">
        <f t="shared" si="22"/>
        <v>0</v>
      </c>
      <c r="Q28" s="303">
        <f t="shared" si="23"/>
        <v>0</v>
      </c>
      <c r="R28" s="303">
        <f t="shared" si="8"/>
        <v>0</v>
      </c>
      <c r="S28" s="504">
        <v>0</v>
      </c>
    </row>
    <row r="29" spans="1:19" x14ac:dyDescent="0.25">
      <c r="A29" s="298" t="s">
        <v>38</v>
      </c>
      <c r="B29" s="298" t="s">
        <v>39</v>
      </c>
      <c r="C29" s="299">
        <f>Therms!P20</f>
        <v>578702</v>
      </c>
      <c r="D29" s="413"/>
      <c r="E29" s="413"/>
      <c r="F29" s="413"/>
      <c r="G29" s="413"/>
      <c r="H29" s="413"/>
      <c r="I29" s="413"/>
      <c r="J29" s="630">
        <f t="shared" si="3"/>
        <v>0</v>
      </c>
      <c r="K29" s="630">
        <f t="shared" si="3"/>
        <v>0</v>
      </c>
      <c r="L29" s="302">
        <f t="shared" si="24"/>
        <v>0</v>
      </c>
      <c r="M29" s="630">
        <f t="shared" si="20"/>
        <v>0</v>
      </c>
      <c r="N29" s="630">
        <f t="shared" si="21"/>
        <v>0</v>
      </c>
      <c r="O29" s="302">
        <f t="shared" si="25"/>
        <v>0</v>
      </c>
      <c r="P29" s="303">
        <f t="shared" si="22"/>
        <v>0</v>
      </c>
      <c r="Q29" s="303">
        <f t="shared" si="23"/>
        <v>0</v>
      </c>
      <c r="R29" s="303">
        <f t="shared" si="8"/>
        <v>0</v>
      </c>
      <c r="S29" s="504">
        <v>0</v>
      </c>
    </row>
    <row r="30" spans="1:19" x14ac:dyDescent="0.25">
      <c r="C30" s="299"/>
      <c r="D30" s="413"/>
      <c r="E30" s="413"/>
      <c r="F30" s="413"/>
      <c r="G30" s="413"/>
      <c r="H30" s="413"/>
      <c r="I30" s="413"/>
      <c r="J30" s="630"/>
      <c r="K30" s="630"/>
      <c r="L30" s="302"/>
      <c r="M30" s="630"/>
      <c r="N30" s="630"/>
      <c r="O30" s="302"/>
      <c r="P30" s="303"/>
      <c r="Q30" s="303"/>
      <c r="R30" s="303"/>
      <c r="S30" s="355"/>
    </row>
    <row r="31" spans="1:19" x14ac:dyDescent="0.25">
      <c r="A31" s="298" t="s">
        <v>40</v>
      </c>
      <c r="B31" s="298" t="s">
        <v>41</v>
      </c>
      <c r="J31" s="630"/>
      <c r="K31" s="630"/>
      <c r="M31" s="630"/>
      <c r="N31" s="630"/>
    </row>
    <row r="32" spans="1:19" x14ac:dyDescent="0.25">
      <c r="A32" s="360" t="s">
        <v>109</v>
      </c>
      <c r="B32" s="360" t="s">
        <v>41</v>
      </c>
      <c r="C32" s="64">
        <f>Therms!$P$21*'12ME Jun21 Bill Freq'!N49</f>
        <v>2998789.669999999</v>
      </c>
      <c r="D32" s="434"/>
      <c r="E32" s="434"/>
      <c r="F32" s="434"/>
      <c r="G32" s="434"/>
      <c r="H32" s="434"/>
      <c r="I32" s="434"/>
      <c r="J32" s="630">
        <f t="shared" si="3"/>
        <v>0</v>
      </c>
      <c r="K32" s="630">
        <f t="shared" si="3"/>
        <v>0</v>
      </c>
      <c r="L32" s="302">
        <f>SUM(J32:K32)</f>
        <v>0</v>
      </c>
      <c r="M32" s="630">
        <f t="shared" ref="M32:M37" si="26">$C32*G32</f>
        <v>0</v>
      </c>
      <c r="N32" s="630">
        <f t="shared" ref="N32:N37" si="27">$C32*H32</f>
        <v>0</v>
      </c>
      <c r="O32" s="302">
        <f>SUM(M32:N32)</f>
        <v>0</v>
      </c>
      <c r="P32" s="435">
        <f t="shared" ref="P32:P37" si="28">M32-J32</f>
        <v>0</v>
      </c>
      <c r="Q32" s="435">
        <f t="shared" ref="Q32:Q37" si="29">N32-K32</f>
        <v>0</v>
      </c>
      <c r="R32" s="435">
        <f t="shared" si="8"/>
        <v>0</v>
      </c>
      <c r="S32" s="504">
        <v>0</v>
      </c>
    </row>
    <row r="33" spans="1:19" x14ac:dyDescent="0.25">
      <c r="A33" s="360" t="s">
        <v>110</v>
      </c>
      <c r="B33" s="360" t="s">
        <v>41</v>
      </c>
      <c r="C33" s="64">
        <f>Therms!$P$21*'12ME Jun21 Bill Freq'!N50</f>
        <v>2999999.9999999995</v>
      </c>
      <c r="D33" s="434"/>
      <c r="E33" s="434"/>
      <c r="F33" s="434"/>
      <c r="G33" s="434"/>
      <c r="H33" s="434"/>
      <c r="I33" s="434"/>
      <c r="J33" s="630">
        <f t="shared" si="3"/>
        <v>0</v>
      </c>
      <c r="K33" s="630">
        <f t="shared" si="3"/>
        <v>0</v>
      </c>
      <c r="L33" s="302">
        <f t="shared" ref="L33:L38" si="30">SUM(J33:K33)</f>
        <v>0</v>
      </c>
      <c r="M33" s="630">
        <f t="shared" si="26"/>
        <v>0</v>
      </c>
      <c r="N33" s="630">
        <f t="shared" si="27"/>
        <v>0</v>
      </c>
      <c r="O33" s="302">
        <f t="shared" ref="O33:O38" si="31">SUM(M33:N33)</f>
        <v>0</v>
      </c>
      <c r="P33" s="435">
        <f t="shared" si="28"/>
        <v>0</v>
      </c>
      <c r="Q33" s="435">
        <f t="shared" si="29"/>
        <v>0</v>
      </c>
      <c r="R33" s="435">
        <f t="shared" si="8"/>
        <v>0</v>
      </c>
      <c r="S33" s="504">
        <v>0</v>
      </c>
    </row>
    <row r="34" spans="1:19" x14ac:dyDescent="0.25">
      <c r="A34" s="360" t="s">
        <v>112</v>
      </c>
      <c r="B34" s="360" t="s">
        <v>41</v>
      </c>
      <c r="C34" s="64">
        <f>Therms!$P$21*'12ME Jun21 Bill Freq'!N51</f>
        <v>5999999.9999999991</v>
      </c>
      <c r="D34" s="434"/>
      <c r="E34" s="434"/>
      <c r="F34" s="434"/>
      <c r="G34" s="434"/>
      <c r="H34" s="434"/>
      <c r="I34" s="434"/>
      <c r="J34" s="630">
        <f t="shared" si="3"/>
        <v>0</v>
      </c>
      <c r="K34" s="630">
        <f t="shared" si="3"/>
        <v>0</v>
      </c>
      <c r="L34" s="302">
        <f t="shared" si="30"/>
        <v>0</v>
      </c>
      <c r="M34" s="630">
        <f t="shared" si="26"/>
        <v>0</v>
      </c>
      <c r="N34" s="630">
        <f t="shared" si="27"/>
        <v>0</v>
      </c>
      <c r="O34" s="302">
        <f t="shared" si="31"/>
        <v>0</v>
      </c>
      <c r="P34" s="435">
        <f t="shared" si="28"/>
        <v>0</v>
      </c>
      <c r="Q34" s="435">
        <f t="shared" si="29"/>
        <v>0</v>
      </c>
      <c r="R34" s="435">
        <f t="shared" si="8"/>
        <v>0</v>
      </c>
      <c r="S34" s="504">
        <v>0</v>
      </c>
    </row>
    <row r="35" spans="1:19" x14ac:dyDescent="0.25">
      <c r="A35" s="360" t="s">
        <v>63</v>
      </c>
      <c r="B35" s="360" t="s">
        <v>41</v>
      </c>
      <c r="C35" s="64">
        <f>Therms!$P$21*'12ME Jun21 Bill Freq'!N52</f>
        <v>11463691.02</v>
      </c>
      <c r="D35" s="434"/>
      <c r="E35" s="434"/>
      <c r="F35" s="434"/>
      <c r="G35" s="434"/>
      <c r="H35" s="434"/>
      <c r="I35" s="434"/>
      <c r="J35" s="630">
        <f t="shared" si="3"/>
        <v>0</v>
      </c>
      <c r="K35" s="630">
        <f t="shared" si="3"/>
        <v>0</v>
      </c>
      <c r="L35" s="302">
        <f t="shared" si="30"/>
        <v>0</v>
      </c>
      <c r="M35" s="630">
        <f t="shared" si="26"/>
        <v>0</v>
      </c>
      <c r="N35" s="630">
        <f t="shared" si="27"/>
        <v>0</v>
      </c>
      <c r="O35" s="302">
        <f t="shared" si="31"/>
        <v>0</v>
      </c>
      <c r="P35" s="435">
        <f t="shared" si="28"/>
        <v>0</v>
      </c>
      <c r="Q35" s="435">
        <f t="shared" si="29"/>
        <v>0</v>
      </c>
      <c r="R35" s="435">
        <f t="shared" si="8"/>
        <v>0</v>
      </c>
      <c r="S35" s="504">
        <v>0</v>
      </c>
    </row>
    <row r="36" spans="1:19" x14ac:dyDescent="0.25">
      <c r="A36" s="360" t="s">
        <v>64</v>
      </c>
      <c r="B36" s="360" t="s">
        <v>41</v>
      </c>
      <c r="C36" s="64">
        <f>Therms!$P$21*'12ME Jun21 Bill Freq'!N53</f>
        <v>25744602.149999995</v>
      </c>
      <c r="D36" s="434"/>
      <c r="E36" s="434"/>
      <c r="F36" s="434"/>
      <c r="G36" s="434"/>
      <c r="H36" s="434"/>
      <c r="I36" s="434"/>
      <c r="J36" s="630">
        <f t="shared" si="3"/>
        <v>0</v>
      </c>
      <c r="K36" s="630">
        <f t="shared" si="3"/>
        <v>0</v>
      </c>
      <c r="L36" s="302">
        <f t="shared" si="30"/>
        <v>0</v>
      </c>
      <c r="M36" s="630">
        <f t="shared" si="26"/>
        <v>0</v>
      </c>
      <c r="N36" s="630">
        <f t="shared" si="27"/>
        <v>0</v>
      </c>
      <c r="O36" s="302">
        <f t="shared" si="31"/>
        <v>0</v>
      </c>
      <c r="P36" s="435">
        <f t="shared" si="28"/>
        <v>0</v>
      </c>
      <c r="Q36" s="435">
        <f t="shared" si="29"/>
        <v>0</v>
      </c>
      <c r="R36" s="435">
        <f t="shared" si="8"/>
        <v>0</v>
      </c>
      <c r="S36" s="504">
        <v>0</v>
      </c>
    </row>
    <row r="37" spans="1:19" x14ac:dyDescent="0.25">
      <c r="A37" s="360" t="s">
        <v>91</v>
      </c>
      <c r="B37" s="360" t="s">
        <v>41</v>
      </c>
      <c r="C37" s="64">
        <f>Therms!$P$21*'12ME Jun21 Bill Freq'!N54</f>
        <v>48293342.805479579</v>
      </c>
      <c r="D37" s="434"/>
      <c r="E37" s="434"/>
      <c r="F37" s="434"/>
      <c r="G37" s="434"/>
      <c r="H37" s="434"/>
      <c r="I37" s="434"/>
      <c r="J37" s="630">
        <f t="shared" si="3"/>
        <v>0</v>
      </c>
      <c r="K37" s="630">
        <f t="shared" si="3"/>
        <v>0</v>
      </c>
      <c r="L37" s="302">
        <f t="shared" si="30"/>
        <v>0</v>
      </c>
      <c r="M37" s="630">
        <f t="shared" si="26"/>
        <v>0</v>
      </c>
      <c r="N37" s="630">
        <f t="shared" si="27"/>
        <v>0</v>
      </c>
      <c r="O37" s="302">
        <f t="shared" si="31"/>
        <v>0</v>
      </c>
      <c r="P37" s="435">
        <f t="shared" si="28"/>
        <v>0</v>
      </c>
      <c r="Q37" s="435">
        <f t="shared" si="29"/>
        <v>0</v>
      </c>
      <c r="R37" s="435">
        <f t="shared" si="8"/>
        <v>0</v>
      </c>
      <c r="S37" s="504">
        <v>0</v>
      </c>
    </row>
    <row r="38" spans="1:19" x14ac:dyDescent="0.25">
      <c r="A38" s="298" t="s">
        <v>6</v>
      </c>
      <c r="B38" s="298" t="s">
        <v>41</v>
      </c>
      <c r="C38" s="329">
        <f>SUM(C32:C37)</f>
        <v>97500425.64547956</v>
      </c>
      <c r="D38" s="413"/>
      <c r="E38" s="413"/>
      <c r="F38" s="413"/>
      <c r="G38" s="413"/>
      <c r="H38" s="413"/>
      <c r="I38" s="413"/>
      <c r="J38" s="630">
        <f>SUM(J32:J37)</f>
        <v>0</v>
      </c>
      <c r="K38" s="630">
        <f>SUM(K32:K37)</f>
        <v>0</v>
      </c>
      <c r="L38" s="302">
        <f t="shared" si="30"/>
        <v>0</v>
      </c>
      <c r="M38" s="630">
        <f>SUM(M32:M37)</f>
        <v>0</v>
      </c>
      <c r="N38" s="630">
        <f>SUM(N32:N37)</f>
        <v>0</v>
      </c>
      <c r="O38" s="302">
        <f t="shared" si="31"/>
        <v>0</v>
      </c>
      <c r="P38" s="302">
        <f t="shared" ref="P38:R38" si="32">SUM(P32:P37)</f>
        <v>0</v>
      </c>
      <c r="Q38" s="302">
        <f t="shared" si="32"/>
        <v>0</v>
      </c>
      <c r="R38" s="302">
        <f t="shared" si="32"/>
        <v>0</v>
      </c>
      <c r="S38" s="504">
        <v>0</v>
      </c>
    </row>
    <row r="39" spans="1:19" x14ac:dyDescent="0.25">
      <c r="C39" s="299"/>
      <c r="D39" s="413"/>
      <c r="E39" s="413"/>
      <c r="F39" s="413"/>
      <c r="G39" s="413"/>
      <c r="H39" s="413"/>
      <c r="I39" s="413"/>
      <c r="J39" s="630"/>
      <c r="K39" s="630"/>
      <c r="L39" s="302"/>
      <c r="M39" s="630"/>
      <c r="N39" s="630"/>
      <c r="O39" s="302"/>
      <c r="P39" s="303"/>
      <c r="Q39" s="303"/>
      <c r="R39" s="303"/>
      <c r="S39" s="355"/>
    </row>
    <row r="40" spans="1:19" x14ac:dyDescent="0.25">
      <c r="A40" s="298" t="s">
        <v>36</v>
      </c>
      <c r="B40" s="298" t="s">
        <v>343</v>
      </c>
      <c r="J40" s="630"/>
      <c r="K40" s="630"/>
      <c r="M40" s="630"/>
      <c r="N40" s="630"/>
    </row>
    <row r="41" spans="1:19" x14ac:dyDescent="0.25">
      <c r="A41" s="360" t="s">
        <v>109</v>
      </c>
      <c r="B41" s="298" t="s">
        <v>343</v>
      </c>
      <c r="C41" s="64">
        <f>SUM('Puget LNG'!AC12:AN12)</f>
        <v>300000</v>
      </c>
      <c r="D41" s="7">
        <v>0</v>
      </c>
      <c r="E41" s="7">
        <v>0</v>
      </c>
      <c r="F41" s="362">
        <f t="shared" ref="F41:F46" si="33">SUM(D41:E41)</f>
        <v>0</v>
      </c>
      <c r="G41" s="434">
        <f>'[1]Rate Summary'!F32</f>
        <v>0.3034</v>
      </c>
      <c r="H41" s="434">
        <f>'[1]Rate Summary'!G32</f>
        <v>0.45274999999999999</v>
      </c>
      <c r="I41" s="362">
        <f t="shared" ref="I41:I46" si="34">SUM(G41:H41)</f>
        <v>0.75614999999999999</v>
      </c>
      <c r="J41" s="630">
        <f t="shared" si="3"/>
        <v>0</v>
      </c>
      <c r="K41" s="630">
        <f t="shared" si="3"/>
        <v>0</v>
      </c>
      <c r="L41" s="302">
        <f>SUM(J41:K41)</f>
        <v>0</v>
      </c>
      <c r="M41" s="630">
        <f t="shared" ref="M41:M46" si="35">$C41*G41</f>
        <v>91020</v>
      </c>
      <c r="N41" s="630">
        <f t="shared" ref="N41:N46" si="36">$C41*H41</f>
        <v>135825</v>
      </c>
      <c r="O41" s="302">
        <f>SUM(M41:N41)</f>
        <v>226845</v>
      </c>
      <c r="P41" s="435">
        <f t="shared" ref="P41:P46" si="37">M41-J41</f>
        <v>91020</v>
      </c>
      <c r="Q41" s="435">
        <f t="shared" ref="Q41:Q46" si="38">N41-K41</f>
        <v>135825</v>
      </c>
      <c r="R41" s="435">
        <f t="shared" ref="R41:R46" si="39">O41-L41</f>
        <v>226845</v>
      </c>
      <c r="S41" s="504">
        <f t="shared" ref="S41:S47" si="40">IF(D41=0,1,R41/L41)</f>
        <v>1</v>
      </c>
    </row>
    <row r="42" spans="1:19" x14ac:dyDescent="0.25">
      <c r="A42" s="360" t="s">
        <v>110</v>
      </c>
      <c r="B42" s="298" t="s">
        <v>343</v>
      </c>
      <c r="C42" s="64">
        <f>SUM('Puget LNG'!AC13:AN13)</f>
        <v>300000</v>
      </c>
      <c r="D42" s="7">
        <v>0</v>
      </c>
      <c r="E42" s="7">
        <v>0</v>
      </c>
      <c r="F42" s="362">
        <f t="shared" si="33"/>
        <v>0</v>
      </c>
      <c r="G42" s="434">
        <f>'[1]Rate Summary'!F33</f>
        <v>0.18332999999999999</v>
      </c>
      <c r="H42" s="434">
        <f>'[1]Rate Summary'!G33</f>
        <v>0.27357999999999999</v>
      </c>
      <c r="I42" s="362">
        <f t="shared" si="34"/>
        <v>0.45690999999999998</v>
      </c>
      <c r="J42" s="630">
        <f t="shared" si="3"/>
        <v>0</v>
      </c>
      <c r="K42" s="630">
        <f t="shared" si="3"/>
        <v>0</v>
      </c>
      <c r="L42" s="302">
        <f t="shared" ref="L42:L46" si="41">SUM(J42:K42)</f>
        <v>0</v>
      </c>
      <c r="M42" s="630">
        <f t="shared" si="35"/>
        <v>54999</v>
      </c>
      <c r="N42" s="630">
        <f t="shared" si="36"/>
        <v>82074</v>
      </c>
      <c r="O42" s="302">
        <f t="shared" ref="O42:O46" si="42">SUM(M42:N42)</f>
        <v>137073</v>
      </c>
      <c r="P42" s="435">
        <f t="shared" si="37"/>
        <v>54999</v>
      </c>
      <c r="Q42" s="435">
        <f t="shared" si="38"/>
        <v>82074</v>
      </c>
      <c r="R42" s="435">
        <f t="shared" si="39"/>
        <v>137073</v>
      </c>
      <c r="S42" s="504">
        <f t="shared" si="40"/>
        <v>1</v>
      </c>
    </row>
    <row r="43" spans="1:19" x14ac:dyDescent="0.25">
      <c r="A43" s="360" t="s">
        <v>112</v>
      </c>
      <c r="B43" s="298" t="s">
        <v>343</v>
      </c>
      <c r="C43" s="64">
        <f>SUM('Puget LNG'!AC14:AN14)</f>
        <v>600000</v>
      </c>
      <c r="D43" s="7">
        <v>0</v>
      </c>
      <c r="E43" s="7">
        <v>0</v>
      </c>
      <c r="F43" s="362">
        <f t="shared" si="33"/>
        <v>0</v>
      </c>
      <c r="G43" s="434">
        <f>'[1]Rate Summary'!F34</f>
        <v>0.11667</v>
      </c>
      <c r="H43" s="434">
        <f>'[1]Rate Summary'!G34</f>
        <v>0.17410999999999999</v>
      </c>
      <c r="I43" s="362">
        <f t="shared" si="34"/>
        <v>0.29077999999999998</v>
      </c>
      <c r="J43" s="630">
        <f t="shared" si="3"/>
        <v>0</v>
      </c>
      <c r="K43" s="630">
        <f t="shared" si="3"/>
        <v>0</v>
      </c>
      <c r="L43" s="302">
        <f t="shared" si="41"/>
        <v>0</v>
      </c>
      <c r="M43" s="630">
        <f t="shared" si="35"/>
        <v>70002</v>
      </c>
      <c r="N43" s="630">
        <f t="shared" si="36"/>
        <v>104465.99999999999</v>
      </c>
      <c r="O43" s="302">
        <f t="shared" si="42"/>
        <v>174468</v>
      </c>
      <c r="P43" s="435">
        <f t="shared" si="37"/>
        <v>70002</v>
      </c>
      <c r="Q43" s="435">
        <f t="shared" si="38"/>
        <v>104465.99999999999</v>
      </c>
      <c r="R43" s="435">
        <f t="shared" si="39"/>
        <v>174468</v>
      </c>
      <c r="S43" s="504">
        <f t="shared" si="40"/>
        <v>1</v>
      </c>
    </row>
    <row r="44" spans="1:19" x14ac:dyDescent="0.25">
      <c r="A44" s="360" t="s">
        <v>63</v>
      </c>
      <c r="B44" s="298" t="s">
        <v>343</v>
      </c>
      <c r="C44" s="64">
        <f>SUM('Puget LNG'!AC15:AN15)</f>
        <v>1200000</v>
      </c>
      <c r="D44" s="7">
        <v>0</v>
      </c>
      <c r="E44" s="7">
        <v>0</v>
      </c>
      <c r="F44" s="362">
        <f t="shared" si="33"/>
        <v>0</v>
      </c>
      <c r="G44" s="434">
        <f>'[1]Rate Summary'!F35</f>
        <v>7.4800000000000005E-2</v>
      </c>
      <c r="H44" s="434">
        <f>'[1]Rate Summary'!G35</f>
        <v>0.11162999999999999</v>
      </c>
      <c r="I44" s="362">
        <f t="shared" si="34"/>
        <v>0.18642999999999998</v>
      </c>
      <c r="J44" s="630">
        <f t="shared" si="3"/>
        <v>0</v>
      </c>
      <c r="K44" s="630">
        <f t="shared" si="3"/>
        <v>0</v>
      </c>
      <c r="L44" s="302">
        <f t="shared" si="41"/>
        <v>0</v>
      </c>
      <c r="M44" s="630">
        <f t="shared" si="35"/>
        <v>89760</v>
      </c>
      <c r="N44" s="630">
        <f t="shared" si="36"/>
        <v>133956</v>
      </c>
      <c r="O44" s="302">
        <f t="shared" si="42"/>
        <v>223716</v>
      </c>
      <c r="P44" s="435">
        <f t="shared" si="37"/>
        <v>89760</v>
      </c>
      <c r="Q44" s="435">
        <f t="shared" si="38"/>
        <v>133956</v>
      </c>
      <c r="R44" s="435">
        <f t="shared" si="39"/>
        <v>223716</v>
      </c>
      <c r="S44" s="504">
        <f t="shared" si="40"/>
        <v>1</v>
      </c>
    </row>
    <row r="45" spans="1:19" x14ac:dyDescent="0.25">
      <c r="A45" s="360" t="s">
        <v>64</v>
      </c>
      <c r="B45" s="298" t="s">
        <v>343</v>
      </c>
      <c r="C45" s="64">
        <f>SUM('Puget LNG'!AC16:AN16)</f>
        <v>3600000</v>
      </c>
      <c r="D45" s="7">
        <v>0</v>
      </c>
      <c r="E45" s="7">
        <v>0</v>
      </c>
      <c r="F45" s="362">
        <f t="shared" si="33"/>
        <v>0</v>
      </c>
      <c r="G45" s="434">
        <f>'[1]Rate Summary'!F36</f>
        <v>5.3839999999999999E-2</v>
      </c>
      <c r="H45" s="434">
        <f>'[1]Rate Summary'!G36</f>
        <v>8.0350000000000005E-2</v>
      </c>
      <c r="I45" s="362">
        <f t="shared" si="34"/>
        <v>0.13419</v>
      </c>
      <c r="J45" s="630">
        <f t="shared" si="3"/>
        <v>0</v>
      </c>
      <c r="K45" s="630">
        <f t="shared" si="3"/>
        <v>0</v>
      </c>
      <c r="L45" s="302">
        <f t="shared" si="41"/>
        <v>0</v>
      </c>
      <c r="M45" s="630">
        <f t="shared" si="35"/>
        <v>193824</v>
      </c>
      <c r="N45" s="630">
        <f t="shared" si="36"/>
        <v>289260</v>
      </c>
      <c r="O45" s="302">
        <f t="shared" si="42"/>
        <v>483084</v>
      </c>
      <c r="P45" s="435">
        <f t="shared" si="37"/>
        <v>193824</v>
      </c>
      <c r="Q45" s="435">
        <f t="shared" si="38"/>
        <v>289260</v>
      </c>
      <c r="R45" s="435">
        <f t="shared" si="39"/>
        <v>483084</v>
      </c>
      <c r="S45" s="504">
        <f t="shared" si="40"/>
        <v>1</v>
      </c>
    </row>
    <row r="46" spans="1:19" x14ac:dyDescent="0.25">
      <c r="A46" s="360" t="s">
        <v>91</v>
      </c>
      <c r="B46" s="298" t="s">
        <v>343</v>
      </c>
      <c r="C46" s="64">
        <f>SUM('Puget LNG'!AC17:AN17)</f>
        <v>38508541</v>
      </c>
      <c r="D46" s="7">
        <v>0</v>
      </c>
      <c r="E46" s="7">
        <v>0</v>
      </c>
      <c r="F46" s="362">
        <f t="shared" si="33"/>
        <v>0</v>
      </c>
      <c r="G46" s="434">
        <f>'[1]Rate Summary'!F37</f>
        <v>3.6299999999999999E-2</v>
      </c>
      <c r="H46" s="434">
        <f>'[1]Rate Summary'!G37</f>
        <v>5.4170000000000003E-2</v>
      </c>
      <c r="I46" s="362">
        <f t="shared" si="34"/>
        <v>9.0469999999999995E-2</v>
      </c>
      <c r="J46" s="630">
        <f t="shared" si="3"/>
        <v>0</v>
      </c>
      <c r="K46" s="630">
        <f t="shared" si="3"/>
        <v>0</v>
      </c>
      <c r="L46" s="302">
        <f t="shared" si="41"/>
        <v>0</v>
      </c>
      <c r="M46" s="630">
        <f t="shared" si="35"/>
        <v>1397860.0382999999</v>
      </c>
      <c r="N46" s="630">
        <f t="shared" si="36"/>
        <v>2086007.6659700002</v>
      </c>
      <c r="O46" s="302">
        <f t="shared" si="42"/>
        <v>3483867.7042700001</v>
      </c>
      <c r="P46" s="435">
        <f t="shared" si="37"/>
        <v>1397860.0382999999</v>
      </c>
      <c r="Q46" s="435">
        <f t="shared" si="38"/>
        <v>2086007.6659700002</v>
      </c>
      <c r="R46" s="435">
        <f t="shared" si="39"/>
        <v>3483867.7042700001</v>
      </c>
      <c r="S46" s="504">
        <f t="shared" si="40"/>
        <v>1</v>
      </c>
    </row>
    <row r="47" spans="1:19" x14ac:dyDescent="0.25">
      <c r="A47" s="298" t="s">
        <v>6</v>
      </c>
      <c r="B47" s="298" t="s">
        <v>343</v>
      </c>
      <c r="C47" s="329">
        <f>SUM(C41:C46)</f>
        <v>44508541</v>
      </c>
      <c r="D47" s="413"/>
      <c r="E47" s="413"/>
      <c r="F47" s="413"/>
      <c r="G47" s="413"/>
      <c r="H47" s="413"/>
      <c r="I47" s="413"/>
      <c r="J47" s="630">
        <f t="shared" ref="J47:O47" si="43">SUM(J41:J46)</f>
        <v>0</v>
      </c>
      <c r="K47" s="630">
        <f t="shared" si="43"/>
        <v>0</v>
      </c>
      <c r="L47" s="302">
        <f t="shared" si="43"/>
        <v>0</v>
      </c>
      <c r="M47" s="630">
        <f t="shared" si="43"/>
        <v>1897465.0382999999</v>
      </c>
      <c r="N47" s="630">
        <f t="shared" si="43"/>
        <v>2831588.6659700004</v>
      </c>
      <c r="O47" s="302">
        <f t="shared" si="43"/>
        <v>4729053.7042699996</v>
      </c>
      <c r="P47" s="302">
        <f t="shared" ref="P47:R47" si="44">SUM(P41:P46)</f>
        <v>1897465.0382999999</v>
      </c>
      <c r="Q47" s="302">
        <f t="shared" si="44"/>
        <v>2831588.6659700004</v>
      </c>
      <c r="R47" s="302">
        <f t="shared" si="44"/>
        <v>4729053.7042699996</v>
      </c>
      <c r="S47" s="504">
        <f t="shared" si="40"/>
        <v>1</v>
      </c>
    </row>
    <row r="48" spans="1:19" x14ac:dyDescent="0.25">
      <c r="C48" s="299"/>
      <c r="D48" s="413"/>
      <c r="E48" s="413"/>
      <c r="F48" s="413"/>
      <c r="G48" s="413"/>
      <c r="H48" s="413"/>
      <c r="I48" s="413"/>
      <c r="J48" s="630"/>
      <c r="K48" s="630"/>
      <c r="L48" s="302"/>
      <c r="M48" s="630"/>
      <c r="N48" s="630"/>
      <c r="O48" s="302"/>
      <c r="P48" s="303"/>
      <c r="Q48" s="303"/>
      <c r="R48" s="303"/>
      <c r="S48" s="504"/>
    </row>
    <row r="49" spans="1:19" x14ac:dyDescent="0.25">
      <c r="A49" s="298" t="s">
        <v>13</v>
      </c>
      <c r="C49" s="299">
        <f>Therms!P23</f>
        <v>30967900</v>
      </c>
      <c r="D49" s="318"/>
      <c r="E49" s="318"/>
      <c r="F49" s="318"/>
      <c r="G49" s="284"/>
      <c r="H49" s="284"/>
      <c r="I49" s="284"/>
      <c r="J49" s="630">
        <f t="shared" si="3"/>
        <v>0</v>
      </c>
      <c r="K49" s="630">
        <f t="shared" si="3"/>
        <v>0</v>
      </c>
      <c r="L49" s="302">
        <f>SUM(J49:K49)</f>
        <v>0</v>
      </c>
      <c r="M49" s="630">
        <f t="shared" ref="M49" si="45">$C49*G49</f>
        <v>0</v>
      </c>
      <c r="N49" s="630">
        <f t="shared" ref="N49" si="46">$C49*H49</f>
        <v>0</v>
      </c>
      <c r="O49" s="302">
        <f>SUM(M49:N49)</f>
        <v>0</v>
      </c>
      <c r="P49" s="303">
        <f t="shared" ref="P49" si="47">M49-J49</f>
        <v>0</v>
      </c>
      <c r="Q49" s="303">
        <f t="shared" ref="Q49" si="48">N49-K49</f>
        <v>0</v>
      </c>
      <c r="R49" s="303">
        <f t="shared" si="8"/>
        <v>0</v>
      </c>
      <c r="S49" s="504">
        <v>0</v>
      </c>
    </row>
    <row r="50" spans="1:19" x14ac:dyDescent="0.25">
      <c r="A50" s="298" t="s">
        <v>6</v>
      </c>
      <c r="C50" s="361">
        <f>SUM(C10:C15,C24,C26:C29,C38,C47,C49)</f>
        <v>1252743002.407835</v>
      </c>
      <c r="D50" s="626"/>
      <c r="E50" s="626"/>
      <c r="F50" s="626"/>
      <c r="G50" s="626"/>
      <c r="H50" s="626"/>
      <c r="I50" s="626"/>
      <c r="J50" s="286">
        <f t="shared" ref="J50:O50" si="49">SUM(J10:J15,J24,J26:J29,J38,J47,J49)</f>
        <v>2911735.3636916094</v>
      </c>
      <c r="K50" s="286">
        <f t="shared" si="49"/>
        <v>0</v>
      </c>
      <c r="L50" s="286">
        <f t="shared" si="49"/>
        <v>2911735.3636916094</v>
      </c>
      <c r="M50" s="286">
        <f t="shared" si="49"/>
        <v>2692652.9648574907</v>
      </c>
      <c r="N50" s="286">
        <f t="shared" si="49"/>
        <v>2210.4779606820084</v>
      </c>
      <c r="O50" s="286">
        <f t="shared" si="49"/>
        <v>2694863.4428181713</v>
      </c>
      <c r="P50" s="286">
        <f t="shared" ref="P50:R50" si="50">SUM(P10:P15,P24,P26:P29,P38,P47,P49)</f>
        <v>-219082.39883411839</v>
      </c>
      <c r="Q50" s="286">
        <f t="shared" si="50"/>
        <v>2210.4779606820084</v>
      </c>
      <c r="R50" s="286">
        <f t="shared" si="50"/>
        <v>-216871.92087343801</v>
      </c>
      <c r="S50" s="507">
        <f t="shared" ref="S50" si="51">R50/L50</f>
        <v>-7.4482016318433389E-2</v>
      </c>
    </row>
    <row r="51" spans="1:19" x14ac:dyDescent="0.25">
      <c r="L51" s="303"/>
      <c r="M51" s="303"/>
      <c r="N51" s="303"/>
      <c r="O51" s="303"/>
      <c r="P51" s="303"/>
      <c r="Q51" s="303"/>
    </row>
    <row r="52" spans="1:19" x14ac:dyDescent="0.25">
      <c r="A52" s="438"/>
      <c r="C52" s="329"/>
      <c r="L52" s="303"/>
      <c r="M52" s="303"/>
      <c r="N52" s="303"/>
      <c r="O52" s="303"/>
      <c r="P52" s="303"/>
      <c r="Q52" s="303"/>
    </row>
    <row r="53" spans="1:19" x14ac:dyDescent="0.25">
      <c r="A53" s="364"/>
    </row>
  </sheetData>
  <mergeCells count="8">
    <mergeCell ref="A1:S1"/>
    <mergeCell ref="A2:S2"/>
    <mergeCell ref="A3:S3"/>
    <mergeCell ref="A4:S4"/>
    <mergeCell ref="D6:F6"/>
    <mergeCell ref="G6:I6"/>
    <mergeCell ref="J6:L6"/>
    <mergeCell ref="M6:O6"/>
  </mergeCells>
  <printOptions horizontalCentered="1"/>
  <pageMargins left="0.7" right="0.7" top="0.75" bottom="0.75" header="0.3" footer="0.3"/>
  <pageSetup scale="46" orientation="landscape" blackAndWhite="1" r:id="rId1"/>
  <headerFooter>
    <oddFooter>&amp;L&amp;F 
&amp;A&amp;C&amp;P&amp;R&amp;D</oddFooter>
  </headerFooter>
  <customProperties>
    <customPr name="_pios_id" r:id="rId2"/>
    <customPr name="EpmWorksheetKeyString_GUID" r:id="rId3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zoomScale="90" zoomScaleNormal="90" workbookViewId="0">
      <selection activeCell="K25" sqref="K25"/>
    </sheetView>
  </sheetViews>
  <sheetFormatPr defaultRowHeight="15" x14ac:dyDescent="0.25"/>
  <cols>
    <col min="1" max="1" width="36.85546875" style="298" bestFit="1" customWidth="1"/>
    <col min="2" max="2" width="9.28515625" style="298" bestFit="1" customWidth="1"/>
    <col min="3" max="3" width="18.7109375" style="298" bestFit="1" customWidth="1"/>
    <col min="4" max="5" width="13.7109375" style="298" customWidth="1"/>
    <col min="6" max="8" width="14.42578125" style="298" customWidth="1"/>
    <col min="9" max="9" width="9.85546875" style="298" bestFit="1" customWidth="1"/>
    <col min="10" max="16384" width="9.140625" style="298"/>
  </cols>
  <sheetData>
    <row r="1" spans="1:10" s="58" customFormat="1" x14ac:dyDescent="0.25">
      <c r="A1" s="639" t="s">
        <v>0</v>
      </c>
      <c r="B1" s="639"/>
      <c r="C1" s="639"/>
      <c r="D1" s="639"/>
      <c r="E1" s="639"/>
      <c r="F1" s="639"/>
      <c r="G1" s="639"/>
      <c r="H1" s="639"/>
      <c r="I1" s="639"/>
      <c r="J1" s="47"/>
    </row>
    <row r="2" spans="1:10" s="58" customFormat="1" x14ac:dyDescent="0.25">
      <c r="A2" s="639" t="s">
        <v>316</v>
      </c>
      <c r="B2" s="639"/>
      <c r="C2" s="639"/>
      <c r="D2" s="639"/>
      <c r="E2" s="639"/>
      <c r="F2" s="639"/>
      <c r="G2" s="639"/>
      <c r="H2" s="639"/>
      <c r="I2" s="639"/>
      <c r="J2" s="47"/>
    </row>
    <row r="3" spans="1:10" s="58" customFormat="1" x14ac:dyDescent="0.25">
      <c r="A3" s="639" t="s">
        <v>317</v>
      </c>
      <c r="B3" s="639"/>
      <c r="C3" s="639"/>
      <c r="D3" s="639"/>
      <c r="E3" s="639"/>
      <c r="F3" s="639"/>
      <c r="G3" s="639"/>
      <c r="H3" s="639"/>
      <c r="I3" s="639"/>
      <c r="J3" s="47"/>
    </row>
    <row r="4" spans="1:10" s="58" customFormat="1" x14ac:dyDescent="0.25">
      <c r="A4" s="639" t="str">
        <f>'Current Revenue Calc.'!B4</f>
        <v>Proposed Rates Effective May 11, 2024</v>
      </c>
      <c r="B4" s="639"/>
      <c r="C4" s="639"/>
      <c r="D4" s="639"/>
      <c r="E4" s="639"/>
      <c r="F4" s="639"/>
      <c r="G4" s="639"/>
      <c r="H4" s="639"/>
      <c r="I4" s="639"/>
      <c r="J4" s="633"/>
    </row>
    <row r="5" spans="1:10" x14ac:dyDescent="0.25">
      <c r="D5" s="510"/>
      <c r="E5" s="510"/>
    </row>
    <row r="6" spans="1:10" x14ac:dyDescent="0.25">
      <c r="A6" s="291"/>
      <c r="B6" s="291"/>
      <c r="C6" s="291" t="s">
        <v>15</v>
      </c>
      <c r="D6" s="291" t="s">
        <v>5</v>
      </c>
      <c r="E6" s="291" t="s">
        <v>1</v>
      </c>
      <c r="F6" s="511" t="s">
        <v>15</v>
      </c>
      <c r="G6" s="511" t="s">
        <v>15</v>
      </c>
      <c r="H6" s="291" t="s">
        <v>318</v>
      </c>
      <c r="I6" s="291"/>
    </row>
    <row r="7" spans="1:10" x14ac:dyDescent="0.25">
      <c r="A7" s="291"/>
      <c r="B7" s="291" t="s">
        <v>17</v>
      </c>
      <c r="C7" s="291" t="s">
        <v>3</v>
      </c>
      <c r="D7" s="291" t="s">
        <v>318</v>
      </c>
      <c r="E7" s="291" t="s">
        <v>318</v>
      </c>
      <c r="F7" s="511" t="s">
        <v>2</v>
      </c>
      <c r="G7" s="511" t="s">
        <v>2</v>
      </c>
      <c r="H7" s="291" t="s">
        <v>2</v>
      </c>
      <c r="I7" s="291" t="s">
        <v>20</v>
      </c>
    </row>
    <row r="8" spans="1:10" x14ac:dyDescent="0.25">
      <c r="A8" s="333" t="s">
        <v>4</v>
      </c>
      <c r="B8" s="333" t="s">
        <v>21</v>
      </c>
      <c r="C8" s="252" t="str">
        <f>'Current Revenue Calc.'!$T$7</f>
        <v>12ME Oct. 2024</v>
      </c>
      <c r="D8" s="333" t="s">
        <v>22</v>
      </c>
      <c r="E8" s="333" t="s">
        <v>22</v>
      </c>
      <c r="F8" s="272" t="s">
        <v>23</v>
      </c>
      <c r="G8" s="272" t="s">
        <v>182</v>
      </c>
      <c r="H8" s="333" t="s">
        <v>24</v>
      </c>
      <c r="I8" s="333" t="s">
        <v>24</v>
      </c>
    </row>
    <row r="9" spans="1:10" x14ac:dyDescent="0.25">
      <c r="A9" s="298" t="s">
        <v>7</v>
      </c>
      <c r="B9" s="328" t="s">
        <v>30</v>
      </c>
      <c r="C9" s="299">
        <f>SUM(Therms!P10:P11)</f>
        <v>639464549</v>
      </c>
      <c r="D9" s="284">
        <v>0</v>
      </c>
      <c r="E9" s="413">
        <f>'[2]Rate Summary'!$D$8</f>
        <v>4.6739999999999997E-2</v>
      </c>
      <c r="F9" s="302">
        <f>C9*D9</f>
        <v>0</v>
      </c>
      <c r="G9" s="302">
        <f>C9*E9</f>
        <v>29888573.020259999</v>
      </c>
      <c r="H9" s="303">
        <f>G9-F9</f>
        <v>29888573.020259999</v>
      </c>
      <c r="I9" s="504">
        <f>IF(F9=0,1,H9/F9)</f>
        <v>1</v>
      </c>
    </row>
    <row r="10" spans="1:10" x14ac:dyDescent="0.25">
      <c r="A10" s="298" t="s">
        <v>31</v>
      </c>
      <c r="B10" s="328">
        <v>16</v>
      </c>
      <c r="C10" s="64">
        <f>Therms!P9</f>
        <v>8832</v>
      </c>
      <c r="D10" s="284">
        <v>0</v>
      </c>
      <c r="E10" s="413">
        <f>'[2]Rate Summary'!$D$8</f>
        <v>4.6739999999999997E-2</v>
      </c>
      <c r="F10" s="302">
        <f t="shared" ref="F10:F50" si="0">C10*D10</f>
        <v>0</v>
      </c>
      <c r="G10" s="302">
        <f t="shared" ref="G10:G53" si="1">C10*E10</f>
        <v>412.80767999999995</v>
      </c>
      <c r="H10" s="303">
        <f t="shared" ref="H10:H53" si="2">G10-F10</f>
        <v>412.80767999999995</v>
      </c>
      <c r="I10" s="504">
        <f t="shared" ref="I10:I54" si="3">IF(F10=0,1,H10/F10)</f>
        <v>1</v>
      </c>
    </row>
    <row r="11" spans="1:10" x14ac:dyDescent="0.25">
      <c r="A11" s="298" t="s">
        <v>8</v>
      </c>
      <c r="B11" s="328">
        <v>31</v>
      </c>
      <c r="C11" s="299">
        <f>Therms!P12</f>
        <v>245936243</v>
      </c>
      <c r="D11" s="284">
        <v>0</v>
      </c>
      <c r="E11" s="413">
        <f>'[2]Rate Summary'!$D$12</f>
        <v>3.968E-2</v>
      </c>
      <c r="F11" s="302">
        <f t="shared" si="0"/>
        <v>0</v>
      </c>
      <c r="G11" s="302">
        <f t="shared" si="1"/>
        <v>9758750.1222399995</v>
      </c>
      <c r="H11" s="303">
        <f t="shared" si="2"/>
        <v>9758750.1222399995</v>
      </c>
      <c r="I11" s="504">
        <f t="shared" si="3"/>
        <v>1</v>
      </c>
    </row>
    <row r="12" spans="1:10" x14ac:dyDescent="0.25">
      <c r="B12" s="328"/>
      <c r="C12" s="299"/>
      <c r="D12" s="284"/>
      <c r="E12" s="413"/>
      <c r="F12" s="302"/>
      <c r="G12" s="302"/>
      <c r="H12" s="303"/>
      <c r="I12" s="504"/>
    </row>
    <row r="13" spans="1:10" x14ac:dyDescent="0.25">
      <c r="A13" s="298" t="s">
        <v>9</v>
      </c>
      <c r="B13" s="328">
        <v>41</v>
      </c>
      <c r="C13" s="299"/>
      <c r="D13" s="284"/>
      <c r="E13" s="413"/>
      <c r="F13" s="302"/>
      <c r="G13" s="302"/>
      <c r="H13" s="303"/>
      <c r="I13" s="504"/>
    </row>
    <row r="14" spans="1:10" x14ac:dyDescent="0.25">
      <c r="A14" s="298" t="s">
        <v>81</v>
      </c>
      <c r="B14" s="328">
        <v>41</v>
      </c>
      <c r="C14" s="299">
        <f>SUM('RY#2 Therms By Block'!N9,'RY#2 Therms By Block'!N16)</f>
        <v>13204762.568891775</v>
      </c>
      <c r="D14" s="284">
        <v>0</v>
      </c>
      <c r="E14" s="413">
        <f>'[2]Rate Summary'!D14</f>
        <v>2.9180000000000001E-2</v>
      </c>
      <c r="F14" s="302">
        <f t="shared" ref="F14:F16" si="4">C14*D14</f>
        <v>0</v>
      </c>
      <c r="G14" s="302">
        <f t="shared" ref="G14:G16" si="5">C14*E14</f>
        <v>385314.97176026198</v>
      </c>
      <c r="H14" s="303">
        <f t="shared" ref="H14:H16" si="6">G14-F14</f>
        <v>385314.97176026198</v>
      </c>
      <c r="I14" s="504">
        <f t="shared" si="3"/>
        <v>1</v>
      </c>
    </row>
    <row r="15" spans="1:10" x14ac:dyDescent="0.25">
      <c r="A15" s="298" t="s">
        <v>82</v>
      </c>
      <c r="B15" s="328">
        <v>41</v>
      </c>
      <c r="C15" s="299">
        <f>SUM('RY#2 Therms By Block'!N10,'RY#2 Therms By Block'!N17)</f>
        <v>29590375.242762744</v>
      </c>
      <c r="D15" s="284">
        <v>0</v>
      </c>
      <c r="E15" s="413">
        <f>'[2]Rate Summary'!D15</f>
        <v>2.9180000000000001E-2</v>
      </c>
      <c r="F15" s="302">
        <f t="shared" si="4"/>
        <v>0</v>
      </c>
      <c r="G15" s="302">
        <f t="shared" si="5"/>
        <v>863447.14958381688</v>
      </c>
      <c r="H15" s="303">
        <f t="shared" si="6"/>
        <v>863447.14958381688</v>
      </c>
      <c r="I15" s="504">
        <f t="shared" si="3"/>
        <v>1</v>
      </c>
    </row>
    <row r="16" spans="1:10" x14ac:dyDescent="0.25">
      <c r="A16" s="298" t="s">
        <v>53</v>
      </c>
      <c r="B16" s="328">
        <v>41</v>
      </c>
      <c r="C16" s="299">
        <f>SUM('RY#2 Therms By Block'!N11,'RY#2 Therms By Block'!N18)</f>
        <v>24095403.188345484</v>
      </c>
      <c r="D16" s="284">
        <v>0</v>
      </c>
      <c r="E16" s="413">
        <f>'[2]Rate Summary'!D16</f>
        <v>2.5219999999999999E-2</v>
      </c>
      <c r="F16" s="302">
        <f t="shared" si="4"/>
        <v>0</v>
      </c>
      <c r="G16" s="302">
        <f t="shared" si="5"/>
        <v>607686.06841007306</v>
      </c>
      <c r="H16" s="303">
        <f t="shared" si="6"/>
        <v>607686.06841007306</v>
      </c>
      <c r="I16" s="504">
        <f t="shared" si="3"/>
        <v>1</v>
      </c>
    </row>
    <row r="17" spans="1:9" x14ac:dyDescent="0.25">
      <c r="A17" s="298" t="s">
        <v>6</v>
      </c>
      <c r="B17" s="328">
        <v>41</v>
      </c>
      <c r="C17" s="361">
        <f>SUM(C14:C16)</f>
        <v>66890541.000000007</v>
      </c>
      <c r="D17" s="284"/>
      <c r="E17" s="413"/>
      <c r="F17" s="308">
        <f>SUM(F14:F16)</f>
        <v>0</v>
      </c>
      <c r="G17" s="308">
        <f t="shared" ref="G17:H17" si="7">SUM(G14:G16)</f>
        <v>1856448.1897541517</v>
      </c>
      <c r="H17" s="308">
        <f t="shared" si="7"/>
        <v>1856448.1897541517</v>
      </c>
      <c r="I17" s="504">
        <f t="shared" si="3"/>
        <v>1</v>
      </c>
    </row>
    <row r="18" spans="1:9" x14ac:dyDescent="0.25">
      <c r="B18" s="328"/>
      <c r="C18" s="299"/>
      <c r="D18" s="284"/>
      <c r="E18" s="413"/>
      <c r="F18" s="302"/>
      <c r="G18" s="302"/>
      <c r="H18" s="303"/>
      <c r="I18" s="504"/>
    </row>
    <row r="19" spans="1:9" x14ac:dyDescent="0.25">
      <c r="A19" s="298" t="s">
        <v>10</v>
      </c>
      <c r="B19" s="328">
        <v>85</v>
      </c>
      <c r="C19" s="299"/>
      <c r="D19" s="284"/>
      <c r="E19" s="413"/>
      <c r="F19" s="302"/>
      <c r="G19" s="302"/>
      <c r="H19" s="303"/>
      <c r="I19" s="504"/>
    </row>
    <row r="20" spans="1:9" x14ac:dyDescent="0.25">
      <c r="A20" s="298" t="s">
        <v>56</v>
      </c>
      <c r="B20" s="328">
        <v>85</v>
      </c>
      <c r="C20" s="299">
        <f>SUM('RY#2 Therms By Block'!N37,'RY#2 Therms By Block'!N44)</f>
        <v>4513873.5650214646</v>
      </c>
      <c r="D20" s="284">
        <v>0</v>
      </c>
      <c r="E20" s="413">
        <f>'[2]Rate Summary'!D18</f>
        <v>7.1590000000000001E-2</v>
      </c>
      <c r="F20" s="302">
        <f t="shared" ref="F20:F22" si="8">C20*D20</f>
        <v>0</v>
      </c>
      <c r="G20" s="302">
        <f t="shared" ref="G20:G22" si="9">C20*E20</f>
        <v>323148.20851988666</v>
      </c>
      <c r="H20" s="303">
        <f t="shared" ref="H20:H22" si="10">G20-F20</f>
        <v>323148.20851988666</v>
      </c>
      <c r="I20" s="504">
        <f t="shared" si="3"/>
        <v>1</v>
      </c>
    </row>
    <row r="21" spans="1:9" x14ac:dyDescent="0.25">
      <c r="A21" s="298" t="s">
        <v>57</v>
      </c>
      <c r="B21" s="328">
        <v>85</v>
      </c>
      <c r="C21" s="299">
        <f>SUM('RY#2 Therms By Block'!N38,'RY#2 Therms By Block'!N45)</f>
        <v>2478939.5524124894</v>
      </c>
      <c r="D21" s="284">
        <v>0</v>
      </c>
      <c r="E21" s="413">
        <f>'[2]Rate Summary'!D19</f>
        <v>3.4020000000000002E-2</v>
      </c>
      <c r="F21" s="302">
        <f t="shared" si="8"/>
        <v>0</v>
      </c>
      <c r="G21" s="302">
        <f t="shared" si="9"/>
        <v>84333.523573072889</v>
      </c>
      <c r="H21" s="303">
        <f t="shared" si="10"/>
        <v>84333.523573072889</v>
      </c>
      <c r="I21" s="504">
        <f t="shared" si="3"/>
        <v>1</v>
      </c>
    </row>
    <row r="22" spans="1:9" x14ac:dyDescent="0.25">
      <c r="A22" s="298" t="s">
        <v>58</v>
      </c>
      <c r="B22" s="328">
        <v>85</v>
      </c>
      <c r="C22" s="299">
        <f>SUM('RY#2 Therms By Block'!N39,'RY#2 Therms By Block'!N46)</f>
        <v>3752564.882566046</v>
      </c>
      <c r="D22" s="284">
        <v>0</v>
      </c>
      <c r="E22" s="413">
        <f>'[2]Rate Summary'!D20</f>
        <v>3.2539999999999999E-2</v>
      </c>
      <c r="F22" s="302">
        <f t="shared" si="8"/>
        <v>0</v>
      </c>
      <c r="G22" s="302">
        <f t="shared" si="9"/>
        <v>122108.46127869913</v>
      </c>
      <c r="H22" s="303">
        <f t="shared" si="10"/>
        <v>122108.46127869913</v>
      </c>
      <c r="I22" s="504">
        <f t="shared" si="3"/>
        <v>1</v>
      </c>
    </row>
    <row r="23" spans="1:9" x14ac:dyDescent="0.25">
      <c r="A23" s="298" t="s">
        <v>6</v>
      </c>
      <c r="B23" s="328"/>
      <c r="C23" s="361">
        <f>SUM(C20:C22)</f>
        <v>10745378</v>
      </c>
      <c r="D23" s="284"/>
      <c r="E23" s="413"/>
      <c r="F23" s="308">
        <f>SUM(F20:F22)</f>
        <v>0</v>
      </c>
      <c r="G23" s="308">
        <f t="shared" ref="G23:H23" si="11">SUM(G20:G22)</f>
        <v>529590.19337165868</v>
      </c>
      <c r="H23" s="308">
        <f t="shared" si="11"/>
        <v>529590.19337165868</v>
      </c>
      <c r="I23" s="504">
        <f t="shared" si="3"/>
        <v>1</v>
      </c>
    </row>
    <row r="24" spans="1:9" x14ac:dyDescent="0.25">
      <c r="B24" s="328"/>
      <c r="C24" s="299"/>
      <c r="D24" s="284"/>
      <c r="E24" s="413"/>
      <c r="F24" s="302"/>
      <c r="G24" s="302"/>
      <c r="H24" s="303"/>
      <c r="I24" s="504"/>
    </row>
    <row r="25" spans="1:9" x14ac:dyDescent="0.25">
      <c r="A25" s="298" t="s">
        <v>11</v>
      </c>
      <c r="B25" s="328">
        <v>86</v>
      </c>
      <c r="C25" s="299"/>
      <c r="D25" s="284"/>
      <c r="E25" s="413"/>
      <c r="F25" s="302"/>
      <c r="G25" s="302"/>
      <c r="H25" s="303"/>
      <c r="I25" s="504"/>
    </row>
    <row r="26" spans="1:9" x14ac:dyDescent="0.25">
      <c r="A26" s="298" t="s">
        <v>322</v>
      </c>
      <c r="B26" s="328">
        <v>86</v>
      </c>
      <c r="C26" s="299">
        <f>SUM('RY#2 Therms By Block'!N65,'RY#2 Therms By Block'!N71)</f>
        <v>1009396.7998300681</v>
      </c>
      <c r="D26" s="284">
        <v>0</v>
      </c>
      <c r="E26" s="413">
        <f>'[2]Rate Summary'!D22</f>
        <v>5.4550000000000001E-2</v>
      </c>
      <c r="F26" s="302">
        <f t="shared" ref="F26:F27" si="12">C26*D26</f>
        <v>0</v>
      </c>
      <c r="G26" s="302">
        <f t="shared" ref="G26:G27" si="13">C26*E26</f>
        <v>55062.595430730216</v>
      </c>
      <c r="H26" s="303">
        <f t="shared" ref="H26:H27" si="14">G26-F26</f>
        <v>55062.595430730216</v>
      </c>
      <c r="I26" s="504">
        <f t="shared" si="3"/>
        <v>1</v>
      </c>
    </row>
    <row r="27" spans="1:9" x14ac:dyDescent="0.25">
      <c r="A27" s="298" t="s">
        <v>323</v>
      </c>
      <c r="B27" s="328">
        <v>86</v>
      </c>
      <c r="C27" s="299">
        <f>SUM('RY#2 Therms By Block'!N66,'RY#2 Therms By Block'!N72)</f>
        <v>4480011.2001699321</v>
      </c>
      <c r="D27" s="284">
        <v>0</v>
      </c>
      <c r="E27" s="413">
        <f>'[2]Rate Summary'!D23</f>
        <v>3.8670000000000003E-2</v>
      </c>
      <c r="F27" s="302">
        <f t="shared" si="12"/>
        <v>0</v>
      </c>
      <c r="G27" s="302">
        <f t="shared" si="13"/>
        <v>173242.0331105713</v>
      </c>
      <c r="H27" s="303">
        <f t="shared" si="14"/>
        <v>173242.0331105713</v>
      </c>
      <c r="I27" s="504">
        <f t="shared" si="3"/>
        <v>1</v>
      </c>
    </row>
    <row r="28" spans="1:9" x14ac:dyDescent="0.25">
      <c r="A28" s="298" t="s">
        <v>6</v>
      </c>
      <c r="B28" s="328"/>
      <c r="C28" s="361">
        <f>SUM(C26:C27)</f>
        <v>5489408</v>
      </c>
      <c r="D28" s="284"/>
      <c r="E28" s="413"/>
      <c r="F28" s="308">
        <f>SUM(F26:F27)</f>
        <v>0</v>
      </c>
      <c r="G28" s="308">
        <f t="shared" ref="G28:H28" si="15">SUM(G26:G27)</f>
        <v>228304.62854130153</v>
      </c>
      <c r="H28" s="308">
        <f t="shared" si="15"/>
        <v>228304.62854130153</v>
      </c>
      <c r="I28" s="504">
        <f t="shared" si="3"/>
        <v>1</v>
      </c>
    </row>
    <row r="29" spans="1:9" x14ac:dyDescent="0.25">
      <c r="B29" s="328"/>
      <c r="C29" s="299"/>
      <c r="D29" s="284"/>
      <c r="E29" s="413"/>
      <c r="F29" s="302"/>
      <c r="G29" s="302"/>
      <c r="H29" s="303"/>
      <c r="I29" s="504"/>
    </row>
    <row r="30" spans="1:9" x14ac:dyDescent="0.25">
      <c r="A30" s="298" t="s">
        <v>12</v>
      </c>
      <c r="B30" s="328">
        <v>87</v>
      </c>
      <c r="D30" s="70"/>
      <c r="E30" s="282"/>
      <c r="I30" s="504"/>
    </row>
    <row r="31" spans="1:9" x14ac:dyDescent="0.25">
      <c r="A31" s="360" t="s">
        <v>109</v>
      </c>
      <c r="B31" s="433">
        <v>87</v>
      </c>
      <c r="C31" s="64">
        <f>'RY#2 Therms By Block'!N89</f>
        <v>1512193</v>
      </c>
      <c r="D31" s="7">
        <v>0</v>
      </c>
      <c r="E31" s="434">
        <f>'[2]Rate Summary'!D25</f>
        <v>8.208E-2</v>
      </c>
      <c r="F31" s="435">
        <f t="shared" si="0"/>
        <v>0</v>
      </c>
      <c r="G31" s="435">
        <f t="shared" si="1"/>
        <v>124120.80144</v>
      </c>
      <c r="H31" s="435">
        <f>G31-F31</f>
        <v>124120.80144</v>
      </c>
      <c r="I31" s="504">
        <f t="shared" si="3"/>
        <v>1</v>
      </c>
    </row>
    <row r="32" spans="1:9" x14ac:dyDescent="0.25">
      <c r="A32" s="360" t="s">
        <v>110</v>
      </c>
      <c r="B32" s="433">
        <v>87</v>
      </c>
      <c r="C32" s="64">
        <f>'RY#2 Therms By Block'!N90</f>
        <v>1398016.115</v>
      </c>
      <c r="D32" s="7">
        <v>0</v>
      </c>
      <c r="E32" s="434">
        <f>'[2]Rate Summary'!D26</f>
        <v>4.9599999999999998E-2</v>
      </c>
      <c r="F32" s="435">
        <f t="shared" si="0"/>
        <v>0</v>
      </c>
      <c r="G32" s="435">
        <f t="shared" si="1"/>
        <v>69341.599304000003</v>
      </c>
      <c r="H32" s="435">
        <f t="shared" si="2"/>
        <v>69341.599304000003</v>
      </c>
      <c r="I32" s="504">
        <f t="shared" si="3"/>
        <v>1</v>
      </c>
    </row>
    <row r="33" spans="1:9" x14ac:dyDescent="0.25">
      <c r="A33" s="360" t="s">
        <v>112</v>
      </c>
      <c r="B33" s="433">
        <v>87</v>
      </c>
      <c r="C33" s="64">
        <f>'RY#2 Therms By Block'!N91</f>
        <v>2316890.0959999999</v>
      </c>
      <c r="D33" s="7">
        <v>0</v>
      </c>
      <c r="E33" s="434">
        <f>'[2]Rate Summary'!D27</f>
        <v>3.1559999999999998E-2</v>
      </c>
      <c r="F33" s="435">
        <f t="shared" si="0"/>
        <v>0</v>
      </c>
      <c r="G33" s="435">
        <f t="shared" si="1"/>
        <v>73121.051429759988</v>
      </c>
      <c r="H33" s="435">
        <f t="shared" si="2"/>
        <v>73121.051429759988</v>
      </c>
      <c r="I33" s="504">
        <f t="shared" si="3"/>
        <v>1</v>
      </c>
    </row>
    <row r="34" spans="1:9" x14ac:dyDescent="0.25">
      <c r="A34" s="360" t="s">
        <v>63</v>
      </c>
      <c r="B34" s="433">
        <v>87</v>
      </c>
      <c r="C34" s="64">
        <f>'RY#2 Therms By Block'!N92</f>
        <v>3045256.878</v>
      </c>
      <c r="D34" s="7">
        <v>0</v>
      </c>
      <c r="E34" s="434">
        <f>'[2]Rate Summary'!D28</f>
        <v>2.0240000000000001E-2</v>
      </c>
      <c r="F34" s="435">
        <f t="shared" si="0"/>
        <v>0</v>
      </c>
      <c r="G34" s="435">
        <f t="shared" si="1"/>
        <v>61635.999210720001</v>
      </c>
      <c r="H34" s="435">
        <f t="shared" si="2"/>
        <v>61635.999210720001</v>
      </c>
      <c r="I34" s="504">
        <f t="shared" si="3"/>
        <v>1</v>
      </c>
    </row>
    <row r="35" spans="1:9" x14ac:dyDescent="0.25">
      <c r="A35" s="360" t="s">
        <v>64</v>
      </c>
      <c r="B35" s="433">
        <v>87</v>
      </c>
      <c r="C35" s="64">
        <f>'RY#2 Therms By Block'!N93</f>
        <v>3792042.2029999997</v>
      </c>
      <c r="D35" s="7">
        <v>0</v>
      </c>
      <c r="E35" s="434">
        <f>'[2]Rate Summary'!D29</f>
        <v>1.457E-2</v>
      </c>
      <c r="F35" s="435">
        <f t="shared" si="0"/>
        <v>0</v>
      </c>
      <c r="G35" s="435">
        <f t="shared" si="1"/>
        <v>55250.054897709997</v>
      </c>
      <c r="H35" s="435">
        <f t="shared" si="2"/>
        <v>55250.054897709997</v>
      </c>
      <c r="I35" s="504">
        <f t="shared" si="3"/>
        <v>1</v>
      </c>
    </row>
    <row r="36" spans="1:9" x14ac:dyDescent="0.25">
      <c r="A36" s="360" t="s">
        <v>91</v>
      </c>
      <c r="B36" s="433">
        <v>87</v>
      </c>
      <c r="C36" s="64">
        <f>'RY#2 Therms By Block'!N94</f>
        <v>9755057.4703552071</v>
      </c>
      <c r="D36" s="7">
        <v>0</v>
      </c>
      <c r="E36" s="434">
        <f>'[2]Rate Summary'!D30</f>
        <v>2.7799999999999999E-3</v>
      </c>
      <c r="F36" s="435">
        <f t="shared" si="0"/>
        <v>0</v>
      </c>
      <c r="G36" s="435">
        <f t="shared" si="1"/>
        <v>27119.059767587474</v>
      </c>
      <c r="H36" s="435">
        <f t="shared" si="2"/>
        <v>27119.059767587474</v>
      </c>
      <c r="I36" s="504">
        <f t="shared" si="3"/>
        <v>1</v>
      </c>
    </row>
    <row r="37" spans="1:9" x14ac:dyDescent="0.25">
      <c r="A37" s="298" t="s">
        <v>6</v>
      </c>
      <c r="B37" s="328">
        <v>87</v>
      </c>
      <c r="C37" s="361">
        <f>SUM(C31:C36)</f>
        <v>21819455.762355208</v>
      </c>
      <c r="D37" s="413"/>
      <c r="E37" s="413"/>
      <c r="F37" s="308">
        <f>SUM(F31:F36)</f>
        <v>0</v>
      </c>
      <c r="G37" s="308">
        <f t="shared" ref="G37" si="16">SUM(G31:G36)</f>
        <v>410588.56604977744</v>
      </c>
      <c r="H37" s="308">
        <f>SUM(H31:H36)</f>
        <v>410588.56604977744</v>
      </c>
      <c r="I37" s="504">
        <f t="shared" si="3"/>
        <v>1</v>
      </c>
    </row>
    <row r="38" spans="1:9" x14ac:dyDescent="0.25">
      <c r="B38" s="328"/>
      <c r="C38" s="299"/>
      <c r="D38" s="413"/>
      <c r="E38" s="413"/>
      <c r="F38" s="302"/>
      <c r="G38" s="302"/>
      <c r="H38" s="303"/>
      <c r="I38" s="504"/>
    </row>
    <row r="39" spans="1:9" x14ac:dyDescent="0.25">
      <c r="A39" s="298" t="s">
        <v>32</v>
      </c>
      <c r="B39" s="328" t="s">
        <v>33</v>
      </c>
      <c r="C39" s="299">
        <f>Therms!P17</f>
        <v>33867</v>
      </c>
      <c r="D39" s="413"/>
      <c r="E39" s="413"/>
      <c r="F39" s="302">
        <f t="shared" si="0"/>
        <v>0</v>
      </c>
      <c r="G39" s="302">
        <f t="shared" si="1"/>
        <v>0</v>
      </c>
      <c r="H39" s="303">
        <f t="shared" si="2"/>
        <v>0</v>
      </c>
      <c r="I39" s="504">
        <v>0</v>
      </c>
    </row>
    <row r="40" spans="1:9" x14ac:dyDescent="0.25">
      <c r="A40" s="298" t="s">
        <v>34</v>
      </c>
      <c r="B40" s="298" t="s">
        <v>35</v>
      </c>
      <c r="C40" s="299">
        <f>Therms!P18</f>
        <v>26510234</v>
      </c>
      <c r="D40" s="413"/>
      <c r="E40" s="413"/>
      <c r="F40" s="302">
        <f t="shared" si="0"/>
        <v>0</v>
      </c>
      <c r="G40" s="302">
        <f t="shared" si="1"/>
        <v>0</v>
      </c>
      <c r="H40" s="303">
        <f t="shared" si="2"/>
        <v>0</v>
      </c>
      <c r="I40" s="504">
        <v>0</v>
      </c>
    </row>
    <row r="41" spans="1:9" x14ac:dyDescent="0.25">
      <c r="A41" s="298" t="s">
        <v>36</v>
      </c>
      <c r="B41" s="298" t="s">
        <v>37</v>
      </c>
      <c r="C41" s="299">
        <f>Therms!P19</f>
        <v>62288926</v>
      </c>
      <c r="D41" s="413"/>
      <c r="E41" s="413"/>
      <c r="F41" s="302">
        <f t="shared" si="0"/>
        <v>0</v>
      </c>
      <c r="G41" s="302">
        <f t="shared" si="1"/>
        <v>0</v>
      </c>
      <c r="H41" s="303">
        <f t="shared" si="2"/>
        <v>0</v>
      </c>
      <c r="I41" s="504">
        <v>0</v>
      </c>
    </row>
    <row r="42" spans="1:9" x14ac:dyDescent="0.25">
      <c r="A42" s="298" t="s">
        <v>38</v>
      </c>
      <c r="B42" s="298" t="s">
        <v>39</v>
      </c>
      <c r="C42" s="299">
        <f>Therms!P20</f>
        <v>578702</v>
      </c>
      <c r="D42" s="413"/>
      <c r="E42" s="413"/>
      <c r="F42" s="302">
        <f t="shared" si="0"/>
        <v>0</v>
      </c>
      <c r="G42" s="302">
        <f t="shared" si="1"/>
        <v>0</v>
      </c>
      <c r="H42" s="303">
        <f t="shared" si="2"/>
        <v>0</v>
      </c>
      <c r="I42" s="504">
        <v>0</v>
      </c>
    </row>
    <row r="43" spans="1:9" x14ac:dyDescent="0.25">
      <c r="C43" s="299"/>
      <c r="D43" s="413"/>
      <c r="E43" s="413"/>
      <c r="F43" s="302"/>
      <c r="G43" s="302"/>
      <c r="H43" s="303"/>
      <c r="I43" s="504"/>
    </row>
    <row r="44" spans="1:9" x14ac:dyDescent="0.25">
      <c r="A44" s="298" t="s">
        <v>40</v>
      </c>
      <c r="B44" s="298" t="s">
        <v>41</v>
      </c>
      <c r="I44" s="504"/>
    </row>
    <row r="45" spans="1:9" x14ac:dyDescent="0.25">
      <c r="A45" s="360" t="s">
        <v>109</v>
      </c>
      <c r="B45" s="360" t="s">
        <v>41</v>
      </c>
      <c r="C45" s="64">
        <f>Therms!$P$21*'12ME Jun21 Bill Freq'!N49</f>
        <v>2998789.669999999</v>
      </c>
      <c r="D45" s="434"/>
      <c r="E45" s="434"/>
      <c r="F45" s="435">
        <f t="shared" si="0"/>
        <v>0</v>
      </c>
      <c r="G45" s="435">
        <f t="shared" si="1"/>
        <v>0</v>
      </c>
      <c r="H45" s="435">
        <f t="shared" si="2"/>
        <v>0</v>
      </c>
      <c r="I45" s="504">
        <v>0</v>
      </c>
    </row>
    <row r="46" spans="1:9" x14ac:dyDescent="0.25">
      <c r="A46" s="360" t="s">
        <v>110</v>
      </c>
      <c r="B46" s="360" t="s">
        <v>41</v>
      </c>
      <c r="C46" s="64">
        <f>Therms!$P$21*'12ME Jun21 Bill Freq'!N50</f>
        <v>2999999.9999999995</v>
      </c>
      <c r="D46" s="434"/>
      <c r="E46" s="434"/>
      <c r="F46" s="435">
        <f t="shared" si="0"/>
        <v>0</v>
      </c>
      <c r="G46" s="435">
        <f t="shared" si="1"/>
        <v>0</v>
      </c>
      <c r="H46" s="435">
        <f t="shared" si="2"/>
        <v>0</v>
      </c>
      <c r="I46" s="504">
        <v>0</v>
      </c>
    </row>
    <row r="47" spans="1:9" x14ac:dyDescent="0.25">
      <c r="A47" s="360" t="s">
        <v>112</v>
      </c>
      <c r="B47" s="360" t="s">
        <v>41</v>
      </c>
      <c r="C47" s="64">
        <f>Therms!$P$21*'12ME Jun21 Bill Freq'!N51</f>
        <v>5999999.9999999991</v>
      </c>
      <c r="D47" s="434"/>
      <c r="E47" s="434"/>
      <c r="F47" s="435">
        <f t="shared" si="0"/>
        <v>0</v>
      </c>
      <c r="G47" s="435">
        <f t="shared" si="1"/>
        <v>0</v>
      </c>
      <c r="H47" s="435">
        <f t="shared" si="2"/>
        <v>0</v>
      </c>
      <c r="I47" s="504">
        <v>0</v>
      </c>
    </row>
    <row r="48" spans="1:9" x14ac:dyDescent="0.25">
      <c r="A48" s="360" t="s">
        <v>63</v>
      </c>
      <c r="B48" s="360" t="s">
        <v>41</v>
      </c>
      <c r="C48" s="64">
        <f>Therms!$P$21*'12ME Jun21 Bill Freq'!N52</f>
        <v>11463691.02</v>
      </c>
      <c r="D48" s="434"/>
      <c r="E48" s="434"/>
      <c r="F48" s="435">
        <f t="shared" si="0"/>
        <v>0</v>
      </c>
      <c r="G48" s="435">
        <f t="shared" si="1"/>
        <v>0</v>
      </c>
      <c r="H48" s="435">
        <f t="shared" si="2"/>
        <v>0</v>
      </c>
      <c r="I48" s="504">
        <v>0</v>
      </c>
    </row>
    <row r="49" spans="1:9" x14ac:dyDescent="0.25">
      <c r="A49" s="360" t="s">
        <v>64</v>
      </c>
      <c r="B49" s="360" t="s">
        <v>41</v>
      </c>
      <c r="C49" s="64">
        <f>Therms!$P$21*'12ME Jun21 Bill Freq'!N53</f>
        <v>25744602.149999995</v>
      </c>
      <c r="D49" s="434"/>
      <c r="E49" s="434"/>
      <c r="F49" s="435">
        <f t="shared" si="0"/>
        <v>0</v>
      </c>
      <c r="G49" s="435">
        <f t="shared" si="1"/>
        <v>0</v>
      </c>
      <c r="H49" s="435">
        <f t="shared" si="2"/>
        <v>0</v>
      </c>
      <c r="I49" s="504">
        <v>0</v>
      </c>
    </row>
    <row r="50" spans="1:9" x14ac:dyDescent="0.25">
      <c r="A50" s="360" t="s">
        <v>91</v>
      </c>
      <c r="B50" s="360" t="s">
        <v>41</v>
      </c>
      <c r="C50" s="64">
        <f>Therms!$P$21*'12ME Jun21 Bill Freq'!N54</f>
        <v>48293342.805479579</v>
      </c>
      <c r="D50" s="434"/>
      <c r="E50" s="434"/>
      <c r="F50" s="435">
        <f t="shared" si="0"/>
        <v>0</v>
      </c>
      <c r="G50" s="435">
        <f t="shared" si="1"/>
        <v>0</v>
      </c>
      <c r="H50" s="435">
        <f t="shared" si="2"/>
        <v>0</v>
      </c>
      <c r="I50" s="504">
        <v>0</v>
      </c>
    </row>
    <row r="51" spans="1:9" x14ac:dyDescent="0.25">
      <c r="A51" s="298" t="s">
        <v>6</v>
      </c>
      <c r="B51" s="298" t="s">
        <v>41</v>
      </c>
      <c r="C51" s="361">
        <f>SUM(C45:C50)</f>
        <v>97500425.64547956</v>
      </c>
      <c r="D51" s="413"/>
      <c r="E51" s="413"/>
      <c r="F51" s="308">
        <f>SUM(F45:F50)</f>
        <v>0</v>
      </c>
      <c r="G51" s="308">
        <f t="shared" ref="G51:H51" si="17">SUM(G45:G50)</f>
        <v>0</v>
      </c>
      <c r="H51" s="308">
        <f t="shared" si="17"/>
        <v>0</v>
      </c>
      <c r="I51" s="504">
        <v>0</v>
      </c>
    </row>
    <row r="52" spans="1:9" x14ac:dyDescent="0.25">
      <c r="C52" s="299"/>
      <c r="D52" s="413"/>
      <c r="E52" s="413"/>
      <c r="F52" s="302"/>
      <c r="G52" s="302"/>
      <c r="H52" s="303"/>
      <c r="I52" s="504"/>
    </row>
    <row r="53" spans="1:9" x14ac:dyDescent="0.25">
      <c r="A53" s="298" t="s">
        <v>13</v>
      </c>
      <c r="C53" s="299">
        <f>Therms!P23</f>
        <v>30967900</v>
      </c>
      <c r="D53" s="437"/>
      <c r="E53" s="284"/>
      <c r="F53" s="302">
        <f>C53*D53</f>
        <v>0</v>
      </c>
      <c r="G53" s="302">
        <f t="shared" si="1"/>
        <v>0</v>
      </c>
      <c r="H53" s="303">
        <f t="shared" si="2"/>
        <v>0</v>
      </c>
      <c r="I53" s="504">
        <v>0</v>
      </c>
    </row>
    <row r="54" spans="1:9" x14ac:dyDescent="0.25">
      <c r="A54" s="298" t="s">
        <v>6</v>
      </c>
      <c r="C54" s="361">
        <f>SUM(C9:C11,C17,C23,C28,C37,C39:C42,C51,C53)</f>
        <v>1208234461.407835</v>
      </c>
      <c r="D54" s="362"/>
      <c r="E54" s="373"/>
      <c r="F54" s="286">
        <f>SUM(F9:F11,F17,F23,F28,F37,F39:F42,F51,F53)</f>
        <v>0</v>
      </c>
      <c r="G54" s="286">
        <f>SUM(G9:G11,G17,G23,G28,G37,G39:G42,G51,G53)</f>
        <v>42672667.527896881</v>
      </c>
      <c r="H54" s="286">
        <f>SUM(H9:H11,H17,H23,H28,H37,H39:H42,H51,H53)</f>
        <v>42672667.527896881</v>
      </c>
      <c r="I54" s="507">
        <f t="shared" si="3"/>
        <v>1</v>
      </c>
    </row>
    <row r="55" spans="1:9" x14ac:dyDescent="0.25">
      <c r="F55" s="303"/>
      <c r="G55" s="303"/>
    </row>
    <row r="56" spans="1:9" x14ac:dyDescent="0.25">
      <c r="A56" s="438"/>
      <c r="C56" s="329"/>
      <c r="F56" s="303"/>
      <c r="G56" s="303"/>
    </row>
    <row r="57" spans="1:9" x14ac:dyDescent="0.25">
      <c r="A57" s="364"/>
    </row>
  </sheetData>
  <mergeCells count="4">
    <mergeCell ref="A1:I1"/>
    <mergeCell ref="A2:I2"/>
    <mergeCell ref="A3:I3"/>
    <mergeCell ref="A4:I4"/>
  </mergeCells>
  <printOptions horizontalCentered="1"/>
  <pageMargins left="0.7" right="0.7" top="0.75" bottom="0.75" header="0.3" footer="0.3"/>
  <pageSetup scale="85" orientation="landscape" blackAndWhite="1" r:id="rId1"/>
  <headerFooter>
    <oddFooter>&amp;L&amp;F 
&amp;A&amp;C&amp;P&amp;R&amp;D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90" zoomScaleNormal="90" workbookViewId="0">
      <selection activeCell="G40" sqref="G40"/>
    </sheetView>
  </sheetViews>
  <sheetFormatPr defaultRowHeight="15" x14ac:dyDescent="0.25"/>
  <cols>
    <col min="1" max="1" width="36.85546875" style="298" bestFit="1" customWidth="1"/>
    <col min="2" max="2" width="9.28515625" style="298" bestFit="1" customWidth="1"/>
    <col min="3" max="3" width="18.7109375" style="298" bestFit="1" customWidth="1"/>
    <col min="4" max="9" width="13.7109375" style="298" customWidth="1"/>
    <col min="10" max="12" width="14.42578125" style="298" customWidth="1"/>
    <col min="13" max="13" width="9.85546875" style="298" bestFit="1" customWidth="1"/>
    <col min="14" max="16384" width="9.140625" style="298"/>
  </cols>
  <sheetData>
    <row r="1" spans="1:14" s="58" customFormat="1" x14ac:dyDescent="0.25">
      <c r="A1" s="639" t="s">
        <v>0</v>
      </c>
      <c r="B1" s="639"/>
      <c r="C1" s="639"/>
      <c r="D1" s="639"/>
      <c r="E1" s="639"/>
      <c r="F1" s="639"/>
      <c r="G1" s="639"/>
      <c r="H1" s="639"/>
      <c r="I1" s="639"/>
      <c r="J1" s="639"/>
      <c r="K1" s="639"/>
      <c r="L1" s="639"/>
      <c r="M1" s="639"/>
      <c r="N1" s="47"/>
    </row>
    <row r="2" spans="1:14" s="58" customFormat="1" x14ac:dyDescent="0.25">
      <c r="A2" s="639" t="s">
        <v>271</v>
      </c>
      <c r="B2" s="639"/>
      <c r="C2" s="639"/>
      <c r="D2" s="639"/>
      <c r="E2" s="639"/>
      <c r="F2" s="639"/>
      <c r="G2" s="639"/>
      <c r="H2" s="639"/>
      <c r="I2" s="639"/>
      <c r="J2" s="639"/>
      <c r="K2" s="639"/>
      <c r="L2" s="639"/>
      <c r="M2" s="639"/>
      <c r="N2" s="47"/>
    </row>
    <row r="3" spans="1:14" s="58" customFormat="1" x14ac:dyDescent="0.25">
      <c r="A3" s="639" t="s">
        <v>272</v>
      </c>
      <c r="B3" s="639"/>
      <c r="C3" s="639"/>
      <c r="D3" s="639"/>
      <c r="E3" s="639"/>
      <c r="F3" s="639"/>
      <c r="G3" s="639"/>
      <c r="H3" s="639"/>
      <c r="I3" s="639"/>
      <c r="J3" s="639"/>
      <c r="K3" s="639"/>
      <c r="L3" s="639"/>
      <c r="M3" s="639"/>
      <c r="N3" s="47"/>
    </row>
    <row r="4" spans="1:14" s="58" customFormat="1" x14ac:dyDescent="0.25">
      <c r="A4" s="639" t="str">
        <f>'Current Revenue Calc.'!B4</f>
        <v>Proposed Rates Effective May 11, 2024</v>
      </c>
      <c r="B4" s="639"/>
      <c r="C4" s="639"/>
      <c r="D4" s="639"/>
      <c r="E4" s="639"/>
      <c r="F4" s="639"/>
      <c r="G4" s="639"/>
      <c r="H4" s="639"/>
      <c r="I4" s="639"/>
      <c r="J4" s="639"/>
      <c r="K4" s="639"/>
      <c r="L4" s="639"/>
      <c r="M4" s="639"/>
      <c r="N4" s="47"/>
    </row>
    <row r="5" spans="1:14" x14ac:dyDescent="0.25">
      <c r="D5" s="429"/>
      <c r="E5" s="514"/>
      <c r="F5" s="514"/>
      <c r="G5" s="514"/>
      <c r="H5" s="514"/>
      <c r="I5" s="429"/>
    </row>
    <row r="6" spans="1:14" x14ac:dyDescent="0.25">
      <c r="D6" s="648" t="s">
        <v>5</v>
      </c>
      <c r="E6" s="649"/>
      <c r="F6" s="650"/>
      <c r="G6" s="648" t="s">
        <v>1</v>
      </c>
      <c r="H6" s="649"/>
      <c r="I6" s="650"/>
    </row>
    <row r="7" spans="1:14" x14ac:dyDescent="0.25">
      <c r="A7" s="291"/>
      <c r="B7" s="291"/>
      <c r="C7" s="291" t="s">
        <v>15</v>
      </c>
      <c r="D7" s="291" t="s">
        <v>273</v>
      </c>
      <c r="E7" s="291" t="s">
        <v>412</v>
      </c>
      <c r="F7" s="291" t="s">
        <v>273</v>
      </c>
      <c r="G7" s="291" t="s">
        <v>273</v>
      </c>
      <c r="H7" s="291" t="s">
        <v>412</v>
      </c>
      <c r="I7" s="291" t="s">
        <v>273</v>
      </c>
      <c r="J7" s="428" t="s">
        <v>15</v>
      </c>
      <c r="K7" s="428" t="s">
        <v>15</v>
      </c>
      <c r="L7" s="291" t="s">
        <v>273</v>
      </c>
      <c r="M7" s="291"/>
    </row>
    <row r="8" spans="1:14" x14ac:dyDescent="0.25">
      <c r="A8" s="291"/>
      <c r="B8" s="291" t="s">
        <v>17</v>
      </c>
      <c r="C8" s="291" t="s">
        <v>3</v>
      </c>
      <c r="D8" s="514" t="s">
        <v>413</v>
      </c>
      <c r="E8" s="353" t="s">
        <v>414</v>
      </c>
      <c r="F8" s="291" t="s">
        <v>6</v>
      </c>
      <c r="G8" s="514" t="s">
        <v>413</v>
      </c>
      <c r="H8" s="353" t="s">
        <v>414</v>
      </c>
      <c r="I8" s="291" t="s">
        <v>6</v>
      </c>
      <c r="J8" s="428" t="s">
        <v>2</v>
      </c>
      <c r="K8" s="428" t="s">
        <v>2</v>
      </c>
      <c r="L8" s="291" t="s">
        <v>2</v>
      </c>
      <c r="M8" s="291" t="s">
        <v>20</v>
      </c>
    </row>
    <row r="9" spans="1:14" x14ac:dyDescent="0.25">
      <c r="A9" s="333" t="s">
        <v>4</v>
      </c>
      <c r="B9" s="333" t="s">
        <v>21</v>
      </c>
      <c r="C9" s="252" t="str">
        <f>'Current Revenue Calc.'!$T$7</f>
        <v>12ME Oct. 2024</v>
      </c>
      <c r="D9" s="333" t="s">
        <v>22</v>
      </c>
      <c r="E9" s="333" t="s">
        <v>22</v>
      </c>
      <c r="F9" s="333" t="s">
        <v>22</v>
      </c>
      <c r="G9" s="333" t="s">
        <v>22</v>
      </c>
      <c r="H9" s="333" t="s">
        <v>22</v>
      </c>
      <c r="I9" s="333" t="s">
        <v>22</v>
      </c>
      <c r="J9" s="272" t="s">
        <v>23</v>
      </c>
      <c r="K9" s="272" t="s">
        <v>182</v>
      </c>
      <c r="L9" s="333" t="s">
        <v>24</v>
      </c>
      <c r="M9" s="333" t="s">
        <v>24</v>
      </c>
    </row>
    <row r="10" spans="1:14" x14ac:dyDescent="0.25">
      <c r="A10" s="298" t="s">
        <v>7</v>
      </c>
      <c r="B10" s="328" t="s">
        <v>30</v>
      </c>
      <c r="C10" s="299">
        <f>SUM(Therms!P10:P11)</f>
        <v>639464549</v>
      </c>
      <c r="D10" s="284">
        <v>-1.6999999999999999E-3</v>
      </c>
      <c r="E10" s="284">
        <v>0</v>
      </c>
      <c r="F10" s="362">
        <f>SUM(D10:E10)</f>
        <v>-1.6999999999999999E-3</v>
      </c>
      <c r="G10" s="284">
        <v>-1.6999999999999999E-3</v>
      </c>
      <c r="H10" s="413">
        <f>'[1]Rate Summary'!$E$9</f>
        <v>1.2099999999999999E-3</v>
      </c>
      <c r="I10" s="362">
        <f>SUM(G10:H10)</f>
        <v>-4.8999999999999998E-4</v>
      </c>
      <c r="J10" s="302">
        <f t="shared" ref="J10:J15" si="0">C10*F10</f>
        <v>-1087089.7333</v>
      </c>
      <c r="K10" s="302">
        <f>C10*I10</f>
        <v>-313337.62900999998</v>
      </c>
      <c r="L10" s="303">
        <f>K10-J10</f>
        <v>773752.10428999993</v>
      </c>
      <c r="M10" s="355">
        <f>-L10/J10</f>
        <v>0.71176470588235285</v>
      </c>
    </row>
    <row r="11" spans="1:14" x14ac:dyDescent="0.25">
      <c r="A11" s="298" t="s">
        <v>31</v>
      </c>
      <c r="B11" s="328">
        <v>16</v>
      </c>
      <c r="C11" s="64">
        <f>Therms!P9</f>
        <v>8832</v>
      </c>
      <c r="D11" s="284">
        <v>-1.6999999999999999E-3</v>
      </c>
      <c r="E11" s="284">
        <v>0</v>
      </c>
      <c r="F11" s="362">
        <f t="shared" ref="F11:F37" si="1">SUM(D11:E11)</f>
        <v>-1.6999999999999999E-3</v>
      </c>
      <c r="G11" s="284">
        <v>-1.6999999999999999E-3</v>
      </c>
      <c r="H11" s="413">
        <f>'[1]Rate Summary'!$E$9</f>
        <v>1.2099999999999999E-3</v>
      </c>
      <c r="I11" s="362">
        <f t="shared" ref="I11:I37" si="2">SUM(G11:H11)</f>
        <v>-4.8999999999999998E-4</v>
      </c>
      <c r="J11" s="302">
        <f t="shared" si="0"/>
        <v>-15.014399999999998</v>
      </c>
      <c r="K11" s="302">
        <f t="shared" ref="K11:K40" si="3">C11*I11</f>
        <v>-4.32768</v>
      </c>
      <c r="L11" s="303">
        <f t="shared" ref="L11:L40" si="4">K11-J11</f>
        <v>10.686719999999998</v>
      </c>
      <c r="M11" s="355">
        <f t="shared" ref="M11:M29" si="5">-L11/J11</f>
        <v>0.71176470588235285</v>
      </c>
    </row>
    <row r="12" spans="1:14" x14ac:dyDescent="0.25">
      <c r="A12" s="298" t="s">
        <v>8</v>
      </c>
      <c r="B12" s="328">
        <v>31</v>
      </c>
      <c r="C12" s="299">
        <f>Therms!P12</f>
        <v>245936243</v>
      </c>
      <c r="D12" s="284">
        <v>-1.57E-3</v>
      </c>
      <c r="E12" s="284">
        <v>0</v>
      </c>
      <c r="F12" s="362">
        <f t="shared" si="1"/>
        <v>-1.57E-3</v>
      </c>
      <c r="G12" s="284">
        <v>-1.57E-3</v>
      </c>
      <c r="H12" s="413">
        <f>'[1]Rate Summary'!$E$13</f>
        <v>1.1000000000000001E-3</v>
      </c>
      <c r="I12" s="362">
        <f t="shared" si="2"/>
        <v>-4.6999999999999993E-4</v>
      </c>
      <c r="J12" s="302">
        <f t="shared" si="0"/>
        <v>-386119.90151</v>
      </c>
      <c r="K12" s="302">
        <f t="shared" si="3"/>
        <v>-115590.03420999998</v>
      </c>
      <c r="L12" s="303">
        <f t="shared" si="4"/>
        <v>270529.86730000004</v>
      </c>
      <c r="M12" s="355">
        <f t="shared" si="5"/>
        <v>0.7006369426751593</v>
      </c>
    </row>
    <row r="13" spans="1:14" x14ac:dyDescent="0.25">
      <c r="A13" s="298" t="s">
        <v>9</v>
      </c>
      <c r="B13" s="328">
        <v>41</v>
      </c>
      <c r="C13" s="299">
        <f>Therms!P13</f>
        <v>66890541</v>
      </c>
      <c r="D13" s="284">
        <v>-7.5000000000000002E-4</v>
      </c>
      <c r="E13" s="284">
        <v>0</v>
      </c>
      <c r="F13" s="362">
        <f t="shared" si="1"/>
        <v>-7.5000000000000002E-4</v>
      </c>
      <c r="G13" s="284">
        <v>-7.5000000000000002E-4</v>
      </c>
      <c r="H13" s="413">
        <f>'[1]Rate Summary'!$E$15</f>
        <v>8.4000000000000003E-4</v>
      </c>
      <c r="I13" s="362">
        <f t="shared" si="2"/>
        <v>9.0000000000000019E-5</v>
      </c>
      <c r="J13" s="302">
        <f t="shared" si="0"/>
        <v>-50167.905749999998</v>
      </c>
      <c r="K13" s="302">
        <f t="shared" si="3"/>
        <v>6020.1486900000009</v>
      </c>
      <c r="L13" s="303">
        <f t="shared" si="4"/>
        <v>56188.05444</v>
      </c>
      <c r="M13" s="355">
        <f t="shared" si="5"/>
        <v>1.1200000000000001</v>
      </c>
    </row>
    <row r="14" spans="1:14" x14ac:dyDescent="0.25">
      <c r="A14" s="298" t="s">
        <v>10</v>
      </c>
      <c r="B14" s="328">
        <v>85</v>
      </c>
      <c r="C14" s="299">
        <f>Therms!P14</f>
        <v>10745378</v>
      </c>
      <c r="D14" s="284">
        <v>-4.4999999999999999E-4</v>
      </c>
      <c r="E14" s="284">
        <v>0</v>
      </c>
      <c r="F14" s="362">
        <f t="shared" si="1"/>
        <v>-4.4999999999999999E-4</v>
      </c>
      <c r="G14" s="284">
        <v>-4.4999999999999999E-4</v>
      </c>
      <c r="H14" s="413">
        <f>'[1]Rate Summary'!$E$17</f>
        <v>7.1000000000000002E-4</v>
      </c>
      <c r="I14" s="362">
        <f t="shared" si="2"/>
        <v>2.6000000000000003E-4</v>
      </c>
      <c r="J14" s="302">
        <f t="shared" si="0"/>
        <v>-4835.4201000000003</v>
      </c>
      <c r="K14" s="302">
        <f t="shared" si="3"/>
        <v>2793.7982800000004</v>
      </c>
      <c r="L14" s="303">
        <f t="shared" si="4"/>
        <v>7629.2183800000003</v>
      </c>
      <c r="M14" s="355">
        <f t="shared" si="5"/>
        <v>1.5777777777777777</v>
      </c>
    </row>
    <row r="15" spans="1:14" x14ac:dyDescent="0.25">
      <c r="A15" s="298" t="s">
        <v>11</v>
      </c>
      <c r="B15" s="328">
        <v>86</v>
      </c>
      <c r="C15" s="299">
        <f>Therms!P15</f>
        <v>5489408</v>
      </c>
      <c r="D15" s="284">
        <v>-3.6000000000000002E-4</v>
      </c>
      <c r="E15" s="284">
        <v>0</v>
      </c>
      <c r="F15" s="362">
        <f t="shared" si="1"/>
        <v>-3.6000000000000002E-4</v>
      </c>
      <c r="G15" s="284">
        <v>-3.6000000000000002E-4</v>
      </c>
      <c r="H15" s="413">
        <f>'[1]Rate Summary'!$E$19</f>
        <v>1.9000000000000001E-4</v>
      </c>
      <c r="I15" s="362">
        <f t="shared" si="2"/>
        <v>-1.7000000000000001E-4</v>
      </c>
      <c r="J15" s="302">
        <f t="shared" si="0"/>
        <v>-1976.1868800000002</v>
      </c>
      <c r="K15" s="302">
        <f t="shared" si="3"/>
        <v>-933.19936000000007</v>
      </c>
      <c r="L15" s="303">
        <f t="shared" si="4"/>
        <v>1042.9875200000001</v>
      </c>
      <c r="M15" s="355">
        <f t="shared" si="5"/>
        <v>0.52777777777777779</v>
      </c>
    </row>
    <row r="16" spans="1:14" x14ac:dyDescent="0.25">
      <c r="B16" s="328"/>
      <c r="C16" s="299"/>
      <c r="D16" s="284"/>
      <c r="E16" s="284"/>
      <c r="F16" s="362"/>
      <c r="G16" s="284"/>
      <c r="H16" s="284"/>
      <c r="I16" s="362"/>
      <c r="J16" s="302"/>
      <c r="K16" s="302"/>
      <c r="L16" s="303"/>
      <c r="M16" s="355"/>
    </row>
    <row r="17" spans="1:13" x14ac:dyDescent="0.25">
      <c r="A17" s="298" t="s">
        <v>12</v>
      </c>
      <c r="B17" s="328">
        <v>87</v>
      </c>
      <c r="D17" s="70"/>
      <c r="E17" s="70"/>
      <c r="F17" s="362"/>
      <c r="G17" s="70"/>
      <c r="H17" s="70"/>
      <c r="I17" s="362"/>
    </row>
    <row r="18" spans="1:13" x14ac:dyDescent="0.25">
      <c r="A18" s="360" t="s">
        <v>109</v>
      </c>
      <c r="B18" s="433">
        <v>87</v>
      </c>
      <c r="C18" s="64">
        <f>'RY#2 Therms By Block'!N89</f>
        <v>1512193</v>
      </c>
      <c r="D18" s="7">
        <v>-9.1E-4</v>
      </c>
      <c r="E18" s="7">
        <v>0</v>
      </c>
      <c r="F18" s="362">
        <f t="shared" si="1"/>
        <v>-9.1E-4</v>
      </c>
      <c r="G18" s="7">
        <v>-9.1E-4</v>
      </c>
      <c r="H18" s="434">
        <f>'[1]Rate Summary'!E21</f>
        <v>1.2899999999999999E-3</v>
      </c>
      <c r="I18" s="362">
        <f t="shared" si="2"/>
        <v>3.7999999999999991E-4</v>
      </c>
      <c r="J18" s="435">
        <f t="shared" ref="J18:J23" si="6">C18*F18</f>
        <v>-1376.09563</v>
      </c>
      <c r="K18" s="435">
        <f t="shared" si="3"/>
        <v>574.63333999999986</v>
      </c>
      <c r="L18" s="435">
        <f>K18-J18</f>
        <v>1950.7289699999999</v>
      </c>
      <c r="M18" s="436">
        <f t="shared" si="5"/>
        <v>1.4175824175824174</v>
      </c>
    </row>
    <row r="19" spans="1:13" x14ac:dyDescent="0.25">
      <c r="A19" s="360" t="s">
        <v>110</v>
      </c>
      <c r="B19" s="433">
        <v>87</v>
      </c>
      <c r="C19" s="64">
        <f>'RY#2 Therms By Block'!N90</f>
        <v>1398016.115</v>
      </c>
      <c r="D19" s="7">
        <v>-5.5000000000000003E-4</v>
      </c>
      <c r="E19" s="7">
        <v>0</v>
      </c>
      <c r="F19" s="362">
        <f t="shared" si="1"/>
        <v>-5.5000000000000003E-4</v>
      </c>
      <c r="G19" s="7">
        <v>-5.5000000000000003E-4</v>
      </c>
      <c r="H19" s="434">
        <f>'[1]Rate Summary'!E22</f>
        <v>7.7999999999999999E-4</v>
      </c>
      <c r="I19" s="362">
        <f t="shared" si="2"/>
        <v>2.2999999999999995E-4</v>
      </c>
      <c r="J19" s="435">
        <f t="shared" si="6"/>
        <v>-768.90886325000008</v>
      </c>
      <c r="K19" s="435">
        <f t="shared" si="3"/>
        <v>321.54370644999995</v>
      </c>
      <c r="L19" s="435">
        <f t="shared" si="4"/>
        <v>1090.4525696999999</v>
      </c>
      <c r="M19" s="436">
        <f t="shared" si="5"/>
        <v>1.418181818181818</v>
      </c>
    </row>
    <row r="20" spans="1:13" x14ac:dyDescent="0.25">
      <c r="A20" s="360" t="s">
        <v>112</v>
      </c>
      <c r="B20" s="433">
        <v>87</v>
      </c>
      <c r="C20" s="64">
        <f>'RY#2 Therms By Block'!N91</f>
        <v>2316890.0959999999</v>
      </c>
      <c r="D20" s="7">
        <v>-3.5E-4</v>
      </c>
      <c r="E20" s="7">
        <v>0</v>
      </c>
      <c r="F20" s="362">
        <f t="shared" si="1"/>
        <v>-3.5E-4</v>
      </c>
      <c r="G20" s="7">
        <v>-3.5E-4</v>
      </c>
      <c r="H20" s="434">
        <f>'[1]Rate Summary'!E23</f>
        <v>5.0000000000000001E-4</v>
      </c>
      <c r="I20" s="362">
        <f t="shared" si="2"/>
        <v>1.5000000000000001E-4</v>
      </c>
      <c r="J20" s="435">
        <f t="shared" si="6"/>
        <v>-810.91153359999998</v>
      </c>
      <c r="K20" s="435">
        <f t="shared" si="3"/>
        <v>347.5335144</v>
      </c>
      <c r="L20" s="435">
        <f t="shared" si="4"/>
        <v>1158.445048</v>
      </c>
      <c r="M20" s="436">
        <f t="shared" si="5"/>
        <v>1.4285714285714286</v>
      </c>
    </row>
    <row r="21" spans="1:13" x14ac:dyDescent="0.25">
      <c r="A21" s="360" t="s">
        <v>63</v>
      </c>
      <c r="B21" s="433">
        <v>87</v>
      </c>
      <c r="C21" s="64">
        <f>'RY#2 Therms By Block'!N92</f>
        <v>3045256.878</v>
      </c>
      <c r="D21" s="7">
        <v>-2.2000000000000001E-4</v>
      </c>
      <c r="E21" s="7">
        <v>0</v>
      </c>
      <c r="F21" s="362">
        <f t="shared" si="1"/>
        <v>-2.2000000000000001E-4</v>
      </c>
      <c r="G21" s="7">
        <v>-2.2000000000000001E-4</v>
      </c>
      <c r="H21" s="434">
        <f>'[1]Rate Summary'!E24</f>
        <v>3.2000000000000003E-4</v>
      </c>
      <c r="I21" s="362">
        <f t="shared" si="2"/>
        <v>1.0000000000000002E-4</v>
      </c>
      <c r="J21" s="435">
        <f t="shared" si="6"/>
        <v>-669.95651315999999</v>
      </c>
      <c r="K21" s="435">
        <f t="shared" si="3"/>
        <v>304.52568780000007</v>
      </c>
      <c r="L21" s="435">
        <f t="shared" si="4"/>
        <v>974.48220096</v>
      </c>
      <c r="M21" s="436">
        <f t="shared" si="5"/>
        <v>1.4545454545454546</v>
      </c>
    </row>
    <row r="22" spans="1:13" x14ac:dyDescent="0.25">
      <c r="A22" s="360" t="s">
        <v>64</v>
      </c>
      <c r="B22" s="433">
        <v>87</v>
      </c>
      <c r="C22" s="64">
        <f>'RY#2 Therms By Block'!N93</f>
        <v>3792042.2029999997</v>
      </c>
      <c r="D22" s="7">
        <v>-1.6000000000000001E-4</v>
      </c>
      <c r="E22" s="7">
        <v>0</v>
      </c>
      <c r="F22" s="362">
        <f t="shared" si="1"/>
        <v>-1.6000000000000001E-4</v>
      </c>
      <c r="G22" s="7">
        <v>-1.6000000000000001E-4</v>
      </c>
      <c r="H22" s="434">
        <f>'[1]Rate Summary'!E25</f>
        <v>2.3000000000000001E-4</v>
      </c>
      <c r="I22" s="362">
        <f t="shared" si="2"/>
        <v>6.9999999999999994E-5</v>
      </c>
      <c r="J22" s="435">
        <f t="shared" si="6"/>
        <v>-606.72675247999996</v>
      </c>
      <c r="K22" s="435">
        <f t="shared" si="3"/>
        <v>265.44295420999998</v>
      </c>
      <c r="L22" s="435">
        <f t="shared" si="4"/>
        <v>872.16970668999988</v>
      </c>
      <c r="M22" s="436">
        <f t="shared" si="5"/>
        <v>1.4375</v>
      </c>
    </row>
    <row r="23" spans="1:13" x14ac:dyDescent="0.25">
      <c r="A23" s="360" t="s">
        <v>91</v>
      </c>
      <c r="B23" s="433">
        <v>87</v>
      </c>
      <c r="C23" s="64">
        <f>'RY#2 Therms By Block'!N94</f>
        <v>9755057.4703552071</v>
      </c>
      <c r="D23" s="7">
        <v>-3.0000000000000001E-5</v>
      </c>
      <c r="E23" s="7">
        <v>0</v>
      </c>
      <c r="F23" s="362">
        <f t="shared" si="1"/>
        <v>-3.0000000000000001E-5</v>
      </c>
      <c r="G23" s="7">
        <v>-3.0000000000000001E-5</v>
      </c>
      <c r="H23" s="434">
        <f>'[1]Rate Summary'!E26</f>
        <v>4.0000000000000003E-5</v>
      </c>
      <c r="I23" s="362">
        <f t="shared" si="2"/>
        <v>1.0000000000000003E-5</v>
      </c>
      <c r="J23" s="435">
        <f t="shared" si="6"/>
        <v>-292.65172411065623</v>
      </c>
      <c r="K23" s="435">
        <f t="shared" si="3"/>
        <v>97.550574703552101</v>
      </c>
      <c r="L23" s="435">
        <f t="shared" si="4"/>
        <v>390.20229881420835</v>
      </c>
      <c r="M23" s="436">
        <f t="shared" si="5"/>
        <v>1.3333333333333335</v>
      </c>
    </row>
    <row r="24" spans="1:13" x14ac:dyDescent="0.25">
      <c r="A24" s="298" t="s">
        <v>6</v>
      </c>
      <c r="B24" s="328">
        <v>87</v>
      </c>
      <c r="C24" s="329">
        <f>SUM(C18:C23)</f>
        <v>21819455.762355208</v>
      </c>
      <c r="D24" s="284"/>
      <c r="E24" s="284"/>
      <c r="F24" s="362"/>
      <c r="G24" s="284"/>
      <c r="H24" s="284"/>
      <c r="I24" s="362"/>
      <c r="J24" s="302">
        <f>SUM(J18:J23)</f>
        <v>-4525.2510166006559</v>
      </c>
      <c r="K24" s="302">
        <f t="shared" ref="K24" si="7">SUM(K18:K23)</f>
        <v>1911.2297775635518</v>
      </c>
      <c r="L24" s="302">
        <f>SUM(L18:L23)</f>
        <v>6436.4807941642084</v>
      </c>
      <c r="M24" s="355">
        <f>-L24/J24</f>
        <v>1.4223477925428452</v>
      </c>
    </row>
    <row r="25" spans="1:13" x14ac:dyDescent="0.25">
      <c r="B25" s="328"/>
      <c r="C25" s="299"/>
      <c r="D25" s="284"/>
      <c r="E25" s="284"/>
      <c r="F25" s="362"/>
      <c r="G25" s="284"/>
      <c r="H25" s="284"/>
      <c r="I25" s="362"/>
      <c r="J25" s="302"/>
      <c r="K25" s="302"/>
      <c r="L25" s="303"/>
      <c r="M25" s="355"/>
    </row>
    <row r="26" spans="1:13" x14ac:dyDescent="0.25">
      <c r="A26" s="298" t="s">
        <v>32</v>
      </c>
      <c r="B26" s="328" t="s">
        <v>33</v>
      </c>
      <c r="C26" s="299">
        <f>Therms!P17</f>
        <v>33867</v>
      </c>
      <c r="D26" s="284">
        <v>-1.57E-3</v>
      </c>
      <c r="E26" s="284">
        <v>0</v>
      </c>
      <c r="F26" s="362">
        <f t="shared" si="1"/>
        <v>-1.57E-3</v>
      </c>
      <c r="G26" s="284">
        <v>-1.57E-3</v>
      </c>
      <c r="H26" s="284">
        <v>0</v>
      </c>
      <c r="I26" s="362">
        <f t="shared" si="2"/>
        <v>-1.57E-3</v>
      </c>
      <c r="J26" s="302">
        <f>C26*F26</f>
        <v>-53.171190000000003</v>
      </c>
      <c r="K26" s="302">
        <f t="shared" si="3"/>
        <v>-53.171190000000003</v>
      </c>
      <c r="L26" s="303">
        <f t="shared" si="4"/>
        <v>0</v>
      </c>
      <c r="M26" s="355">
        <f>-L26/J26</f>
        <v>0</v>
      </c>
    </row>
    <row r="27" spans="1:13" x14ac:dyDescent="0.25">
      <c r="A27" s="298" t="s">
        <v>34</v>
      </c>
      <c r="B27" s="298" t="s">
        <v>35</v>
      </c>
      <c r="C27" s="299">
        <f>Therms!P18</f>
        <v>26510234</v>
      </c>
      <c r="D27" s="284">
        <v>-7.5000000000000002E-4</v>
      </c>
      <c r="E27" s="284">
        <v>0</v>
      </c>
      <c r="F27" s="362">
        <f t="shared" si="1"/>
        <v>-7.5000000000000002E-4</v>
      </c>
      <c r="G27" s="284">
        <v>-7.5000000000000002E-4</v>
      </c>
      <c r="H27" s="284">
        <v>0</v>
      </c>
      <c r="I27" s="362">
        <f t="shared" si="2"/>
        <v>-7.5000000000000002E-4</v>
      </c>
      <c r="J27" s="302">
        <f>C27*F27</f>
        <v>-19882.675500000001</v>
      </c>
      <c r="K27" s="302">
        <f t="shared" si="3"/>
        <v>-19882.675500000001</v>
      </c>
      <c r="L27" s="303">
        <f t="shared" si="4"/>
        <v>0</v>
      </c>
      <c r="M27" s="355">
        <f t="shared" si="5"/>
        <v>0</v>
      </c>
    </row>
    <row r="28" spans="1:13" x14ac:dyDescent="0.25">
      <c r="A28" s="298" t="s">
        <v>36</v>
      </c>
      <c r="B28" s="298" t="s">
        <v>37</v>
      </c>
      <c r="C28" s="299">
        <f>Therms!P19</f>
        <v>62288926</v>
      </c>
      <c r="D28" s="284">
        <v>-4.4999999999999999E-4</v>
      </c>
      <c r="E28" s="284">
        <v>0</v>
      </c>
      <c r="F28" s="362">
        <f t="shared" si="1"/>
        <v>-4.4999999999999999E-4</v>
      </c>
      <c r="G28" s="284">
        <v>-4.4999999999999999E-4</v>
      </c>
      <c r="H28" s="284">
        <v>0</v>
      </c>
      <c r="I28" s="362">
        <f t="shared" si="2"/>
        <v>-4.4999999999999999E-4</v>
      </c>
      <c r="J28" s="302">
        <f>C28*F28</f>
        <v>-28030.0167</v>
      </c>
      <c r="K28" s="302">
        <f t="shared" si="3"/>
        <v>-28030.0167</v>
      </c>
      <c r="L28" s="303">
        <f t="shared" si="4"/>
        <v>0</v>
      </c>
      <c r="M28" s="355">
        <f t="shared" si="5"/>
        <v>0</v>
      </c>
    </row>
    <row r="29" spans="1:13" x14ac:dyDescent="0.25">
      <c r="A29" s="298" t="s">
        <v>38</v>
      </c>
      <c r="B29" s="298" t="s">
        <v>39</v>
      </c>
      <c r="C29" s="299">
        <f>Therms!P20</f>
        <v>578702</v>
      </c>
      <c r="D29" s="284">
        <v>-3.6000000000000002E-4</v>
      </c>
      <c r="E29" s="284">
        <v>0</v>
      </c>
      <c r="F29" s="362">
        <f t="shared" si="1"/>
        <v>-3.6000000000000002E-4</v>
      </c>
      <c r="G29" s="284">
        <v>-3.6000000000000002E-4</v>
      </c>
      <c r="H29" s="284">
        <v>0</v>
      </c>
      <c r="I29" s="362">
        <f t="shared" si="2"/>
        <v>-3.6000000000000002E-4</v>
      </c>
      <c r="J29" s="302">
        <f>C29*F29</f>
        <v>-208.33272000000002</v>
      </c>
      <c r="K29" s="302">
        <f t="shared" si="3"/>
        <v>-208.33272000000002</v>
      </c>
      <c r="L29" s="303">
        <f t="shared" si="4"/>
        <v>0</v>
      </c>
      <c r="M29" s="355">
        <f t="shared" si="5"/>
        <v>0</v>
      </c>
    </row>
    <row r="30" spans="1:13" x14ac:dyDescent="0.25">
      <c r="C30" s="299"/>
      <c r="D30" s="284"/>
      <c r="E30" s="284"/>
      <c r="F30" s="362"/>
      <c r="G30" s="284"/>
      <c r="H30" s="284"/>
      <c r="I30" s="362"/>
      <c r="J30" s="302"/>
      <c r="K30" s="302"/>
      <c r="L30" s="303"/>
      <c r="M30" s="355"/>
    </row>
    <row r="31" spans="1:13" x14ac:dyDescent="0.25">
      <c r="A31" s="298" t="s">
        <v>40</v>
      </c>
      <c r="B31" s="298" t="s">
        <v>41</v>
      </c>
      <c r="D31" s="70"/>
      <c r="E31" s="70"/>
      <c r="F31" s="362"/>
      <c r="G31" s="70"/>
      <c r="H31" s="70"/>
      <c r="I31" s="362"/>
    </row>
    <row r="32" spans="1:13" x14ac:dyDescent="0.25">
      <c r="A32" s="360" t="s">
        <v>109</v>
      </c>
      <c r="B32" s="360" t="s">
        <v>41</v>
      </c>
      <c r="C32" s="64">
        <f>Therms!$P$21*'12ME Jun21 Bill Freq'!N49</f>
        <v>2998789.669999999</v>
      </c>
      <c r="D32" s="7">
        <v>-9.1E-4</v>
      </c>
      <c r="E32" s="7">
        <v>0</v>
      </c>
      <c r="F32" s="362">
        <f t="shared" si="1"/>
        <v>-9.1E-4</v>
      </c>
      <c r="G32" s="7">
        <v>-9.1E-4</v>
      </c>
      <c r="H32" s="7">
        <v>0</v>
      </c>
      <c r="I32" s="362">
        <f t="shared" si="2"/>
        <v>-9.1E-4</v>
      </c>
      <c r="J32" s="435">
        <f t="shared" ref="J32:J37" si="8">C32*F32</f>
        <v>-2728.8985996999991</v>
      </c>
      <c r="K32" s="435">
        <f t="shared" si="3"/>
        <v>-2728.8985996999991</v>
      </c>
      <c r="L32" s="435">
        <f t="shared" si="4"/>
        <v>0</v>
      </c>
      <c r="M32" s="436">
        <f t="shared" ref="M32:M37" si="9">-L32/J32</f>
        <v>0</v>
      </c>
    </row>
    <row r="33" spans="1:13" x14ac:dyDescent="0.25">
      <c r="A33" s="360" t="s">
        <v>110</v>
      </c>
      <c r="B33" s="360" t="s">
        <v>41</v>
      </c>
      <c r="C33" s="64">
        <f>Therms!$P$21*'12ME Jun21 Bill Freq'!N50</f>
        <v>2999999.9999999995</v>
      </c>
      <c r="D33" s="7">
        <v>-5.5000000000000003E-4</v>
      </c>
      <c r="E33" s="7">
        <v>0</v>
      </c>
      <c r="F33" s="362">
        <f t="shared" si="1"/>
        <v>-5.5000000000000003E-4</v>
      </c>
      <c r="G33" s="7">
        <v>-5.5000000000000003E-4</v>
      </c>
      <c r="H33" s="7">
        <v>0</v>
      </c>
      <c r="I33" s="362">
        <f t="shared" si="2"/>
        <v>-5.5000000000000003E-4</v>
      </c>
      <c r="J33" s="435">
        <f t="shared" si="8"/>
        <v>-1649.9999999999998</v>
      </c>
      <c r="K33" s="435">
        <f t="shared" si="3"/>
        <v>-1649.9999999999998</v>
      </c>
      <c r="L33" s="435">
        <f t="shared" si="4"/>
        <v>0</v>
      </c>
      <c r="M33" s="436">
        <f t="shared" si="9"/>
        <v>0</v>
      </c>
    </row>
    <row r="34" spans="1:13" x14ac:dyDescent="0.25">
      <c r="A34" s="360" t="s">
        <v>112</v>
      </c>
      <c r="B34" s="360" t="s">
        <v>41</v>
      </c>
      <c r="C34" s="64">
        <f>Therms!$P$21*'12ME Jun21 Bill Freq'!N51</f>
        <v>5999999.9999999991</v>
      </c>
      <c r="D34" s="7">
        <v>-3.5E-4</v>
      </c>
      <c r="E34" s="7">
        <v>0</v>
      </c>
      <c r="F34" s="362">
        <f t="shared" si="1"/>
        <v>-3.5E-4</v>
      </c>
      <c r="G34" s="7">
        <v>-3.5E-4</v>
      </c>
      <c r="H34" s="7">
        <v>0</v>
      </c>
      <c r="I34" s="362">
        <f t="shared" si="2"/>
        <v>-3.5E-4</v>
      </c>
      <c r="J34" s="435">
        <f t="shared" si="8"/>
        <v>-2099.9999999999995</v>
      </c>
      <c r="K34" s="435">
        <f t="shared" si="3"/>
        <v>-2099.9999999999995</v>
      </c>
      <c r="L34" s="435">
        <f t="shared" si="4"/>
        <v>0</v>
      </c>
      <c r="M34" s="436">
        <f t="shared" si="9"/>
        <v>0</v>
      </c>
    </row>
    <row r="35" spans="1:13" x14ac:dyDescent="0.25">
      <c r="A35" s="360" t="s">
        <v>63</v>
      </c>
      <c r="B35" s="360" t="s">
        <v>41</v>
      </c>
      <c r="C35" s="64">
        <f>Therms!$P$21*'12ME Jun21 Bill Freq'!N52</f>
        <v>11463691.02</v>
      </c>
      <c r="D35" s="7">
        <v>-2.2000000000000001E-4</v>
      </c>
      <c r="E35" s="7">
        <v>0</v>
      </c>
      <c r="F35" s="362">
        <f t="shared" si="1"/>
        <v>-2.2000000000000001E-4</v>
      </c>
      <c r="G35" s="7">
        <v>-2.2000000000000001E-4</v>
      </c>
      <c r="H35" s="7">
        <v>0</v>
      </c>
      <c r="I35" s="362">
        <f t="shared" si="2"/>
        <v>-2.2000000000000001E-4</v>
      </c>
      <c r="J35" s="435">
        <f t="shared" si="8"/>
        <v>-2522.0120244</v>
      </c>
      <c r="K35" s="435">
        <f t="shared" si="3"/>
        <v>-2522.0120244</v>
      </c>
      <c r="L35" s="435">
        <f t="shared" si="4"/>
        <v>0</v>
      </c>
      <c r="M35" s="436">
        <f t="shared" si="9"/>
        <v>0</v>
      </c>
    </row>
    <row r="36" spans="1:13" x14ac:dyDescent="0.25">
      <c r="A36" s="360" t="s">
        <v>64</v>
      </c>
      <c r="B36" s="360" t="s">
        <v>41</v>
      </c>
      <c r="C36" s="64">
        <f>Therms!$P$21*'12ME Jun21 Bill Freq'!N53</f>
        <v>25744602.149999995</v>
      </c>
      <c r="D36" s="7">
        <v>-1.6000000000000001E-4</v>
      </c>
      <c r="E36" s="7">
        <v>0</v>
      </c>
      <c r="F36" s="362">
        <f t="shared" si="1"/>
        <v>-1.6000000000000001E-4</v>
      </c>
      <c r="G36" s="7">
        <v>-1.6000000000000001E-4</v>
      </c>
      <c r="H36" s="7">
        <v>0</v>
      </c>
      <c r="I36" s="362">
        <f t="shared" si="2"/>
        <v>-1.6000000000000001E-4</v>
      </c>
      <c r="J36" s="435">
        <f t="shared" si="8"/>
        <v>-4119.1363439999996</v>
      </c>
      <c r="K36" s="435">
        <f t="shared" si="3"/>
        <v>-4119.1363439999996</v>
      </c>
      <c r="L36" s="435">
        <f t="shared" si="4"/>
        <v>0</v>
      </c>
      <c r="M36" s="436">
        <f t="shared" si="9"/>
        <v>0</v>
      </c>
    </row>
    <row r="37" spans="1:13" x14ac:dyDescent="0.25">
      <c r="A37" s="360" t="s">
        <v>91</v>
      </c>
      <c r="B37" s="360" t="s">
        <v>41</v>
      </c>
      <c r="C37" s="64">
        <f>Therms!$P$21*'12ME Jun21 Bill Freq'!N54</f>
        <v>48293342.805479579</v>
      </c>
      <c r="D37" s="7">
        <v>-3.0000000000000001E-5</v>
      </c>
      <c r="E37" s="7">
        <v>0</v>
      </c>
      <c r="F37" s="362">
        <f t="shared" si="1"/>
        <v>-3.0000000000000001E-5</v>
      </c>
      <c r="G37" s="7">
        <v>-3.0000000000000001E-5</v>
      </c>
      <c r="H37" s="7">
        <v>0</v>
      </c>
      <c r="I37" s="362">
        <f t="shared" si="2"/>
        <v>-3.0000000000000001E-5</v>
      </c>
      <c r="J37" s="435">
        <f t="shared" si="8"/>
        <v>-1448.8002841643874</v>
      </c>
      <c r="K37" s="435">
        <f t="shared" si="3"/>
        <v>-1448.8002841643874</v>
      </c>
      <c r="L37" s="435">
        <f t="shared" si="4"/>
        <v>0</v>
      </c>
      <c r="M37" s="436">
        <f t="shared" si="9"/>
        <v>0</v>
      </c>
    </row>
    <row r="38" spans="1:13" x14ac:dyDescent="0.25">
      <c r="A38" s="298" t="s">
        <v>6</v>
      </c>
      <c r="B38" s="298" t="s">
        <v>41</v>
      </c>
      <c r="C38" s="329">
        <f>SUM(C32:C37)</f>
        <v>97500425.64547956</v>
      </c>
      <c r="D38" s="413"/>
      <c r="E38" s="413"/>
      <c r="F38" s="413"/>
      <c r="G38" s="413"/>
      <c r="H38" s="413"/>
      <c r="I38" s="413"/>
      <c r="J38" s="302">
        <f>SUM(J32:J37)</f>
        <v>-14568.847252264382</v>
      </c>
      <c r="K38" s="302">
        <f t="shared" ref="K38:L38" si="10">SUM(K32:K37)</f>
        <v>-14568.847252264382</v>
      </c>
      <c r="L38" s="302">
        <f t="shared" si="10"/>
        <v>0</v>
      </c>
      <c r="M38" s="355">
        <f>-L38/J38</f>
        <v>0</v>
      </c>
    </row>
    <row r="39" spans="1:13" x14ac:dyDescent="0.25">
      <c r="C39" s="299"/>
      <c r="D39" s="413"/>
      <c r="E39" s="413"/>
      <c r="F39" s="413"/>
      <c r="G39" s="413"/>
      <c r="H39" s="413"/>
      <c r="I39" s="413"/>
      <c r="J39" s="302"/>
      <c r="K39" s="302"/>
      <c r="L39" s="303"/>
      <c r="M39" s="355"/>
    </row>
    <row r="40" spans="1:13" x14ac:dyDescent="0.25">
      <c r="A40" s="298" t="s">
        <v>13</v>
      </c>
      <c r="C40" s="299">
        <f>Therms!P23</f>
        <v>30967900</v>
      </c>
      <c r="D40" s="437"/>
      <c r="E40" s="318"/>
      <c r="F40" s="318"/>
      <c r="G40" s="318"/>
      <c r="H40" s="318"/>
      <c r="I40" s="284"/>
      <c r="J40" s="302">
        <f>C40*D40</f>
        <v>0</v>
      </c>
      <c r="K40" s="302">
        <f t="shared" si="3"/>
        <v>0</v>
      </c>
      <c r="L40" s="303">
        <f t="shared" si="4"/>
        <v>0</v>
      </c>
      <c r="M40" s="355">
        <v>0</v>
      </c>
    </row>
    <row r="41" spans="1:13" x14ac:dyDescent="0.25">
      <c r="A41" s="298" t="s">
        <v>6</v>
      </c>
      <c r="C41" s="361">
        <f>SUM(C10:C15,C24,C26:C29,C38,C40)</f>
        <v>1208234461.407835</v>
      </c>
      <c r="D41" s="362"/>
      <c r="E41" s="362"/>
      <c r="F41" s="362"/>
      <c r="G41" s="362"/>
      <c r="H41" s="362"/>
      <c r="I41" s="373"/>
      <c r="J41" s="286">
        <f t="shared" ref="J41:L41" si="11">SUM(J10:J15,J24,J26:J29,J38,J40)</f>
        <v>-1597472.4563188648</v>
      </c>
      <c r="K41" s="286">
        <f t="shared" si="11"/>
        <v>-481883.05687470088</v>
      </c>
      <c r="L41" s="286">
        <f t="shared" si="11"/>
        <v>1115589.399444164</v>
      </c>
      <c r="M41" s="356">
        <f>-L41/J41</f>
        <v>0.698346563054284</v>
      </c>
    </row>
    <row r="42" spans="1:13" x14ac:dyDescent="0.25">
      <c r="J42" s="303"/>
      <c r="K42" s="303"/>
    </row>
    <row r="43" spans="1:13" x14ac:dyDescent="0.25">
      <c r="A43" s="438"/>
      <c r="C43" s="329"/>
      <c r="J43" s="303"/>
      <c r="K43" s="303"/>
    </row>
    <row r="44" spans="1:13" x14ac:dyDescent="0.25">
      <c r="A44" s="364"/>
    </row>
  </sheetData>
  <mergeCells count="6">
    <mergeCell ref="A1:M1"/>
    <mergeCell ref="A2:M2"/>
    <mergeCell ref="A3:M3"/>
    <mergeCell ref="A4:M4"/>
    <mergeCell ref="D6:F6"/>
    <mergeCell ref="G6:I6"/>
  </mergeCells>
  <printOptions horizontalCentered="1"/>
  <pageMargins left="0.7" right="0.7" top="0.75" bottom="0.75" header="0.3" footer="0.3"/>
  <pageSetup scale="61" orientation="landscape" blackAndWhite="1" r:id="rId1"/>
  <headerFooter>
    <oddFooter>&amp;L&amp;F 
&amp;A&amp;C&amp;P&amp;R&amp;D</oddFooter>
  </headerFooter>
  <customProperties>
    <customPr name="_pios_id" r:id="rId2"/>
    <customPr name="EpmWorksheetKeyString_GUID" r:id="rId3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zoomScale="90" zoomScaleNormal="90" workbookViewId="0">
      <selection activeCell="C17" sqref="C17"/>
    </sheetView>
  </sheetViews>
  <sheetFormatPr defaultRowHeight="15" x14ac:dyDescent="0.25"/>
  <cols>
    <col min="1" max="1" width="36.85546875" style="298" bestFit="1" customWidth="1"/>
    <col min="2" max="2" width="9.140625" style="298" bestFit="1" customWidth="1"/>
    <col min="3" max="3" width="18.5703125" style="298" bestFit="1" customWidth="1"/>
    <col min="4" max="5" width="13.7109375" style="298" customWidth="1"/>
    <col min="6" max="8" width="14.42578125" style="298" customWidth="1"/>
    <col min="9" max="9" width="8.28515625" style="298" customWidth="1"/>
    <col min="10" max="16384" width="9.140625" style="298"/>
  </cols>
  <sheetData>
    <row r="1" spans="1:10" s="58" customFormat="1" x14ac:dyDescent="0.25">
      <c r="A1" s="639" t="s">
        <v>0</v>
      </c>
      <c r="B1" s="639"/>
      <c r="C1" s="639"/>
      <c r="D1" s="639"/>
      <c r="E1" s="639"/>
      <c r="F1" s="639"/>
      <c r="G1" s="639"/>
      <c r="H1" s="639"/>
      <c r="I1" s="639"/>
      <c r="J1" s="47"/>
    </row>
    <row r="2" spans="1:10" s="58" customFormat="1" x14ac:dyDescent="0.25">
      <c r="A2" s="639" t="s">
        <v>274</v>
      </c>
      <c r="B2" s="639"/>
      <c r="C2" s="639"/>
      <c r="D2" s="639"/>
      <c r="E2" s="639"/>
      <c r="F2" s="639"/>
      <c r="G2" s="639"/>
      <c r="H2" s="639"/>
      <c r="I2" s="639"/>
      <c r="J2" s="47"/>
    </row>
    <row r="3" spans="1:10" s="58" customFormat="1" x14ac:dyDescent="0.25">
      <c r="A3" s="639" t="s">
        <v>275</v>
      </c>
      <c r="B3" s="639"/>
      <c r="C3" s="639"/>
      <c r="D3" s="639"/>
      <c r="E3" s="639"/>
      <c r="F3" s="639"/>
      <c r="G3" s="639"/>
      <c r="H3" s="639"/>
      <c r="I3" s="639"/>
      <c r="J3" s="47"/>
    </row>
    <row r="4" spans="1:10" s="58" customFormat="1" x14ac:dyDescent="0.25">
      <c r="A4" s="639" t="s">
        <v>267</v>
      </c>
      <c r="B4" s="639"/>
      <c r="C4" s="639"/>
      <c r="D4" s="639"/>
      <c r="E4" s="639"/>
      <c r="F4" s="639"/>
      <c r="G4" s="639"/>
      <c r="H4" s="639"/>
      <c r="I4" s="639"/>
      <c r="J4" s="47"/>
    </row>
    <row r="5" spans="1:10" x14ac:dyDescent="0.25">
      <c r="D5" s="429"/>
      <c r="E5" s="429"/>
    </row>
    <row r="6" spans="1:10" x14ac:dyDescent="0.25">
      <c r="A6" s="291"/>
      <c r="B6" s="291"/>
      <c r="C6" s="291" t="s">
        <v>15</v>
      </c>
      <c r="D6" s="291" t="s">
        <v>5</v>
      </c>
      <c r="E6" s="291" t="s">
        <v>1</v>
      </c>
      <c r="F6" s="428" t="s">
        <v>15</v>
      </c>
      <c r="G6" s="428" t="s">
        <v>15</v>
      </c>
      <c r="H6" s="291" t="s">
        <v>276</v>
      </c>
      <c r="I6" s="291"/>
    </row>
    <row r="7" spans="1:10" x14ac:dyDescent="0.25">
      <c r="A7" s="291"/>
      <c r="B7" s="291" t="s">
        <v>17</v>
      </c>
      <c r="C7" s="291" t="s">
        <v>3</v>
      </c>
      <c r="D7" s="291" t="s">
        <v>276</v>
      </c>
      <c r="E7" s="291" t="s">
        <v>276</v>
      </c>
      <c r="F7" s="428" t="s">
        <v>2</v>
      </c>
      <c r="G7" s="428" t="s">
        <v>2</v>
      </c>
      <c r="H7" s="291" t="s">
        <v>2</v>
      </c>
      <c r="I7" s="291" t="s">
        <v>20</v>
      </c>
    </row>
    <row r="8" spans="1:10" x14ac:dyDescent="0.25">
      <c r="A8" s="333" t="s">
        <v>4</v>
      </c>
      <c r="B8" s="333" t="s">
        <v>21</v>
      </c>
      <c r="C8" s="252" t="str">
        <f>'Current Revenue Calc.'!$T$7</f>
        <v>12ME Oct. 2024</v>
      </c>
      <c r="D8" s="333" t="s">
        <v>22</v>
      </c>
      <c r="E8" s="333" t="s">
        <v>22</v>
      </c>
      <c r="F8" s="272" t="s">
        <v>23</v>
      </c>
      <c r="G8" s="272" t="s">
        <v>182</v>
      </c>
      <c r="H8" s="333" t="s">
        <v>24</v>
      </c>
      <c r="I8" s="333" t="s">
        <v>24</v>
      </c>
    </row>
    <row r="9" spans="1:10" x14ac:dyDescent="0.25">
      <c r="A9" s="298" t="s">
        <v>7</v>
      </c>
      <c r="B9" s="328" t="s">
        <v>30</v>
      </c>
      <c r="C9" s="299">
        <f>SUM(Therms!P10:P11)</f>
        <v>639464549</v>
      </c>
      <c r="D9" s="284">
        <v>4.8649999999999999E-2</v>
      </c>
      <c r="E9" s="284">
        <v>4.8649999999999999E-2</v>
      </c>
      <c r="F9" s="302">
        <f>C9*D9</f>
        <v>31109950.308849998</v>
      </c>
      <c r="G9" s="302">
        <f>C9*E9</f>
        <v>31109950.308849998</v>
      </c>
      <c r="H9" s="303">
        <f>G9-F9</f>
        <v>0</v>
      </c>
      <c r="I9" s="355">
        <f>-H9/F9</f>
        <v>0</v>
      </c>
    </row>
    <row r="10" spans="1:10" x14ac:dyDescent="0.25">
      <c r="A10" s="298" t="s">
        <v>31</v>
      </c>
      <c r="B10" s="328">
        <v>16</v>
      </c>
      <c r="C10" s="64">
        <f>Therms!P9</f>
        <v>8832</v>
      </c>
      <c r="D10" s="284">
        <v>4.8649999999999999E-2</v>
      </c>
      <c r="E10" s="284">
        <v>4.8649999999999999E-2</v>
      </c>
      <c r="F10" s="302">
        <f t="shared" ref="F10:F28" si="0">C10*D10</f>
        <v>429.67680000000001</v>
      </c>
      <c r="G10" s="302">
        <f t="shared" ref="G10:G39" si="1">C10*E10</f>
        <v>429.67680000000001</v>
      </c>
      <c r="H10" s="303">
        <f t="shared" ref="H10:H39" si="2">G10-F10</f>
        <v>0</v>
      </c>
      <c r="I10" s="355">
        <f t="shared" ref="I10:I39" si="3">-H10/F10</f>
        <v>0</v>
      </c>
    </row>
    <row r="11" spans="1:10" x14ac:dyDescent="0.25">
      <c r="A11" s="298" t="s">
        <v>8</v>
      </c>
      <c r="B11" s="328">
        <v>31</v>
      </c>
      <c r="C11" s="299">
        <f>Therms!P12</f>
        <v>245936243</v>
      </c>
      <c r="D11" s="284">
        <v>4.4909999999999999E-2</v>
      </c>
      <c r="E11" s="284">
        <v>4.4909999999999999E-2</v>
      </c>
      <c r="F11" s="302">
        <f t="shared" si="0"/>
        <v>11044996.67313</v>
      </c>
      <c r="G11" s="302">
        <f t="shared" si="1"/>
        <v>11044996.67313</v>
      </c>
      <c r="H11" s="303">
        <f t="shared" si="2"/>
        <v>0</v>
      </c>
      <c r="I11" s="355">
        <f t="shared" si="3"/>
        <v>0</v>
      </c>
    </row>
    <row r="12" spans="1:10" x14ac:dyDescent="0.25">
      <c r="A12" s="298" t="s">
        <v>9</v>
      </c>
      <c r="B12" s="328">
        <v>41</v>
      </c>
      <c r="C12" s="299">
        <f>Therms!P13</f>
        <v>66890541</v>
      </c>
      <c r="D12" s="284">
        <v>2.147E-2</v>
      </c>
      <c r="E12" s="284">
        <v>2.147E-2</v>
      </c>
      <c r="F12" s="302">
        <f t="shared" si="0"/>
        <v>1436139.91527</v>
      </c>
      <c r="G12" s="302">
        <f t="shared" si="1"/>
        <v>1436139.91527</v>
      </c>
      <c r="H12" s="303">
        <f t="shared" si="2"/>
        <v>0</v>
      </c>
      <c r="I12" s="355">
        <f t="shared" si="3"/>
        <v>0</v>
      </c>
    </row>
    <row r="13" spans="1:10" x14ac:dyDescent="0.25">
      <c r="A13" s="298" t="s">
        <v>10</v>
      </c>
      <c r="B13" s="328">
        <v>85</v>
      </c>
      <c r="C13" s="299">
        <f>Therms!P14</f>
        <v>10745378</v>
      </c>
      <c r="D13" s="284">
        <v>1.277E-2</v>
      </c>
      <c r="E13" s="284">
        <v>1.277E-2</v>
      </c>
      <c r="F13" s="302">
        <f t="shared" si="0"/>
        <v>137218.47706</v>
      </c>
      <c r="G13" s="302">
        <f t="shared" si="1"/>
        <v>137218.47706</v>
      </c>
      <c r="H13" s="303">
        <f t="shared" si="2"/>
        <v>0</v>
      </c>
      <c r="I13" s="355">
        <f t="shared" si="3"/>
        <v>0</v>
      </c>
    </row>
    <row r="14" spans="1:10" x14ac:dyDescent="0.25">
      <c r="A14" s="298" t="s">
        <v>11</v>
      </c>
      <c r="B14" s="328">
        <v>86</v>
      </c>
      <c r="C14" s="299">
        <f>Therms!P15</f>
        <v>5489408</v>
      </c>
      <c r="D14" s="284">
        <v>1.0410000000000001E-2</v>
      </c>
      <c r="E14" s="284">
        <v>1.0410000000000001E-2</v>
      </c>
      <c r="F14" s="302">
        <f t="shared" si="0"/>
        <v>57144.737280000001</v>
      </c>
      <c r="G14" s="302">
        <f t="shared" si="1"/>
        <v>57144.737280000001</v>
      </c>
      <c r="H14" s="303">
        <f t="shared" si="2"/>
        <v>0</v>
      </c>
      <c r="I14" s="355">
        <f t="shared" si="3"/>
        <v>0</v>
      </c>
    </row>
    <row r="15" spans="1:10" x14ac:dyDescent="0.25">
      <c r="B15" s="328"/>
      <c r="C15" s="299"/>
      <c r="D15" s="284"/>
      <c r="E15" s="284"/>
      <c r="F15" s="302"/>
      <c r="G15" s="302"/>
      <c r="H15" s="303"/>
      <c r="I15" s="355"/>
    </row>
    <row r="16" spans="1:10" x14ac:dyDescent="0.25">
      <c r="A16" s="298" t="s">
        <v>12</v>
      </c>
      <c r="B16" s="328">
        <v>87</v>
      </c>
      <c r="D16" s="70"/>
      <c r="E16" s="70"/>
    </row>
    <row r="17" spans="1:9" x14ac:dyDescent="0.25">
      <c r="A17" s="360" t="s">
        <v>109</v>
      </c>
      <c r="B17" s="433">
        <v>87</v>
      </c>
      <c r="C17" s="64">
        <f>Therms!$P$16*'12ME Jun21 Bill Freq'!N40</f>
        <v>1512192.9999999995</v>
      </c>
      <c r="D17" s="7">
        <v>2.6460000000000001E-2</v>
      </c>
      <c r="E17" s="7">
        <v>2.6460000000000001E-2</v>
      </c>
      <c r="F17" s="435">
        <f t="shared" ref="F17:F22" si="4">C17*D17</f>
        <v>40012.626779999991</v>
      </c>
      <c r="G17" s="435">
        <f t="shared" ref="G17:G22" si="5">C17*E17</f>
        <v>40012.626779999991</v>
      </c>
      <c r="H17" s="435">
        <f t="shared" ref="H17:H22" si="6">G17-F17</f>
        <v>0</v>
      </c>
      <c r="I17" s="436">
        <f t="shared" si="3"/>
        <v>0</v>
      </c>
    </row>
    <row r="18" spans="1:9" x14ac:dyDescent="0.25">
      <c r="A18" s="360" t="s">
        <v>110</v>
      </c>
      <c r="B18" s="433">
        <v>87</v>
      </c>
      <c r="C18" s="64">
        <f>Therms!$P$16*'12ME Jun21 Bill Freq'!N41</f>
        <v>1398016.115</v>
      </c>
      <c r="D18" s="7">
        <v>1.5990000000000001E-2</v>
      </c>
      <c r="E18" s="7">
        <v>1.5990000000000001E-2</v>
      </c>
      <c r="F18" s="435">
        <f t="shared" si="4"/>
        <v>22354.277678850001</v>
      </c>
      <c r="G18" s="435">
        <f t="shared" si="5"/>
        <v>22354.277678850001</v>
      </c>
      <c r="H18" s="435">
        <f t="shared" si="6"/>
        <v>0</v>
      </c>
      <c r="I18" s="436">
        <f t="shared" si="3"/>
        <v>0</v>
      </c>
    </row>
    <row r="19" spans="1:9" x14ac:dyDescent="0.25">
      <c r="A19" s="360" t="s">
        <v>112</v>
      </c>
      <c r="B19" s="433">
        <v>87</v>
      </c>
      <c r="C19" s="64">
        <f>Therms!$P$16*'12ME Jun21 Bill Freq'!N42</f>
        <v>2316890.0959999994</v>
      </c>
      <c r="D19" s="7">
        <v>1.017E-2</v>
      </c>
      <c r="E19" s="7">
        <v>1.017E-2</v>
      </c>
      <c r="F19" s="435">
        <f t="shared" si="4"/>
        <v>23562.772276319996</v>
      </c>
      <c r="G19" s="435">
        <f t="shared" si="5"/>
        <v>23562.772276319996</v>
      </c>
      <c r="H19" s="435">
        <f t="shared" si="6"/>
        <v>0</v>
      </c>
      <c r="I19" s="436">
        <f t="shared" si="3"/>
        <v>0</v>
      </c>
    </row>
    <row r="20" spans="1:9" x14ac:dyDescent="0.25">
      <c r="A20" s="360" t="s">
        <v>63</v>
      </c>
      <c r="B20" s="433">
        <v>87</v>
      </c>
      <c r="C20" s="64">
        <f>Therms!$P$16*'12ME Jun21 Bill Freq'!N43</f>
        <v>3045256.8779999986</v>
      </c>
      <c r="D20" s="7">
        <v>6.5199999999999998E-3</v>
      </c>
      <c r="E20" s="7">
        <v>6.5199999999999998E-3</v>
      </c>
      <c r="F20" s="435">
        <f t="shared" si="4"/>
        <v>19855.074844559989</v>
      </c>
      <c r="G20" s="435">
        <f t="shared" si="5"/>
        <v>19855.074844559989</v>
      </c>
      <c r="H20" s="435">
        <f t="shared" si="6"/>
        <v>0</v>
      </c>
      <c r="I20" s="436">
        <f t="shared" si="3"/>
        <v>0</v>
      </c>
    </row>
    <row r="21" spans="1:9" x14ac:dyDescent="0.25">
      <c r="A21" s="360" t="s">
        <v>64</v>
      </c>
      <c r="B21" s="433">
        <v>87</v>
      </c>
      <c r="C21" s="64">
        <f>Therms!$P$16*'12ME Jun21 Bill Freq'!N44</f>
        <v>3792042.2029999993</v>
      </c>
      <c r="D21" s="7">
        <v>4.7000000000000002E-3</v>
      </c>
      <c r="E21" s="7">
        <v>4.7000000000000002E-3</v>
      </c>
      <c r="F21" s="435">
        <f t="shared" si="4"/>
        <v>17822.598354099999</v>
      </c>
      <c r="G21" s="435">
        <f t="shared" si="5"/>
        <v>17822.598354099999</v>
      </c>
      <c r="H21" s="435">
        <f t="shared" si="6"/>
        <v>0</v>
      </c>
      <c r="I21" s="436">
        <f t="shared" si="3"/>
        <v>0</v>
      </c>
    </row>
    <row r="22" spans="1:9" x14ac:dyDescent="0.25">
      <c r="A22" s="360" t="s">
        <v>91</v>
      </c>
      <c r="B22" s="433">
        <v>87</v>
      </c>
      <c r="C22" s="64">
        <f>Therms!$P$16*'12ME Jun21 Bill Freq'!N45</f>
        <v>9755057.4703552052</v>
      </c>
      <c r="D22" s="7">
        <v>7.9000000000000001E-4</v>
      </c>
      <c r="E22" s="7">
        <v>7.9000000000000001E-4</v>
      </c>
      <c r="F22" s="435">
        <f t="shared" si="4"/>
        <v>7706.4954015806125</v>
      </c>
      <c r="G22" s="435">
        <f t="shared" si="5"/>
        <v>7706.4954015806125</v>
      </c>
      <c r="H22" s="435">
        <f t="shared" si="6"/>
        <v>0</v>
      </c>
      <c r="I22" s="436">
        <f t="shared" si="3"/>
        <v>0</v>
      </c>
    </row>
    <row r="23" spans="1:9" x14ac:dyDescent="0.25">
      <c r="A23" s="298" t="s">
        <v>6</v>
      </c>
      <c r="B23" s="328">
        <v>87</v>
      </c>
      <c r="C23" s="329">
        <f>SUM(C17:C22)</f>
        <v>21819455.762355201</v>
      </c>
      <c r="D23" s="284"/>
      <c r="E23" s="284"/>
      <c r="F23" s="302">
        <f>SUM(F17:F22)</f>
        <v>131313.84533541059</v>
      </c>
      <c r="G23" s="302">
        <f t="shared" ref="G23:H23" si="7">SUM(G17:G22)</f>
        <v>131313.84533541059</v>
      </c>
      <c r="H23" s="302">
        <f t="shared" si="7"/>
        <v>0</v>
      </c>
      <c r="I23" s="355">
        <f>-H23/F23</f>
        <v>0</v>
      </c>
    </row>
    <row r="24" spans="1:9" x14ac:dyDescent="0.25">
      <c r="B24" s="328"/>
      <c r="C24" s="299"/>
      <c r="D24" s="284"/>
      <c r="E24" s="284"/>
      <c r="F24" s="302"/>
      <c r="G24" s="302"/>
      <c r="H24" s="303"/>
      <c r="I24" s="355"/>
    </row>
    <row r="25" spans="1:9" x14ac:dyDescent="0.25">
      <c r="A25" s="298" t="s">
        <v>32</v>
      </c>
      <c r="B25" s="328" t="s">
        <v>33</v>
      </c>
      <c r="C25" s="299">
        <f>Therms!P17</f>
        <v>33867</v>
      </c>
      <c r="D25" s="284">
        <v>4.4909999999999999E-2</v>
      </c>
      <c r="E25" s="284">
        <v>4.4909999999999999E-2</v>
      </c>
      <c r="F25" s="302">
        <f t="shared" si="0"/>
        <v>1520.9669699999999</v>
      </c>
      <c r="G25" s="302">
        <f t="shared" si="1"/>
        <v>1520.9669699999999</v>
      </c>
      <c r="H25" s="303">
        <f t="shared" si="2"/>
        <v>0</v>
      </c>
      <c r="I25" s="355">
        <f t="shared" si="3"/>
        <v>0</v>
      </c>
    </row>
    <row r="26" spans="1:9" x14ac:dyDescent="0.25">
      <c r="A26" s="298" t="s">
        <v>34</v>
      </c>
      <c r="B26" s="298" t="s">
        <v>35</v>
      </c>
      <c r="C26" s="299">
        <f>Therms!P18</f>
        <v>26510234</v>
      </c>
      <c r="D26" s="284">
        <v>2.147E-2</v>
      </c>
      <c r="E26" s="284">
        <v>2.147E-2</v>
      </c>
      <c r="F26" s="302">
        <f t="shared" si="0"/>
        <v>569174.72398000001</v>
      </c>
      <c r="G26" s="302">
        <f t="shared" si="1"/>
        <v>569174.72398000001</v>
      </c>
      <c r="H26" s="303">
        <f t="shared" si="2"/>
        <v>0</v>
      </c>
      <c r="I26" s="355">
        <f t="shared" si="3"/>
        <v>0</v>
      </c>
    </row>
    <row r="27" spans="1:9" x14ac:dyDescent="0.25">
      <c r="A27" s="298" t="s">
        <v>36</v>
      </c>
      <c r="B27" s="298" t="s">
        <v>37</v>
      </c>
      <c r="C27" s="299">
        <f>Therms!P19</f>
        <v>62288926</v>
      </c>
      <c r="D27" s="284">
        <v>1.277E-2</v>
      </c>
      <c r="E27" s="284">
        <v>1.277E-2</v>
      </c>
      <c r="F27" s="302">
        <f t="shared" si="0"/>
        <v>795429.58502</v>
      </c>
      <c r="G27" s="302">
        <f t="shared" si="1"/>
        <v>795429.58502</v>
      </c>
      <c r="H27" s="303">
        <f t="shared" si="2"/>
        <v>0</v>
      </c>
      <c r="I27" s="355">
        <f t="shared" si="3"/>
        <v>0</v>
      </c>
    </row>
    <row r="28" spans="1:9" x14ac:dyDescent="0.25">
      <c r="A28" s="298" t="s">
        <v>38</v>
      </c>
      <c r="B28" s="298" t="s">
        <v>39</v>
      </c>
      <c r="C28" s="299">
        <f>Therms!P20</f>
        <v>578702</v>
      </c>
      <c r="D28" s="284">
        <v>1.0410000000000001E-2</v>
      </c>
      <c r="E28" s="284">
        <v>1.0410000000000001E-2</v>
      </c>
      <c r="F28" s="302">
        <f t="shared" si="0"/>
        <v>6024.2878200000005</v>
      </c>
      <c r="G28" s="302">
        <f t="shared" si="1"/>
        <v>6024.2878200000005</v>
      </c>
      <c r="H28" s="303">
        <f t="shared" si="2"/>
        <v>0</v>
      </c>
      <c r="I28" s="355">
        <f t="shared" si="3"/>
        <v>0</v>
      </c>
    </row>
    <row r="29" spans="1:9" x14ac:dyDescent="0.25">
      <c r="C29" s="299"/>
      <c r="D29" s="284"/>
      <c r="E29" s="284"/>
      <c r="F29" s="302"/>
      <c r="G29" s="302"/>
      <c r="H29" s="303"/>
      <c r="I29" s="355"/>
    </row>
    <row r="30" spans="1:9" x14ac:dyDescent="0.25">
      <c r="A30" s="298" t="s">
        <v>40</v>
      </c>
      <c r="B30" s="298" t="s">
        <v>41</v>
      </c>
      <c r="D30" s="70"/>
      <c r="E30" s="70"/>
    </row>
    <row r="31" spans="1:9" x14ac:dyDescent="0.25">
      <c r="A31" s="360" t="s">
        <v>109</v>
      </c>
      <c r="B31" s="360" t="s">
        <v>41</v>
      </c>
      <c r="C31" s="64">
        <f>Therms!$P$21*'12ME Jun21 Bill Freq'!N49</f>
        <v>2998789.669999999</v>
      </c>
      <c r="D31" s="7">
        <v>2.6460000000000001E-2</v>
      </c>
      <c r="E31" s="7">
        <v>2.6460000000000001E-2</v>
      </c>
      <c r="F31" s="435">
        <f t="shared" ref="F31:F36" si="8">C31*D31</f>
        <v>79347.974668199982</v>
      </c>
      <c r="G31" s="435">
        <f t="shared" ref="G31:G36" si="9">C31*E31</f>
        <v>79347.974668199982</v>
      </c>
      <c r="H31" s="435">
        <f t="shared" ref="H31:H36" si="10">G31-F31</f>
        <v>0</v>
      </c>
      <c r="I31" s="436">
        <f t="shared" ref="I31:I36" si="11">-H31/F31</f>
        <v>0</v>
      </c>
    </row>
    <row r="32" spans="1:9" x14ac:dyDescent="0.25">
      <c r="A32" s="360" t="s">
        <v>110</v>
      </c>
      <c r="B32" s="360" t="s">
        <v>41</v>
      </c>
      <c r="C32" s="64">
        <f>Therms!$P$21*'12ME Jun21 Bill Freq'!N50</f>
        <v>2999999.9999999995</v>
      </c>
      <c r="D32" s="7">
        <v>1.5990000000000001E-2</v>
      </c>
      <c r="E32" s="7">
        <v>1.5990000000000001E-2</v>
      </c>
      <c r="F32" s="435">
        <f t="shared" si="8"/>
        <v>47969.999999999993</v>
      </c>
      <c r="G32" s="435">
        <f t="shared" si="9"/>
        <v>47969.999999999993</v>
      </c>
      <c r="H32" s="435">
        <f t="shared" si="10"/>
        <v>0</v>
      </c>
      <c r="I32" s="436">
        <f t="shared" si="11"/>
        <v>0</v>
      </c>
    </row>
    <row r="33" spans="1:9" x14ac:dyDescent="0.25">
      <c r="A33" s="360" t="s">
        <v>112</v>
      </c>
      <c r="B33" s="360" t="s">
        <v>41</v>
      </c>
      <c r="C33" s="64">
        <f>Therms!$P$21*'12ME Jun21 Bill Freq'!N51</f>
        <v>5999999.9999999991</v>
      </c>
      <c r="D33" s="7">
        <v>1.017E-2</v>
      </c>
      <c r="E33" s="7">
        <v>1.017E-2</v>
      </c>
      <c r="F33" s="435">
        <f t="shared" si="8"/>
        <v>61019.999999999993</v>
      </c>
      <c r="G33" s="435">
        <f t="shared" si="9"/>
        <v>61019.999999999993</v>
      </c>
      <c r="H33" s="435">
        <f t="shared" si="10"/>
        <v>0</v>
      </c>
      <c r="I33" s="436">
        <f t="shared" si="11"/>
        <v>0</v>
      </c>
    </row>
    <row r="34" spans="1:9" x14ac:dyDescent="0.25">
      <c r="A34" s="360" t="s">
        <v>63</v>
      </c>
      <c r="B34" s="360" t="s">
        <v>41</v>
      </c>
      <c r="C34" s="64">
        <f>Therms!$P$21*'12ME Jun21 Bill Freq'!N52</f>
        <v>11463691.02</v>
      </c>
      <c r="D34" s="7">
        <v>6.5199999999999998E-3</v>
      </c>
      <c r="E34" s="7">
        <v>6.5199999999999998E-3</v>
      </c>
      <c r="F34" s="435">
        <f t="shared" si="8"/>
        <v>74743.265450399995</v>
      </c>
      <c r="G34" s="435">
        <f t="shared" si="9"/>
        <v>74743.265450399995</v>
      </c>
      <c r="H34" s="435">
        <f t="shared" si="10"/>
        <v>0</v>
      </c>
      <c r="I34" s="436">
        <f t="shared" si="11"/>
        <v>0</v>
      </c>
    </row>
    <row r="35" spans="1:9" x14ac:dyDescent="0.25">
      <c r="A35" s="360" t="s">
        <v>64</v>
      </c>
      <c r="B35" s="360" t="s">
        <v>41</v>
      </c>
      <c r="C35" s="64">
        <f>Therms!$P$21*'12ME Jun21 Bill Freq'!N53</f>
        <v>25744602.149999995</v>
      </c>
      <c r="D35" s="7">
        <v>4.7000000000000002E-3</v>
      </c>
      <c r="E35" s="7">
        <v>4.7000000000000002E-3</v>
      </c>
      <c r="F35" s="435">
        <f t="shared" si="8"/>
        <v>120999.63010499997</v>
      </c>
      <c r="G35" s="435">
        <f t="shared" si="9"/>
        <v>120999.63010499997</v>
      </c>
      <c r="H35" s="435">
        <f t="shared" si="10"/>
        <v>0</v>
      </c>
      <c r="I35" s="436">
        <f t="shared" si="11"/>
        <v>0</v>
      </c>
    </row>
    <row r="36" spans="1:9" x14ac:dyDescent="0.25">
      <c r="A36" s="360" t="s">
        <v>91</v>
      </c>
      <c r="B36" s="360" t="s">
        <v>41</v>
      </c>
      <c r="C36" s="64">
        <f>Therms!$P$21*'12ME Jun21 Bill Freq'!N54</f>
        <v>48293342.805479579</v>
      </c>
      <c r="D36" s="7">
        <v>7.9000000000000001E-4</v>
      </c>
      <c r="E36" s="7">
        <v>7.9000000000000001E-4</v>
      </c>
      <c r="F36" s="435">
        <f t="shared" si="8"/>
        <v>38151.740816328871</v>
      </c>
      <c r="G36" s="435">
        <f t="shared" si="9"/>
        <v>38151.740816328871</v>
      </c>
      <c r="H36" s="435">
        <f t="shared" si="10"/>
        <v>0</v>
      </c>
      <c r="I36" s="436">
        <f t="shared" si="11"/>
        <v>0</v>
      </c>
    </row>
    <row r="37" spans="1:9" x14ac:dyDescent="0.25">
      <c r="A37" s="298" t="s">
        <v>6</v>
      </c>
      <c r="B37" s="298" t="s">
        <v>41</v>
      </c>
      <c r="C37" s="329">
        <f>SUM(C31:C36)</f>
        <v>97500425.64547956</v>
      </c>
      <c r="D37" s="413"/>
      <c r="E37" s="413"/>
      <c r="F37" s="302">
        <f>SUM(F31:F36)</f>
        <v>422232.6110399288</v>
      </c>
      <c r="G37" s="302">
        <f t="shared" ref="G37:H37" si="12">SUM(G31:G36)</f>
        <v>422232.6110399288</v>
      </c>
      <c r="H37" s="302">
        <f t="shared" si="12"/>
        <v>0</v>
      </c>
      <c r="I37" s="355">
        <f>-H37/F37</f>
        <v>0</v>
      </c>
    </row>
    <row r="38" spans="1:9" x14ac:dyDescent="0.25">
      <c r="C38" s="299"/>
      <c r="D38" s="413"/>
      <c r="E38" s="413"/>
      <c r="F38" s="302"/>
      <c r="G38" s="302"/>
      <c r="H38" s="303"/>
      <c r="I38" s="355"/>
    </row>
    <row r="39" spans="1:9" x14ac:dyDescent="0.25">
      <c r="A39" s="298" t="s">
        <v>13</v>
      </c>
      <c r="C39" s="299">
        <f>Therms!P23</f>
        <v>30967900</v>
      </c>
      <c r="D39" s="437"/>
      <c r="E39" s="284"/>
      <c r="F39" s="302">
        <f>C39*D39</f>
        <v>0</v>
      </c>
      <c r="G39" s="302">
        <f t="shared" si="1"/>
        <v>0</v>
      </c>
      <c r="H39" s="303">
        <f t="shared" si="2"/>
        <v>0</v>
      </c>
      <c r="I39" s="355" t="e">
        <f t="shared" si="3"/>
        <v>#DIV/0!</v>
      </c>
    </row>
    <row r="40" spans="1:9" x14ac:dyDescent="0.25">
      <c r="A40" s="298" t="s">
        <v>6</v>
      </c>
      <c r="C40" s="361">
        <f>SUM(C9:C14,C23,C25:C28,C37,C39)</f>
        <v>1208234461.407835</v>
      </c>
      <c r="D40" s="362"/>
      <c r="E40" s="373"/>
      <c r="F40" s="286">
        <f t="shared" ref="F40:H40" si="13">SUM(F9:F14,F23,F25:F28,F37,F39)</f>
        <v>45711575.808555327</v>
      </c>
      <c r="G40" s="286">
        <f t="shared" si="13"/>
        <v>45711575.808555327</v>
      </c>
      <c r="H40" s="286">
        <f t="shared" si="13"/>
        <v>0</v>
      </c>
      <c r="I40" s="356">
        <f>-H40/F40</f>
        <v>0</v>
      </c>
    </row>
    <row r="41" spans="1:9" x14ac:dyDescent="0.25">
      <c r="F41" s="303"/>
      <c r="G41" s="303"/>
    </row>
    <row r="42" spans="1:9" x14ac:dyDescent="0.25">
      <c r="A42" s="438"/>
      <c r="C42" s="329"/>
      <c r="F42" s="303"/>
      <c r="G42" s="303"/>
    </row>
    <row r="43" spans="1:9" x14ac:dyDescent="0.25">
      <c r="A43" s="364"/>
    </row>
  </sheetData>
  <mergeCells count="4">
    <mergeCell ref="A1:I1"/>
    <mergeCell ref="A2:I2"/>
    <mergeCell ref="A3:I3"/>
    <mergeCell ref="A4:I4"/>
  </mergeCells>
  <printOptions horizontalCentered="1"/>
  <pageMargins left="0.7" right="0.7" top="0.75" bottom="0.75" header="0.3" footer="0.3"/>
  <pageSetup scale="85" orientation="landscape" blackAndWhite="1" r:id="rId1"/>
  <headerFooter>
    <oddFooter>&amp;L&amp;F 
&amp;A&amp;C&amp;P&amp;R&amp;D</oddFooter>
  </headerFooter>
  <customProperties>
    <customPr name="_pios_id" r:id="rId2"/>
    <customPr name="EpmWorksheetKeyString_GUID" r:id="rId3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="90" zoomScaleNormal="90" workbookViewId="0">
      <selection activeCell="E9" sqref="E9"/>
    </sheetView>
  </sheetViews>
  <sheetFormatPr defaultColWidth="9.140625" defaultRowHeight="15" x14ac:dyDescent="0.25"/>
  <cols>
    <col min="1" max="1" width="36.85546875" style="298" bestFit="1" customWidth="1"/>
    <col min="2" max="2" width="9.140625" style="298" bestFit="1" customWidth="1"/>
    <col min="3" max="3" width="18.5703125" style="298" bestFit="1" customWidth="1"/>
    <col min="4" max="5" width="13.7109375" style="298" customWidth="1"/>
    <col min="6" max="8" width="14.42578125" style="298" customWidth="1"/>
    <col min="9" max="9" width="8.28515625" style="298" customWidth="1"/>
    <col min="10" max="16384" width="9.140625" style="298"/>
  </cols>
  <sheetData>
    <row r="1" spans="1:10" s="58" customFormat="1" x14ac:dyDescent="0.25">
      <c r="A1" s="639" t="s">
        <v>0</v>
      </c>
      <c r="B1" s="639"/>
      <c r="C1" s="639"/>
      <c r="D1" s="639"/>
      <c r="E1" s="639"/>
      <c r="F1" s="639"/>
      <c r="G1" s="639"/>
      <c r="H1" s="639"/>
      <c r="I1" s="639"/>
      <c r="J1" s="47"/>
    </row>
    <row r="2" spans="1:10" s="58" customFormat="1" x14ac:dyDescent="0.25">
      <c r="A2" s="639" t="s">
        <v>215</v>
      </c>
      <c r="B2" s="639"/>
      <c r="C2" s="639"/>
      <c r="D2" s="639"/>
      <c r="E2" s="639"/>
      <c r="F2" s="639"/>
      <c r="G2" s="639"/>
      <c r="H2" s="639"/>
      <c r="I2" s="639"/>
      <c r="J2" s="47"/>
    </row>
    <row r="3" spans="1:10" s="58" customFormat="1" x14ac:dyDescent="0.25">
      <c r="A3" s="639" t="s">
        <v>216</v>
      </c>
      <c r="B3" s="639"/>
      <c r="C3" s="639"/>
      <c r="D3" s="639"/>
      <c r="E3" s="639"/>
      <c r="F3" s="639"/>
      <c r="G3" s="639"/>
      <c r="H3" s="639"/>
      <c r="I3" s="639"/>
      <c r="J3" s="47"/>
    </row>
    <row r="4" spans="1:10" s="58" customFormat="1" x14ac:dyDescent="0.25">
      <c r="A4" s="639" t="s">
        <v>222</v>
      </c>
      <c r="B4" s="639"/>
      <c r="C4" s="639"/>
      <c r="D4" s="639"/>
      <c r="E4" s="639"/>
      <c r="F4" s="639"/>
      <c r="G4" s="639"/>
      <c r="H4" s="639"/>
      <c r="I4" s="639"/>
      <c r="J4" s="47"/>
    </row>
    <row r="5" spans="1:10" x14ac:dyDescent="0.25">
      <c r="D5" s="426"/>
      <c r="E5" s="426"/>
    </row>
    <row r="6" spans="1:10" x14ac:dyDescent="0.25">
      <c r="A6" s="291"/>
      <c r="B6" s="291"/>
      <c r="C6" s="291" t="s">
        <v>15</v>
      </c>
      <c r="D6" s="291" t="s">
        <v>5</v>
      </c>
      <c r="E6" s="291" t="s">
        <v>1</v>
      </c>
      <c r="F6" s="425" t="s">
        <v>15</v>
      </c>
      <c r="G6" s="425" t="s">
        <v>15</v>
      </c>
      <c r="H6" s="291" t="s">
        <v>217</v>
      </c>
      <c r="I6" s="291"/>
    </row>
    <row r="7" spans="1:10" x14ac:dyDescent="0.25">
      <c r="A7" s="291"/>
      <c r="B7" s="291" t="s">
        <v>17</v>
      </c>
      <c r="C7" s="291" t="s">
        <v>3</v>
      </c>
      <c r="D7" s="291" t="s">
        <v>217</v>
      </c>
      <c r="E7" s="291" t="s">
        <v>217</v>
      </c>
      <c r="F7" s="425" t="s">
        <v>2</v>
      </c>
      <c r="G7" s="425" t="s">
        <v>2</v>
      </c>
      <c r="H7" s="291" t="s">
        <v>2</v>
      </c>
      <c r="I7" s="291" t="s">
        <v>20</v>
      </c>
    </row>
    <row r="8" spans="1:10" x14ac:dyDescent="0.25">
      <c r="A8" s="339" t="s">
        <v>4</v>
      </c>
      <c r="B8" s="339" t="s">
        <v>21</v>
      </c>
      <c r="C8" s="252" t="str">
        <f>'Current Revenue Calc.'!$T$7</f>
        <v>12ME Oct. 2024</v>
      </c>
      <c r="D8" s="339" t="s">
        <v>22</v>
      </c>
      <c r="E8" s="339" t="s">
        <v>22</v>
      </c>
      <c r="F8" s="427" t="s">
        <v>23</v>
      </c>
      <c r="G8" s="427" t="s">
        <v>182</v>
      </c>
      <c r="H8" s="339" t="s">
        <v>24</v>
      </c>
      <c r="I8" s="339" t="s">
        <v>24</v>
      </c>
    </row>
    <row r="9" spans="1:10" x14ac:dyDescent="0.25">
      <c r="A9" s="298" t="s">
        <v>7</v>
      </c>
      <c r="B9" s="426" t="s">
        <v>30</v>
      </c>
      <c r="C9" s="299">
        <f>SUM(Therms!P10,Therms!P11)</f>
        <v>639464549</v>
      </c>
      <c r="D9" s="284">
        <v>-1.3699999999999999E-3</v>
      </c>
      <c r="E9" s="284">
        <v>-1.3699999999999999E-3</v>
      </c>
      <c r="F9" s="302">
        <f>C9*D9</f>
        <v>-876066.43212999997</v>
      </c>
      <c r="G9" s="302">
        <f>C9*E9</f>
        <v>-876066.43212999997</v>
      </c>
      <c r="H9" s="303">
        <f>G9-F9</f>
        <v>0</v>
      </c>
      <c r="I9" s="355">
        <f>-H9/F9</f>
        <v>0</v>
      </c>
    </row>
    <row r="10" spans="1:10" x14ac:dyDescent="0.25">
      <c r="A10" s="298" t="s">
        <v>31</v>
      </c>
      <c r="B10" s="426">
        <v>16</v>
      </c>
      <c r="C10" s="64">
        <f>Therms!P9</f>
        <v>8832</v>
      </c>
      <c r="D10" s="284">
        <v>-1.3699999999999999E-3</v>
      </c>
      <c r="E10" s="284">
        <v>-1.3699999999999999E-3</v>
      </c>
      <c r="F10" s="302">
        <f t="shared" ref="F10:F20" si="0">C10*D10</f>
        <v>-12.099839999999999</v>
      </c>
      <c r="G10" s="302">
        <f t="shared" ref="G10:G21" si="1">C10*E10</f>
        <v>-12.099839999999999</v>
      </c>
      <c r="H10" s="303">
        <f t="shared" ref="H10:H21" si="2">G10-F10</f>
        <v>0</v>
      </c>
      <c r="I10" s="355">
        <f t="shared" ref="I10:I21" si="3">-H10/F10</f>
        <v>0</v>
      </c>
    </row>
    <row r="11" spans="1:10" x14ac:dyDescent="0.25">
      <c r="A11" s="298" t="s">
        <v>8</v>
      </c>
      <c r="B11" s="426">
        <v>31</v>
      </c>
      <c r="C11" s="299">
        <f>Therms!P12</f>
        <v>245936243</v>
      </c>
      <c r="D11" s="284">
        <v>-1.47E-3</v>
      </c>
      <c r="E11" s="284">
        <v>-1.47E-3</v>
      </c>
      <c r="F11" s="302">
        <f t="shared" si="0"/>
        <v>-361526.27720999997</v>
      </c>
      <c r="G11" s="302">
        <f t="shared" si="1"/>
        <v>-361526.27720999997</v>
      </c>
      <c r="H11" s="303">
        <f t="shared" si="2"/>
        <v>0</v>
      </c>
      <c r="I11" s="355">
        <f t="shared" si="3"/>
        <v>0</v>
      </c>
    </row>
    <row r="12" spans="1:10" x14ac:dyDescent="0.25">
      <c r="A12" s="298" t="s">
        <v>9</v>
      </c>
      <c r="B12" s="426">
        <v>41</v>
      </c>
      <c r="C12" s="299">
        <f>Therms!P13</f>
        <v>66890541</v>
      </c>
      <c r="D12" s="284">
        <v>-5.5999999999999995E-4</v>
      </c>
      <c r="E12" s="284">
        <v>-5.5999999999999995E-4</v>
      </c>
      <c r="F12" s="302">
        <f t="shared" si="0"/>
        <v>-37458.702959999995</v>
      </c>
      <c r="G12" s="302">
        <f t="shared" si="1"/>
        <v>-37458.702959999995</v>
      </c>
      <c r="H12" s="303">
        <f t="shared" si="2"/>
        <v>0</v>
      </c>
      <c r="I12" s="355">
        <f t="shared" si="3"/>
        <v>0</v>
      </c>
    </row>
    <row r="13" spans="1:10" x14ac:dyDescent="0.25">
      <c r="A13" s="298" t="s">
        <v>10</v>
      </c>
      <c r="B13" s="426">
        <v>85</v>
      </c>
      <c r="C13" s="299">
        <f>Therms!P14</f>
        <v>10745378</v>
      </c>
      <c r="D13" s="284">
        <v>-2.7E-4</v>
      </c>
      <c r="E13" s="284">
        <v>-2.7E-4</v>
      </c>
      <c r="F13" s="302">
        <f t="shared" si="0"/>
        <v>-2901.2520600000003</v>
      </c>
      <c r="G13" s="302">
        <f t="shared" si="1"/>
        <v>-2901.2520600000003</v>
      </c>
      <c r="H13" s="303">
        <f t="shared" si="2"/>
        <v>0</v>
      </c>
      <c r="I13" s="355">
        <f t="shared" si="3"/>
        <v>0</v>
      </c>
    </row>
    <row r="14" spans="1:10" x14ac:dyDescent="0.25">
      <c r="A14" s="298" t="s">
        <v>11</v>
      </c>
      <c r="B14" s="426">
        <v>86</v>
      </c>
      <c r="C14" s="299">
        <f>Therms!P15</f>
        <v>5489408</v>
      </c>
      <c r="D14" s="284">
        <v>-3.3E-4</v>
      </c>
      <c r="E14" s="284">
        <v>-3.3E-4</v>
      </c>
      <c r="F14" s="302">
        <f t="shared" si="0"/>
        <v>-1811.5046399999999</v>
      </c>
      <c r="G14" s="302">
        <f t="shared" si="1"/>
        <v>-1811.5046399999999</v>
      </c>
      <c r="H14" s="303">
        <f t="shared" si="2"/>
        <v>0</v>
      </c>
      <c r="I14" s="355">
        <f t="shared" si="3"/>
        <v>0</v>
      </c>
    </row>
    <row r="15" spans="1:10" x14ac:dyDescent="0.25">
      <c r="A15" s="298" t="s">
        <v>12</v>
      </c>
      <c r="B15" s="426">
        <v>87</v>
      </c>
      <c r="C15" s="299">
        <f>Therms!P16</f>
        <v>21819455.762355205</v>
      </c>
      <c r="D15" s="284">
        <v>-1.3999999999999999E-4</v>
      </c>
      <c r="E15" s="284">
        <v>-1.3999999999999999E-4</v>
      </c>
      <c r="F15" s="302">
        <f t="shared" si="0"/>
        <v>-3054.7238067297285</v>
      </c>
      <c r="G15" s="302">
        <f t="shared" si="1"/>
        <v>-3054.7238067297285</v>
      </c>
      <c r="H15" s="303">
        <f t="shared" si="2"/>
        <v>0</v>
      </c>
      <c r="I15" s="355">
        <f t="shared" si="3"/>
        <v>0</v>
      </c>
    </row>
    <row r="16" spans="1:10" x14ac:dyDescent="0.25">
      <c r="A16" s="298" t="s">
        <v>32</v>
      </c>
      <c r="B16" s="426" t="s">
        <v>33</v>
      </c>
      <c r="C16" s="299">
        <f>Therms!P17</f>
        <v>33867</v>
      </c>
      <c r="D16" s="284">
        <v>-1.47E-3</v>
      </c>
      <c r="E16" s="284">
        <v>-1.47E-3</v>
      </c>
      <c r="F16" s="302">
        <f t="shared" si="0"/>
        <v>-49.784489999999998</v>
      </c>
      <c r="G16" s="302">
        <f t="shared" si="1"/>
        <v>-49.784489999999998</v>
      </c>
      <c r="H16" s="303">
        <f t="shared" si="2"/>
        <v>0</v>
      </c>
      <c r="I16" s="355">
        <f t="shared" si="3"/>
        <v>0</v>
      </c>
    </row>
    <row r="17" spans="1:9" x14ac:dyDescent="0.25">
      <c r="A17" s="298" t="s">
        <v>34</v>
      </c>
      <c r="B17" s="426" t="s">
        <v>35</v>
      </c>
      <c r="C17" s="299">
        <f>Therms!P18</f>
        <v>26510234</v>
      </c>
      <c r="D17" s="284">
        <v>-5.5999999999999995E-4</v>
      </c>
      <c r="E17" s="284">
        <v>-5.5999999999999995E-4</v>
      </c>
      <c r="F17" s="302">
        <f t="shared" si="0"/>
        <v>-14845.731039999999</v>
      </c>
      <c r="G17" s="302">
        <f t="shared" si="1"/>
        <v>-14845.731039999999</v>
      </c>
      <c r="H17" s="303">
        <f t="shared" si="2"/>
        <v>0</v>
      </c>
      <c r="I17" s="355">
        <f t="shared" si="3"/>
        <v>0</v>
      </c>
    </row>
    <row r="18" spans="1:9" x14ac:dyDescent="0.25">
      <c r="A18" s="298" t="s">
        <v>36</v>
      </c>
      <c r="B18" s="426" t="s">
        <v>37</v>
      </c>
      <c r="C18" s="299">
        <f>Therms!P19</f>
        <v>62288926</v>
      </c>
      <c r="D18" s="284">
        <v>-2.7E-4</v>
      </c>
      <c r="E18" s="284">
        <v>-2.7E-4</v>
      </c>
      <c r="F18" s="302">
        <f t="shared" si="0"/>
        <v>-16818.010020000002</v>
      </c>
      <c r="G18" s="302">
        <f t="shared" si="1"/>
        <v>-16818.010020000002</v>
      </c>
      <c r="H18" s="303">
        <f t="shared" si="2"/>
        <v>0</v>
      </c>
      <c r="I18" s="355">
        <f t="shared" si="3"/>
        <v>0</v>
      </c>
    </row>
    <row r="19" spans="1:9" x14ac:dyDescent="0.25">
      <c r="A19" s="298" t="s">
        <v>38</v>
      </c>
      <c r="B19" s="426" t="s">
        <v>39</v>
      </c>
      <c r="C19" s="299">
        <f>Therms!P20</f>
        <v>578702</v>
      </c>
      <c r="D19" s="284">
        <v>-3.3E-4</v>
      </c>
      <c r="E19" s="284">
        <v>-3.3E-4</v>
      </c>
      <c r="F19" s="302">
        <f t="shared" si="0"/>
        <v>-190.97165999999999</v>
      </c>
      <c r="G19" s="302">
        <f t="shared" si="1"/>
        <v>-190.97165999999999</v>
      </c>
      <c r="H19" s="303">
        <f t="shared" si="2"/>
        <v>0</v>
      </c>
      <c r="I19" s="355">
        <f t="shared" si="3"/>
        <v>0</v>
      </c>
    </row>
    <row r="20" spans="1:9" x14ac:dyDescent="0.25">
      <c r="A20" s="298" t="s">
        <v>40</v>
      </c>
      <c r="B20" s="426" t="s">
        <v>41</v>
      </c>
      <c r="C20" s="299">
        <f>Therms!P21</f>
        <v>97500425.645479575</v>
      </c>
      <c r="D20" s="284">
        <v>-1.3999999999999999E-4</v>
      </c>
      <c r="E20" s="284">
        <v>-1.3999999999999999E-4</v>
      </c>
      <c r="F20" s="302">
        <f t="shared" si="0"/>
        <v>-13650.05959036714</v>
      </c>
      <c r="G20" s="302">
        <f t="shared" si="1"/>
        <v>-13650.05959036714</v>
      </c>
      <c r="H20" s="303">
        <f t="shared" si="2"/>
        <v>0</v>
      </c>
      <c r="I20" s="355">
        <f t="shared" si="3"/>
        <v>0</v>
      </c>
    </row>
    <row r="21" spans="1:9" x14ac:dyDescent="0.25">
      <c r="A21" s="298" t="s">
        <v>13</v>
      </c>
      <c r="B21" s="426"/>
      <c r="C21" s="299">
        <f>Therms!P23</f>
        <v>30967900</v>
      </c>
      <c r="D21" s="9">
        <v>-6.9999999999999994E-5</v>
      </c>
      <c r="E21" s="9">
        <v>-6.9999999999999994E-5</v>
      </c>
      <c r="F21" s="302">
        <f>C21*D21</f>
        <v>-2167.7529999999997</v>
      </c>
      <c r="G21" s="302">
        <f t="shared" si="1"/>
        <v>-2167.7529999999997</v>
      </c>
      <c r="H21" s="303">
        <f t="shared" si="2"/>
        <v>0</v>
      </c>
      <c r="I21" s="355">
        <f t="shared" si="3"/>
        <v>0</v>
      </c>
    </row>
    <row r="22" spans="1:9" x14ac:dyDescent="0.25">
      <c r="A22" s="298" t="s">
        <v>6</v>
      </c>
      <c r="C22" s="361">
        <f>SUM(C9:C21)</f>
        <v>1208234461.407835</v>
      </c>
      <c r="D22" s="362"/>
      <c r="E22" s="373"/>
      <c r="F22" s="308">
        <f t="shared" ref="F22:H22" si="4">SUM(F9:F21)</f>
        <v>-1330553.3024470967</v>
      </c>
      <c r="G22" s="308">
        <f t="shared" si="4"/>
        <v>-1330553.3024470967</v>
      </c>
      <c r="H22" s="363">
        <f t="shared" si="4"/>
        <v>0</v>
      </c>
      <c r="I22" s="356">
        <f>-H22/F22</f>
        <v>0</v>
      </c>
    </row>
    <row r="23" spans="1:9" x14ac:dyDescent="0.25">
      <c r="F23" s="303"/>
      <c r="G23" s="303"/>
    </row>
    <row r="24" spans="1:9" x14ac:dyDescent="0.25">
      <c r="C24" s="329"/>
      <c r="F24" s="303"/>
      <c r="G24" s="303"/>
    </row>
    <row r="25" spans="1:9" x14ac:dyDescent="0.25">
      <c r="A25" s="364"/>
    </row>
  </sheetData>
  <mergeCells count="4">
    <mergeCell ref="A1:I1"/>
    <mergeCell ref="A2:I2"/>
    <mergeCell ref="A3:I3"/>
    <mergeCell ref="A4:I4"/>
  </mergeCells>
  <printOptions horizontalCentered="1"/>
  <pageMargins left="0.7" right="0.7" top="0.75" bottom="0.75" header="0.3" footer="0.3"/>
  <pageSetup scale="85" orientation="landscape" blackAndWhite="1" r:id="rId1"/>
  <headerFooter>
    <oddFooter>&amp;L&amp;F 
&amp;A&amp;C&amp;P&amp;R&amp;D</oddFooter>
  </headerFooter>
  <customProperties>
    <customPr name="_pios_id" r:id="rId2"/>
    <customPr name="EpmWorksheetKeyString_GUID" r:id="rId3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2"/>
  <sheetViews>
    <sheetView zoomScale="90" zoomScaleNormal="90" workbookViewId="0">
      <pane ySplit="8" topLeftCell="A27" activePane="bottomLeft" state="frozen"/>
      <selection activeCell="G21" sqref="G21"/>
      <selection pane="bottomLeft" activeCell="E45" sqref="E45"/>
    </sheetView>
  </sheetViews>
  <sheetFormatPr defaultColWidth="9.140625" defaultRowHeight="15" x14ac:dyDescent="0.25"/>
  <cols>
    <col min="1" max="1" width="2.5703125" style="1" customWidth="1"/>
    <col min="2" max="2" width="26.42578125" style="1" customWidth="1"/>
    <col min="3" max="3" width="8.7109375" style="1" bestFit="1" customWidth="1"/>
    <col min="4" max="4" width="18.5703125" style="1" bestFit="1" customWidth="1"/>
    <col min="5" max="6" width="13.7109375" style="1" customWidth="1"/>
    <col min="7" max="8" width="14.42578125" style="1" customWidth="1"/>
    <col min="9" max="9" width="16" style="1" bestFit="1" customWidth="1"/>
    <col min="10" max="10" width="8.28515625" style="1" customWidth="1"/>
    <col min="11" max="12" width="9.140625" style="1"/>
    <col min="13" max="14" width="11.28515625" style="1" bestFit="1" customWidth="1"/>
    <col min="15" max="15" width="9.7109375" style="1" bestFit="1" customWidth="1"/>
    <col min="16" max="16384" width="9.140625" style="1"/>
  </cols>
  <sheetData>
    <row r="1" spans="1:14" x14ac:dyDescent="0.25">
      <c r="A1" s="639" t="s">
        <v>0</v>
      </c>
      <c r="B1" s="639"/>
      <c r="C1" s="639"/>
      <c r="D1" s="639"/>
      <c r="E1" s="639"/>
      <c r="F1" s="639"/>
      <c r="G1" s="639"/>
      <c r="H1" s="639"/>
      <c r="I1" s="639"/>
      <c r="J1" s="639"/>
    </row>
    <row r="2" spans="1:14" x14ac:dyDescent="0.25">
      <c r="A2" s="639" t="s">
        <v>210</v>
      </c>
      <c r="B2" s="639"/>
      <c r="C2" s="639"/>
      <c r="D2" s="639"/>
      <c r="E2" s="639"/>
      <c r="F2" s="639"/>
      <c r="G2" s="639"/>
      <c r="H2" s="639"/>
      <c r="I2" s="639"/>
      <c r="J2" s="639"/>
    </row>
    <row r="3" spans="1:14" x14ac:dyDescent="0.25">
      <c r="A3" s="639" t="s">
        <v>211</v>
      </c>
      <c r="B3" s="639"/>
      <c r="C3" s="639"/>
      <c r="D3" s="639"/>
      <c r="E3" s="639"/>
      <c r="F3" s="639"/>
      <c r="G3" s="639"/>
      <c r="H3" s="639"/>
      <c r="I3" s="639"/>
      <c r="J3" s="639"/>
    </row>
    <row r="4" spans="1:14" x14ac:dyDescent="0.25">
      <c r="A4" s="639" t="s">
        <v>310</v>
      </c>
      <c r="B4" s="639"/>
      <c r="C4" s="639"/>
      <c r="D4" s="639"/>
      <c r="E4" s="639"/>
      <c r="F4" s="639"/>
      <c r="G4" s="639"/>
      <c r="H4" s="639"/>
      <c r="I4" s="639"/>
      <c r="J4" s="639"/>
    </row>
    <row r="5" spans="1:14" x14ac:dyDescent="0.25">
      <c r="A5" s="338"/>
      <c r="B5" s="338"/>
      <c r="C5" s="338"/>
      <c r="D5" s="338"/>
      <c r="E5" s="338"/>
      <c r="F5" s="338"/>
      <c r="G5" s="338"/>
      <c r="H5" s="338"/>
      <c r="I5" s="349"/>
    </row>
    <row r="6" spans="1:14" ht="15" customHeight="1" x14ac:dyDescent="0.25">
      <c r="C6" s="338"/>
      <c r="D6" s="288" t="s">
        <v>15</v>
      </c>
      <c r="E6" s="350" t="s">
        <v>5</v>
      </c>
      <c r="F6" s="350" t="s">
        <v>1</v>
      </c>
      <c r="G6" s="336" t="s">
        <v>15</v>
      </c>
      <c r="H6" s="336" t="s">
        <v>15</v>
      </c>
      <c r="I6" s="288" t="s">
        <v>183</v>
      </c>
    </row>
    <row r="7" spans="1:14" ht="15" customHeight="1" x14ac:dyDescent="0.25">
      <c r="C7" s="338" t="s">
        <v>17</v>
      </c>
      <c r="D7" s="288" t="s">
        <v>3</v>
      </c>
      <c r="E7" s="350" t="s">
        <v>45</v>
      </c>
      <c r="F7" s="350" t="s">
        <v>45</v>
      </c>
      <c r="G7" s="336" t="s">
        <v>2</v>
      </c>
      <c r="H7" s="336" t="s">
        <v>2</v>
      </c>
      <c r="I7" s="288" t="s">
        <v>46</v>
      </c>
      <c r="J7" s="288" t="s">
        <v>20</v>
      </c>
    </row>
    <row r="8" spans="1:14" x14ac:dyDescent="0.25">
      <c r="A8" s="351" t="s">
        <v>76</v>
      </c>
      <c r="B8" s="351"/>
      <c r="C8" s="333" t="s">
        <v>21</v>
      </c>
      <c r="D8" s="252" t="str">
        <f>'Current Revenue Calc.'!$T$7</f>
        <v>12ME Oct. 2024</v>
      </c>
      <c r="E8" s="290" t="s">
        <v>22</v>
      </c>
      <c r="F8" s="290" t="s">
        <v>22</v>
      </c>
      <c r="G8" s="56" t="s">
        <v>23</v>
      </c>
      <c r="H8" s="56" t="s">
        <v>182</v>
      </c>
      <c r="I8" s="339" t="s">
        <v>123</v>
      </c>
      <c r="J8" s="339" t="s">
        <v>24</v>
      </c>
    </row>
    <row r="9" spans="1:14" x14ac:dyDescent="0.25">
      <c r="A9" s="288"/>
      <c r="B9" s="288"/>
      <c r="C9" s="288"/>
      <c r="D9" s="352"/>
      <c r="E9" s="353"/>
      <c r="F9" s="353"/>
      <c r="G9" s="288"/>
      <c r="H9" s="288"/>
      <c r="I9" s="354"/>
    </row>
    <row r="10" spans="1:14" x14ac:dyDescent="0.25">
      <c r="A10" s="1" t="s">
        <v>7</v>
      </c>
      <c r="C10" s="338" t="s">
        <v>47</v>
      </c>
      <c r="D10" s="54">
        <f>SUM(Therms!P10,Therms!P11)</f>
        <v>639464549</v>
      </c>
      <c r="E10" s="327">
        <v>4.64E-3</v>
      </c>
      <c r="F10" s="327">
        <v>4.64E-3</v>
      </c>
      <c r="G10" s="287">
        <f>ROUND(E10*D10,2)</f>
        <v>2967115.51</v>
      </c>
      <c r="H10" s="287">
        <f>ROUND(F10*D10,2)</f>
        <v>2967115.51</v>
      </c>
      <c r="I10" s="287">
        <f>H10-G10</f>
        <v>0</v>
      </c>
      <c r="J10" s="355">
        <f>I10/G10</f>
        <v>0</v>
      </c>
      <c r="L10" s="287"/>
      <c r="M10" s="287"/>
      <c r="N10" s="287"/>
    </row>
    <row r="11" spans="1:14" x14ac:dyDescent="0.25">
      <c r="C11" s="338"/>
      <c r="D11" s="282"/>
      <c r="E11" s="327"/>
      <c r="F11" s="327"/>
      <c r="G11" s="287"/>
      <c r="H11" s="287"/>
      <c r="I11" s="287"/>
      <c r="L11" s="287"/>
      <c r="M11" s="287"/>
      <c r="N11" s="287"/>
    </row>
    <row r="12" spans="1:14" x14ac:dyDescent="0.25">
      <c r="A12" s="1" t="s">
        <v>48</v>
      </c>
      <c r="C12" s="338">
        <v>31</v>
      </c>
      <c r="E12" s="70"/>
      <c r="F12" s="70"/>
      <c r="L12" s="287"/>
      <c r="M12" s="287"/>
      <c r="N12" s="287"/>
    </row>
    <row r="13" spans="1:14" x14ac:dyDescent="0.25">
      <c r="B13" s="1" t="s">
        <v>51</v>
      </c>
      <c r="C13" s="338"/>
      <c r="D13" s="54">
        <f>Therms!$P$12</f>
        <v>245936243</v>
      </c>
      <c r="E13" s="327">
        <v>-1.7249999999999988E-2</v>
      </c>
      <c r="F13" s="327">
        <v>-1.7249999999999988E-2</v>
      </c>
      <c r="G13" s="287">
        <f>ROUND(E13*D13,2)</f>
        <v>-4242400.1900000004</v>
      </c>
      <c r="H13" s="287">
        <f t="shared" ref="H13:H14" si="0">ROUND(F13*D13,2)</f>
        <v>-4242400.1900000004</v>
      </c>
      <c r="I13" s="287">
        <f t="shared" ref="I13:I14" si="1">H13-G13</f>
        <v>0</v>
      </c>
      <c r="J13" s="355">
        <f t="shared" ref="J13:J15" si="2">I13/G13</f>
        <v>0</v>
      </c>
      <c r="L13" s="287"/>
      <c r="M13" s="287"/>
      <c r="N13" s="287"/>
    </row>
    <row r="14" spans="1:14" x14ac:dyDescent="0.25">
      <c r="B14" s="1" t="s">
        <v>55</v>
      </c>
      <c r="C14" s="338"/>
      <c r="D14" s="54">
        <f>Therms!$P$12</f>
        <v>245936243</v>
      </c>
      <c r="E14" s="327">
        <v>-5.5999999999999973E-4</v>
      </c>
      <c r="F14" s="327">
        <v>-5.5999999999999973E-4</v>
      </c>
      <c r="G14" s="287">
        <f>ROUND(E14*D14,2)</f>
        <v>-137724.29999999999</v>
      </c>
      <c r="H14" s="287">
        <f t="shared" si="0"/>
        <v>-137724.29999999999</v>
      </c>
      <c r="I14" s="287">
        <f t="shared" si="1"/>
        <v>0</v>
      </c>
      <c r="J14" s="355">
        <f t="shared" si="2"/>
        <v>0</v>
      </c>
      <c r="L14" s="287"/>
      <c r="M14" s="287"/>
      <c r="N14" s="287"/>
    </row>
    <row r="15" spans="1:14" x14ac:dyDescent="0.25">
      <c r="B15" s="1" t="s">
        <v>6</v>
      </c>
      <c r="C15" s="338"/>
      <c r="D15" s="54"/>
      <c r="E15" s="327"/>
      <c r="F15" s="327"/>
      <c r="G15" s="286">
        <f>SUM(G13:G14)</f>
        <v>-4380124.49</v>
      </c>
      <c r="H15" s="286">
        <f t="shared" ref="H15:I15" si="3">SUM(H13:H14)</f>
        <v>-4380124.49</v>
      </c>
      <c r="I15" s="286">
        <f t="shared" si="3"/>
        <v>0</v>
      </c>
      <c r="J15" s="356">
        <f t="shared" si="2"/>
        <v>0</v>
      </c>
      <c r="L15" s="287"/>
      <c r="M15" s="287"/>
      <c r="N15" s="287"/>
    </row>
    <row r="16" spans="1:14" x14ac:dyDescent="0.25">
      <c r="C16" s="338"/>
      <c r="D16" s="282"/>
      <c r="E16" s="327"/>
      <c r="F16" s="327"/>
      <c r="G16" s="287"/>
      <c r="H16" s="287"/>
      <c r="I16" s="287"/>
      <c r="L16" s="287"/>
      <c r="M16" s="287"/>
      <c r="N16" s="287"/>
    </row>
    <row r="17" spans="1:14" x14ac:dyDescent="0.25">
      <c r="A17" s="1" t="s">
        <v>101</v>
      </c>
      <c r="C17" s="338" t="s">
        <v>33</v>
      </c>
      <c r="D17" s="282"/>
      <c r="E17" s="327"/>
      <c r="F17" s="327"/>
      <c r="G17" s="287"/>
      <c r="H17" s="287"/>
      <c r="I17" s="287"/>
      <c r="L17" s="287"/>
      <c r="M17" s="287"/>
      <c r="N17" s="287"/>
    </row>
    <row r="18" spans="1:14" x14ac:dyDescent="0.25">
      <c r="B18" s="1" t="s">
        <v>51</v>
      </c>
      <c r="C18" s="338"/>
      <c r="D18" s="54">
        <f>Therms!P17</f>
        <v>33867</v>
      </c>
      <c r="E18" s="327">
        <v>-1.7249999999999988E-2</v>
      </c>
      <c r="F18" s="327">
        <v>-1.7249999999999988E-2</v>
      </c>
      <c r="G18" s="287">
        <f>ROUND(E18*D18,2)</f>
        <v>-584.21</v>
      </c>
      <c r="H18" s="287">
        <f t="shared" ref="H18" si="4">ROUND(F18*D18,2)</f>
        <v>-584.21</v>
      </c>
      <c r="I18" s="287">
        <f t="shared" ref="I18" si="5">H18-G18</f>
        <v>0</v>
      </c>
      <c r="J18" s="355">
        <f t="shared" ref="J18" si="6">I18/G18</f>
        <v>0</v>
      </c>
      <c r="L18" s="287"/>
      <c r="M18" s="287"/>
      <c r="N18" s="287"/>
    </row>
    <row r="19" spans="1:14" x14ac:dyDescent="0.25">
      <c r="C19" s="338"/>
      <c r="D19" s="282"/>
      <c r="E19" s="327"/>
      <c r="F19" s="327"/>
      <c r="G19" s="287"/>
      <c r="H19" s="287"/>
      <c r="I19" s="287"/>
      <c r="L19" s="287"/>
      <c r="M19" s="287"/>
      <c r="N19" s="287"/>
    </row>
    <row r="20" spans="1:14" x14ac:dyDescent="0.25">
      <c r="A20" s="1" t="s">
        <v>49</v>
      </c>
      <c r="C20" s="338">
        <v>41</v>
      </c>
      <c r="D20" s="54"/>
      <c r="E20" s="327"/>
      <c r="F20" s="327"/>
      <c r="G20" s="287"/>
      <c r="H20" s="287"/>
      <c r="I20" s="287"/>
      <c r="L20" s="287"/>
      <c r="M20" s="287"/>
      <c r="N20" s="287"/>
    </row>
    <row r="21" spans="1:14" x14ac:dyDescent="0.25">
      <c r="B21" s="1" t="s">
        <v>50</v>
      </c>
      <c r="C21" s="338"/>
      <c r="D21" s="54">
        <f>Demand!P13</f>
        <v>4682844</v>
      </c>
      <c r="E21" s="509">
        <v>-0.20000000000000018</v>
      </c>
      <c r="F21" s="509">
        <v>-0.20000000000000018</v>
      </c>
      <c r="G21" s="287">
        <f>ROUND(E21*D21,2)</f>
        <v>-936568.8</v>
      </c>
      <c r="H21" s="287">
        <f t="shared" ref="H21:H22" si="7">ROUND(F21*D21,2)</f>
        <v>-936568.8</v>
      </c>
      <c r="I21" s="287">
        <f t="shared" ref="I21:I22" si="8">H21-G21</f>
        <v>0</v>
      </c>
      <c r="J21" s="355">
        <f t="shared" ref="J21:J27" si="9">I21/G21</f>
        <v>0</v>
      </c>
      <c r="L21" s="287"/>
      <c r="M21" s="287"/>
      <c r="N21" s="287"/>
    </row>
    <row r="22" spans="1:14" x14ac:dyDescent="0.25">
      <c r="B22" s="1" t="s">
        <v>55</v>
      </c>
      <c r="C22" s="338"/>
      <c r="D22" s="54">
        <f>Therms!P13</f>
        <v>66890541</v>
      </c>
      <c r="E22" s="327">
        <v>-1.6500000000000004E-3</v>
      </c>
      <c r="F22" s="327">
        <v>-1.6500000000000004E-3</v>
      </c>
      <c r="G22" s="287">
        <f>ROUND(E22*D22,2)</f>
        <v>-110369.39</v>
      </c>
      <c r="H22" s="287">
        <f t="shared" si="7"/>
        <v>-110369.39</v>
      </c>
      <c r="I22" s="287">
        <f t="shared" si="8"/>
        <v>0</v>
      </c>
      <c r="J22" s="355">
        <f t="shared" si="9"/>
        <v>0</v>
      </c>
      <c r="L22" s="287"/>
      <c r="M22" s="287"/>
      <c r="N22" s="287"/>
    </row>
    <row r="23" spans="1:14" x14ac:dyDescent="0.25">
      <c r="B23" s="1" t="s">
        <v>51</v>
      </c>
      <c r="C23" s="338"/>
      <c r="D23" s="54"/>
      <c r="E23" s="327"/>
      <c r="F23" s="327"/>
      <c r="G23" s="287"/>
      <c r="H23" s="287"/>
      <c r="I23" s="287"/>
      <c r="J23" s="355"/>
      <c r="L23" s="287"/>
      <c r="M23" s="287"/>
      <c r="N23" s="287"/>
    </row>
    <row r="24" spans="1:14" x14ac:dyDescent="0.25">
      <c r="B24" s="1" t="s">
        <v>200</v>
      </c>
      <c r="C24" s="338"/>
      <c r="D24" s="54">
        <f>SUM('RY#2 Therms By Block'!N9,'RY#2 Therms By Block'!N16)</f>
        <v>13204762.568891775</v>
      </c>
      <c r="E24" s="327">
        <v>0</v>
      </c>
      <c r="F24" s="327">
        <v>0</v>
      </c>
      <c r="G24" s="287">
        <f>ROUND(E24*D24,2)</f>
        <v>0</v>
      </c>
      <c r="H24" s="287">
        <f t="shared" ref="H24:H26" si="10">ROUND(F24*D24,2)</f>
        <v>0</v>
      </c>
      <c r="I24" s="287">
        <f t="shared" ref="I24:I26" si="11">H24-G24</f>
        <v>0</v>
      </c>
      <c r="J24" s="355"/>
      <c r="L24" s="287"/>
      <c r="M24" s="287"/>
      <c r="N24" s="287"/>
    </row>
    <row r="25" spans="1:14" x14ac:dyDescent="0.25">
      <c r="B25" s="1" t="s">
        <v>52</v>
      </c>
      <c r="C25" s="338"/>
      <c r="D25" s="299">
        <f>SUM('RY#2 Therms By Block'!N10,'RY#2 Therms By Block'!N17)</f>
        <v>29590375.242762744</v>
      </c>
      <c r="E25" s="327">
        <v>-2.3690000000000017E-2</v>
      </c>
      <c r="F25" s="327">
        <v>-2.3690000000000017E-2</v>
      </c>
      <c r="G25" s="287">
        <f>ROUND(E25*D25,2)</f>
        <v>-700995.99</v>
      </c>
      <c r="H25" s="287">
        <f t="shared" si="10"/>
        <v>-700995.99</v>
      </c>
      <c r="I25" s="287">
        <f t="shared" si="11"/>
        <v>0</v>
      </c>
      <c r="J25" s="355">
        <f t="shared" si="9"/>
        <v>0</v>
      </c>
      <c r="L25" s="287"/>
      <c r="M25" s="287"/>
      <c r="N25" s="287"/>
    </row>
    <row r="26" spans="1:14" x14ac:dyDescent="0.25">
      <c r="B26" s="1" t="s">
        <v>53</v>
      </c>
      <c r="C26" s="338"/>
      <c r="D26" s="299">
        <f>SUM('RY#2 Therms By Block'!N11,'RY#2 Therms By Block'!N18)</f>
        <v>24095403.188345484</v>
      </c>
      <c r="E26" s="327">
        <v>-2.0889999999999992E-2</v>
      </c>
      <c r="F26" s="327">
        <v>-2.0889999999999992E-2</v>
      </c>
      <c r="G26" s="46">
        <f>ROUND(E26*D26,2)</f>
        <v>-503352.97</v>
      </c>
      <c r="H26" s="287">
        <f t="shared" si="10"/>
        <v>-503352.97</v>
      </c>
      <c r="I26" s="287">
        <f t="shared" si="11"/>
        <v>0</v>
      </c>
      <c r="J26" s="355">
        <f t="shared" si="9"/>
        <v>0</v>
      </c>
      <c r="L26" s="287"/>
      <c r="M26" s="287"/>
      <c r="N26" s="287"/>
    </row>
    <row r="27" spans="1:14" x14ac:dyDescent="0.25">
      <c r="B27" s="1" t="s">
        <v>6</v>
      </c>
      <c r="C27" s="338"/>
      <c r="D27" s="54"/>
      <c r="E27" s="327"/>
      <c r="F27" s="327"/>
      <c r="G27" s="286">
        <f>SUM(G21:G26)</f>
        <v>-2251287.1500000004</v>
      </c>
      <c r="H27" s="286">
        <f t="shared" ref="H27:I27" si="12">SUM(H21:H26)</f>
        <v>-2251287.1500000004</v>
      </c>
      <c r="I27" s="286">
        <f t="shared" si="12"/>
        <v>0</v>
      </c>
      <c r="J27" s="356">
        <f t="shared" si="9"/>
        <v>0</v>
      </c>
      <c r="L27" s="287"/>
      <c r="M27" s="287"/>
      <c r="N27" s="287"/>
    </row>
    <row r="28" spans="1:14" x14ac:dyDescent="0.25">
      <c r="C28" s="338"/>
      <c r="D28" s="282"/>
      <c r="E28" s="327"/>
      <c r="F28" s="327"/>
      <c r="G28" s="287"/>
      <c r="H28" s="287"/>
      <c r="I28" s="287"/>
      <c r="L28" s="287"/>
      <c r="M28" s="287"/>
      <c r="N28" s="287"/>
    </row>
    <row r="29" spans="1:14" x14ac:dyDescent="0.25">
      <c r="A29" s="1" t="s">
        <v>54</v>
      </c>
      <c r="C29" s="338" t="s">
        <v>35</v>
      </c>
      <c r="D29" s="54"/>
      <c r="E29" s="327"/>
      <c r="F29" s="327"/>
      <c r="G29" s="287"/>
      <c r="H29" s="287"/>
      <c r="I29" s="287"/>
      <c r="L29" s="287"/>
      <c r="M29" s="287"/>
      <c r="N29" s="287"/>
    </row>
    <row r="30" spans="1:14" x14ac:dyDescent="0.25">
      <c r="B30" s="1" t="s">
        <v>50</v>
      </c>
      <c r="C30" s="338"/>
      <c r="D30" s="54">
        <f>Demand!P18</f>
        <v>1092876</v>
      </c>
      <c r="E30" s="509">
        <v>-0.20000000000000018</v>
      </c>
      <c r="F30" s="509">
        <v>-0.20000000000000018</v>
      </c>
      <c r="G30" s="287">
        <f>ROUND(E30*D30,2)</f>
        <v>-218575.2</v>
      </c>
      <c r="H30" s="287">
        <f t="shared" ref="H30" si="13">ROUND(F30*D30,2)</f>
        <v>-218575.2</v>
      </c>
      <c r="I30" s="287">
        <f t="shared" ref="I30" si="14">H30-G30</f>
        <v>0</v>
      </c>
      <c r="J30" s="355">
        <f t="shared" ref="J30" si="15">I30/G30</f>
        <v>0</v>
      </c>
      <c r="L30" s="287"/>
      <c r="M30" s="287"/>
      <c r="N30" s="287"/>
    </row>
    <row r="31" spans="1:14" x14ac:dyDescent="0.25">
      <c r="B31" s="1" t="s">
        <v>51</v>
      </c>
      <c r="C31" s="338"/>
      <c r="D31" s="54"/>
      <c r="E31" s="327"/>
      <c r="F31" s="423"/>
      <c r="G31" s="287"/>
      <c r="H31" s="287"/>
      <c r="I31" s="287"/>
      <c r="L31" s="287"/>
      <c r="M31" s="287"/>
      <c r="N31" s="287"/>
    </row>
    <row r="32" spans="1:14" x14ac:dyDescent="0.25">
      <c r="B32" s="1" t="s">
        <v>200</v>
      </c>
      <c r="C32" s="338"/>
      <c r="D32" s="54">
        <f>Therms!$P$18*'12ME Jun21 Bill Freq'!N12</f>
        <v>1437597.2819731007</v>
      </c>
      <c r="E32" s="327">
        <v>0</v>
      </c>
      <c r="F32" s="327">
        <v>0</v>
      </c>
      <c r="G32" s="287">
        <f>ROUND(E32*D32,2)</f>
        <v>0</v>
      </c>
      <c r="H32" s="287">
        <f t="shared" ref="H32" si="16">ROUND(F32*D32,2)</f>
        <v>0</v>
      </c>
      <c r="I32" s="287">
        <f t="shared" ref="I32" si="17">H32-G32</f>
        <v>0</v>
      </c>
      <c r="J32" s="355"/>
      <c r="L32" s="287"/>
      <c r="M32" s="287"/>
      <c r="N32" s="287"/>
    </row>
    <row r="33" spans="1:14" x14ac:dyDescent="0.25">
      <c r="B33" s="1" t="s">
        <v>52</v>
      </c>
      <c r="C33" s="338"/>
      <c r="D33" s="54">
        <f>Therms!$P$18*'12ME Jun21 Bill Freq'!N13</f>
        <v>5306161.0538595598</v>
      </c>
      <c r="E33" s="327">
        <v>-2.3690000000000017E-2</v>
      </c>
      <c r="F33" s="327">
        <v>-2.3690000000000017E-2</v>
      </c>
      <c r="G33" s="287">
        <f>ROUND(E33*D33,2)</f>
        <v>-125702.96</v>
      </c>
      <c r="H33" s="287">
        <f t="shared" ref="H33:H34" si="18">ROUND(F33*D33,2)</f>
        <v>-125702.96</v>
      </c>
      <c r="I33" s="287">
        <f t="shared" ref="I33:I34" si="19">H33-G33</f>
        <v>0</v>
      </c>
      <c r="J33" s="355">
        <f t="shared" ref="J33:J35" si="20">I33/G33</f>
        <v>0</v>
      </c>
      <c r="L33" s="287"/>
      <c r="M33" s="287"/>
      <c r="N33" s="287"/>
    </row>
    <row r="34" spans="1:14" x14ac:dyDescent="0.25">
      <c r="B34" s="1" t="s">
        <v>53</v>
      </c>
      <c r="C34" s="338"/>
      <c r="D34" s="69">
        <f>Therms!$P$18*'12ME Jun21 Bill Freq'!N14</f>
        <v>19766475.664167337</v>
      </c>
      <c r="E34" s="327">
        <v>-2.0889999999999992E-2</v>
      </c>
      <c r="F34" s="327">
        <v>-2.0889999999999992E-2</v>
      </c>
      <c r="G34" s="46">
        <f>ROUND(E34*D34,2)</f>
        <v>-412921.68</v>
      </c>
      <c r="H34" s="287">
        <f t="shared" si="18"/>
        <v>-412921.68</v>
      </c>
      <c r="I34" s="287">
        <f t="shared" si="19"/>
        <v>0</v>
      </c>
      <c r="J34" s="355">
        <f t="shared" si="20"/>
        <v>0</v>
      </c>
      <c r="L34" s="287"/>
      <c r="M34" s="287"/>
      <c r="N34" s="287"/>
    </row>
    <row r="35" spans="1:14" x14ac:dyDescent="0.25">
      <c r="B35" s="1" t="s">
        <v>6</v>
      </c>
      <c r="C35" s="338"/>
      <c r="D35" s="54"/>
      <c r="E35" s="327"/>
      <c r="F35" s="327"/>
      <c r="G35" s="286">
        <f>SUM(G30:G34)</f>
        <v>-757199.84000000008</v>
      </c>
      <c r="H35" s="286">
        <f>SUM(H30:H34)</f>
        <v>-757199.84000000008</v>
      </c>
      <c r="I35" s="286">
        <f>SUM(I30:I34)</f>
        <v>0</v>
      </c>
      <c r="J35" s="356">
        <f t="shared" si="20"/>
        <v>0</v>
      </c>
      <c r="L35" s="287"/>
      <c r="M35" s="287"/>
      <c r="N35" s="287"/>
    </row>
    <row r="36" spans="1:14" x14ac:dyDescent="0.25">
      <c r="C36" s="338"/>
      <c r="D36" s="282"/>
      <c r="E36" s="327"/>
      <c r="F36" s="327"/>
      <c r="G36" s="287"/>
      <c r="H36" s="287"/>
      <c r="I36" s="287"/>
      <c r="L36" s="287"/>
      <c r="M36" s="287"/>
      <c r="N36" s="287"/>
    </row>
    <row r="37" spans="1:14" x14ac:dyDescent="0.25">
      <c r="A37" s="1" t="s">
        <v>11</v>
      </c>
      <c r="C37" s="338">
        <v>86</v>
      </c>
      <c r="D37" s="282"/>
      <c r="E37" s="327"/>
      <c r="F37" s="327"/>
      <c r="G37" s="287"/>
      <c r="H37" s="287"/>
      <c r="I37" s="287"/>
      <c r="L37" s="287"/>
      <c r="M37" s="287"/>
      <c r="N37" s="287"/>
    </row>
    <row r="38" spans="1:14" x14ac:dyDescent="0.25">
      <c r="B38" s="1" t="s">
        <v>50</v>
      </c>
      <c r="C38" s="338"/>
      <c r="D38" s="54">
        <f>Demand!P15</f>
        <v>38184</v>
      </c>
      <c r="E38" s="509">
        <v>-0.20000000000000018</v>
      </c>
      <c r="F38" s="509">
        <v>-0.20000000000000018</v>
      </c>
      <c r="G38" s="287">
        <f>ROUND(E38*D38,2)</f>
        <v>-7636.8</v>
      </c>
      <c r="H38" s="287">
        <f t="shared" ref="H38:H39" si="21">ROUND(F38*D38,2)</f>
        <v>-7636.8</v>
      </c>
      <c r="I38" s="287">
        <f t="shared" ref="I38:I39" si="22">H38-G38</f>
        <v>0</v>
      </c>
      <c r="J38" s="355">
        <f t="shared" ref="J38:J39" si="23">I38/G38</f>
        <v>0</v>
      </c>
      <c r="L38" s="287"/>
      <c r="M38" s="287"/>
      <c r="N38" s="287"/>
    </row>
    <row r="39" spans="1:14" x14ac:dyDescent="0.25">
      <c r="B39" s="1" t="s">
        <v>55</v>
      </c>
      <c r="C39" s="338"/>
      <c r="D39" s="54">
        <f>Therms!P15</f>
        <v>5489408</v>
      </c>
      <c r="E39" s="327">
        <v>-1.7999999999999995E-3</v>
      </c>
      <c r="F39" s="327">
        <v>-1.7999999999999995E-3</v>
      </c>
      <c r="G39" s="287">
        <f>ROUND(E39*D39,2)</f>
        <v>-9880.93</v>
      </c>
      <c r="H39" s="287">
        <f t="shared" si="21"/>
        <v>-9880.93</v>
      </c>
      <c r="I39" s="287">
        <f t="shared" si="22"/>
        <v>0</v>
      </c>
      <c r="J39" s="355">
        <f t="shared" si="23"/>
        <v>0</v>
      </c>
      <c r="L39" s="287"/>
      <c r="M39" s="287"/>
      <c r="N39" s="287"/>
    </row>
    <row r="40" spans="1:14" x14ac:dyDescent="0.25">
      <c r="B40" s="1" t="s">
        <v>51</v>
      </c>
      <c r="C40" s="338"/>
      <c r="D40" s="282"/>
      <c r="E40" s="327"/>
      <c r="F40" s="423"/>
      <c r="G40" s="287"/>
      <c r="H40" s="287"/>
      <c r="I40" s="287"/>
      <c r="L40" s="287"/>
      <c r="M40" s="287"/>
      <c r="N40" s="287"/>
    </row>
    <row r="41" spans="1:14" x14ac:dyDescent="0.25">
      <c r="B41" s="1" t="s">
        <v>59</v>
      </c>
      <c r="C41" s="338"/>
      <c r="D41" s="54">
        <f>SUM('RY#2 Therms By Block'!N65,'RY#2 Therms By Block'!N71)</f>
        <v>1009396.7998300681</v>
      </c>
      <c r="E41" s="327">
        <v>-3.0180000000000012E-2</v>
      </c>
      <c r="F41" s="327">
        <v>-3.0180000000000012E-2</v>
      </c>
      <c r="G41" s="287">
        <f>ROUND(E41*D41,2)</f>
        <v>-30463.599999999999</v>
      </c>
      <c r="H41" s="287">
        <f t="shared" ref="H41:H42" si="24">ROUND(F41*D41,2)</f>
        <v>-30463.599999999999</v>
      </c>
      <c r="I41" s="287">
        <f t="shared" ref="I41:I42" si="25">H41-G41</f>
        <v>0</v>
      </c>
      <c r="J41" s="355">
        <f t="shared" ref="J41:J43" si="26">I41/G41</f>
        <v>0</v>
      </c>
      <c r="L41" s="287"/>
      <c r="M41" s="287"/>
      <c r="N41" s="287"/>
    </row>
    <row r="42" spans="1:14" x14ac:dyDescent="0.25">
      <c r="B42" s="1" t="s">
        <v>60</v>
      </c>
      <c r="C42" s="338"/>
      <c r="D42" s="299">
        <f>SUM('RY#2 Therms By Block'!N66,'RY#2 Therms By Block'!N72)</f>
        <v>4480011.2001699321</v>
      </c>
      <c r="E42" s="327">
        <v>-2.1819999999999978E-2</v>
      </c>
      <c r="F42" s="327">
        <v>-2.1819999999999978E-2</v>
      </c>
      <c r="G42" s="46">
        <f>ROUND(E42*D42,2)</f>
        <v>-97753.84</v>
      </c>
      <c r="H42" s="287">
        <f t="shared" si="24"/>
        <v>-97753.84</v>
      </c>
      <c r="I42" s="287">
        <f t="shared" si="25"/>
        <v>0</v>
      </c>
      <c r="J42" s="355">
        <f t="shared" si="26"/>
        <v>0</v>
      </c>
      <c r="L42" s="287"/>
      <c r="M42" s="287"/>
      <c r="N42" s="287"/>
    </row>
    <row r="43" spans="1:14" x14ac:dyDescent="0.25">
      <c r="B43" s="1" t="s">
        <v>6</v>
      </c>
      <c r="C43" s="338"/>
      <c r="D43" s="54"/>
      <c r="E43" s="327"/>
      <c r="F43" s="327"/>
      <c r="G43" s="286">
        <f>SUM(G38:G42)</f>
        <v>-145735.16999999998</v>
      </c>
      <c r="H43" s="286">
        <f t="shared" ref="H43:I43" si="27">SUM(H38:H42)</f>
        <v>-145735.16999999998</v>
      </c>
      <c r="I43" s="286">
        <f t="shared" si="27"/>
        <v>0</v>
      </c>
      <c r="J43" s="356">
        <f t="shared" si="26"/>
        <v>0</v>
      </c>
      <c r="L43" s="287"/>
      <c r="M43" s="287"/>
      <c r="N43" s="287"/>
    </row>
    <row r="44" spans="1:14" x14ac:dyDescent="0.25">
      <c r="C44" s="338"/>
      <c r="D44" s="54"/>
      <c r="E44" s="327"/>
      <c r="F44" s="327"/>
      <c r="G44" s="287"/>
      <c r="H44" s="287"/>
      <c r="I44" s="287"/>
      <c r="L44" s="287"/>
      <c r="M44" s="287"/>
      <c r="N44" s="287"/>
    </row>
    <row r="45" spans="1:14" x14ac:dyDescent="0.25">
      <c r="A45" s="1" t="s">
        <v>61</v>
      </c>
      <c r="C45" s="338" t="s">
        <v>39</v>
      </c>
      <c r="D45" s="282"/>
      <c r="E45" s="327"/>
      <c r="F45" s="327"/>
      <c r="G45" s="287"/>
      <c r="H45" s="287"/>
      <c r="I45" s="287"/>
      <c r="L45" s="287"/>
      <c r="M45" s="287"/>
      <c r="N45" s="287"/>
    </row>
    <row r="46" spans="1:14" x14ac:dyDescent="0.25">
      <c r="B46" s="1" t="s">
        <v>50</v>
      </c>
      <c r="C46" s="338"/>
      <c r="D46" s="54">
        <f>Demand!P20</f>
        <v>19344</v>
      </c>
      <c r="E46" s="509">
        <v>-0.20000000000000018</v>
      </c>
      <c r="F46" s="509">
        <v>-0.20000000000000018</v>
      </c>
      <c r="G46" s="287">
        <f>ROUND(E46*D46,2)</f>
        <v>-3868.8</v>
      </c>
      <c r="H46" s="287">
        <f>ROUND(F46*D46,2)</f>
        <v>-3868.8</v>
      </c>
      <c r="I46" s="287">
        <f>H46-G46</f>
        <v>0</v>
      </c>
      <c r="J46" s="355">
        <f t="shared" ref="J46" si="28">I46/G46</f>
        <v>0</v>
      </c>
      <c r="L46" s="287"/>
      <c r="M46" s="287"/>
      <c r="N46" s="287"/>
    </row>
    <row r="47" spans="1:14" x14ac:dyDescent="0.25">
      <c r="B47" s="1" t="s">
        <v>51</v>
      </c>
      <c r="C47" s="338"/>
      <c r="D47" s="282"/>
      <c r="E47" s="327"/>
      <c r="F47" s="423"/>
      <c r="G47" s="287"/>
      <c r="H47" s="287"/>
      <c r="I47" s="287"/>
      <c r="L47" s="287"/>
      <c r="M47" s="287"/>
      <c r="N47" s="287"/>
    </row>
    <row r="48" spans="1:14" x14ac:dyDescent="0.25">
      <c r="B48" s="1" t="s">
        <v>59</v>
      </c>
      <c r="C48" s="338"/>
      <c r="D48" s="54">
        <f>Therms!$P$20*'12ME Jun21 Bill Freq'!N35</f>
        <v>53897.606420574077</v>
      </c>
      <c r="E48" s="327">
        <v>-3.0180000000000012E-2</v>
      </c>
      <c r="F48" s="327">
        <v>-3.0180000000000012E-2</v>
      </c>
      <c r="G48" s="287">
        <f>ROUND(E48*D48,2)</f>
        <v>-1626.63</v>
      </c>
      <c r="H48" s="287">
        <f t="shared" ref="H48:H49" si="29">ROUND(F48*D48,2)</f>
        <v>-1626.63</v>
      </c>
      <c r="I48" s="287">
        <f t="shared" ref="I48:I49" si="30">H48-G48</f>
        <v>0</v>
      </c>
      <c r="J48" s="355">
        <f t="shared" ref="J48:J50" si="31">I48/G48</f>
        <v>0</v>
      </c>
      <c r="L48" s="287"/>
      <c r="M48" s="287"/>
      <c r="N48" s="287"/>
    </row>
    <row r="49" spans="1:14" x14ac:dyDescent="0.25">
      <c r="B49" s="1" t="s">
        <v>60</v>
      </c>
      <c r="C49" s="338"/>
      <c r="D49" s="54">
        <f>Therms!$P$20*'12ME Jun21 Bill Freq'!N36</f>
        <v>524804.39357942599</v>
      </c>
      <c r="E49" s="327">
        <v>-2.1819999999999978E-2</v>
      </c>
      <c r="F49" s="327">
        <v>-2.1819999999999978E-2</v>
      </c>
      <c r="G49" s="46">
        <f>ROUND(E49*D49,2)</f>
        <v>-11451.23</v>
      </c>
      <c r="H49" s="287">
        <f t="shared" si="29"/>
        <v>-11451.23</v>
      </c>
      <c r="I49" s="287">
        <f t="shared" si="30"/>
        <v>0</v>
      </c>
      <c r="J49" s="355">
        <f t="shared" si="31"/>
        <v>0</v>
      </c>
      <c r="L49" s="287"/>
      <c r="M49" s="287"/>
      <c r="N49" s="287"/>
    </row>
    <row r="50" spans="1:14" x14ac:dyDescent="0.25">
      <c r="B50" s="1" t="s">
        <v>6</v>
      </c>
      <c r="C50" s="338"/>
      <c r="D50" s="54"/>
      <c r="E50" s="327"/>
      <c r="F50" s="315"/>
      <c r="G50" s="286">
        <f>SUM(G46:G49)</f>
        <v>-16946.66</v>
      </c>
      <c r="H50" s="286">
        <f t="shared" ref="H50:I50" si="32">SUM(H46:H49)</f>
        <v>-16946.66</v>
      </c>
      <c r="I50" s="286">
        <f t="shared" si="32"/>
        <v>0</v>
      </c>
      <c r="J50" s="356">
        <f t="shared" si="31"/>
        <v>0</v>
      </c>
      <c r="L50" s="287"/>
      <c r="M50" s="287"/>
      <c r="N50" s="287"/>
    </row>
    <row r="51" spans="1:14" x14ac:dyDescent="0.25">
      <c r="C51" s="338"/>
      <c r="D51" s="54"/>
      <c r="E51" s="77"/>
      <c r="F51" s="315"/>
      <c r="G51" s="287"/>
      <c r="H51" s="287"/>
      <c r="I51" s="287"/>
      <c r="L51" s="287"/>
      <c r="M51" s="287"/>
      <c r="N51" s="287"/>
    </row>
    <row r="52" spans="1:14" x14ac:dyDescent="0.25">
      <c r="A52" s="1" t="s">
        <v>6</v>
      </c>
      <c r="E52" s="77"/>
      <c r="F52" s="315"/>
      <c r="G52" s="286">
        <f>G10+G15+G18+G27+G35+G43+G50</f>
        <v>-4584762.0100000007</v>
      </c>
      <c r="H52" s="286">
        <f t="shared" ref="H52:I52" si="33">H10+H15+H18+H27+H35+H43+H50</f>
        <v>-4584762.0100000007</v>
      </c>
      <c r="I52" s="286">
        <f t="shared" si="33"/>
        <v>0</v>
      </c>
      <c r="J52" s="356">
        <f t="shared" ref="J52" si="34">I52/G52</f>
        <v>0</v>
      </c>
      <c r="L52" s="287"/>
      <c r="M52" s="287"/>
      <c r="N52" s="287"/>
    </row>
    <row r="53" spans="1:14" x14ac:dyDescent="0.25">
      <c r="B53" s="328" t="s">
        <v>119</v>
      </c>
      <c r="D53" s="329">
        <f>SUM(D10,D13,D18,D24:D26,D32:D34,D41:D42,D48:D49)</f>
        <v>984903544</v>
      </c>
      <c r="F53" s="282"/>
      <c r="N53" s="287"/>
    </row>
    <row r="54" spans="1:14" x14ac:dyDescent="0.25">
      <c r="A54" s="330"/>
      <c r="B54" s="328" t="s">
        <v>100</v>
      </c>
      <c r="D54" s="329">
        <f>SUM(D21,D30,D38,D46)</f>
        <v>5833248</v>
      </c>
      <c r="F54" s="282"/>
      <c r="N54" s="287"/>
    </row>
    <row r="55" spans="1:14" ht="12.75" customHeight="1" x14ac:dyDescent="0.25">
      <c r="A55" s="330"/>
      <c r="B55" s="357"/>
      <c r="C55" s="358"/>
      <c r="D55" s="358"/>
      <c r="E55" s="358"/>
      <c r="F55" s="390"/>
      <c r="G55" s="359"/>
      <c r="H55" s="359"/>
      <c r="I55" s="358"/>
      <c r="N55" s="287"/>
    </row>
    <row r="56" spans="1:14" x14ac:dyDescent="0.25">
      <c r="B56" s="360"/>
      <c r="F56" s="282"/>
      <c r="N56" s="287"/>
    </row>
    <row r="57" spans="1:14" x14ac:dyDescent="0.25">
      <c r="F57" s="282"/>
      <c r="N57" s="287"/>
    </row>
    <row r="58" spans="1:14" x14ac:dyDescent="0.25">
      <c r="F58" s="282"/>
      <c r="N58" s="287"/>
    </row>
    <row r="59" spans="1:14" x14ac:dyDescent="0.25">
      <c r="F59" s="282"/>
      <c r="N59" s="287"/>
    </row>
    <row r="60" spans="1:14" x14ac:dyDescent="0.25">
      <c r="F60" s="282"/>
      <c r="N60" s="287"/>
    </row>
    <row r="61" spans="1:14" x14ac:dyDescent="0.25">
      <c r="F61" s="282"/>
      <c r="N61" s="287"/>
    </row>
    <row r="62" spans="1:14" x14ac:dyDescent="0.25">
      <c r="F62" s="282"/>
      <c r="N62" s="287"/>
    </row>
    <row r="63" spans="1:14" x14ac:dyDescent="0.25">
      <c r="F63" s="282"/>
      <c r="N63" s="287"/>
    </row>
    <row r="64" spans="1:14" x14ac:dyDescent="0.25">
      <c r="F64" s="282"/>
      <c r="N64" s="287"/>
    </row>
    <row r="65" spans="6:14" x14ac:dyDescent="0.25">
      <c r="F65" s="282"/>
      <c r="N65" s="287"/>
    </row>
    <row r="66" spans="6:14" x14ac:dyDescent="0.25">
      <c r="F66" s="282"/>
      <c r="N66" s="287"/>
    </row>
    <row r="67" spans="6:14" x14ac:dyDescent="0.25">
      <c r="F67" s="282"/>
      <c r="N67" s="287"/>
    </row>
    <row r="68" spans="6:14" x14ac:dyDescent="0.25">
      <c r="F68" s="282"/>
      <c r="N68" s="287"/>
    </row>
    <row r="69" spans="6:14" x14ac:dyDescent="0.25">
      <c r="F69" s="282"/>
      <c r="N69" s="287"/>
    </row>
    <row r="70" spans="6:14" x14ac:dyDescent="0.25">
      <c r="F70" s="282"/>
      <c r="N70" s="287"/>
    </row>
    <row r="71" spans="6:14" x14ac:dyDescent="0.25">
      <c r="F71" s="282"/>
      <c r="N71" s="287"/>
    </row>
    <row r="72" spans="6:14" x14ac:dyDescent="0.25">
      <c r="F72" s="282"/>
      <c r="N72" s="287"/>
    </row>
    <row r="73" spans="6:14" x14ac:dyDescent="0.25">
      <c r="F73" s="282"/>
      <c r="N73" s="287"/>
    </row>
    <row r="74" spans="6:14" x14ac:dyDescent="0.25">
      <c r="F74" s="282"/>
      <c r="N74" s="287"/>
    </row>
    <row r="75" spans="6:14" x14ac:dyDescent="0.25">
      <c r="F75" s="282"/>
      <c r="N75" s="287"/>
    </row>
    <row r="76" spans="6:14" x14ac:dyDescent="0.25">
      <c r="F76" s="282"/>
      <c r="N76" s="287"/>
    </row>
    <row r="77" spans="6:14" x14ac:dyDescent="0.25">
      <c r="F77" s="282"/>
      <c r="N77" s="287"/>
    </row>
    <row r="78" spans="6:14" x14ac:dyDescent="0.25">
      <c r="F78" s="282"/>
      <c r="N78" s="287"/>
    </row>
    <row r="79" spans="6:14" x14ac:dyDescent="0.25">
      <c r="F79" s="282"/>
      <c r="N79" s="287"/>
    </row>
    <row r="80" spans="6:14" x14ac:dyDescent="0.25">
      <c r="F80" s="282"/>
      <c r="N80" s="287"/>
    </row>
    <row r="81" spans="6:14" x14ac:dyDescent="0.25">
      <c r="F81" s="282"/>
      <c r="N81" s="287"/>
    </row>
    <row r="82" spans="6:14" x14ac:dyDescent="0.25">
      <c r="F82" s="282"/>
      <c r="N82" s="287"/>
    </row>
    <row r="83" spans="6:14" x14ac:dyDescent="0.25">
      <c r="N83" s="287"/>
    </row>
    <row r="84" spans="6:14" x14ac:dyDescent="0.25">
      <c r="N84" s="287"/>
    </row>
    <row r="85" spans="6:14" x14ac:dyDescent="0.25">
      <c r="N85" s="287"/>
    </row>
    <row r="86" spans="6:14" x14ac:dyDescent="0.25">
      <c r="N86" s="287"/>
    </row>
    <row r="87" spans="6:14" x14ac:dyDescent="0.25">
      <c r="N87" s="287"/>
    </row>
    <row r="88" spans="6:14" x14ac:dyDescent="0.25">
      <c r="N88" s="287"/>
    </row>
    <row r="89" spans="6:14" x14ac:dyDescent="0.25">
      <c r="N89" s="287"/>
    </row>
    <row r="90" spans="6:14" x14ac:dyDescent="0.25">
      <c r="N90" s="287"/>
    </row>
    <row r="91" spans="6:14" x14ac:dyDescent="0.25">
      <c r="N91" s="287"/>
    </row>
    <row r="92" spans="6:14" x14ac:dyDescent="0.25">
      <c r="N92" s="287"/>
    </row>
  </sheetData>
  <mergeCells count="4">
    <mergeCell ref="A1:J1"/>
    <mergeCell ref="A2:J2"/>
    <mergeCell ref="A3:J3"/>
    <mergeCell ref="A4:J4"/>
  </mergeCells>
  <printOptions horizontalCentered="1"/>
  <pageMargins left="0.7" right="0.7" top="0.5" bottom="0.5" header="0.3" footer="0.3"/>
  <pageSetup scale="61" orientation="landscape" blackAndWhite="1" r:id="rId1"/>
  <headerFooter>
    <oddFooter>&amp;L&amp;F
&amp;A&amp;C&amp;P&amp;R&amp;D</oddFooter>
  </headerFooter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39"/>
  <sheetViews>
    <sheetView tabSelected="1" zoomScale="90" zoomScaleNormal="90" workbookViewId="0">
      <pane xSplit="3" ySplit="9" topLeftCell="D10" activePane="bottomRight" state="frozenSplit"/>
      <selection activeCell="C41" sqref="C41"/>
      <selection pane="topRight" activeCell="C41" sqref="C41"/>
      <selection pane="bottomLeft" activeCell="C41" sqref="C41"/>
      <selection pane="bottomRight" activeCell="D40" sqref="D40"/>
    </sheetView>
  </sheetViews>
  <sheetFormatPr defaultRowHeight="15" x14ac:dyDescent="0.25"/>
  <cols>
    <col min="1" max="1" width="2.85546875" customWidth="1"/>
    <col min="2" max="2" width="37.5703125" customWidth="1"/>
    <col min="3" max="3" width="9.140625" bestFit="1" customWidth="1"/>
    <col min="4" max="4" width="16.140625" bestFit="1" customWidth="1"/>
    <col min="5" max="5" width="2.5703125" customWidth="1"/>
    <col min="6" max="6" width="15" customWidth="1"/>
    <col min="7" max="7" width="12.28515625" customWidth="1"/>
    <col min="8" max="8" width="2.5703125" customWidth="1"/>
    <col min="9" max="9" width="15" customWidth="1"/>
    <col min="10" max="10" width="12.28515625" customWidth="1"/>
    <col min="11" max="11" width="2.5703125" customWidth="1"/>
    <col min="12" max="12" width="15" customWidth="1"/>
    <col min="13" max="13" width="12.28515625" customWidth="1"/>
    <col min="14" max="14" width="2.5703125" customWidth="1"/>
    <col min="15" max="15" width="15" customWidth="1"/>
    <col min="16" max="16" width="12.28515625" customWidth="1"/>
    <col min="17" max="17" width="2.5703125" customWidth="1"/>
    <col min="18" max="18" width="15.140625" customWidth="1"/>
    <col min="19" max="19" width="12.28515625" customWidth="1"/>
    <col min="20" max="20" width="2.5703125" customWidth="1"/>
    <col min="21" max="21" width="16.140625" bestFit="1" customWidth="1"/>
    <col min="22" max="22" width="15" bestFit="1" customWidth="1"/>
    <col min="23" max="23" width="11.5703125" customWidth="1"/>
    <col min="24" max="24" width="7.85546875" customWidth="1"/>
    <col min="25" max="25" width="9.28515625" customWidth="1"/>
  </cols>
  <sheetData>
    <row r="1" spans="2:24" x14ac:dyDescent="0.25">
      <c r="B1" s="634" t="s">
        <v>0</v>
      </c>
      <c r="C1" s="634"/>
      <c r="D1" s="634"/>
      <c r="E1" s="634"/>
      <c r="F1" s="634"/>
      <c r="G1" s="634"/>
      <c r="H1" s="634"/>
      <c r="I1" s="634"/>
      <c r="J1" s="634"/>
      <c r="K1" s="634"/>
      <c r="L1" s="634"/>
      <c r="M1" s="634"/>
      <c r="N1" s="634"/>
      <c r="O1" s="634"/>
      <c r="P1" s="634"/>
      <c r="Q1" s="634"/>
      <c r="R1" s="634"/>
      <c r="S1" s="634"/>
      <c r="T1" s="634"/>
      <c r="U1" s="634"/>
      <c r="V1" s="634"/>
      <c r="W1" s="634"/>
      <c r="X1" s="409"/>
    </row>
    <row r="2" spans="2:24" x14ac:dyDescent="0.25">
      <c r="B2" s="634" t="s">
        <v>415</v>
      </c>
      <c r="C2" s="634"/>
      <c r="D2" s="634"/>
      <c r="E2" s="634"/>
      <c r="F2" s="634"/>
      <c r="G2" s="634"/>
      <c r="H2" s="634"/>
      <c r="I2" s="634"/>
      <c r="J2" s="634"/>
      <c r="K2" s="634"/>
      <c r="L2" s="634"/>
      <c r="M2" s="634"/>
      <c r="N2" s="634"/>
      <c r="O2" s="634"/>
      <c r="P2" s="634"/>
      <c r="Q2" s="634"/>
      <c r="R2" s="634"/>
      <c r="S2" s="634"/>
      <c r="T2" s="634"/>
      <c r="U2" s="634"/>
      <c r="V2" s="634"/>
      <c r="W2" s="634"/>
      <c r="X2" s="409"/>
    </row>
    <row r="3" spans="2:24" x14ac:dyDescent="0.25">
      <c r="B3" s="635" t="s">
        <v>184</v>
      </c>
      <c r="C3" s="635"/>
      <c r="D3" s="635"/>
      <c r="E3" s="635"/>
      <c r="F3" s="635"/>
      <c r="G3" s="635"/>
      <c r="H3" s="635"/>
      <c r="I3" s="635"/>
      <c r="J3" s="635"/>
      <c r="K3" s="635"/>
      <c r="L3" s="635"/>
      <c r="M3" s="635"/>
      <c r="N3" s="635"/>
      <c r="O3" s="635"/>
      <c r="P3" s="635"/>
      <c r="Q3" s="635"/>
      <c r="R3" s="635"/>
      <c r="S3" s="635"/>
      <c r="T3" s="635"/>
      <c r="U3" s="635"/>
      <c r="V3" s="635"/>
      <c r="W3" s="635"/>
      <c r="X3" s="515"/>
    </row>
    <row r="4" spans="2:24" x14ac:dyDescent="0.25">
      <c r="B4" s="635" t="s">
        <v>459</v>
      </c>
      <c r="C4" s="635"/>
      <c r="D4" s="635"/>
      <c r="E4" s="635"/>
      <c r="F4" s="635"/>
      <c r="G4" s="635"/>
      <c r="H4" s="635"/>
      <c r="I4" s="635"/>
      <c r="J4" s="635"/>
      <c r="K4" s="635"/>
      <c r="L4" s="635"/>
      <c r="M4" s="635"/>
      <c r="N4" s="635"/>
      <c r="O4" s="635"/>
      <c r="P4" s="635"/>
      <c r="Q4" s="635"/>
      <c r="R4" s="635"/>
      <c r="S4" s="635"/>
      <c r="T4" s="635"/>
      <c r="U4" s="635"/>
      <c r="V4" s="635"/>
      <c r="W4" s="635"/>
      <c r="X4" s="515"/>
    </row>
    <row r="5" spans="2:24" x14ac:dyDescent="0.25">
      <c r="B5" s="431"/>
      <c r="C5" s="431"/>
      <c r="D5" s="431"/>
      <c r="E5" s="431"/>
      <c r="F5" s="431"/>
      <c r="G5" s="431"/>
      <c r="H5" s="431"/>
      <c r="I5" s="431"/>
      <c r="J5" s="431"/>
      <c r="K5" s="627"/>
      <c r="L5" s="627"/>
      <c r="M5" s="627"/>
      <c r="N5" s="431"/>
      <c r="O5" s="431"/>
      <c r="P5" s="431"/>
      <c r="Q5" s="431"/>
      <c r="R5" s="586"/>
      <c r="S5" s="586"/>
      <c r="T5" s="586"/>
      <c r="U5" s="431"/>
      <c r="V5" s="431"/>
      <c r="W5" s="431"/>
      <c r="X5" s="515"/>
    </row>
    <row r="6" spans="2:24" x14ac:dyDescent="0.25">
      <c r="D6" s="78"/>
      <c r="E6" s="78"/>
      <c r="H6" s="431"/>
      <c r="L6" s="4" t="s">
        <v>282</v>
      </c>
      <c r="M6" s="4" t="str">
        <f>L6</f>
        <v>Sch. 141D</v>
      </c>
      <c r="U6" s="291"/>
    </row>
    <row r="7" spans="2:24" x14ac:dyDescent="0.25">
      <c r="B7" s="4"/>
      <c r="C7" s="4"/>
      <c r="D7" s="291" t="s">
        <v>186</v>
      </c>
      <c r="E7" s="291"/>
      <c r="F7" s="4"/>
      <c r="G7" s="4"/>
      <c r="H7" s="4"/>
      <c r="I7" s="4" t="s">
        <v>282</v>
      </c>
      <c r="J7" s="4" t="str">
        <f>I7</f>
        <v>Sch. 141D</v>
      </c>
      <c r="K7" s="4"/>
      <c r="L7" s="4" t="s">
        <v>342</v>
      </c>
      <c r="M7" s="4" t="str">
        <f>L7</f>
        <v>Dist. Pipeline</v>
      </c>
      <c r="N7" s="4"/>
      <c r="O7" s="4" t="s">
        <v>283</v>
      </c>
      <c r="P7" s="4" t="str">
        <f>O7</f>
        <v>Sch. 141N</v>
      </c>
      <c r="Q7" s="4"/>
      <c r="R7" s="4" t="s">
        <v>314</v>
      </c>
      <c r="S7" s="4" t="str">
        <f>R7</f>
        <v>Sch. 141LNG</v>
      </c>
      <c r="T7" s="4"/>
      <c r="U7" s="4" t="s">
        <v>186</v>
      </c>
      <c r="V7" s="4"/>
      <c r="W7" s="4"/>
      <c r="X7" s="4"/>
    </row>
    <row r="8" spans="2:24" x14ac:dyDescent="0.25">
      <c r="B8" s="4"/>
      <c r="C8" s="4" t="s">
        <v>17</v>
      </c>
      <c r="D8" s="4" t="s">
        <v>324</v>
      </c>
      <c r="E8" s="4"/>
      <c r="F8" s="4" t="s">
        <v>341</v>
      </c>
      <c r="G8" s="4" t="str">
        <f>F8</f>
        <v>Base Rate</v>
      </c>
      <c r="H8" s="4"/>
      <c r="I8" s="4" t="s">
        <v>342</v>
      </c>
      <c r="J8" s="4" t="str">
        <f>I8</f>
        <v>Dist. Pipeline</v>
      </c>
      <c r="K8" s="4"/>
      <c r="L8" s="627" t="s">
        <v>456</v>
      </c>
      <c r="M8" s="627" t="str">
        <f>L8</f>
        <v>Supp. Refund</v>
      </c>
      <c r="N8" s="4"/>
      <c r="O8" s="4" t="s">
        <v>416</v>
      </c>
      <c r="P8" s="4" t="str">
        <f>O8</f>
        <v>Rate Plan</v>
      </c>
      <c r="Q8" s="4"/>
      <c r="R8" s="4" t="s">
        <v>317</v>
      </c>
      <c r="S8" s="4" t="str">
        <f>R8</f>
        <v>LNG Tracker</v>
      </c>
      <c r="T8" s="4"/>
      <c r="U8" s="4" t="s">
        <v>325</v>
      </c>
      <c r="V8" s="4" t="s">
        <v>6</v>
      </c>
      <c r="W8" s="4" t="s">
        <v>6</v>
      </c>
      <c r="X8" s="4"/>
    </row>
    <row r="9" spans="2:24" ht="17.25" x14ac:dyDescent="0.25">
      <c r="B9" s="432" t="s">
        <v>4</v>
      </c>
      <c r="C9" s="432" t="s">
        <v>21</v>
      </c>
      <c r="D9" s="432" t="s">
        <v>326</v>
      </c>
      <c r="E9" s="432"/>
      <c r="F9" s="432" t="s">
        <v>123</v>
      </c>
      <c r="G9" s="432" t="s">
        <v>327</v>
      </c>
      <c r="H9" s="432"/>
      <c r="I9" s="432" t="s">
        <v>123</v>
      </c>
      <c r="J9" s="432" t="s">
        <v>328</v>
      </c>
      <c r="K9" s="628"/>
      <c r="L9" s="628" t="s">
        <v>123</v>
      </c>
      <c r="M9" s="628" t="s">
        <v>328</v>
      </c>
      <c r="N9" s="432"/>
      <c r="O9" s="432" t="s">
        <v>123</v>
      </c>
      <c r="P9" s="432" t="s">
        <v>328</v>
      </c>
      <c r="Q9" s="432"/>
      <c r="R9" s="587" t="s">
        <v>123</v>
      </c>
      <c r="S9" s="587" t="s">
        <v>328</v>
      </c>
      <c r="T9" s="587"/>
      <c r="U9" s="432" t="s">
        <v>182</v>
      </c>
      <c r="V9" s="432" t="s">
        <v>123</v>
      </c>
      <c r="W9" s="432" t="s">
        <v>328</v>
      </c>
      <c r="X9" s="432"/>
    </row>
    <row r="10" spans="2:24" x14ac:dyDescent="0.25">
      <c r="B10" s="4" t="s">
        <v>25</v>
      </c>
      <c r="C10" s="4" t="s">
        <v>26</v>
      </c>
      <c r="D10" s="4" t="s">
        <v>27</v>
      </c>
      <c r="E10" s="4"/>
      <c r="F10" s="273" t="s">
        <v>28</v>
      </c>
      <c r="G10" s="5" t="s">
        <v>329</v>
      </c>
      <c r="H10" s="4"/>
      <c r="I10" s="273" t="s">
        <v>330</v>
      </c>
      <c r="J10" s="5" t="s">
        <v>331</v>
      </c>
      <c r="K10" s="5"/>
      <c r="L10" s="273" t="s">
        <v>72</v>
      </c>
      <c r="M10" s="5" t="s">
        <v>332</v>
      </c>
      <c r="N10" s="5"/>
      <c r="O10" s="273" t="s">
        <v>29</v>
      </c>
      <c r="P10" s="5" t="s">
        <v>423</v>
      </c>
      <c r="Q10" s="5"/>
      <c r="R10" s="273" t="s">
        <v>73</v>
      </c>
      <c r="S10" s="5" t="s">
        <v>452</v>
      </c>
      <c r="T10" s="5"/>
      <c r="U10" s="4" t="s">
        <v>453</v>
      </c>
      <c r="V10" s="273" t="s">
        <v>454</v>
      </c>
      <c r="W10" s="5" t="s">
        <v>455</v>
      </c>
      <c r="X10" s="4"/>
    </row>
    <row r="11" spans="2:24" x14ac:dyDescent="0.25">
      <c r="B11" t="s">
        <v>7</v>
      </c>
      <c r="C11" s="431" t="s">
        <v>30</v>
      </c>
      <c r="D11" s="516">
        <f>'Current Revenue Calc.'!T11</f>
        <v>952029785.9474839</v>
      </c>
      <c r="E11" s="516"/>
      <c r="F11" s="517"/>
      <c r="G11" s="74">
        <f>F11/$D11</f>
        <v>0</v>
      </c>
      <c r="H11" s="6"/>
      <c r="I11" s="517">
        <f>'Sch. 141D'!P10</f>
        <v>-1464373.81721</v>
      </c>
      <c r="J11" s="74">
        <f>I11/$D11</f>
        <v>-1.5381596656165737E-3</v>
      </c>
      <c r="K11" s="74"/>
      <c r="L11" s="517">
        <f>'Sch. 141D'!Q10</f>
        <v>-1956761.5199399998</v>
      </c>
      <c r="M11" s="74">
        <f>L11/$D11</f>
        <v>-2.0553574571121024E-3</v>
      </c>
      <c r="N11" s="74"/>
      <c r="O11" s="517">
        <f>'Sch. 141N'!L10</f>
        <v>773752.10428999993</v>
      </c>
      <c r="P11" s="74">
        <f>O11/$D11</f>
        <v>8.1273938663583135E-4</v>
      </c>
      <c r="Q11" s="43"/>
      <c r="R11" s="517">
        <f>'Sch. 141LNG'!H9</f>
        <v>29888573.020259999</v>
      </c>
      <c r="S11" s="74">
        <f>R11/$D11</f>
        <v>3.1394577629222119E-2</v>
      </c>
      <c r="T11" s="43"/>
      <c r="U11" s="303">
        <f>SUM(D11,F11,I11,L11,O11,R11)</f>
        <v>979270975.7348839</v>
      </c>
      <c r="V11" s="518">
        <f>U11-D11</f>
        <v>27241189.787400007</v>
      </c>
      <c r="W11" s="74">
        <f>V11/$D11</f>
        <v>2.8613799893129281E-2</v>
      </c>
      <c r="X11" s="74"/>
    </row>
    <row r="12" spans="2:24" x14ac:dyDescent="0.25">
      <c r="B12" t="s">
        <v>31</v>
      </c>
      <c r="C12" s="431">
        <v>16</v>
      </c>
      <c r="D12" s="516">
        <f>'Current Revenue Calc.'!T12</f>
        <v>12327.858207126519</v>
      </c>
      <c r="E12" s="516"/>
      <c r="F12" s="517"/>
      <c r="G12" s="74">
        <f>F12/$D12</f>
        <v>0</v>
      </c>
      <c r="H12" s="6"/>
      <c r="I12" s="517">
        <f>'Sch. 141D'!P11</f>
        <v>-20.225279999999998</v>
      </c>
      <c r="J12" s="74">
        <f t="shared" ref="J12:J25" si="0">I12/$D12</f>
        <v>-1.6406158847859004E-3</v>
      </c>
      <c r="K12" s="74"/>
      <c r="L12" s="517">
        <f>'Sch. 141D'!Q11</f>
        <v>-27.025919999999999</v>
      </c>
      <c r="M12" s="74">
        <f t="shared" ref="M12:M22" si="1">L12/$D12</f>
        <v>-2.1922640207182775E-3</v>
      </c>
      <c r="N12" s="74"/>
      <c r="O12" s="517">
        <f>'Sch. 141N'!L11</f>
        <v>10.686719999999998</v>
      </c>
      <c r="P12" s="74">
        <f t="shared" ref="P12:P25" si="2">O12/$D12</f>
        <v>8.668756421794494E-4</v>
      </c>
      <c r="Q12" s="43"/>
      <c r="R12" s="517">
        <f>'Sch. 141LNG'!H10</f>
        <v>412.80767999999995</v>
      </c>
      <c r="S12" s="74">
        <f t="shared" ref="S12:S23" si="3">R12/$D12</f>
        <v>3.3485758277245842E-2</v>
      </c>
      <c r="T12" s="43"/>
      <c r="U12" s="303">
        <f t="shared" ref="U12:U24" si="4">SUM(D12,F12,I12,L12,O12,R12)</f>
        <v>12704.101407126518</v>
      </c>
      <c r="V12" s="518">
        <f t="shared" ref="V12:V24" si="5">U12-D12</f>
        <v>376.24319999999898</v>
      </c>
      <c r="W12" s="74">
        <f t="shared" ref="W12:W24" si="6">V12/$D12</f>
        <v>3.0519754013921038E-2</v>
      </c>
      <c r="X12" s="74"/>
    </row>
    <row r="13" spans="2:24" x14ac:dyDescent="0.25">
      <c r="B13" t="s">
        <v>8</v>
      </c>
      <c r="C13" s="431">
        <v>31</v>
      </c>
      <c r="D13" s="516">
        <f>'Current Revenue Calc.'!T13</f>
        <v>315187293.32090545</v>
      </c>
      <c r="E13" s="516"/>
      <c r="F13" s="517"/>
      <c r="G13" s="74">
        <f t="shared" ref="G13:G25" si="7">F13/$D13</f>
        <v>0</v>
      </c>
      <c r="H13" s="6"/>
      <c r="I13" s="517">
        <f>'Sch. 141D'!P12</f>
        <v>-516466.11030000006</v>
      </c>
      <c r="J13" s="74">
        <f t="shared" si="0"/>
        <v>-1.6386006709165277E-3</v>
      </c>
      <c r="K13" s="74"/>
      <c r="L13" s="517">
        <f>'Sch. 141D'!Q12</f>
        <v>-691080.84282999998</v>
      </c>
      <c r="M13" s="74">
        <f t="shared" si="1"/>
        <v>-2.1926037548930678E-3</v>
      </c>
      <c r="N13" s="74"/>
      <c r="O13" s="517">
        <f>'Sch. 141N'!L12</f>
        <v>270529.86730000004</v>
      </c>
      <c r="P13" s="74">
        <f t="shared" si="2"/>
        <v>8.5831463714675256E-4</v>
      </c>
      <c r="Q13" s="43"/>
      <c r="R13" s="517">
        <f>'Sch. 141LNG'!H11</f>
        <v>9758750.1222399995</v>
      </c>
      <c r="S13" s="74">
        <f t="shared" si="3"/>
        <v>3.0961749819984671E-2</v>
      </c>
      <c r="T13" s="43"/>
      <c r="U13" s="303">
        <f t="shared" si="4"/>
        <v>324009026.35731542</v>
      </c>
      <c r="V13" s="518">
        <f t="shared" si="5"/>
        <v>8821733.0364099741</v>
      </c>
      <c r="W13" s="74">
        <f t="shared" si="6"/>
        <v>2.7988860031321748E-2</v>
      </c>
      <c r="X13" s="74"/>
    </row>
    <row r="14" spans="2:24" x14ac:dyDescent="0.25">
      <c r="B14" t="s">
        <v>9</v>
      </c>
      <c r="C14" s="431">
        <v>41</v>
      </c>
      <c r="D14" s="516">
        <f>'Current Revenue Calc.'!T14</f>
        <v>62066538.066148505</v>
      </c>
      <c r="E14" s="516"/>
      <c r="F14" s="517"/>
      <c r="G14" s="74">
        <f t="shared" si="7"/>
        <v>0</v>
      </c>
      <c r="H14" s="6"/>
      <c r="I14" s="517">
        <f>'Sch. 141D'!P13</f>
        <v>-107024.86560000002</v>
      </c>
      <c r="J14" s="74">
        <f t="shared" si="0"/>
        <v>-1.7243569390955299E-3</v>
      </c>
      <c r="K14" s="74"/>
      <c r="L14" s="517">
        <f>'Sch. 141D'!Q13</f>
        <v>-143145.75774</v>
      </c>
      <c r="M14" s="74">
        <f t="shared" si="1"/>
        <v>-2.3063274060402708E-3</v>
      </c>
      <c r="N14" s="74"/>
      <c r="O14" s="517">
        <f>'Sch. 141N'!L13</f>
        <v>56188.05444</v>
      </c>
      <c r="P14" s="74">
        <f t="shared" si="2"/>
        <v>9.0528739302515296E-4</v>
      </c>
      <c r="Q14" s="43"/>
      <c r="R14" s="517">
        <f>'Sch. 141LNG'!H17</f>
        <v>1856448.1897541517</v>
      </c>
      <c r="S14" s="74">
        <f t="shared" si="3"/>
        <v>2.9910612829341463E-2</v>
      </c>
      <c r="T14" s="43"/>
      <c r="U14" s="303">
        <f t="shared" si="4"/>
        <v>63729003.687002659</v>
      </c>
      <c r="V14" s="518">
        <f t="shared" si="5"/>
        <v>1662465.6208541542</v>
      </c>
      <c r="W14" s="74">
        <f t="shared" si="6"/>
        <v>2.6785215877230855E-2</v>
      </c>
      <c r="X14" s="74"/>
    </row>
    <row r="15" spans="2:24" x14ac:dyDescent="0.25">
      <c r="B15" t="s">
        <v>10</v>
      </c>
      <c r="C15" s="431">
        <v>85</v>
      </c>
      <c r="D15" s="516">
        <f>'Current Revenue Calc.'!T15</f>
        <v>8029125.9815825764</v>
      </c>
      <c r="E15" s="516"/>
      <c r="F15" s="517"/>
      <c r="G15" s="74">
        <f t="shared" si="7"/>
        <v>0</v>
      </c>
      <c r="H15" s="6"/>
      <c r="I15" s="517">
        <f>'Sch. 141D'!P14</f>
        <v>-14398.80652</v>
      </c>
      <c r="J15" s="74">
        <f t="shared" si="0"/>
        <v>-1.7933217828476433E-3</v>
      </c>
      <c r="K15" s="74"/>
      <c r="L15" s="517">
        <f>'Sch. 141D'!Q14</f>
        <v>-19341.680400000001</v>
      </c>
      <c r="M15" s="74">
        <f t="shared" si="1"/>
        <v>-2.4089397083028046E-3</v>
      </c>
      <c r="N15" s="74"/>
      <c r="O15" s="517">
        <f>'Sch. 141N'!L14</f>
        <v>7629.2183800000003</v>
      </c>
      <c r="P15" s="74">
        <f t="shared" si="2"/>
        <v>9.5019288494166182E-4</v>
      </c>
      <c r="Q15" s="43"/>
      <c r="R15" s="517">
        <f>'Sch. 141LNG'!H23</f>
        <v>529590.19337165868</v>
      </c>
      <c r="S15" s="74">
        <f t="shared" si="3"/>
        <v>6.5958635421395406E-2</v>
      </c>
      <c r="T15" s="43"/>
      <c r="U15" s="303">
        <f t="shared" si="4"/>
        <v>8532604.906414235</v>
      </c>
      <c r="V15" s="518">
        <f t="shared" si="5"/>
        <v>503478.9248316586</v>
      </c>
      <c r="W15" s="74">
        <f t="shared" si="6"/>
        <v>6.2706566815186604E-2</v>
      </c>
      <c r="X15" s="74"/>
    </row>
    <row r="16" spans="2:24" x14ac:dyDescent="0.25">
      <c r="B16" t="s">
        <v>11</v>
      </c>
      <c r="C16" s="431">
        <v>86</v>
      </c>
      <c r="D16" s="516">
        <f>'Current Revenue Calc.'!T16</f>
        <v>4514485.2738359496</v>
      </c>
      <c r="E16" s="516"/>
      <c r="F16" s="517"/>
      <c r="G16" s="74">
        <f t="shared" si="7"/>
        <v>0</v>
      </c>
      <c r="H16" s="6"/>
      <c r="I16" s="517">
        <f>'Sch. 141D'!P15</f>
        <v>-1976.1868799999997</v>
      </c>
      <c r="J16" s="74">
        <f t="shared" si="0"/>
        <v>-4.3774356546318679E-4</v>
      </c>
      <c r="K16" s="74"/>
      <c r="L16" s="517">
        <f>'Sch. 141D'!Q15</f>
        <v>-2634.9158400000001</v>
      </c>
      <c r="M16" s="74">
        <f t="shared" si="1"/>
        <v>-5.8365808728424919E-4</v>
      </c>
      <c r="N16" s="74"/>
      <c r="O16" s="517">
        <f>'Sch. 141N'!L15</f>
        <v>1042.9875200000001</v>
      </c>
      <c r="P16" s="74">
        <f t="shared" si="2"/>
        <v>2.3103132621668198E-4</v>
      </c>
      <c r="Q16" s="43"/>
      <c r="R16" s="517">
        <f>'Sch. 141LNG'!H28</f>
        <v>228304.62854130153</v>
      </c>
      <c r="S16" s="74">
        <f t="shared" si="3"/>
        <v>5.0571574541279106E-2</v>
      </c>
      <c r="T16" s="43"/>
      <c r="U16" s="303">
        <f t="shared" si="4"/>
        <v>4739221.7871772517</v>
      </c>
      <c r="V16" s="518">
        <f t="shared" si="5"/>
        <v>224736.51334130205</v>
      </c>
      <c r="W16" s="74">
        <f t="shared" si="6"/>
        <v>4.9781204214748465E-2</v>
      </c>
      <c r="X16" s="74"/>
    </row>
    <row r="17" spans="2:25" x14ac:dyDescent="0.25">
      <c r="B17" t="s">
        <v>12</v>
      </c>
      <c r="C17" s="431">
        <v>87</v>
      </c>
      <c r="D17" s="516">
        <f>'Current Revenue Calc.'!T17</f>
        <v>15113168.412335569</v>
      </c>
      <c r="E17" s="516"/>
      <c r="F17" s="517"/>
      <c r="G17" s="74">
        <f t="shared" si="7"/>
        <v>0</v>
      </c>
      <c r="H17" s="6"/>
      <c r="I17" s="517">
        <f>'Sch. 141D'!P24</f>
        <v>-12287.425344118416</v>
      </c>
      <c r="J17" s="74">
        <f t="shared" si="0"/>
        <v>-8.1302775228053801E-4</v>
      </c>
      <c r="K17" s="74"/>
      <c r="L17" s="517">
        <f>'Sch. 141D'!Q24</f>
        <v>-16386.445339319074</v>
      </c>
      <c r="M17" s="74">
        <f t="shared" si="1"/>
        <v>-1.0842495029661841E-3</v>
      </c>
      <c r="N17" s="74"/>
      <c r="O17" s="517">
        <f>'Sch. 141N'!L24</f>
        <v>6436.4807941642084</v>
      </c>
      <c r="P17" s="74">
        <f t="shared" si="2"/>
        <v>4.2588559979988492E-4</v>
      </c>
      <c r="Q17" s="43"/>
      <c r="R17" s="517">
        <f>'Sch. 141LNG'!H37</f>
        <v>410588.56604977744</v>
      </c>
      <c r="S17" s="74">
        <f t="shared" si="3"/>
        <v>2.7167603433483185E-2</v>
      </c>
      <c r="T17" s="43"/>
      <c r="U17" s="303">
        <f t="shared" si="4"/>
        <v>15501519.588496072</v>
      </c>
      <c r="V17" s="518">
        <f t="shared" si="5"/>
        <v>388351.17616050318</v>
      </c>
      <c r="W17" s="74">
        <f t="shared" si="6"/>
        <v>2.5696211778036285E-2</v>
      </c>
      <c r="X17" s="74"/>
    </row>
    <row r="18" spans="2:25" x14ac:dyDescent="0.25">
      <c r="B18" t="s">
        <v>32</v>
      </c>
      <c r="C18" s="431" t="s">
        <v>33</v>
      </c>
      <c r="D18" s="516">
        <f>'Current Revenue Calc.'!T18</f>
        <v>23751.224378720741</v>
      </c>
      <c r="E18" s="516"/>
      <c r="F18" s="517"/>
      <c r="G18" s="74">
        <f t="shared" si="7"/>
        <v>0</v>
      </c>
      <c r="H18" s="6"/>
      <c r="I18" s="517"/>
      <c r="J18" s="74">
        <f t="shared" si="0"/>
        <v>0</v>
      </c>
      <c r="K18" s="74"/>
      <c r="L18" s="517"/>
      <c r="M18" s="74">
        <f t="shared" si="1"/>
        <v>0</v>
      </c>
      <c r="N18" s="74"/>
      <c r="O18" s="517"/>
      <c r="P18" s="74">
        <f t="shared" si="2"/>
        <v>0</v>
      </c>
      <c r="Q18" s="43"/>
      <c r="R18" s="517"/>
      <c r="S18" s="74">
        <f t="shared" si="3"/>
        <v>0</v>
      </c>
      <c r="T18" s="43"/>
      <c r="U18" s="303">
        <f t="shared" si="4"/>
        <v>23751.224378720741</v>
      </c>
      <c r="V18" s="518">
        <f t="shared" si="5"/>
        <v>0</v>
      </c>
      <c r="W18" s="74">
        <f t="shared" si="6"/>
        <v>0</v>
      </c>
      <c r="X18" s="74"/>
    </row>
    <row r="19" spans="2:25" x14ac:dyDescent="0.25">
      <c r="B19" t="s">
        <v>34</v>
      </c>
      <c r="C19" s="431" t="s">
        <v>35</v>
      </c>
      <c r="D19" s="516">
        <f>'Current Revenue Calc.'!T19</f>
        <v>6163623.1921409192</v>
      </c>
      <c r="E19" s="516"/>
      <c r="F19" s="517"/>
      <c r="G19" s="74">
        <f t="shared" si="7"/>
        <v>0</v>
      </c>
      <c r="H19" s="6"/>
      <c r="I19" s="517"/>
      <c r="J19" s="74">
        <f t="shared" si="0"/>
        <v>0</v>
      </c>
      <c r="K19" s="74"/>
      <c r="L19" s="517"/>
      <c r="M19" s="74">
        <f t="shared" si="1"/>
        <v>0</v>
      </c>
      <c r="N19" s="74"/>
      <c r="O19" s="517"/>
      <c r="P19" s="74">
        <f t="shared" si="2"/>
        <v>0</v>
      </c>
      <c r="Q19" s="43"/>
      <c r="R19" s="517"/>
      <c r="S19" s="74">
        <f t="shared" si="3"/>
        <v>0</v>
      </c>
      <c r="T19" s="43"/>
      <c r="U19" s="303">
        <f t="shared" si="4"/>
        <v>6163623.1921409192</v>
      </c>
      <c r="V19" s="518">
        <f t="shared" si="5"/>
        <v>0</v>
      </c>
      <c r="W19" s="74">
        <f>V19/$D19</f>
        <v>0</v>
      </c>
      <c r="X19" s="74"/>
    </row>
    <row r="20" spans="2:25" x14ac:dyDescent="0.25">
      <c r="B20" t="s">
        <v>36</v>
      </c>
      <c r="C20" s="431" t="s">
        <v>37</v>
      </c>
      <c r="D20" s="516">
        <f>'Current Revenue Calc.'!T20</f>
        <v>7753470.9746755483</v>
      </c>
      <c r="E20" s="516"/>
      <c r="F20" s="517"/>
      <c r="G20" s="74">
        <f t="shared" si="7"/>
        <v>0</v>
      </c>
      <c r="H20" s="6"/>
      <c r="I20" s="517"/>
      <c r="J20" s="74">
        <f t="shared" si="0"/>
        <v>0</v>
      </c>
      <c r="K20" s="74"/>
      <c r="L20" s="517"/>
      <c r="M20" s="74">
        <f t="shared" si="1"/>
        <v>0</v>
      </c>
      <c r="N20" s="74"/>
      <c r="O20" s="517"/>
      <c r="P20" s="74">
        <f t="shared" si="2"/>
        <v>0</v>
      </c>
      <c r="Q20" s="43"/>
      <c r="R20" s="517"/>
      <c r="S20" s="74">
        <f t="shared" si="3"/>
        <v>0</v>
      </c>
      <c r="T20" s="43"/>
      <c r="U20" s="303">
        <f t="shared" si="4"/>
        <v>7753470.9746755483</v>
      </c>
      <c r="V20" s="518">
        <f t="shared" si="5"/>
        <v>0</v>
      </c>
      <c r="W20" s="74">
        <f t="shared" si="6"/>
        <v>0</v>
      </c>
      <c r="X20" s="74"/>
    </row>
    <row r="21" spans="2:25" x14ac:dyDescent="0.25">
      <c r="B21" t="s">
        <v>38</v>
      </c>
      <c r="C21" s="431" t="s">
        <v>39</v>
      </c>
      <c r="D21" s="516">
        <f>'Current Revenue Calc.'!T21</f>
        <v>116861.26120743662</v>
      </c>
      <c r="E21" s="516"/>
      <c r="F21" s="517"/>
      <c r="G21" s="74">
        <f t="shared" si="7"/>
        <v>0</v>
      </c>
      <c r="H21" s="6"/>
      <c r="I21" s="517"/>
      <c r="J21" s="74">
        <f t="shared" si="0"/>
        <v>0</v>
      </c>
      <c r="K21" s="74"/>
      <c r="L21" s="517"/>
      <c r="M21" s="74">
        <f t="shared" si="1"/>
        <v>0</v>
      </c>
      <c r="N21" s="74"/>
      <c r="O21" s="517"/>
      <c r="P21" s="74">
        <f t="shared" si="2"/>
        <v>0</v>
      </c>
      <c r="Q21" s="43"/>
      <c r="R21" s="517"/>
      <c r="S21" s="74">
        <f t="shared" si="3"/>
        <v>0</v>
      </c>
      <c r="T21" s="43"/>
      <c r="U21" s="303">
        <f t="shared" si="4"/>
        <v>116861.26120743662</v>
      </c>
      <c r="V21" s="518">
        <f t="shared" si="5"/>
        <v>0</v>
      </c>
      <c r="W21" s="74">
        <f t="shared" si="6"/>
        <v>0</v>
      </c>
      <c r="X21" s="74"/>
    </row>
    <row r="22" spans="2:25" x14ac:dyDescent="0.25">
      <c r="B22" t="s">
        <v>40</v>
      </c>
      <c r="C22" s="431" t="s">
        <v>41</v>
      </c>
      <c r="D22" s="516">
        <f>'Current Revenue Calc.'!T22</f>
        <v>5573277.3660647767</v>
      </c>
      <c r="E22" s="516"/>
      <c r="F22" s="517"/>
      <c r="G22" s="74">
        <f t="shared" si="7"/>
        <v>0</v>
      </c>
      <c r="H22" s="6"/>
      <c r="I22" s="517"/>
      <c r="J22" s="74">
        <f t="shared" si="0"/>
        <v>0</v>
      </c>
      <c r="K22" s="74"/>
      <c r="L22" s="517"/>
      <c r="M22" s="74">
        <f t="shared" si="1"/>
        <v>0</v>
      </c>
      <c r="N22" s="74"/>
      <c r="O22" s="517"/>
      <c r="P22" s="74">
        <f t="shared" si="2"/>
        <v>0</v>
      </c>
      <c r="Q22" s="43"/>
      <c r="R22" s="517"/>
      <c r="S22" s="74">
        <f t="shared" si="3"/>
        <v>0</v>
      </c>
      <c r="T22" s="43"/>
      <c r="U22" s="303">
        <f t="shared" si="4"/>
        <v>5573277.3660647767</v>
      </c>
      <c r="V22" s="518">
        <f t="shared" si="5"/>
        <v>0</v>
      </c>
      <c r="W22" s="74">
        <f t="shared" si="6"/>
        <v>0</v>
      </c>
      <c r="X22" s="74"/>
    </row>
    <row r="23" spans="2:25" x14ac:dyDescent="0.25">
      <c r="B23" t="s">
        <v>448</v>
      </c>
      <c r="C23" s="431" t="s">
        <v>343</v>
      </c>
      <c r="D23" s="516">
        <f>'Current Revenue Calc.'!T23</f>
        <v>1310923.79</v>
      </c>
      <c r="E23" s="516"/>
      <c r="F23" s="517">
        <f>'[1]Sch. 88T Rate Design'!$K$26</f>
        <v>-1114990.58</v>
      </c>
      <c r="G23" s="74">
        <f t="shared" si="7"/>
        <v>-0.85053806217064687</v>
      </c>
      <c r="H23" s="6"/>
      <c r="I23" s="517">
        <f>'Sch. 141D'!P47</f>
        <v>1897465.0382999999</v>
      </c>
      <c r="J23" s="74">
        <f>I23/$D23</f>
        <v>1.447425893689823</v>
      </c>
      <c r="K23" s="74"/>
      <c r="L23" s="517">
        <f>'Sch. 141D'!Q47</f>
        <v>2831588.6659700004</v>
      </c>
      <c r="M23" s="74">
        <f>L23/$D23</f>
        <v>2.159994873515874</v>
      </c>
      <c r="N23" s="74"/>
      <c r="O23" s="517"/>
      <c r="P23" s="74">
        <f t="shared" si="2"/>
        <v>0</v>
      </c>
      <c r="Q23" s="43"/>
      <c r="R23" s="517"/>
      <c r="S23" s="74">
        <f t="shared" si="3"/>
        <v>0</v>
      </c>
      <c r="T23" s="43"/>
      <c r="U23" s="303">
        <f t="shared" si="4"/>
        <v>4924986.9142700005</v>
      </c>
      <c r="V23" s="518">
        <f t="shared" si="5"/>
        <v>3614063.1242700005</v>
      </c>
      <c r="W23" s="74">
        <f>V23/$D23</f>
        <v>2.7568827050350504</v>
      </c>
      <c r="X23" s="74"/>
    </row>
    <row r="24" spans="2:25" x14ac:dyDescent="0.25">
      <c r="B24" t="s">
        <v>13</v>
      </c>
      <c r="C24" s="431"/>
      <c r="D24" s="516">
        <f>'Current Revenue Calc.'!T24</f>
        <v>1663306.9106786461</v>
      </c>
      <c r="E24" s="516"/>
      <c r="F24" s="517"/>
      <c r="G24" s="74">
        <f t="shared" si="7"/>
        <v>0</v>
      </c>
      <c r="H24" s="519"/>
      <c r="I24" s="517"/>
      <c r="J24" s="74">
        <f t="shared" si="0"/>
        <v>0</v>
      </c>
      <c r="K24" s="74"/>
      <c r="L24" s="517"/>
      <c r="M24" s="74">
        <f t="shared" ref="M24" si="8">L24/$D24</f>
        <v>0</v>
      </c>
      <c r="N24" s="74"/>
      <c r="O24" s="517"/>
      <c r="P24" s="74">
        <f>O24/$D24</f>
        <v>0</v>
      </c>
      <c r="Q24" s="520"/>
      <c r="R24" s="517"/>
      <c r="S24" s="74">
        <f>R24/$D24</f>
        <v>0</v>
      </c>
      <c r="T24" s="520"/>
      <c r="U24" s="303">
        <f t="shared" si="4"/>
        <v>1663306.9106786461</v>
      </c>
      <c r="V24" s="518">
        <f t="shared" si="5"/>
        <v>0</v>
      </c>
      <c r="W24" s="74">
        <f t="shared" si="6"/>
        <v>0</v>
      </c>
      <c r="X24" s="521"/>
      <c r="Y24" s="522"/>
    </row>
    <row r="25" spans="2:25" x14ac:dyDescent="0.25">
      <c r="B25" t="s">
        <v>6</v>
      </c>
      <c r="D25" s="11">
        <f>SUM(D11:D24)</f>
        <v>1379557939.5796452</v>
      </c>
      <c r="E25" s="523"/>
      <c r="F25" s="286">
        <f>SUM(F11:F24)</f>
        <v>-1114990.58</v>
      </c>
      <c r="G25" s="75">
        <f t="shared" si="7"/>
        <v>-8.0822308944830581E-4</v>
      </c>
      <c r="H25" s="519"/>
      <c r="I25" s="286">
        <f>SUM(I11:I24)</f>
        <v>-219082.39883411839</v>
      </c>
      <c r="J25" s="75">
        <f t="shared" si="0"/>
        <v>-1.5880623245216751E-4</v>
      </c>
      <c r="K25" s="521"/>
      <c r="L25" s="286">
        <f>SUM(L11:L24)</f>
        <v>2210.4779606820084</v>
      </c>
      <c r="M25" s="75">
        <f>L25/$D25</f>
        <v>1.6023088971207304E-6</v>
      </c>
      <c r="N25" s="521"/>
      <c r="O25" s="286">
        <f>SUM(O11:O24)</f>
        <v>1115589.399444164</v>
      </c>
      <c r="P25" s="75">
        <f t="shared" si="2"/>
        <v>8.086571556277564E-4</v>
      </c>
      <c r="Q25" s="523"/>
      <c r="R25" s="286">
        <f>SUM(R11:R24)</f>
        <v>42672667.527896881</v>
      </c>
      <c r="S25" s="75">
        <f t="shared" ref="S25" si="9">R25/$D25</f>
        <v>3.0932131448498171E-2</v>
      </c>
      <c r="T25" s="523"/>
      <c r="U25" s="286">
        <f>SUM(U11:U24)</f>
        <v>1422014334.0061126</v>
      </c>
      <c r="V25" s="286">
        <f>SUM(V11:V24)</f>
        <v>42456394.426467605</v>
      </c>
      <c r="W25" s="75">
        <f>V25/$D25</f>
        <v>3.0775361591122572E-2</v>
      </c>
      <c r="X25" s="521"/>
      <c r="Y25" s="523"/>
    </row>
    <row r="26" spans="2:25" s="13" customFormat="1" x14ac:dyDescent="0.25">
      <c r="B26" s="12"/>
      <c r="C26" s="524"/>
      <c r="D26" s="524"/>
      <c r="E26" s="524"/>
      <c r="F26" s="525"/>
      <c r="G26" s="526"/>
      <c r="H26" s="527"/>
      <c r="I26" s="525"/>
      <c r="J26" s="526"/>
      <c r="K26" s="526"/>
      <c r="L26" s="525"/>
      <c r="M26" s="526"/>
      <c r="N26" s="526"/>
      <c r="O26" s="525"/>
      <c r="P26" s="526"/>
      <c r="Q26" s="527"/>
      <c r="R26" s="525"/>
      <c r="S26" s="526"/>
      <c r="T26" s="527"/>
      <c r="U26" s="527"/>
      <c r="V26" s="525"/>
      <c r="W26" s="526"/>
      <c r="X26" s="528"/>
      <c r="Y26" s="20"/>
    </row>
    <row r="27" spans="2:25" x14ac:dyDescent="0.25">
      <c r="F27" s="376"/>
      <c r="G27" s="303"/>
      <c r="H27" s="522"/>
      <c r="I27" s="376"/>
      <c r="J27" s="303"/>
      <c r="K27" s="303"/>
      <c r="L27" s="376"/>
      <c r="M27" s="303"/>
      <c r="N27" s="303"/>
      <c r="O27" s="376"/>
      <c r="P27" s="303"/>
      <c r="Q27" s="523"/>
      <c r="R27" s="376"/>
      <c r="S27" s="303"/>
      <c r="T27" s="523"/>
      <c r="U27" s="522"/>
      <c r="V27" s="376"/>
      <c r="W27" s="303"/>
      <c r="X27" s="529"/>
      <c r="Y27" s="522"/>
    </row>
    <row r="28" spans="2:25" s="13" customFormat="1" x14ac:dyDescent="0.25">
      <c r="B28" s="334" t="s">
        <v>214</v>
      </c>
      <c r="C28" s="16"/>
      <c r="D28" s="16"/>
      <c r="E28" s="16"/>
      <c r="F28" s="530"/>
      <c r="G28" s="531"/>
      <c r="H28" s="20"/>
      <c r="I28" s="530"/>
      <c r="J28" s="531"/>
      <c r="K28" s="531"/>
      <c r="L28" s="530"/>
      <c r="M28" s="531"/>
      <c r="N28" s="531"/>
      <c r="O28" s="530"/>
      <c r="P28" s="531"/>
      <c r="Q28" s="20"/>
      <c r="R28" s="530"/>
      <c r="S28" s="531"/>
      <c r="T28" s="20"/>
      <c r="U28" s="20"/>
      <c r="V28" s="530"/>
      <c r="W28" s="531"/>
      <c r="X28" s="528"/>
      <c r="Y28" s="20"/>
    </row>
    <row r="29" spans="2:25" s="13" customFormat="1" x14ac:dyDescent="0.25">
      <c r="B29" s="63" t="s">
        <v>7</v>
      </c>
      <c r="C29" s="513" t="s">
        <v>256</v>
      </c>
      <c r="D29" s="17">
        <f>D11+D12</f>
        <v>952042113.805691</v>
      </c>
      <c r="E29" s="17"/>
      <c r="F29" s="17">
        <f>F11+F12</f>
        <v>0</v>
      </c>
      <c r="G29" s="74">
        <f t="shared" ref="G29:G37" si="10">F29/$D29</f>
        <v>0</v>
      </c>
      <c r="H29" s="532"/>
      <c r="I29" s="17">
        <f>I11+I12</f>
        <v>-1464394.0424899999</v>
      </c>
      <c r="J29" s="74">
        <f t="shared" ref="J29:J37" si="11">I29/$D29</f>
        <v>-1.5381609923076139E-3</v>
      </c>
      <c r="K29" s="74"/>
      <c r="L29" s="17">
        <f>L11+L12</f>
        <v>-1956788.5458599997</v>
      </c>
      <c r="M29" s="74">
        <f t="shared" ref="M29:M37" si="12">L29/$D29</f>
        <v>-2.0553592298957631E-3</v>
      </c>
      <c r="N29" s="74"/>
      <c r="O29" s="17">
        <f>O11+O12</f>
        <v>773762.79100999993</v>
      </c>
      <c r="P29" s="74">
        <f t="shared" ref="P29:P37" si="13">O29/$D29</f>
        <v>8.1274008763852084E-4</v>
      </c>
      <c r="Q29" s="525"/>
      <c r="R29" s="17">
        <f>R11+R12</f>
        <v>29888985.827939998</v>
      </c>
      <c r="S29" s="74">
        <f t="shared" ref="S29:S37" si="14">R29/$D29</f>
        <v>3.1394604707623522E-2</v>
      </c>
      <c r="T29" s="525"/>
      <c r="U29" s="17">
        <f>U11+U12</f>
        <v>979283679.83629107</v>
      </c>
      <c r="V29" s="17">
        <f>V11+V12</f>
        <v>27241566.030600008</v>
      </c>
      <c r="W29" s="74">
        <f t="shared" ref="W29:W37" si="15">V29/$D29</f>
        <v>2.8613824573058676E-2</v>
      </c>
      <c r="X29" s="521"/>
      <c r="Y29" s="18"/>
    </row>
    <row r="30" spans="2:25" s="13" customFormat="1" x14ac:dyDescent="0.25">
      <c r="B30" s="19" t="s">
        <v>48</v>
      </c>
      <c r="C30" s="513" t="s">
        <v>257</v>
      </c>
      <c r="D30" s="17">
        <f>D13+D18</f>
        <v>315211044.54528415</v>
      </c>
      <c r="E30" s="17"/>
      <c r="F30" s="17">
        <f>F13+F18</f>
        <v>0</v>
      </c>
      <c r="G30" s="74">
        <f t="shared" si="10"/>
        <v>0</v>
      </c>
      <c r="H30" s="532"/>
      <c r="I30" s="17">
        <f>I13+I18</f>
        <v>-516466.11030000006</v>
      </c>
      <c r="J30" s="74">
        <f t="shared" si="11"/>
        <v>-1.6384772019807923E-3</v>
      </c>
      <c r="K30" s="74"/>
      <c r="L30" s="17">
        <f>L13+L18</f>
        <v>-691080.84282999998</v>
      </c>
      <c r="M30" s="74">
        <f t="shared" si="12"/>
        <v>-2.1924385416981075E-3</v>
      </c>
      <c r="N30" s="74"/>
      <c r="O30" s="17">
        <f>O13+O18</f>
        <v>270529.86730000004</v>
      </c>
      <c r="P30" s="74">
        <f t="shared" si="13"/>
        <v>8.582499629423198E-4</v>
      </c>
      <c r="Q30" s="525"/>
      <c r="R30" s="17">
        <f>R13+R18</f>
        <v>9758750.1222399995</v>
      </c>
      <c r="S30" s="74">
        <f t="shared" si="14"/>
        <v>3.0959416845046585E-2</v>
      </c>
      <c r="T30" s="525"/>
      <c r="U30" s="17">
        <f t="shared" ref="U30:V34" si="16">U13+U18</f>
        <v>324032777.58169413</v>
      </c>
      <c r="V30" s="17">
        <f t="shared" si="16"/>
        <v>8821733.0364099741</v>
      </c>
      <c r="W30" s="74">
        <f t="shared" si="15"/>
        <v>2.7986751064309923E-2</v>
      </c>
      <c r="X30" s="521"/>
      <c r="Y30" s="20"/>
    </row>
    <row r="31" spans="2:25" s="13" customFormat="1" x14ac:dyDescent="0.25">
      <c r="B31" s="63" t="s">
        <v>49</v>
      </c>
      <c r="C31" s="513" t="s">
        <v>258</v>
      </c>
      <c r="D31" s="17">
        <f>D14+D19</f>
        <v>68230161.258289427</v>
      </c>
      <c r="E31" s="17"/>
      <c r="F31" s="17">
        <f>F14+F19</f>
        <v>0</v>
      </c>
      <c r="G31" s="74">
        <f t="shared" si="10"/>
        <v>0</v>
      </c>
      <c r="H31" s="532"/>
      <c r="I31" s="17">
        <f>I14+I19</f>
        <v>-107024.86560000002</v>
      </c>
      <c r="J31" s="74">
        <f t="shared" si="11"/>
        <v>-1.5685858515686469E-3</v>
      </c>
      <c r="K31" s="74"/>
      <c r="L31" s="17">
        <f>L14+L19</f>
        <v>-143145.75774</v>
      </c>
      <c r="M31" s="74">
        <f t="shared" si="12"/>
        <v>-2.0979835764730649E-3</v>
      </c>
      <c r="N31" s="74"/>
      <c r="O31" s="17">
        <f>O14+O19</f>
        <v>56188.05444</v>
      </c>
      <c r="P31" s="74">
        <f t="shared" si="13"/>
        <v>8.2350757207353949E-4</v>
      </c>
      <c r="Q31" s="525"/>
      <c r="R31" s="17">
        <f>R14+R19</f>
        <v>1856448.1897541517</v>
      </c>
      <c r="S31" s="74">
        <f t="shared" si="14"/>
        <v>2.720861501010461E-2</v>
      </c>
      <c r="T31" s="525"/>
      <c r="U31" s="17">
        <f t="shared" si="16"/>
        <v>69892626.879143581</v>
      </c>
      <c r="V31" s="17">
        <f t="shared" si="16"/>
        <v>1662465.6208541542</v>
      </c>
      <c r="W31" s="74">
        <f t="shared" si="15"/>
        <v>2.4365553154136476E-2</v>
      </c>
      <c r="X31" s="521"/>
      <c r="Y31" s="20"/>
    </row>
    <row r="32" spans="2:25" s="13" customFormat="1" x14ac:dyDescent="0.25">
      <c r="B32" s="63" t="s">
        <v>10</v>
      </c>
      <c r="C32" s="513" t="s">
        <v>259</v>
      </c>
      <c r="D32" s="17">
        <f>D15+D20</f>
        <v>15782596.956258126</v>
      </c>
      <c r="E32" s="17"/>
      <c r="F32" s="17">
        <f>F15+F20</f>
        <v>0</v>
      </c>
      <c r="G32" s="74">
        <f t="shared" si="10"/>
        <v>0</v>
      </c>
      <c r="H32" s="532"/>
      <c r="I32" s="17">
        <f>I15+I20</f>
        <v>-14398.80652</v>
      </c>
      <c r="J32" s="74">
        <f t="shared" si="11"/>
        <v>-9.1232175287163852E-4</v>
      </c>
      <c r="K32" s="74"/>
      <c r="L32" s="17">
        <f>L15+L20</f>
        <v>-19341.680400000001</v>
      </c>
      <c r="M32" s="74">
        <f t="shared" si="12"/>
        <v>-1.225506832215634E-3</v>
      </c>
      <c r="N32" s="74"/>
      <c r="O32" s="17">
        <f>O15+O20</f>
        <v>7629.2183800000003</v>
      </c>
      <c r="P32" s="74">
        <f t="shared" si="13"/>
        <v>4.8339436159616669E-4</v>
      </c>
      <c r="Q32" s="525"/>
      <c r="R32" s="17">
        <f>R15+R20</f>
        <v>529590.19337165868</v>
      </c>
      <c r="S32" s="74">
        <f t="shared" si="14"/>
        <v>3.3555326467464862E-2</v>
      </c>
      <c r="T32" s="525"/>
      <c r="U32" s="17">
        <f t="shared" si="16"/>
        <v>16286075.881089784</v>
      </c>
      <c r="V32" s="17">
        <f t="shared" si="16"/>
        <v>503478.9248316586</v>
      </c>
      <c r="W32" s="74">
        <f t="shared" si="15"/>
        <v>3.1900892243973751E-2</v>
      </c>
      <c r="X32" s="521"/>
      <c r="Y32" s="20"/>
    </row>
    <row r="33" spans="2:25" s="13" customFormat="1" x14ac:dyDescent="0.25">
      <c r="B33" s="63" t="s">
        <v>262</v>
      </c>
      <c r="C33" s="513" t="s">
        <v>260</v>
      </c>
      <c r="D33" s="17">
        <f>D16+D21</f>
        <v>4631346.5350433858</v>
      </c>
      <c r="E33" s="17"/>
      <c r="F33" s="17">
        <f>F16+F21</f>
        <v>0</v>
      </c>
      <c r="G33" s="74">
        <f t="shared" si="10"/>
        <v>0</v>
      </c>
      <c r="H33" s="532"/>
      <c r="I33" s="17">
        <f>I16+I21</f>
        <v>-1976.1868799999997</v>
      </c>
      <c r="J33" s="74">
        <f t="shared" si="11"/>
        <v>-4.2669812441091434E-4</v>
      </c>
      <c r="K33" s="74"/>
      <c r="L33" s="17">
        <f>L16+L21</f>
        <v>-2634.9158400000001</v>
      </c>
      <c r="M33" s="74">
        <f t="shared" si="12"/>
        <v>-5.6893083254788593E-4</v>
      </c>
      <c r="N33" s="74"/>
      <c r="O33" s="17">
        <f>O16+O21</f>
        <v>1042.9875200000001</v>
      </c>
      <c r="P33" s="74">
        <f t="shared" si="13"/>
        <v>2.2520178788353818E-4</v>
      </c>
      <c r="Q33" s="525"/>
      <c r="R33" s="17">
        <f>R16+R21</f>
        <v>228304.62854130153</v>
      </c>
      <c r="S33" s="74">
        <f t="shared" si="14"/>
        <v>4.9295518444542996E-2</v>
      </c>
      <c r="T33" s="525"/>
      <c r="U33" s="17">
        <f t="shared" si="16"/>
        <v>4856083.0483846879</v>
      </c>
      <c r="V33" s="17">
        <f t="shared" si="16"/>
        <v>224736.51334130205</v>
      </c>
      <c r="W33" s="74">
        <f t="shared" si="15"/>
        <v>4.8525091275467849E-2</v>
      </c>
      <c r="X33" s="521"/>
      <c r="Y33" s="20"/>
    </row>
    <row r="34" spans="2:25" s="13" customFormat="1" x14ac:dyDescent="0.25">
      <c r="B34" s="12" t="s">
        <v>263</v>
      </c>
      <c r="C34" s="513" t="s">
        <v>261</v>
      </c>
      <c r="D34" s="17">
        <f>D17+D22</f>
        <v>20686445.778400347</v>
      </c>
      <c r="E34" s="17"/>
      <c r="F34" s="17">
        <f>F17+F22</f>
        <v>0</v>
      </c>
      <c r="G34" s="74">
        <f t="shared" si="10"/>
        <v>0</v>
      </c>
      <c r="H34" s="532"/>
      <c r="I34" s="17">
        <f>I17+I22</f>
        <v>-12287.425344118416</v>
      </c>
      <c r="J34" s="74">
        <f t="shared" si="11"/>
        <v>-5.9398436424241963E-4</v>
      </c>
      <c r="K34" s="74"/>
      <c r="L34" s="17">
        <f>L17+L22</f>
        <v>-16386.445339319074</v>
      </c>
      <c r="M34" s="74">
        <f t="shared" si="12"/>
        <v>-7.9213440118499733E-4</v>
      </c>
      <c r="N34" s="74"/>
      <c r="O34" s="17">
        <f>O17+O22</f>
        <v>6436.4807941642084</v>
      </c>
      <c r="P34" s="74">
        <f t="shared" si="13"/>
        <v>3.1114483672612476E-4</v>
      </c>
      <c r="Q34" s="525"/>
      <c r="R34" s="17">
        <f>R17+R22</f>
        <v>410588.56604977744</v>
      </c>
      <c r="S34" s="74">
        <f t="shared" si="14"/>
        <v>1.9848192891525694E-2</v>
      </c>
      <c r="T34" s="525"/>
      <c r="U34" s="17">
        <f t="shared" si="16"/>
        <v>21074796.95456085</v>
      </c>
      <c r="V34" s="17">
        <f t="shared" si="16"/>
        <v>388351.17616050318</v>
      </c>
      <c r="W34" s="74">
        <f t="shared" si="15"/>
        <v>1.8773218962824353E-2</v>
      </c>
      <c r="X34" s="521"/>
      <c r="Y34" s="20"/>
    </row>
    <row r="35" spans="2:25" s="13" customFormat="1" x14ac:dyDescent="0.25">
      <c r="B35" t="s">
        <v>449</v>
      </c>
      <c r="C35" s="431" t="s">
        <v>343</v>
      </c>
      <c r="D35" s="17">
        <f>D23</f>
        <v>1310923.79</v>
      </c>
      <c r="E35" s="17"/>
      <c r="F35" s="17">
        <f>F23</f>
        <v>-1114990.58</v>
      </c>
      <c r="G35" s="74">
        <f t="shared" si="10"/>
        <v>-0.85053806217064687</v>
      </c>
      <c r="H35" s="532"/>
      <c r="I35" s="17">
        <f>I23</f>
        <v>1897465.0382999999</v>
      </c>
      <c r="J35" s="74">
        <f t="shared" si="11"/>
        <v>1.447425893689823</v>
      </c>
      <c r="K35" s="74"/>
      <c r="L35" s="17">
        <f>L23</f>
        <v>2831588.6659700004</v>
      </c>
      <c r="M35" s="74">
        <f t="shared" si="12"/>
        <v>2.159994873515874</v>
      </c>
      <c r="N35" s="74"/>
      <c r="O35" s="17">
        <f>O23</f>
        <v>0</v>
      </c>
      <c r="P35" s="74">
        <f t="shared" si="13"/>
        <v>0</v>
      </c>
      <c r="Q35" s="525"/>
      <c r="R35" s="17">
        <f>R23</f>
        <v>0</v>
      </c>
      <c r="S35" s="74">
        <f t="shared" si="14"/>
        <v>0</v>
      </c>
      <c r="T35" s="525"/>
      <c r="U35" s="17">
        <f>U23</f>
        <v>4924986.9142700005</v>
      </c>
      <c r="V35" s="17">
        <f>V23</f>
        <v>3614063.1242700005</v>
      </c>
      <c r="W35" s="74">
        <f t="shared" si="15"/>
        <v>2.7568827050350504</v>
      </c>
      <c r="X35" s="521"/>
      <c r="Y35" s="20"/>
    </row>
    <row r="36" spans="2:25" s="13" customFormat="1" x14ac:dyDescent="0.25">
      <c r="B36" s="12" t="s">
        <v>13</v>
      </c>
      <c r="C36" s="513"/>
      <c r="D36" s="17">
        <f>D24</f>
        <v>1663306.9106786461</v>
      </c>
      <c r="E36" s="17"/>
      <c r="F36" s="17">
        <f>F24</f>
        <v>0</v>
      </c>
      <c r="G36" s="74">
        <f t="shared" si="10"/>
        <v>0</v>
      </c>
      <c r="H36" s="532"/>
      <c r="I36" s="17">
        <f>I24</f>
        <v>0</v>
      </c>
      <c r="J36" s="74">
        <f t="shared" si="11"/>
        <v>0</v>
      </c>
      <c r="K36" s="74"/>
      <c r="L36" s="17">
        <f>L24</f>
        <v>0</v>
      </c>
      <c r="M36" s="74">
        <f t="shared" si="12"/>
        <v>0</v>
      </c>
      <c r="N36" s="74"/>
      <c r="O36" s="17">
        <f>O24</f>
        <v>0</v>
      </c>
      <c r="P36" s="74">
        <f t="shared" si="13"/>
        <v>0</v>
      </c>
      <c r="Q36" s="525"/>
      <c r="R36" s="17">
        <f>R24</f>
        <v>0</v>
      </c>
      <c r="S36" s="74">
        <f t="shared" si="14"/>
        <v>0</v>
      </c>
      <c r="T36" s="525"/>
      <c r="U36" s="17">
        <f>U24</f>
        <v>1663306.9106786461</v>
      </c>
      <c r="V36" s="17">
        <f>V24</f>
        <v>0</v>
      </c>
      <c r="W36" s="74">
        <f t="shared" si="15"/>
        <v>0</v>
      </c>
      <c r="X36" s="521"/>
      <c r="Y36" s="20"/>
    </row>
    <row r="37" spans="2:25" s="13" customFormat="1" x14ac:dyDescent="0.25">
      <c r="B37" s="12" t="s">
        <v>6</v>
      </c>
      <c r="C37" s="12"/>
      <c r="D37" s="533">
        <f>SUM(D29:D36)</f>
        <v>1379557939.5796449</v>
      </c>
      <c r="E37" s="534"/>
      <c r="F37" s="21">
        <f>SUM(F29:F36)</f>
        <v>-1114990.58</v>
      </c>
      <c r="G37" s="75">
        <f t="shared" si="10"/>
        <v>-8.0822308944830602E-4</v>
      </c>
      <c r="H37" s="532"/>
      <c r="I37" s="21">
        <f>SUM(I29:I36)</f>
        <v>-219082.39883411839</v>
      </c>
      <c r="J37" s="75">
        <f t="shared" si="11"/>
        <v>-1.5880623245216754E-4</v>
      </c>
      <c r="K37" s="521"/>
      <c r="L37" s="21">
        <f>SUM(L29:L36)</f>
        <v>2210.4779606820084</v>
      </c>
      <c r="M37" s="75">
        <f t="shared" si="12"/>
        <v>1.6023088971207307E-6</v>
      </c>
      <c r="N37" s="521"/>
      <c r="O37" s="21">
        <f>SUM(O29:O36)</f>
        <v>1115589.399444164</v>
      </c>
      <c r="P37" s="75">
        <f t="shared" si="13"/>
        <v>8.0865715562775651E-4</v>
      </c>
      <c r="Q37" s="525"/>
      <c r="R37" s="21">
        <f>SUM(R29:R36)</f>
        <v>42672667.527896881</v>
      </c>
      <c r="S37" s="75">
        <f t="shared" si="14"/>
        <v>3.0932131448498178E-2</v>
      </c>
      <c r="T37" s="525"/>
      <c r="U37" s="21">
        <f>SUM(U29:U36)</f>
        <v>1422014334.0061123</v>
      </c>
      <c r="V37" s="21">
        <f>SUM(V29:V36)</f>
        <v>42456394.426467605</v>
      </c>
      <c r="W37" s="75">
        <f t="shared" si="15"/>
        <v>3.0775361591122576E-2</v>
      </c>
      <c r="X37" s="521"/>
      <c r="Y37" s="20"/>
    </row>
    <row r="38" spans="2:25" s="13" customFormat="1" x14ac:dyDescent="0.25">
      <c r="B38" s="12"/>
      <c r="C38" s="12"/>
      <c r="D38" s="12"/>
      <c r="E38" s="12"/>
      <c r="F38" s="17"/>
      <c r="G38" s="535"/>
      <c r="H38" s="532"/>
      <c r="I38" s="17"/>
      <c r="J38" s="535"/>
      <c r="K38" s="535"/>
      <c r="L38" s="535"/>
      <c r="M38" s="535"/>
      <c r="N38" s="535"/>
      <c r="O38" s="17"/>
      <c r="P38" s="535"/>
      <c r="Q38" s="525"/>
      <c r="R38" s="525"/>
      <c r="S38" s="525"/>
      <c r="T38" s="525"/>
      <c r="U38" s="532"/>
      <c r="V38" s="17"/>
      <c r="W38" s="535"/>
      <c r="X38" s="521"/>
      <c r="Y38" s="20"/>
    </row>
    <row r="39" spans="2:25" ht="17.25" x14ac:dyDescent="0.25">
      <c r="B39" s="63" t="s">
        <v>340</v>
      </c>
    </row>
  </sheetData>
  <mergeCells count="4">
    <mergeCell ref="B1:W1"/>
    <mergeCell ref="B2:W2"/>
    <mergeCell ref="B3:W3"/>
    <mergeCell ref="B4:W4"/>
  </mergeCells>
  <printOptions horizontalCentered="1"/>
  <pageMargins left="0.45" right="0.45" top="0.75" bottom="0.75" header="0.3" footer="0.3"/>
  <pageSetup scale="56" orientation="landscape" blackAndWhite="1" r:id="rId1"/>
  <headerFooter>
    <oddFooter>&amp;R&amp;A
Page &amp;P of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zoomScale="90" zoomScaleNormal="90" workbookViewId="0">
      <selection activeCell="I28" sqref="I28"/>
    </sheetView>
  </sheetViews>
  <sheetFormatPr defaultColWidth="8.7109375" defaultRowHeight="15" x14ac:dyDescent="0.25"/>
  <cols>
    <col min="1" max="1" width="38.7109375" style="1" customWidth="1"/>
    <col min="2" max="2" width="9.140625" style="1" bestFit="1" customWidth="1"/>
    <col min="3" max="3" width="18.5703125" style="1" bestFit="1" customWidth="1"/>
    <col min="4" max="5" width="13.7109375" style="1" customWidth="1"/>
    <col min="6" max="8" width="14.42578125" style="1" customWidth="1"/>
    <col min="9" max="9" width="7.85546875" style="1" bestFit="1" customWidth="1"/>
    <col min="10" max="16384" width="8.7109375" style="1"/>
  </cols>
  <sheetData>
    <row r="1" spans="1:10" s="58" customFormat="1" ht="15" customHeight="1" x14ac:dyDescent="0.25">
      <c r="A1" s="639" t="s">
        <v>0</v>
      </c>
      <c r="B1" s="639"/>
      <c r="C1" s="639"/>
      <c r="D1" s="639"/>
      <c r="E1" s="639"/>
      <c r="F1" s="639"/>
      <c r="G1" s="639"/>
      <c r="H1" s="639"/>
      <c r="I1" s="639"/>
      <c r="J1" s="47"/>
    </row>
    <row r="2" spans="1:10" s="58" customFormat="1" ht="15" customHeight="1" x14ac:dyDescent="0.25">
      <c r="A2" s="639" t="s">
        <v>212</v>
      </c>
      <c r="B2" s="639"/>
      <c r="C2" s="639"/>
      <c r="D2" s="639"/>
      <c r="E2" s="639"/>
      <c r="F2" s="639"/>
      <c r="G2" s="639"/>
      <c r="H2" s="639"/>
      <c r="I2" s="639"/>
      <c r="J2" s="47"/>
    </row>
    <row r="3" spans="1:10" s="58" customFormat="1" ht="15" customHeight="1" x14ac:dyDescent="0.25">
      <c r="A3" s="639" t="s">
        <v>264</v>
      </c>
      <c r="B3" s="639"/>
      <c r="C3" s="639"/>
      <c r="D3" s="639"/>
      <c r="E3" s="639"/>
      <c r="F3" s="639"/>
      <c r="G3" s="639"/>
      <c r="H3" s="639"/>
      <c r="I3" s="639"/>
      <c r="J3" s="47"/>
    </row>
    <row r="4" spans="1:10" s="58" customFormat="1" ht="15" customHeight="1" x14ac:dyDescent="0.25">
      <c r="A4" s="639" t="s">
        <v>267</v>
      </c>
      <c r="B4" s="639"/>
      <c r="C4" s="639"/>
      <c r="D4" s="639"/>
      <c r="E4" s="639"/>
      <c r="F4" s="639"/>
      <c r="G4" s="639"/>
      <c r="H4" s="639"/>
      <c r="I4" s="639"/>
      <c r="J4" s="47"/>
    </row>
    <row r="5" spans="1:10" x14ac:dyDescent="0.25">
      <c r="D5" s="338"/>
      <c r="E5" s="338"/>
    </row>
    <row r="6" spans="1:10" x14ac:dyDescent="0.25">
      <c r="A6" s="288"/>
      <c r="B6" s="288"/>
      <c r="C6" s="288" t="s">
        <v>15</v>
      </c>
      <c r="D6" s="288" t="s">
        <v>5</v>
      </c>
      <c r="E6" s="288" t="s">
        <v>1</v>
      </c>
      <c r="F6" s="336" t="s">
        <v>15</v>
      </c>
      <c r="G6" s="336" t="s">
        <v>15</v>
      </c>
      <c r="H6" s="288" t="s">
        <v>71</v>
      </c>
      <c r="I6" s="288"/>
    </row>
    <row r="7" spans="1:10" x14ac:dyDescent="0.25">
      <c r="A7" s="288"/>
      <c r="B7" s="288" t="s">
        <v>17</v>
      </c>
      <c r="C7" s="288" t="s">
        <v>3</v>
      </c>
      <c r="D7" s="288" t="s">
        <v>71</v>
      </c>
      <c r="E7" s="288" t="s">
        <v>71</v>
      </c>
      <c r="F7" s="336" t="s">
        <v>2</v>
      </c>
      <c r="G7" s="336" t="s">
        <v>2</v>
      </c>
      <c r="H7" s="288" t="s">
        <v>2</v>
      </c>
      <c r="I7" s="288" t="s">
        <v>20</v>
      </c>
    </row>
    <row r="8" spans="1:10" x14ac:dyDescent="0.25">
      <c r="A8" s="339" t="s">
        <v>4</v>
      </c>
      <c r="B8" s="339" t="s">
        <v>21</v>
      </c>
      <c r="C8" s="252" t="str">
        <f>'Current Revenue Calc.'!$T$7</f>
        <v>12ME Oct. 2024</v>
      </c>
      <c r="D8" s="339" t="s">
        <v>22</v>
      </c>
      <c r="E8" s="339" t="s">
        <v>22</v>
      </c>
      <c r="F8" s="56" t="s">
        <v>23</v>
      </c>
      <c r="G8" s="56" t="s">
        <v>182</v>
      </c>
      <c r="H8" s="339" t="s">
        <v>24</v>
      </c>
      <c r="I8" s="339" t="s">
        <v>24</v>
      </c>
    </row>
    <row r="9" spans="1:10" x14ac:dyDescent="0.25">
      <c r="A9" s="1" t="s">
        <v>7</v>
      </c>
      <c r="B9" s="416" t="s">
        <v>30</v>
      </c>
      <c r="C9" s="54">
        <f>SUM(Therms!P10,Therms!P11)</f>
        <v>639464549</v>
      </c>
      <c r="D9" s="284">
        <v>0</v>
      </c>
      <c r="E9" s="413">
        <v>0</v>
      </c>
      <c r="F9" s="44">
        <f>C9*D9</f>
        <v>0</v>
      </c>
      <c r="G9" s="44">
        <f>C9*E9</f>
        <v>0</v>
      </c>
      <c r="H9" s="289">
        <f>G9-F9</f>
        <v>0</v>
      </c>
      <c r="I9" s="2" t="e">
        <f>H9/F9</f>
        <v>#DIV/0!</v>
      </c>
    </row>
    <row r="10" spans="1:10" x14ac:dyDescent="0.25">
      <c r="A10" s="1" t="s">
        <v>31</v>
      </c>
      <c r="B10" s="416">
        <v>16</v>
      </c>
      <c r="C10" s="54">
        <f>Therms!P9</f>
        <v>8832</v>
      </c>
      <c r="D10" s="284">
        <v>0</v>
      </c>
      <c r="E10" s="413">
        <v>0</v>
      </c>
      <c r="F10" s="44">
        <f t="shared" ref="F10:F21" si="0">C10*D10</f>
        <v>0</v>
      </c>
      <c r="G10" s="44">
        <f t="shared" ref="G10:G21" si="1">C10*E10</f>
        <v>0</v>
      </c>
      <c r="H10" s="289">
        <f t="shared" ref="H10:H21" si="2">G10-F10</f>
        <v>0</v>
      </c>
      <c r="I10" s="2" t="e">
        <f t="shared" ref="I10:I21" si="3">H10/F10</f>
        <v>#DIV/0!</v>
      </c>
    </row>
    <row r="11" spans="1:10" x14ac:dyDescent="0.25">
      <c r="A11" s="1" t="s">
        <v>8</v>
      </c>
      <c r="B11" s="416">
        <v>31</v>
      </c>
      <c r="C11" s="54">
        <f>Therms!P12</f>
        <v>245936243</v>
      </c>
      <c r="D11" s="284">
        <v>0</v>
      </c>
      <c r="E11" s="413">
        <v>0</v>
      </c>
      <c r="F11" s="44">
        <f t="shared" si="0"/>
        <v>0</v>
      </c>
      <c r="G11" s="44">
        <f t="shared" si="1"/>
        <v>0</v>
      </c>
      <c r="H11" s="289">
        <f t="shared" si="2"/>
        <v>0</v>
      </c>
      <c r="I11" s="2" t="e">
        <f t="shared" si="3"/>
        <v>#DIV/0!</v>
      </c>
    </row>
    <row r="12" spans="1:10" x14ac:dyDescent="0.25">
      <c r="A12" s="1" t="s">
        <v>9</v>
      </c>
      <c r="B12" s="416">
        <v>41</v>
      </c>
      <c r="C12" s="54">
        <f>Therms!P13</f>
        <v>66890541</v>
      </c>
      <c r="D12" s="284">
        <v>0</v>
      </c>
      <c r="E12" s="413">
        <v>0</v>
      </c>
      <c r="F12" s="44">
        <f t="shared" si="0"/>
        <v>0</v>
      </c>
      <c r="G12" s="44">
        <f t="shared" si="1"/>
        <v>0</v>
      </c>
      <c r="H12" s="289">
        <f t="shared" si="2"/>
        <v>0</v>
      </c>
      <c r="I12" s="2" t="e">
        <f t="shared" si="3"/>
        <v>#DIV/0!</v>
      </c>
    </row>
    <row r="13" spans="1:10" x14ac:dyDescent="0.25">
      <c r="A13" s="1" t="s">
        <v>10</v>
      </c>
      <c r="B13" s="416">
        <v>85</v>
      </c>
      <c r="C13" s="54">
        <f>Therms!P14</f>
        <v>10745378</v>
      </c>
      <c r="D13" s="284">
        <v>0</v>
      </c>
      <c r="E13" s="413">
        <v>0</v>
      </c>
      <c r="F13" s="44">
        <f t="shared" si="0"/>
        <v>0</v>
      </c>
      <c r="G13" s="44">
        <f t="shared" si="1"/>
        <v>0</v>
      </c>
      <c r="H13" s="289">
        <f t="shared" si="2"/>
        <v>0</v>
      </c>
      <c r="I13" s="2" t="e">
        <f t="shared" si="3"/>
        <v>#DIV/0!</v>
      </c>
    </row>
    <row r="14" spans="1:10" x14ac:dyDescent="0.25">
      <c r="A14" s="1" t="s">
        <v>11</v>
      </c>
      <c r="B14" s="416">
        <v>86</v>
      </c>
      <c r="C14" s="54">
        <f>Therms!P15</f>
        <v>5489408</v>
      </c>
      <c r="D14" s="284">
        <v>0</v>
      </c>
      <c r="E14" s="413">
        <v>0</v>
      </c>
      <c r="F14" s="44">
        <f t="shared" si="0"/>
        <v>0</v>
      </c>
      <c r="G14" s="44">
        <f t="shared" si="1"/>
        <v>0</v>
      </c>
      <c r="H14" s="289">
        <f t="shared" si="2"/>
        <v>0</v>
      </c>
      <c r="I14" s="2" t="e">
        <f t="shared" si="3"/>
        <v>#DIV/0!</v>
      </c>
    </row>
    <row r="15" spans="1:10" x14ac:dyDescent="0.25">
      <c r="A15" s="1" t="s">
        <v>12</v>
      </c>
      <c r="B15" s="416">
        <v>87</v>
      </c>
      <c r="C15" s="54">
        <f>Therms!P16</f>
        <v>21819455.762355205</v>
      </c>
      <c r="D15" s="284">
        <v>0</v>
      </c>
      <c r="E15" s="413">
        <v>0</v>
      </c>
      <c r="F15" s="44">
        <f t="shared" si="0"/>
        <v>0</v>
      </c>
      <c r="G15" s="44">
        <f t="shared" si="1"/>
        <v>0</v>
      </c>
      <c r="H15" s="289">
        <f t="shared" si="2"/>
        <v>0</v>
      </c>
      <c r="I15" s="2" t="e">
        <f t="shared" si="3"/>
        <v>#DIV/0!</v>
      </c>
    </row>
    <row r="16" spans="1:10" x14ac:dyDescent="0.25">
      <c r="A16" s="1" t="s">
        <v>32</v>
      </c>
      <c r="B16" s="416" t="s">
        <v>33</v>
      </c>
      <c r="C16" s="54">
        <f>Therms!P17</f>
        <v>33867</v>
      </c>
      <c r="D16" s="284">
        <v>0</v>
      </c>
      <c r="E16" s="413">
        <v>0</v>
      </c>
      <c r="F16" s="44">
        <f t="shared" si="0"/>
        <v>0</v>
      </c>
      <c r="G16" s="44">
        <f t="shared" si="1"/>
        <v>0</v>
      </c>
      <c r="H16" s="289">
        <f t="shared" si="2"/>
        <v>0</v>
      </c>
      <c r="I16" s="2" t="e">
        <f t="shared" si="3"/>
        <v>#DIV/0!</v>
      </c>
    </row>
    <row r="17" spans="1:9" x14ac:dyDescent="0.25">
      <c r="A17" s="1" t="s">
        <v>34</v>
      </c>
      <c r="B17" s="416" t="s">
        <v>35</v>
      </c>
      <c r="C17" s="54">
        <f>Therms!P18</f>
        <v>26510234</v>
      </c>
      <c r="D17" s="284">
        <v>0</v>
      </c>
      <c r="E17" s="413">
        <v>0</v>
      </c>
      <c r="F17" s="44">
        <f t="shared" si="0"/>
        <v>0</v>
      </c>
      <c r="G17" s="44">
        <f t="shared" si="1"/>
        <v>0</v>
      </c>
      <c r="H17" s="289">
        <f t="shared" si="2"/>
        <v>0</v>
      </c>
      <c r="I17" s="2" t="e">
        <f t="shared" si="3"/>
        <v>#DIV/0!</v>
      </c>
    </row>
    <row r="18" spans="1:9" x14ac:dyDescent="0.25">
      <c r="A18" s="1" t="s">
        <v>36</v>
      </c>
      <c r="B18" s="416" t="s">
        <v>37</v>
      </c>
      <c r="C18" s="54">
        <f>Therms!P19</f>
        <v>62288926</v>
      </c>
      <c r="D18" s="284">
        <v>0</v>
      </c>
      <c r="E18" s="413">
        <v>0</v>
      </c>
      <c r="F18" s="44">
        <f t="shared" si="0"/>
        <v>0</v>
      </c>
      <c r="G18" s="44">
        <f t="shared" si="1"/>
        <v>0</v>
      </c>
      <c r="H18" s="289">
        <f t="shared" si="2"/>
        <v>0</v>
      </c>
      <c r="I18" s="2" t="e">
        <f t="shared" si="3"/>
        <v>#DIV/0!</v>
      </c>
    </row>
    <row r="19" spans="1:9" x14ac:dyDescent="0.25">
      <c r="A19" s="1" t="s">
        <v>38</v>
      </c>
      <c r="B19" s="416" t="s">
        <v>39</v>
      </c>
      <c r="C19" s="54">
        <f>Therms!P20</f>
        <v>578702</v>
      </c>
      <c r="D19" s="284">
        <v>0</v>
      </c>
      <c r="E19" s="413">
        <v>0</v>
      </c>
      <c r="F19" s="44">
        <f t="shared" si="0"/>
        <v>0</v>
      </c>
      <c r="G19" s="44">
        <f t="shared" si="1"/>
        <v>0</v>
      </c>
      <c r="H19" s="289">
        <f t="shared" si="2"/>
        <v>0</v>
      </c>
      <c r="I19" s="2" t="e">
        <f t="shared" si="3"/>
        <v>#DIV/0!</v>
      </c>
    </row>
    <row r="20" spans="1:9" x14ac:dyDescent="0.25">
      <c r="A20" s="1" t="s">
        <v>40</v>
      </c>
      <c r="B20" s="416" t="s">
        <v>41</v>
      </c>
      <c r="C20" s="54">
        <f>Therms!P21</f>
        <v>97500425.645479575</v>
      </c>
      <c r="D20" s="284">
        <v>0</v>
      </c>
      <c r="E20" s="413">
        <v>0</v>
      </c>
      <c r="F20" s="44">
        <f t="shared" si="0"/>
        <v>0</v>
      </c>
      <c r="G20" s="44">
        <f t="shared" si="1"/>
        <v>0</v>
      </c>
      <c r="H20" s="289">
        <f t="shared" si="2"/>
        <v>0</v>
      </c>
      <c r="I20" s="2" t="e">
        <f t="shared" si="3"/>
        <v>#DIV/0!</v>
      </c>
    </row>
    <row r="21" spans="1:9" x14ac:dyDescent="0.25">
      <c r="A21" s="1" t="s">
        <v>13</v>
      </c>
      <c r="B21" s="416"/>
      <c r="C21" s="54">
        <f>Therms!P23</f>
        <v>30967900</v>
      </c>
      <c r="D21" s="284">
        <v>0</v>
      </c>
      <c r="E21" s="424">
        <v>0</v>
      </c>
      <c r="F21" s="44">
        <f t="shared" si="0"/>
        <v>0</v>
      </c>
      <c r="G21" s="44">
        <f t="shared" si="1"/>
        <v>0</v>
      </c>
      <c r="H21" s="289">
        <f t="shared" si="2"/>
        <v>0</v>
      </c>
      <c r="I21" s="2" t="e">
        <f t="shared" si="3"/>
        <v>#DIV/0!</v>
      </c>
    </row>
    <row r="22" spans="1:9" x14ac:dyDescent="0.25">
      <c r="A22" s="1" t="s">
        <v>6</v>
      </c>
      <c r="C22" s="361">
        <f>SUM(C9:C21)</f>
        <v>1208234461.407835</v>
      </c>
      <c r="D22" s="373"/>
      <c r="E22" s="373"/>
      <c r="F22" s="45">
        <f t="shared" ref="F22:H22" si="4">SUM(F9:F21)</f>
        <v>0</v>
      </c>
      <c r="G22" s="45">
        <f t="shared" si="4"/>
        <v>0</v>
      </c>
      <c r="H22" s="363">
        <f t="shared" si="4"/>
        <v>0</v>
      </c>
      <c r="I22" s="3" t="e">
        <f t="shared" ref="I22" si="5">H22/F22</f>
        <v>#DIV/0!</v>
      </c>
    </row>
    <row r="23" spans="1:9" s="58" customFormat="1" x14ac:dyDescent="0.25">
      <c r="A23" s="22"/>
      <c r="B23" s="348"/>
      <c r="C23" s="365"/>
      <c r="D23" s="366"/>
      <c r="E23" s="366"/>
      <c r="F23" s="366"/>
      <c r="G23" s="366"/>
      <c r="H23" s="23"/>
    </row>
    <row r="24" spans="1:9" x14ac:dyDescent="0.25">
      <c r="F24" s="289"/>
      <c r="G24" s="289"/>
    </row>
    <row r="25" spans="1:9" x14ac:dyDescent="0.25">
      <c r="C25" s="329"/>
      <c r="F25" s="289"/>
      <c r="G25" s="289"/>
      <c r="H25" s="376"/>
    </row>
    <row r="26" spans="1:9" x14ac:dyDescent="0.25">
      <c r="A26" s="364"/>
    </row>
  </sheetData>
  <mergeCells count="4">
    <mergeCell ref="A1:I1"/>
    <mergeCell ref="A3:I3"/>
    <mergeCell ref="A4:I4"/>
    <mergeCell ref="A2:I2"/>
  </mergeCells>
  <printOptions horizontalCentered="1"/>
  <pageMargins left="0.7" right="0.7" top="0.75" bottom="0.75" header="0.3" footer="0.3"/>
  <pageSetup scale="85" orientation="landscape" blackAndWhite="1" r:id="rId1"/>
  <headerFooter>
    <oddFooter>&amp;L&amp;F 
&amp;A&amp;C&amp;P&amp;R&amp;D</oddFooter>
  </headerFooter>
  <customProperties>
    <customPr name="_pios_id" r:id="rId2"/>
    <customPr name="EpmWorksheetKeyString_GUID" r:id="rId3"/>
  </customPropertie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43"/>
  <sheetViews>
    <sheetView zoomScale="90" zoomScaleNormal="90" workbookViewId="0">
      <selection activeCell="B3" sqref="B3:P3"/>
    </sheetView>
  </sheetViews>
  <sheetFormatPr defaultColWidth="9.140625" defaultRowHeight="15" x14ac:dyDescent="0.25"/>
  <cols>
    <col min="1" max="1" width="1.5703125" style="24" customWidth="1"/>
    <col min="2" max="2" width="14.85546875" style="24" customWidth="1"/>
    <col min="3" max="3" width="4" style="24" bestFit="1" customWidth="1"/>
    <col min="4" max="4" width="12.28515625" style="24" bestFit="1" customWidth="1"/>
    <col min="5" max="15" width="14.42578125" style="24" bestFit="1" customWidth="1"/>
    <col min="16" max="16" width="14.28515625" style="24" bestFit="1" customWidth="1"/>
    <col min="17" max="16384" width="9.140625" style="24"/>
  </cols>
  <sheetData>
    <row r="1" spans="2:18" x14ac:dyDescent="0.25">
      <c r="B1" s="651" t="s">
        <v>0</v>
      </c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</row>
    <row r="2" spans="2:18" x14ac:dyDescent="0.25">
      <c r="B2" s="652" t="s">
        <v>236</v>
      </c>
      <c r="C2" s="652"/>
      <c r="D2" s="652"/>
      <c r="E2" s="652"/>
      <c r="F2" s="652"/>
      <c r="G2" s="652"/>
      <c r="H2" s="652"/>
      <c r="I2" s="652"/>
      <c r="J2" s="652"/>
      <c r="K2" s="652"/>
      <c r="L2" s="652"/>
      <c r="M2" s="652"/>
      <c r="N2" s="652"/>
      <c r="O2" s="652"/>
      <c r="P2" s="652"/>
    </row>
    <row r="3" spans="2:18" x14ac:dyDescent="0.25">
      <c r="B3" s="652" t="s">
        <v>321</v>
      </c>
      <c r="C3" s="652"/>
      <c r="D3" s="652"/>
      <c r="E3" s="652"/>
      <c r="F3" s="652"/>
      <c r="G3" s="652"/>
      <c r="H3" s="652"/>
      <c r="I3" s="652"/>
      <c r="J3" s="652"/>
      <c r="K3" s="652"/>
      <c r="L3" s="652"/>
      <c r="M3" s="652"/>
      <c r="N3" s="652"/>
      <c r="O3" s="652"/>
      <c r="P3" s="652"/>
    </row>
    <row r="4" spans="2:18" x14ac:dyDescent="0.25"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2:18" x14ac:dyDescent="0.25">
      <c r="B5" s="24" t="s">
        <v>422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7" spans="2:18" x14ac:dyDescent="0.25">
      <c r="B7" s="27" t="s">
        <v>21</v>
      </c>
      <c r="D7" s="33">
        <v>45231</v>
      </c>
      <c r="E7" s="33">
        <f>EDATE(D7,1)</f>
        <v>45261</v>
      </c>
      <c r="F7" s="33">
        <f t="shared" ref="F7:O7" si="0">EDATE(E7,1)</f>
        <v>45292</v>
      </c>
      <c r="G7" s="33">
        <f t="shared" si="0"/>
        <v>45323</v>
      </c>
      <c r="H7" s="33">
        <f t="shared" si="0"/>
        <v>45352</v>
      </c>
      <c r="I7" s="33">
        <f t="shared" si="0"/>
        <v>45383</v>
      </c>
      <c r="J7" s="33">
        <f t="shared" si="0"/>
        <v>45413</v>
      </c>
      <c r="K7" s="33">
        <f t="shared" si="0"/>
        <v>45444</v>
      </c>
      <c r="L7" s="33">
        <f t="shared" si="0"/>
        <v>45474</v>
      </c>
      <c r="M7" s="33">
        <f t="shared" si="0"/>
        <v>45505</v>
      </c>
      <c r="N7" s="33">
        <f t="shared" si="0"/>
        <v>45536</v>
      </c>
      <c r="O7" s="33">
        <f t="shared" si="0"/>
        <v>45566</v>
      </c>
      <c r="P7" s="28" t="s">
        <v>6</v>
      </c>
    </row>
    <row r="8" spans="2:18" x14ac:dyDescent="0.25">
      <c r="B8" s="29"/>
    </row>
    <row r="9" spans="2:18" x14ac:dyDescent="0.25">
      <c r="B9" s="63">
        <v>16</v>
      </c>
      <c r="D9" s="604">
        <f>'RY#2 Therms'!B36</f>
        <v>736</v>
      </c>
      <c r="E9" s="604">
        <f>'RY#2 Therms'!C36</f>
        <v>736</v>
      </c>
      <c r="F9" s="604">
        <f>'RY#2 Therms'!D36</f>
        <v>736</v>
      </c>
      <c r="G9" s="604">
        <f>'RY#2 Therms'!E36</f>
        <v>736</v>
      </c>
      <c r="H9" s="604">
        <f>'RY#2 Therms'!F36</f>
        <v>736</v>
      </c>
      <c r="I9" s="604">
        <f>'RY#2 Therms'!G36</f>
        <v>736</v>
      </c>
      <c r="J9" s="604">
        <f>'RY#2 Therms'!H36</f>
        <v>736</v>
      </c>
      <c r="K9" s="604">
        <f>'RY#2 Therms'!I36</f>
        <v>736</v>
      </c>
      <c r="L9" s="604">
        <f>'RY#2 Therms'!J36</f>
        <v>736</v>
      </c>
      <c r="M9" s="604">
        <f>'RY#2 Therms'!K36</f>
        <v>736</v>
      </c>
      <c r="N9" s="604">
        <f>'RY#2 Therms'!L36</f>
        <v>736</v>
      </c>
      <c r="O9" s="604">
        <f>'RY#2 Therms'!M36</f>
        <v>736</v>
      </c>
      <c r="P9" s="26">
        <f>SUM(D9:O9)</f>
        <v>8832</v>
      </c>
      <c r="R9" s="65"/>
    </row>
    <row r="10" spans="2:18" x14ac:dyDescent="0.25">
      <c r="B10" s="600">
        <v>23</v>
      </c>
      <c r="C10" s="601"/>
      <c r="D10" s="604">
        <f>'RY#2 Therms'!B37</f>
        <v>97939022</v>
      </c>
      <c r="E10" s="604">
        <f>'RY#2 Therms'!C37</f>
        <v>84388896</v>
      </c>
      <c r="F10" s="604">
        <f>'RY#2 Therms'!D37</f>
        <v>77323969</v>
      </c>
      <c r="G10" s="604">
        <f>'RY#2 Therms'!E37</f>
        <v>53507958</v>
      </c>
      <c r="H10" s="604">
        <f>'RY#2 Therms'!F37</f>
        <v>30480725</v>
      </c>
      <c r="I10" s="604">
        <f>'RY#2 Therms'!G37</f>
        <v>20098155</v>
      </c>
      <c r="J10" s="604">
        <f>'RY#2 Therms'!H37</f>
        <v>14466554</v>
      </c>
      <c r="K10" s="604">
        <f>'RY#2 Therms'!I37</f>
        <v>13798925</v>
      </c>
      <c r="L10" s="604">
        <f>'RY#2 Therms'!J37</f>
        <v>20484242</v>
      </c>
      <c r="M10" s="604">
        <f>'RY#2 Therms'!K37</f>
        <v>47350638</v>
      </c>
      <c r="N10" s="604">
        <f>'RY#2 Therms'!L37</f>
        <v>77723497</v>
      </c>
      <c r="O10" s="604">
        <f>'RY#2 Therms'!M37</f>
        <v>101901968</v>
      </c>
      <c r="P10" s="602">
        <f>SUM(D10:O10)</f>
        <v>639464549</v>
      </c>
      <c r="Q10" s="601"/>
      <c r="R10" s="65"/>
    </row>
    <row r="11" spans="2:18" x14ac:dyDescent="0.25">
      <c r="B11" s="600">
        <v>53</v>
      </c>
      <c r="C11" s="601"/>
      <c r="D11" s="604">
        <f>'RY#2 Therms'!B38</f>
        <v>0</v>
      </c>
      <c r="E11" s="604">
        <f>'RY#2 Therms'!C38</f>
        <v>0</v>
      </c>
      <c r="F11" s="604">
        <f>'RY#2 Therms'!D38</f>
        <v>0</v>
      </c>
      <c r="G11" s="604">
        <f>'RY#2 Therms'!E38</f>
        <v>0</v>
      </c>
      <c r="H11" s="604">
        <f>'RY#2 Therms'!F38</f>
        <v>0</v>
      </c>
      <c r="I11" s="604">
        <f>'RY#2 Therms'!G38</f>
        <v>0</v>
      </c>
      <c r="J11" s="604">
        <f>'RY#2 Therms'!H38</f>
        <v>0</v>
      </c>
      <c r="K11" s="604">
        <f>'RY#2 Therms'!I38</f>
        <v>0</v>
      </c>
      <c r="L11" s="604">
        <f>'RY#2 Therms'!J38</f>
        <v>0</v>
      </c>
      <c r="M11" s="604">
        <f>'RY#2 Therms'!K38</f>
        <v>0</v>
      </c>
      <c r="N11" s="604">
        <f>'RY#2 Therms'!L38</f>
        <v>0</v>
      </c>
      <c r="O11" s="604">
        <f>'RY#2 Therms'!M38</f>
        <v>0</v>
      </c>
      <c r="P11" s="602">
        <f t="shared" ref="P11:P27" si="1">SUM(D11:O11)</f>
        <v>0</v>
      </c>
      <c r="Q11" s="601"/>
      <c r="R11" s="65"/>
    </row>
    <row r="12" spans="2:18" x14ac:dyDescent="0.25">
      <c r="B12" s="600">
        <v>31</v>
      </c>
      <c r="C12" s="601"/>
      <c r="D12" s="604">
        <f>'RY#2 Therms'!B39</f>
        <v>32928097</v>
      </c>
      <c r="E12" s="604">
        <f>'RY#2 Therms'!C39</f>
        <v>30624982</v>
      </c>
      <c r="F12" s="604">
        <f>'RY#2 Therms'!D39</f>
        <v>27968358</v>
      </c>
      <c r="G12" s="604">
        <f>'RY#2 Therms'!E39</f>
        <v>20038502</v>
      </c>
      <c r="H12" s="604">
        <f>'RY#2 Therms'!F39</f>
        <v>14236908</v>
      </c>
      <c r="I12" s="604">
        <f>'RY#2 Therms'!G39</f>
        <v>10978875</v>
      </c>
      <c r="J12" s="604">
        <f>'RY#2 Therms'!H39</f>
        <v>9137542</v>
      </c>
      <c r="K12" s="604">
        <f>'RY#2 Therms'!I39</f>
        <v>9432504</v>
      </c>
      <c r="L12" s="604">
        <f>'RY#2 Therms'!J39</f>
        <v>10596109</v>
      </c>
      <c r="M12" s="604">
        <f>'RY#2 Therms'!K39</f>
        <v>17665776</v>
      </c>
      <c r="N12" s="604">
        <f>'RY#2 Therms'!L39</f>
        <v>26773535</v>
      </c>
      <c r="O12" s="604">
        <f>'RY#2 Therms'!M39</f>
        <v>35555055</v>
      </c>
      <c r="P12" s="602">
        <f t="shared" si="1"/>
        <v>245936243</v>
      </c>
      <c r="Q12" s="601"/>
      <c r="R12" s="65"/>
    </row>
    <row r="13" spans="2:18" x14ac:dyDescent="0.25">
      <c r="B13" s="600">
        <v>41</v>
      </c>
      <c r="C13" s="601"/>
      <c r="D13" s="604">
        <f>'RY#2 Therms'!B40</f>
        <v>7888189</v>
      </c>
      <c r="E13" s="604">
        <f>'RY#2 Therms'!C40</f>
        <v>7769589</v>
      </c>
      <c r="F13" s="604">
        <f>'RY#2 Therms'!D40</f>
        <v>7323085</v>
      </c>
      <c r="G13" s="604">
        <f>'RY#2 Therms'!E40</f>
        <v>5619867</v>
      </c>
      <c r="H13" s="604">
        <f>'RY#2 Therms'!F40</f>
        <v>4403676</v>
      </c>
      <c r="I13" s="604">
        <f>'RY#2 Therms'!G40</f>
        <v>3602353</v>
      </c>
      <c r="J13" s="604">
        <f>'RY#2 Therms'!H40</f>
        <v>2860641</v>
      </c>
      <c r="K13" s="604">
        <f>'RY#2 Therms'!I40</f>
        <v>2970849</v>
      </c>
      <c r="L13" s="604">
        <f>'RY#2 Therms'!J40</f>
        <v>3405163</v>
      </c>
      <c r="M13" s="604">
        <f>'RY#2 Therms'!K40</f>
        <v>5305866</v>
      </c>
      <c r="N13" s="604">
        <f>'RY#2 Therms'!L40</f>
        <v>7269688</v>
      </c>
      <c r="O13" s="604">
        <f>'RY#2 Therms'!M40</f>
        <v>8471575</v>
      </c>
      <c r="P13" s="602">
        <f t="shared" si="1"/>
        <v>66890541</v>
      </c>
      <c r="Q13" s="601"/>
      <c r="R13" s="65"/>
    </row>
    <row r="14" spans="2:18" x14ac:dyDescent="0.25">
      <c r="B14" s="600">
        <v>85</v>
      </c>
      <c r="C14" s="601"/>
      <c r="D14" s="604">
        <f>'RY#2 Therms'!B41</f>
        <v>1161136</v>
      </c>
      <c r="E14" s="604">
        <f>'RY#2 Therms'!C41</f>
        <v>1161191</v>
      </c>
      <c r="F14" s="604">
        <f>'RY#2 Therms'!D41</f>
        <v>1058245</v>
      </c>
      <c r="G14" s="604">
        <f>'RY#2 Therms'!E41</f>
        <v>840349</v>
      </c>
      <c r="H14" s="604">
        <f>'RY#2 Therms'!F41</f>
        <v>780885</v>
      </c>
      <c r="I14" s="604">
        <f>'RY#2 Therms'!G41</f>
        <v>615102</v>
      </c>
      <c r="J14" s="604">
        <f>'RY#2 Therms'!H41</f>
        <v>581128</v>
      </c>
      <c r="K14" s="604">
        <f>'RY#2 Therms'!I41</f>
        <v>636053</v>
      </c>
      <c r="L14" s="604">
        <f>'RY#2 Therms'!J41</f>
        <v>642739</v>
      </c>
      <c r="M14" s="604">
        <f>'RY#2 Therms'!K41</f>
        <v>909563</v>
      </c>
      <c r="N14" s="604">
        <f>'RY#2 Therms'!L41</f>
        <v>1037256</v>
      </c>
      <c r="O14" s="604">
        <f>'RY#2 Therms'!M41</f>
        <v>1321731</v>
      </c>
      <c r="P14" s="602">
        <f t="shared" si="1"/>
        <v>10745378</v>
      </c>
      <c r="Q14" s="601"/>
      <c r="R14" s="65"/>
    </row>
    <row r="15" spans="2:18" x14ac:dyDescent="0.25">
      <c r="B15" s="600">
        <v>86</v>
      </c>
      <c r="C15" s="601"/>
      <c r="D15" s="604">
        <f>'RY#2 Therms'!B42</f>
        <v>734470</v>
      </c>
      <c r="E15" s="604">
        <f>'RY#2 Therms'!C42</f>
        <v>730359</v>
      </c>
      <c r="F15" s="604">
        <f>'RY#2 Therms'!D42</f>
        <v>680496</v>
      </c>
      <c r="G15" s="604">
        <f>'RY#2 Therms'!E42</f>
        <v>469537</v>
      </c>
      <c r="H15" s="604">
        <f>'RY#2 Therms'!F42</f>
        <v>402401</v>
      </c>
      <c r="I15" s="604">
        <f>'RY#2 Therms'!G42</f>
        <v>248868</v>
      </c>
      <c r="J15" s="604">
        <f>'RY#2 Therms'!H42</f>
        <v>180391</v>
      </c>
      <c r="K15" s="604">
        <f>'RY#2 Therms'!I42</f>
        <v>146949</v>
      </c>
      <c r="L15" s="604">
        <f>'RY#2 Therms'!J42</f>
        <v>163570</v>
      </c>
      <c r="M15" s="604">
        <f>'RY#2 Therms'!K42</f>
        <v>364476</v>
      </c>
      <c r="N15" s="604">
        <f>'RY#2 Therms'!L42</f>
        <v>554566</v>
      </c>
      <c r="O15" s="604">
        <f>'RY#2 Therms'!M42</f>
        <v>813325</v>
      </c>
      <c r="P15" s="602">
        <f t="shared" si="1"/>
        <v>5489408</v>
      </c>
      <c r="Q15" s="601"/>
      <c r="R15" s="65"/>
    </row>
    <row r="16" spans="2:18" x14ac:dyDescent="0.25">
      <c r="B16" s="600">
        <v>87</v>
      </c>
      <c r="C16" s="601"/>
      <c r="D16" s="604">
        <f>'RY#2 Therms'!B43</f>
        <v>2998650.8943750001</v>
      </c>
      <c r="E16" s="604">
        <f>'RY#2 Therms'!C43</f>
        <v>4620973.8603750002</v>
      </c>
      <c r="F16" s="604">
        <f>'RY#2 Therms'!D43</f>
        <v>-230183.26163159739</v>
      </c>
      <c r="G16" s="604">
        <f>'RY#2 Therms'!E43</f>
        <v>2722328.7807902782</v>
      </c>
      <c r="H16" s="604">
        <f>'RY#2 Therms'!F43</f>
        <v>1246699.5224090284</v>
      </c>
      <c r="I16" s="604">
        <f>'RY#2 Therms'!G43</f>
        <v>1711965.7117916665</v>
      </c>
      <c r="J16" s="604">
        <f>'RY#2 Therms'!H43</f>
        <v>204785.59449999995</v>
      </c>
      <c r="K16" s="604">
        <f>'RY#2 Therms'!I43</f>
        <v>2315404.6089999997</v>
      </c>
      <c r="L16" s="604">
        <f>'RY#2 Therms'!J43</f>
        <v>955360.63349999976</v>
      </c>
      <c r="M16" s="604">
        <f>'RY#2 Therms'!K43</f>
        <v>1332643.2697923623</v>
      </c>
      <c r="N16" s="604">
        <f>'RY#2 Therms'!L43</f>
        <v>4079298.5974499993</v>
      </c>
      <c r="O16" s="604">
        <f>'RY#2 Therms'!M43</f>
        <v>-138472.44999652982</v>
      </c>
      <c r="P16" s="602">
        <f t="shared" si="1"/>
        <v>21819455.762355205</v>
      </c>
      <c r="Q16" s="601"/>
      <c r="R16" s="65"/>
    </row>
    <row r="17" spans="2:18" x14ac:dyDescent="0.25">
      <c r="B17" s="600" t="s">
        <v>33</v>
      </c>
      <c r="C17" s="601"/>
      <c r="D17" s="604">
        <f>'RY#2 Therms'!B44</f>
        <v>3584</v>
      </c>
      <c r="E17" s="604">
        <f>'RY#2 Therms'!C44</f>
        <v>3704</v>
      </c>
      <c r="F17" s="604">
        <f>'RY#2 Therms'!D44</f>
        <v>3231</v>
      </c>
      <c r="G17" s="604">
        <f>'RY#2 Therms'!E44</f>
        <v>2806</v>
      </c>
      <c r="H17" s="604">
        <f>'RY#2 Therms'!F44</f>
        <v>2070</v>
      </c>
      <c r="I17" s="604">
        <f>'RY#2 Therms'!G44</f>
        <v>1945</v>
      </c>
      <c r="J17" s="604">
        <f>'RY#2 Therms'!H44</f>
        <v>1693</v>
      </c>
      <c r="K17" s="604">
        <f>'RY#2 Therms'!I44</f>
        <v>1910</v>
      </c>
      <c r="L17" s="604">
        <f>'RY#2 Therms'!J44</f>
        <v>2000</v>
      </c>
      <c r="M17" s="604">
        <f>'RY#2 Therms'!K44</f>
        <v>2796</v>
      </c>
      <c r="N17" s="604">
        <f>'RY#2 Therms'!L44</f>
        <v>3910</v>
      </c>
      <c r="O17" s="604">
        <f>'RY#2 Therms'!M44</f>
        <v>4218</v>
      </c>
      <c r="P17" s="602">
        <f t="shared" si="1"/>
        <v>33867</v>
      </c>
      <c r="Q17" s="601"/>
      <c r="R17" s="65"/>
    </row>
    <row r="18" spans="2:18" x14ac:dyDescent="0.25">
      <c r="B18" s="600" t="s">
        <v>35</v>
      </c>
      <c r="C18" s="601"/>
      <c r="D18" s="604">
        <f>'RY#2 Therms'!B45</f>
        <v>2265846</v>
      </c>
      <c r="E18" s="604">
        <f>'RY#2 Therms'!C45</f>
        <v>2422810</v>
      </c>
      <c r="F18" s="604">
        <f>'RY#2 Therms'!D45</f>
        <v>2062550</v>
      </c>
      <c r="G18" s="604">
        <f>'RY#2 Therms'!E45</f>
        <v>2310270</v>
      </c>
      <c r="H18" s="604">
        <f>'RY#2 Therms'!F45</f>
        <v>2150213</v>
      </c>
      <c r="I18" s="604">
        <f>'RY#2 Therms'!G45</f>
        <v>2264391</v>
      </c>
      <c r="J18" s="604">
        <f>'RY#2 Therms'!H45</f>
        <v>2055994</v>
      </c>
      <c r="K18" s="604">
        <f>'RY#2 Therms'!I45</f>
        <v>2108840</v>
      </c>
      <c r="L18" s="604">
        <f>'RY#2 Therms'!J45</f>
        <v>2050826</v>
      </c>
      <c r="M18" s="604">
        <f>'RY#2 Therms'!K45</f>
        <v>2092145</v>
      </c>
      <c r="N18" s="604">
        <f>'RY#2 Therms'!L45</f>
        <v>2394558</v>
      </c>
      <c r="O18" s="604">
        <f>'RY#2 Therms'!M45</f>
        <v>2331791</v>
      </c>
      <c r="P18" s="602">
        <f t="shared" si="1"/>
        <v>26510234</v>
      </c>
      <c r="Q18" s="601"/>
      <c r="R18" s="65"/>
    </row>
    <row r="19" spans="2:18" x14ac:dyDescent="0.25">
      <c r="B19" s="600" t="s">
        <v>37</v>
      </c>
      <c r="C19" s="601"/>
      <c r="D19" s="604">
        <f>'RY#2 Therms'!B46</f>
        <v>5134678</v>
      </c>
      <c r="E19" s="604">
        <f>'RY#2 Therms'!C46</f>
        <v>6142926</v>
      </c>
      <c r="F19" s="604">
        <f>'RY#2 Therms'!D46</f>
        <v>4864940</v>
      </c>
      <c r="G19" s="604">
        <f>'RY#2 Therms'!E46</f>
        <v>5439076</v>
      </c>
      <c r="H19" s="604">
        <f>'RY#2 Therms'!F46</f>
        <v>4847607</v>
      </c>
      <c r="I19" s="604">
        <f>'RY#2 Therms'!G46</f>
        <v>5177332</v>
      </c>
      <c r="J19" s="604">
        <f>'RY#2 Therms'!H46</f>
        <v>4759620</v>
      </c>
      <c r="K19" s="604">
        <f>'RY#2 Therms'!I46</f>
        <v>4751470</v>
      </c>
      <c r="L19" s="604">
        <f>'RY#2 Therms'!J46</f>
        <v>4791537</v>
      </c>
      <c r="M19" s="604">
        <f>'RY#2 Therms'!K46</f>
        <v>5268534</v>
      </c>
      <c r="N19" s="604">
        <f>'RY#2 Therms'!L46</f>
        <v>5701725</v>
      </c>
      <c r="O19" s="604">
        <f>'RY#2 Therms'!M46</f>
        <v>5409481</v>
      </c>
      <c r="P19" s="602">
        <f t="shared" si="1"/>
        <v>62288926</v>
      </c>
      <c r="Q19" s="601"/>
      <c r="R19" s="65"/>
    </row>
    <row r="20" spans="2:18" x14ac:dyDescent="0.25">
      <c r="B20" s="600" t="s">
        <v>39</v>
      </c>
      <c r="C20" s="601"/>
      <c r="D20" s="604">
        <f>'RY#2 Therms'!B47</f>
        <v>47088</v>
      </c>
      <c r="E20" s="604">
        <f>'RY#2 Therms'!C47</f>
        <v>64390</v>
      </c>
      <c r="F20" s="604">
        <f>'RY#2 Therms'!D47</f>
        <v>37100</v>
      </c>
      <c r="G20" s="604">
        <f>'RY#2 Therms'!E47</f>
        <v>47661</v>
      </c>
      <c r="H20" s="604">
        <f>'RY#2 Therms'!F47</f>
        <v>43279</v>
      </c>
      <c r="I20" s="604">
        <f>'RY#2 Therms'!G47</f>
        <v>48694</v>
      </c>
      <c r="J20" s="604">
        <f>'RY#2 Therms'!H47</f>
        <v>48436</v>
      </c>
      <c r="K20" s="604">
        <f>'RY#2 Therms'!I47</f>
        <v>45424</v>
      </c>
      <c r="L20" s="604">
        <f>'RY#2 Therms'!J47</f>
        <v>46262</v>
      </c>
      <c r="M20" s="604">
        <f>'RY#2 Therms'!K47</f>
        <v>44895</v>
      </c>
      <c r="N20" s="604">
        <f>'RY#2 Therms'!L47</f>
        <v>52241</v>
      </c>
      <c r="O20" s="604">
        <f>'RY#2 Therms'!M47</f>
        <v>53232</v>
      </c>
      <c r="P20" s="602">
        <f t="shared" si="1"/>
        <v>578702</v>
      </c>
      <c r="Q20" s="601"/>
      <c r="R20" s="65"/>
    </row>
    <row r="21" spans="2:18" x14ac:dyDescent="0.25">
      <c r="B21" s="600" t="s">
        <v>41</v>
      </c>
      <c r="C21" s="601"/>
      <c r="D21" s="604">
        <f>'RY#2 Therms'!B48-D22</f>
        <v>8081343.2782708313</v>
      </c>
      <c r="E21" s="604">
        <f>'RY#2 Therms'!C48-E22</f>
        <v>7630639.6327500008</v>
      </c>
      <c r="F21" s="604">
        <f>'RY#2 Therms'!D48-F22</f>
        <v>9669347.4601258337</v>
      </c>
      <c r="G21" s="604">
        <f>'RY#2 Therms'!E48-G22</f>
        <v>8472474.0926187485</v>
      </c>
      <c r="H21" s="604">
        <f>'RY#2 Therms'!F48-H22</f>
        <v>8246197.5147841647</v>
      </c>
      <c r="I21" s="604">
        <f>'RY#2 Therms'!G48-I22</f>
        <v>7312263.9200449977</v>
      </c>
      <c r="J21" s="604">
        <f>'RY#2 Therms'!H48-J22</f>
        <v>6468165.2100000009</v>
      </c>
      <c r="K21" s="604">
        <f>'RY#2 Therms'!I48-K22</f>
        <v>8374601.6000000015</v>
      </c>
      <c r="L21" s="604">
        <f>'RY#2 Therms'!J48-L22</f>
        <v>7421286.1099999994</v>
      </c>
      <c r="M21" s="604">
        <f>'RY#2 Therms'!K48-M22</f>
        <v>8786647.0405979194</v>
      </c>
      <c r="N21" s="604">
        <f>'RY#2 Therms'!L48-N22</f>
        <v>6369160.9908349998</v>
      </c>
      <c r="O21" s="604">
        <f>'RY#2 Therms'!M48-O22</f>
        <v>10668298.795452083</v>
      </c>
      <c r="P21" s="602">
        <f t="shared" si="1"/>
        <v>97500425.645479575</v>
      </c>
      <c r="Q21" s="601"/>
      <c r="R21" s="65"/>
    </row>
    <row r="22" spans="2:18" x14ac:dyDescent="0.25">
      <c r="B22" s="600" t="s">
        <v>343</v>
      </c>
      <c r="C22" s="601"/>
      <c r="D22" s="604">
        <f>'Puget LNG'!AC7</f>
        <v>3010446</v>
      </c>
      <c r="E22" s="604">
        <f>'Puget LNG'!AD7</f>
        <v>3010446</v>
      </c>
      <c r="F22" s="604">
        <f>'Puget LNG'!AE7</f>
        <v>3010446</v>
      </c>
      <c r="G22" s="604">
        <f>'Puget LNG'!AF7</f>
        <v>3941911</v>
      </c>
      <c r="H22" s="604">
        <f>'Puget LNG'!AG7</f>
        <v>3941911</v>
      </c>
      <c r="I22" s="604">
        <f>'Puget LNG'!AH7</f>
        <v>3941911</v>
      </c>
      <c r="J22" s="604">
        <f>'Puget LNG'!AI7</f>
        <v>3941911</v>
      </c>
      <c r="K22" s="604">
        <f>'Puget LNG'!AJ7</f>
        <v>3941911</v>
      </c>
      <c r="L22" s="604">
        <f>'Puget LNG'!AK7</f>
        <v>3941911</v>
      </c>
      <c r="M22" s="604">
        <f>'Puget LNG'!AL7</f>
        <v>3941911</v>
      </c>
      <c r="N22" s="604">
        <f>'Puget LNG'!AM7</f>
        <v>3941911</v>
      </c>
      <c r="O22" s="604">
        <f>'Puget LNG'!AN7</f>
        <v>3941915</v>
      </c>
      <c r="P22" s="602">
        <f t="shared" si="1"/>
        <v>44508541</v>
      </c>
      <c r="Q22" s="601"/>
      <c r="R22" s="65"/>
    </row>
    <row r="23" spans="2:18" x14ac:dyDescent="0.25">
      <c r="B23" s="600" t="s">
        <v>13</v>
      </c>
      <c r="C23" s="601"/>
      <c r="D23" s="604">
        <f>'RY#2 Therms'!B31</f>
        <v>3376573</v>
      </c>
      <c r="E23" s="604">
        <f>'RY#2 Therms'!C31</f>
        <v>4414906</v>
      </c>
      <c r="F23" s="604">
        <f>'RY#2 Therms'!D31</f>
        <v>2630513</v>
      </c>
      <c r="G23" s="604">
        <f>'RY#2 Therms'!E31</f>
        <v>2564284</v>
      </c>
      <c r="H23" s="604">
        <f>'RY#2 Therms'!F31</f>
        <v>1925391</v>
      </c>
      <c r="I23" s="604">
        <f>'RY#2 Therms'!G31</f>
        <v>1922345</v>
      </c>
      <c r="J23" s="604">
        <f>'RY#2 Therms'!H31</f>
        <v>1684994</v>
      </c>
      <c r="K23" s="604">
        <f>'RY#2 Therms'!I31</f>
        <v>1546823</v>
      </c>
      <c r="L23" s="604">
        <f>'RY#2 Therms'!J31</f>
        <v>1699014</v>
      </c>
      <c r="M23" s="604">
        <f>'RY#2 Therms'!K31</f>
        <v>2410628</v>
      </c>
      <c r="N23" s="604">
        <f>'RY#2 Therms'!L31</f>
        <v>3256750</v>
      </c>
      <c r="O23" s="604">
        <f>'RY#2 Therms'!M31</f>
        <v>3535679</v>
      </c>
      <c r="P23" s="602">
        <f t="shared" si="1"/>
        <v>30967900</v>
      </c>
      <c r="Q23" s="601"/>
      <c r="R23" s="65"/>
    </row>
    <row r="24" spans="2:18" x14ac:dyDescent="0.25">
      <c r="B24" s="600" t="s">
        <v>6</v>
      </c>
      <c r="C24" s="601"/>
      <c r="D24" s="603">
        <f t="shared" ref="D24:P24" si="2">SUM(D9:D23)</f>
        <v>165569859.17264584</v>
      </c>
      <c r="E24" s="603">
        <f t="shared" si="2"/>
        <v>152986548.49312499</v>
      </c>
      <c r="F24" s="603">
        <f t="shared" si="2"/>
        <v>136402833.19849426</v>
      </c>
      <c r="G24" s="603">
        <f t="shared" si="2"/>
        <v>105977759.87340903</v>
      </c>
      <c r="H24" s="603">
        <f t="shared" si="2"/>
        <v>72708699.037193194</v>
      </c>
      <c r="I24" s="603">
        <f t="shared" si="2"/>
        <v>57924936.63183666</v>
      </c>
      <c r="J24" s="603">
        <f t="shared" si="2"/>
        <v>46392590.804500006</v>
      </c>
      <c r="K24" s="603">
        <f t="shared" si="2"/>
        <v>50072400.208999999</v>
      </c>
      <c r="L24" s="603">
        <f t="shared" si="2"/>
        <v>56200755.743500002</v>
      </c>
      <c r="M24" s="603">
        <f t="shared" si="2"/>
        <v>95477254.310390279</v>
      </c>
      <c r="N24" s="603">
        <f t="shared" si="2"/>
        <v>139158832.588285</v>
      </c>
      <c r="O24" s="603">
        <f t="shared" si="2"/>
        <v>173870532.34545556</v>
      </c>
      <c r="P24" s="603">
        <f t="shared" si="2"/>
        <v>1252743002.407835</v>
      </c>
      <c r="Q24" s="601"/>
    </row>
    <row r="25" spans="2:18" x14ac:dyDescent="0.25">
      <c r="B25" s="29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</row>
    <row r="26" spans="2:18" x14ac:dyDescent="0.25">
      <c r="B26" s="29" t="s">
        <v>66</v>
      </c>
      <c r="D26" s="26">
        <f t="shared" ref="D26:O26" si="3">SUM(D9:D13)</f>
        <v>138756044</v>
      </c>
      <c r="E26" s="26">
        <f t="shared" si="3"/>
        <v>122784203</v>
      </c>
      <c r="F26" s="26">
        <f t="shared" si="3"/>
        <v>112616148</v>
      </c>
      <c r="G26" s="26">
        <f t="shared" si="3"/>
        <v>79167063</v>
      </c>
      <c r="H26" s="26">
        <f t="shared" si="3"/>
        <v>49122045</v>
      </c>
      <c r="I26" s="26">
        <f t="shared" si="3"/>
        <v>34680119</v>
      </c>
      <c r="J26" s="26">
        <f t="shared" si="3"/>
        <v>26465473</v>
      </c>
      <c r="K26" s="26">
        <f t="shared" si="3"/>
        <v>26203014</v>
      </c>
      <c r="L26" s="26">
        <f t="shared" si="3"/>
        <v>34486250</v>
      </c>
      <c r="M26" s="26">
        <f t="shared" si="3"/>
        <v>70323016</v>
      </c>
      <c r="N26" s="26">
        <f t="shared" si="3"/>
        <v>111767456</v>
      </c>
      <c r="O26" s="26">
        <f t="shared" si="3"/>
        <v>145929334</v>
      </c>
      <c r="P26" s="26">
        <f t="shared" si="1"/>
        <v>952300165</v>
      </c>
    </row>
    <row r="27" spans="2:18" x14ac:dyDescent="0.25">
      <c r="B27" s="29" t="s">
        <v>67</v>
      </c>
      <c r="D27" s="26">
        <f>SUM(D14:D16)</f>
        <v>4894256.8943750001</v>
      </c>
      <c r="E27" s="26">
        <f t="shared" ref="E27:O27" si="4">SUM(E14:E16)</f>
        <v>6512523.8603750002</v>
      </c>
      <c r="F27" s="26">
        <f t="shared" si="4"/>
        <v>1508557.7383684027</v>
      </c>
      <c r="G27" s="26">
        <f t="shared" si="4"/>
        <v>4032214.7807902782</v>
      </c>
      <c r="H27" s="26">
        <f t="shared" si="4"/>
        <v>2429985.5224090284</v>
      </c>
      <c r="I27" s="26">
        <f t="shared" si="4"/>
        <v>2575935.7117916662</v>
      </c>
      <c r="J27" s="26">
        <f t="shared" si="4"/>
        <v>966304.59449999989</v>
      </c>
      <c r="K27" s="26">
        <f t="shared" si="4"/>
        <v>3098406.6089999997</v>
      </c>
      <c r="L27" s="26">
        <f t="shared" si="4"/>
        <v>1761669.6334999998</v>
      </c>
      <c r="M27" s="26">
        <f t="shared" si="4"/>
        <v>2606682.2697923621</v>
      </c>
      <c r="N27" s="26">
        <f t="shared" si="4"/>
        <v>5671120.5974499993</v>
      </c>
      <c r="O27" s="26">
        <f t="shared" si="4"/>
        <v>1996583.5500034702</v>
      </c>
      <c r="P27" s="26">
        <f t="shared" si="1"/>
        <v>38054241.762355208</v>
      </c>
    </row>
    <row r="28" spans="2:18" x14ac:dyDescent="0.25">
      <c r="B28" s="29" t="s">
        <v>68</v>
      </c>
      <c r="D28" s="30">
        <f>SUM(D26:D27)</f>
        <v>143650300.894375</v>
      </c>
      <c r="E28" s="30">
        <f t="shared" ref="E28:P28" si="5">SUM(E26:E27)</f>
        <v>129296726.860375</v>
      </c>
      <c r="F28" s="30">
        <f t="shared" si="5"/>
        <v>114124705.73836841</v>
      </c>
      <c r="G28" s="30">
        <f t="shared" si="5"/>
        <v>83199277.780790284</v>
      </c>
      <c r="H28" s="30">
        <f t="shared" si="5"/>
        <v>51552030.522409029</v>
      </c>
      <c r="I28" s="30">
        <f t="shared" si="5"/>
        <v>37256054.711791664</v>
      </c>
      <c r="J28" s="30">
        <f t="shared" si="5"/>
        <v>27431777.594500002</v>
      </c>
      <c r="K28" s="30">
        <f t="shared" si="5"/>
        <v>29301420.609000001</v>
      </c>
      <c r="L28" s="30">
        <f t="shared" si="5"/>
        <v>36247919.633500002</v>
      </c>
      <c r="M28" s="30">
        <f t="shared" si="5"/>
        <v>72929698.269792363</v>
      </c>
      <c r="N28" s="30">
        <f t="shared" si="5"/>
        <v>117438576.59745</v>
      </c>
      <c r="O28" s="30">
        <f t="shared" si="5"/>
        <v>147925917.55000347</v>
      </c>
      <c r="P28" s="30">
        <f t="shared" si="5"/>
        <v>990354406.76235521</v>
      </c>
    </row>
    <row r="29" spans="2:18" x14ac:dyDescent="0.25">
      <c r="B29" s="29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</row>
    <row r="30" spans="2:18" x14ac:dyDescent="0.25">
      <c r="B30" s="29" t="s">
        <v>69</v>
      </c>
      <c r="D30" s="26">
        <f>SUM(D17:D23)</f>
        <v>21919558.278270833</v>
      </c>
      <c r="E30" s="26">
        <f t="shared" ref="E30:O30" si="6">SUM(E17:E23)</f>
        <v>23689821.632750001</v>
      </c>
      <c r="F30" s="26">
        <f t="shared" si="6"/>
        <v>22278127.460125834</v>
      </c>
      <c r="G30" s="26">
        <f t="shared" si="6"/>
        <v>22778482.092618749</v>
      </c>
      <c r="H30" s="26">
        <f t="shared" si="6"/>
        <v>21156668.514784165</v>
      </c>
      <c r="I30" s="26">
        <f t="shared" si="6"/>
        <v>20668881.920044996</v>
      </c>
      <c r="J30" s="26">
        <f t="shared" si="6"/>
        <v>18960813.210000001</v>
      </c>
      <c r="K30" s="26">
        <f t="shared" si="6"/>
        <v>20770979.600000001</v>
      </c>
      <c r="L30" s="26">
        <f t="shared" si="6"/>
        <v>19952836.109999999</v>
      </c>
      <c r="M30" s="26">
        <f t="shared" si="6"/>
        <v>22547556.040597919</v>
      </c>
      <c r="N30" s="26">
        <f t="shared" si="6"/>
        <v>21720255.990835</v>
      </c>
      <c r="O30" s="26">
        <f t="shared" si="6"/>
        <v>25944614.795452081</v>
      </c>
      <c r="P30" s="26">
        <f>SUM(D30:O30)</f>
        <v>262388595.64547959</v>
      </c>
    </row>
    <row r="31" spans="2:18" x14ac:dyDescent="0.25">
      <c r="B31" s="29" t="s">
        <v>6</v>
      </c>
      <c r="D31" s="30">
        <f>D28+D30</f>
        <v>165569859.17264584</v>
      </c>
      <c r="E31" s="30">
        <f t="shared" ref="E31:P31" si="7">E28+E30</f>
        <v>152986548.49312499</v>
      </c>
      <c r="F31" s="30">
        <f t="shared" si="7"/>
        <v>136402833.19849426</v>
      </c>
      <c r="G31" s="30">
        <f t="shared" si="7"/>
        <v>105977759.87340903</v>
      </c>
      <c r="H31" s="30">
        <f t="shared" si="7"/>
        <v>72708699.037193194</v>
      </c>
      <c r="I31" s="30">
        <f t="shared" si="7"/>
        <v>57924936.63183666</v>
      </c>
      <c r="J31" s="30">
        <f t="shared" si="7"/>
        <v>46392590.804499999</v>
      </c>
      <c r="K31" s="30">
        <f t="shared" si="7"/>
        <v>50072400.209000006</v>
      </c>
      <c r="L31" s="30">
        <f t="shared" si="7"/>
        <v>56200755.743500002</v>
      </c>
      <c r="M31" s="30">
        <f t="shared" si="7"/>
        <v>95477254.310390279</v>
      </c>
      <c r="N31" s="30">
        <f t="shared" si="7"/>
        <v>139158832.588285</v>
      </c>
      <c r="O31" s="30">
        <f t="shared" si="7"/>
        <v>173870532.34545556</v>
      </c>
      <c r="P31" s="30">
        <f t="shared" si="7"/>
        <v>1252743002.4078348</v>
      </c>
    </row>
    <row r="32" spans="2:18" x14ac:dyDescent="0.25">
      <c r="B32" s="31" t="s">
        <v>70</v>
      </c>
      <c r="D32" s="32">
        <f>D24-D31</f>
        <v>0</v>
      </c>
      <c r="E32" s="32">
        <f t="shared" ref="E32:P32" si="8">E24-E31</f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8"/>
        <v>0</v>
      </c>
      <c r="O32" s="32">
        <f t="shared" si="8"/>
        <v>0</v>
      </c>
      <c r="P32" s="32">
        <f t="shared" si="8"/>
        <v>0</v>
      </c>
    </row>
    <row r="33" spans="2:16" x14ac:dyDescent="0.25">
      <c r="C33" s="26"/>
    </row>
    <row r="34" spans="2:16" x14ac:dyDescent="0.25"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</row>
    <row r="35" spans="2:16" x14ac:dyDescent="0.25">
      <c r="B35" s="410" t="s">
        <v>235</v>
      </c>
      <c r="C35" s="26"/>
      <c r="D35" s="26">
        <f t="shared" ref="D35:P35" si="9">SUM(D9:D11)</f>
        <v>97939758</v>
      </c>
      <c r="E35" s="26">
        <f t="shared" si="9"/>
        <v>84389632</v>
      </c>
      <c r="F35" s="26">
        <f t="shared" si="9"/>
        <v>77324705</v>
      </c>
      <c r="G35" s="26">
        <f t="shared" si="9"/>
        <v>53508694</v>
      </c>
      <c r="H35" s="26">
        <f t="shared" si="9"/>
        <v>30481461</v>
      </c>
      <c r="I35" s="26">
        <f t="shared" si="9"/>
        <v>20098891</v>
      </c>
      <c r="J35" s="26">
        <f t="shared" si="9"/>
        <v>14467290</v>
      </c>
      <c r="K35" s="26">
        <f t="shared" si="9"/>
        <v>13799661</v>
      </c>
      <c r="L35" s="26">
        <f t="shared" si="9"/>
        <v>20484978</v>
      </c>
      <c r="M35" s="26">
        <f t="shared" si="9"/>
        <v>47351374</v>
      </c>
      <c r="N35" s="26">
        <f t="shared" si="9"/>
        <v>77724233</v>
      </c>
      <c r="O35" s="26">
        <f t="shared" si="9"/>
        <v>101902704</v>
      </c>
      <c r="P35" s="26">
        <f t="shared" si="9"/>
        <v>639473381</v>
      </c>
    </row>
    <row r="36" spans="2:16" x14ac:dyDescent="0.25">
      <c r="B36" s="29" t="s">
        <v>125</v>
      </c>
      <c r="C36" s="26"/>
      <c r="D36" s="26">
        <f t="shared" ref="D36:P36" si="10">SUM(D12,D17)</f>
        <v>32931681</v>
      </c>
      <c r="E36" s="26">
        <f t="shared" si="10"/>
        <v>30628686</v>
      </c>
      <c r="F36" s="26">
        <f t="shared" si="10"/>
        <v>27971589</v>
      </c>
      <c r="G36" s="26">
        <f t="shared" si="10"/>
        <v>20041308</v>
      </c>
      <c r="H36" s="26">
        <f t="shared" si="10"/>
        <v>14238978</v>
      </c>
      <c r="I36" s="26">
        <f t="shared" si="10"/>
        <v>10980820</v>
      </c>
      <c r="J36" s="26">
        <f t="shared" si="10"/>
        <v>9139235</v>
      </c>
      <c r="K36" s="26">
        <f t="shared" si="10"/>
        <v>9434414</v>
      </c>
      <c r="L36" s="26">
        <f t="shared" si="10"/>
        <v>10598109</v>
      </c>
      <c r="M36" s="26">
        <f t="shared" si="10"/>
        <v>17668572</v>
      </c>
      <c r="N36" s="26">
        <f t="shared" si="10"/>
        <v>26777445</v>
      </c>
      <c r="O36" s="26">
        <f t="shared" si="10"/>
        <v>35559273</v>
      </c>
      <c r="P36" s="26">
        <f t="shared" si="10"/>
        <v>245970110</v>
      </c>
    </row>
    <row r="37" spans="2:16" x14ac:dyDescent="0.25">
      <c r="B37" s="29" t="s">
        <v>126</v>
      </c>
      <c r="D37" s="26">
        <f t="shared" ref="D37:P37" si="11">SUM(D13,D18)</f>
        <v>10154035</v>
      </c>
      <c r="E37" s="26">
        <f t="shared" si="11"/>
        <v>10192399</v>
      </c>
      <c r="F37" s="26">
        <f t="shared" si="11"/>
        <v>9385635</v>
      </c>
      <c r="G37" s="26">
        <f t="shared" si="11"/>
        <v>7930137</v>
      </c>
      <c r="H37" s="26">
        <f t="shared" si="11"/>
        <v>6553889</v>
      </c>
      <c r="I37" s="26">
        <f t="shared" si="11"/>
        <v>5866744</v>
      </c>
      <c r="J37" s="26">
        <f t="shared" si="11"/>
        <v>4916635</v>
      </c>
      <c r="K37" s="26">
        <f t="shared" si="11"/>
        <v>5079689</v>
      </c>
      <c r="L37" s="26">
        <f t="shared" si="11"/>
        <v>5455989</v>
      </c>
      <c r="M37" s="26">
        <f t="shared" si="11"/>
        <v>7398011</v>
      </c>
      <c r="N37" s="26">
        <f t="shared" si="11"/>
        <v>9664246</v>
      </c>
      <c r="O37" s="26">
        <f t="shared" si="11"/>
        <v>10803366</v>
      </c>
      <c r="P37" s="26">
        <f t="shared" si="11"/>
        <v>93400775</v>
      </c>
    </row>
    <row r="38" spans="2:16" x14ac:dyDescent="0.25">
      <c r="B38" s="76" t="s">
        <v>129</v>
      </c>
      <c r="D38" s="26">
        <f t="shared" ref="D38:P38" si="12">SUM(D14,D19)</f>
        <v>6295814</v>
      </c>
      <c r="E38" s="26">
        <f t="shared" si="12"/>
        <v>7304117</v>
      </c>
      <c r="F38" s="26">
        <f t="shared" si="12"/>
        <v>5923185</v>
      </c>
      <c r="G38" s="26">
        <f t="shared" si="12"/>
        <v>6279425</v>
      </c>
      <c r="H38" s="26">
        <f t="shared" si="12"/>
        <v>5628492</v>
      </c>
      <c r="I38" s="26">
        <f t="shared" si="12"/>
        <v>5792434</v>
      </c>
      <c r="J38" s="26">
        <f t="shared" si="12"/>
        <v>5340748</v>
      </c>
      <c r="K38" s="26">
        <f t="shared" si="12"/>
        <v>5387523</v>
      </c>
      <c r="L38" s="26">
        <f t="shared" si="12"/>
        <v>5434276</v>
      </c>
      <c r="M38" s="26">
        <f t="shared" si="12"/>
        <v>6178097</v>
      </c>
      <c r="N38" s="26">
        <f t="shared" si="12"/>
        <v>6738981</v>
      </c>
      <c r="O38" s="26">
        <f t="shared" si="12"/>
        <v>6731212</v>
      </c>
      <c r="P38" s="26">
        <f t="shared" si="12"/>
        <v>73034304</v>
      </c>
    </row>
    <row r="39" spans="2:16" x14ac:dyDescent="0.25">
      <c r="B39" s="29" t="s">
        <v>127</v>
      </c>
      <c r="D39" s="26">
        <f t="shared" ref="D39:P39" si="13">SUM(D15,D20)</f>
        <v>781558</v>
      </c>
      <c r="E39" s="26">
        <f t="shared" si="13"/>
        <v>794749</v>
      </c>
      <c r="F39" s="26">
        <f t="shared" si="13"/>
        <v>717596</v>
      </c>
      <c r="G39" s="26">
        <f t="shared" si="13"/>
        <v>517198</v>
      </c>
      <c r="H39" s="26">
        <f t="shared" si="13"/>
        <v>445680</v>
      </c>
      <c r="I39" s="26">
        <f t="shared" si="13"/>
        <v>297562</v>
      </c>
      <c r="J39" s="26">
        <f t="shared" si="13"/>
        <v>228827</v>
      </c>
      <c r="K39" s="26">
        <f t="shared" si="13"/>
        <v>192373</v>
      </c>
      <c r="L39" s="26">
        <f t="shared" si="13"/>
        <v>209832</v>
      </c>
      <c r="M39" s="26">
        <f t="shared" si="13"/>
        <v>409371</v>
      </c>
      <c r="N39" s="26">
        <f t="shared" si="13"/>
        <v>606807</v>
      </c>
      <c r="O39" s="26">
        <f t="shared" si="13"/>
        <v>866557</v>
      </c>
      <c r="P39" s="26">
        <f t="shared" si="13"/>
        <v>6068110</v>
      </c>
    </row>
    <row r="40" spans="2:16" x14ac:dyDescent="0.25">
      <c r="B40" s="29" t="s">
        <v>128</v>
      </c>
      <c r="D40" s="26">
        <f>SUM(D16,D21)</f>
        <v>11079994.172645831</v>
      </c>
      <c r="E40" s="26">
        <f t="shared" ref="E40:P40" si="14">SUM(E16,E21)</f>
        <v>12251613.493125001</v>
      </c>
      <c r="F40" s="26">
        <f t="shared" si="14"/>
        <v>9439164.1984942369</v>
      </c>
      <c r="G40" s="26">
        <f t="shared" si="14"/>
        <v>11194802.873409027</v>
      </c>
      <c r="H40" s="26">
        <f t="shared" si="14"/>
        <v>9492897.037193194</v>
      </c>
      <c r="I40" s="26">
        <f t="shared" si="14"/>
        <v>9024229.6318366639</v>
      </c>
      <c r="J40" s="26">
        <f t="shared" si="14"/>
        <v>6672950.8045000006</v>
      </c>
      <c r="K40" s="26">
        <f t="shared" si="14"/>
        <v>10690006.209000001</v>
      </c>
      <c r="L40" s="26">
        <f t="shared" si="14"/>
        <v>8376646.7434999989</v>
      </c>
      <c r="M40" s="26">
        <f t="shared" si="14"/>
        <v>10119290.310390282</v>
      </c>
      <c r="N40" s="26">
        <f t="shared" si="14"/>
        <v>10448459.588284999</v>
      </c>
      <c r="O40" s="26">
        <f t="shared" si="14"/>
        <v>10529826.345455553</v>
      </c>
      <c r="P40" s="26">
        <f t="shared" si="14"/>
        <v>119319881.40783478</v>
      </c>
    </row>
    <row r="41" spans="2:16" x14ac:dyDescent="0.25">
      <c r="B41" s="29" t="s">
        <v>343</v>
      </c>
      <c r="D41" s="26">
        <f>D22</f>
        <v>3010446</v>
      </c>
      <c r="E41" s="26">
        <f t="shared" ref="E41:P41" si="15">E22</f>
        <v>3010446</v>
      </c>
      <c r="F41" s="26">
        <f t="shared" si="15"/>
        <v>3010446</v>
      </c>
      <c r="G41" s="26">
        <f t="shared" si="15"/>
        <v>3941911</v>
      </c>
      <c r="H41" s="26">
        <f t="shared" si="15"/>
        <v>3941911</v>
      </c>
      <c r="I41" s="26">
        <f t="shared" si="15"/>
        <v>3941911</v>
      </c>
      <c r="J41" s="26">
        <f t="shared" si="15"/>
        <v>3941911</v>
      </c>
      <c r="K41" s="26">
        <f t="shared" si="15"/>
        <v>3941911</v>
      </c>
      <c r="L41" s="26">
        <f t="shared" si="15"/>
        <v>3941911</v>
      </c>
      <c r="M41" s="26">
        <f t="shared" si="15"/>
        <v>3941911</v>
      </c>
      <c r="N41" s="26">
        <f t="shared" si="15"/>
        <v>3941911</v>
      </c>
      <c r="O41" s="26">
        <f t="shared" si="15"/>
        <v>3941915</v>
      </c>
      <c r="P41" s="26">
        <f t="shared" si="15"/>
        <v>44508541</v>
      </c>
    </row>
    <row r="42" spans="2:16" x14ac:dyDescent="0.25">
      <c r="B42" s="76" t="s">
        <v>13</v>
      </c>
      <c r="D42" s="26">
        <f t="shared" ref="D42:P42" si="16">D23</f>
        <v>3376573</v>
      </c>
      <c r="E42" s="26">
        <f t="shared" si="16"/>
        <v>4414906</v>
      </c>
      <c r="F42" s="26">
        <f t="shared" si="16"/>
        <v>2630513</v>
      </c>
      <c r="G42" s="26">
        <f t="shared" si="16"/>
        <v>2564284</v>
      </c>
      <c r="H42" s="26">
        <f t="shared" si="16"/>
        <v>1925391</v>
      </c>
      <c r="I42" s="26">
        <f t="shared" si="16"/>
        <v>1922345</v>
      </c>
      <c r="J42" s="26">
        <f t="shared" si="16"/>
        <v>1684994</v>
      </c>
      <c r="K42" s="26">
        <f t="shared" si="16"/>
        <v>1546823</v>
      </c>
      <c r="L42" s="26">
        <f t="shared" si="16"/>
        <v>1699014</v>
      </c>
      <c r="M42" s="26">
        <f t="shared" si="16"/>
        <v>2410628</v>
      </c>
      <c r="N42" s="26">
        <f t="shared" si="16"/>
        <v>3256750</v>
      </c>
      <c r="O42" s="26">
        <f t="shared" si="16"/>
        <v>3535679</v>
      </c>
      <c r="P42" s="26">
        <f t="shared" si="16"/>
        <v>30967900</v>
      </c>
    </row>
    <row r="43" spans="2:16" x14ac:dyDescent="0.25">
      <c r="B43" s="31" t="s">
        <v>70</v>
      </c>
      <c r="D43" s="32">
        <f>SUM(D35:D42)-D24</f>
        <v>0</v>
      </c>
      <c r="E43" s="32">
        <f t="shared" ref="E43:P43" si="17">SUM(E35:E42)-E24</f>
        <v>0</v>
      </c>
      <c r="F43" s="32">
        <f t="shared" si="17"/>
        <v>0</v>
      </c>
      <c r="G43" s="32">
        <f t="shared" si="17"/>
        <v>0</v>
      </c>
      <c r="H43" s="32">
        <f t="shared" si="17"/>
        <v>0</v>
      </c>
      <c r="I43" s="32">
        <f t="shared" si="17"/>
        <v>0</v>
      </c>
      <c r="J43" s="32">
        <f t="shared" si="17"/>
        <v>0</v>
      </c>
      <c r="K43" s="32">
        <f t="shared" si="17"/>
        <v>0</v>
      </c>
      <c r="L43" s="32">
        <f t="shared" si="17"/>
        <v>0</v>
      </c>
      <c r="M43" s="32">
        <f t="shared" si="17"/>
        <v>0</v>
      </c>
      <c r="N43" s="32">
        <f t="shared" si="17"/>
        <v>0</v>
      </c>
      <c r="O43" s="32">
        <f t="shared" si="17"/>
        <v>0</v>
      </c>
      <c r="P43" s="32">
        <f t="shared" si="17"/>
        <v>0</v>
      </c>
    </row>
  </sheetData>
  <mergeCells count="3">
    <mergeCell ref="B1:P1"/>
    <mergeCell ref="B2:P2"/>
    <mergeCell ref="B3:P3"/>
  </mergeCells>
  <printOptions horizontalCentered="1"/>
  <pageMargins left="0.7" right="0.7" top="0.75" bottom="0.75" header="0.3" footer="0.3"/>
  <pageSetup scale="59" orientation="landscape" blackAndWhite="1" r:id="rId1"/>
  <headerFooter>
    <oddFooter>&amp;L&amp;F 
&amp;A&amp;C&amp;P&amp;R&amp;D</oddFooter>
  </headerFooter>
  <customProperties>
    <customPr name="_pios_id" r:id="rId2"/>
    <customPr name="EpmWorksheetKeyString_GUID" r:id="rId3"/>
  </customPropertie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41"/>
  <sheetViews>
    <sheetView zoomScale="90" zoomScaleNormal="90" workbookViewId="0">
      <selection activeCell="L33" sqref="L33"/>
    </sheetView>
  </sheetViews>
  <sheetFormatPr defaultColWidth="9.140625" defaultRowHeight="15" x14ac:dyDescent="0.25"/>
  <cols>
    <col min="1" max="1" width="1.5703125" style="24" customWidth="1"/>
    <col min="2" max="2" width="14.85546875" style="24" customWidth="1"/>
    <col min="3" max="3" width="4" style="24" bestFit="1" customWidth="1"/>
    <col min="4" max="4" width="12.28515625" style="24" bestFit="1" customWidth="1"/>
    <col min="5" max="15" width="14.42578125" style="24" bestFit="1" customWidth="1"/>
    <col min="16" max="16" width="14.28515625" style="24" bestFit="1" customWidth="1"/>
    <col min="17" max="16384" width="9.140625" style="24"/>
  </cols>
  <sheetData>
    <row r="1" spans="2:18" x14ac:dyDescent="0.25">
      <c r="B1" s="651" t="s">
        <v>0</v>
      </c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</row>
    <row r="2" spans="2:18" x14ac:dyDescent="0.25">
      <c r="B2" s="652" t="s">
        <v>265</v>
      </c>
      <c r="C2" s="652"/>
      <c r="D2" s="652"/>
      <c r="E2" s="652"/>
      <c r="F2" s="652"/>
      <c r="G2" s="652"/>
      <c r="H2" s="652"/>
      <c r="I2" s="652"/>
      <c r="J2" s="652"/>
      <c r="K2" s="652"/>
      <c r="L2" s="652"/>
      <c r="M2" s="652"/>
      <c r="N2" s="652"/>
      <c r="O2" s="652"/>
      <c r="P2" s="652"/>
    </row>
    <row r="3" spans="2:18" x14ac:dyDescent="0.25">
      <c r="B3" s="652" t="str">
        <f>Therms!B3</f>
        <v>November 2023 - October 2024</v>
      </c>
      <c r="C3" s="652"/>
      <c r="D3" s="652"/>
      <c r="E3" s="652"/>
      <c r="F3" s="652"/>
      <c r="G3" s="652"/>
      <c r="H3" s="652"/>
      <c r="I3" s="652"/>
      <c r="J3" s="652"/>
      <c r="K3" s="652"/>
      <c r="L3" s="652"/>
      <c r="M3" s="652"/>
      <c r="N3" s="652"/>
      <c r="O3" s="652"/>
      <c r="P3" s="652"/>
    </row>
    <row r="4" spans="2:18" x14ac:dyDescent="0.25"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2:18" x14ac:dyDescent="0.25">
      <c r="B5" s="24" t="s">
        <v>422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7" spans="2:18" x14ac:dyDescent="0.25">
      <c r="B7" s="27" t="s">
        <v>21</v>
      </c>
      <c r="D7" s="33">
        <v>45231</v>
      </c>
      <c r="E7" s="33">
        <f>EDATE(D7,1)</f>
        <v>45261</v>
      </c>
      <c r="F7" s="33">
        <f t="shared" ref="F7:O7" si="0">EDATE(E7,1)</f>
        <v>45292</v>
      </c>
      <c r="G7" s="33">
        <f t="shared" si="0"/>
        <v>45323</v>
      </c>
      <c r="H7" s="33">
        <f t="shared" si="0"/>
        <v>45352</v>
      </c>
      <c r="I7" s="33">
        <f t="shared" si="0"/>
        <v>45383</v>
      </c>
      <c r="J7" s="33">
        <f t="shared" si="0"/>
        <v>45413</v>
      </c>
      <c r="K7" s="33">
        <f t="shared" si="0"/>
        <v>45444</v>
      </c>
      <c r="L7" s="33">
        <f t="shared" si="0"/>
        <v>45474</v>
      </c>
      <c r="M7" s="33">
        <f t="shared" si="0"/>
        <v>45505</v>
      </c>
      <c r="N7" s="33">
        <f t="shared" si="0"/>
        <v>45536</v>
      </c>
      <c r="O7" s="33">
        <f t="shared" si="0"/>
        <v>45566</v>
      </c>
      <c r="P7" s="28" t="s">
        <v>6</v>
      </c>
    </row>
    <row r="8" spans="2:18" x14ac:dyDescent="0.25">
      <c r="B8" s="29"/>
    </row>
    <row r="9" spans="2:18" x14ac:dyDescent="0.25">
      <c r="B9" s="63">
        <v>16</v>
      </c>
      <c r="D9" s="279">
        <v>0</v>
      </c>
      <c r="E9" s="279">
        <v>0</v>
      </c>
      <c r="F9" s="279">
        <v>0</v>
      </c>
      <c r="G9" s="279">
        <v>0</v>
      </c>
      <c r="H9" s="279">
        <v>0</v>
      </c>
      <c r="I9" s="279">
        <v>0</v>
      </c>
      <c r="J9" s="279">
        <v>0</v>
      </c>
      <c r="K9" s="279">
        <v>0</v>
      </c>
      <c r="L9" s="279">
        <v>0</v>
      </c>
      <c r="M9" s="279">
        <v>0</v>
      </c>
      <c r="N9" s="279">
        <v>0</v>
      </c>
      <c r="O9" s="279">
        <v>0</v>
      </c>
      <c r="P9" s="26">
        <f>SUM(D9:O9)</f>
        <v>0</v>
      </c>
      <c r="R9" s="65"/>
    </row>
    <row r="10" spans="2:18" x14ac:dyDescent="0.25">
      <c r="B10" s="29">
        <v>23</v>
      </c>
      <c r="D10" s="279">
        <v>0</v>
      </c>
      <c r="E10" s="279">
        <v>0</v>
      </c>
      <c r="F10" s="279">
        <v>0</v>
      </c>
      <c r="G10" s="279">
        <v>0</v>
      </c>
      <c r="H10" s="279">
        <v>0</v>
      </c>
      <c r="I10" s="279">
        <v>0</v>
      </c>
      <c r="J10" s="279">
        <v>0</v>
      </c>
      <c r="K10" s="279">
        <v>0</v>
      </c>
      <c r="L10" s="279">
        <v>0</v>
      </c>
      <c r="M10" s="279">
        <v>0</v>
      </c>
      <c r="N10" s="279">
        <v>0</v>
      </c>
      <c r="O10" s="279">
        <v>0</v>
      </c>
      <c r="P10" s="26">
        <f>SUM(D10:O10)</f>
        <v>0</v>
      </c>
      <c r="R10" s="65"/>
    </row>
    <row r="11" spans="2:18" x14ac:dyDescent="0.25">
      <c r="B11" s="29">
        <v>53</v>
      </c>
      <c r="D11" s="279">
        <v>0</v>
      </c>
      <c r="E11" s="279">
        <v>0</v>
      </c>
      <c r="F11" s="279">
        <v>0</v>
      </c>
      <c r="G11" s="279">
        <v>0</v>
      </c>
      <c r="H11" s="279">
        <v>0</v>
      </c>
      <c r="I11" s="279">
        <v>0</v>
      </c>
      <c r="J11" s="279">
        <v>0</v>
      </c>
      <c r="K11" s="279">
        <v>0</v>
      </c>
      <c r="L11" s="279">
        <v>0</v>
      </c>
      <c r="M11" s="279">
        <v>0</v>
      </c>
      <c r="N11" s="279">
        <v>0</v>
      </c>
      <c r="O11" s="279">
        <v>0</v>
      </c>
      <c r="P11" s="26">
        <f t="shared" ref="P11:P26" si="1">SUM(D11:O11)</f>
        <v>0</v>
      </c>
      <c r="R11" s="65"/>
    </row>
    <row r="12" spans="2:18" x14ac:dyDescent="0.25">
      <c r="B12" s="29">
        <v>31</v>
      </c>
      <c r="D12" s="279">
        <v>0</v>
      </c>
      <c r="E12" s="279">
        <v>0</v>
      </c>
      <c r="F12" s="279">
        <v>0</v>
      </c>
      <c r="G12" s="279">
        <v>0</v>
      </c>
      <c r="H12" s="279">
        <v>0</v>
      </c>
      <c r="I12" s="279">
        <v>0</v>
      </c>
      <c r="J12" s="279">
        <v>0</v>
      </c>
      <c r="K12" s="279">
        <v>0</v>
      </c>
      <c r="L12" s="279">
        <v>0</v>
      </c>
      <c r="M12" s="279">
        <v>0</v>
      </c>
      <c r="N12" s="279">
        <v>0</v>
      </c>
      <c r="O12" s="279">
        <v>0</v>
      </c>
      <c r="P12" s="26">
        <f t="shared" si="1"/>
        <v>0</v>
      </c>
      <c r="R12" s="65"/>
    </row>
    <row r="13" spans="2:18" x14ac:dyDescent="0.25">
      <c r="B13" s="29">
        <v>41</v>
      </c>
      <c r="D13" s="279">
        <v>390237</v>
      </c>
      <c r="E13" s="279">
        <v>390237</v>
      </c>
      <c r="F13" s="279">
        <v>390237</v>
      </c>
      <c r="G13" s="279">
        <v>390237</v>
      </c>
      <c r="H13" s="279">
        <v>390237</v>
      </c>
      <c r="I13" s="279">
        <v>390237</v>
      </c>
      <c r="J13" s="279">
        <v>390237</v>
      </c>
      <c r="K13" s="279">
        <v>390237</v>
      </c>
      <c r="L13" s="279">
        <v>390237</v>
      </c>
      <c r="M13" s="279">
        <v>390237</v>
      </c>
      <c r="N13" s="279">
        <v>390237</v>
      </c>
      <c r="O13" s="279">
        <v>390237</v>
      </c>
      <c r="P13" s="26">
        <f t="shared" si="1"/>
        <v>4682844</v>
      </c>
      <c r="R13" s="65"/>
    </row>
    <row r="14" spans="2:18" x14ac:dyDescent="0.25">
      <c r="B14" s="29">
        <v>85</v>
      </c>
      <c r="D14" s="279">
        <v>7878</v>
      </c>
      <c r="E14" s="279">
        <v>7878</v>
      </c>
      <c r="F14" s="279">
        <v>7878</v>
      </c>
      <c r="G14" s="279">
        <v>7878</v>
      </c>
      <c r="H14" s="279">
        <v>7878</v>
      </c>
      <c r="I14" s="279">
        <v>7878</v>
      </c>
      <c r="J14" s="279">
        <v>7878</v>
      </c>
      <c r="K14" s="279">
        <v>7878</v>
      </c>
      <c r="L14" s="279">
        <v>7878</v>
      </c>
      <c r="M14" s="279">
        <v>7878</v>
      </c>
      <c r="N14" s="279">
        <v>7878</v>
      </c>
      <c r="O14" s="279">
        <v>7878</v>
      </c>
      <c r="P14" s="26">
        <f t="shared" si="1"/>
        <v>94536</v>
      </c>
      <c r="R14" s="65"/>
    </row>
    <row r="15" spans="2:18" x14ac:dyDescent="0.25">
      <c r="B15" s="29">
        <v>86</v>
      </c>
      <c r="D15" s="279">
        <v>3182</v>
      </c>
      <c r="E15" s="279">
        <v>3182</v>
      </c>
      <c r="F15" s="279">
        <v>3182</v>
      </c>
      <c r="G15" s="279">
        <v>3182</v>
      </c>
      <c r="H15" s="279">
        <v>3182</v>
      </c>
      <c r="I15" s="279">
        <v>3182</v>
      </c>
      <c r="J15" s="279">
        <v>3182</v>
      </c>
      <c r="K15" s="279">
        <v>3182</v>
      </c>
      <c r="L15" s="279">
        <v>3182</v>
      </c>
      <c r="M15" s="279">
        <v>3182</v>
      </c>
      <c r="N15" s="279">
        <v>3182</v>
      </c>
      <c r="O15" s="279">
        <v>3182</v>
      </c>
      <c r="P15" s="26">
        <f t="shared" si="1"/>
        <v>38184</v>
      </c>
      <c r="R15" s="65"/>
    </row>
    <row r="16" spans="2:18" x14ac:dyDescent="0.25">
      <c r="B16" s="29">
        <v>87</v>
      </c>
      <c r="D16" s="279">
        <v>0</v>
      </c>
      <c r="E16" s="279">
        <v>0</v>
      </c>
      <c r="F16" s="279">
        <v>0</v>
      </c>
      <c r="G16" s="279">
        <v>0</v>
      </c>
      <c r="H16" s="279">
        <v>0</v>
      </c>
      <c r="I16" s="279">
        <v>0</v>
      </c>
      <c r="J16" s="279">
        <v>0</v>
      </c>
      <c r="K16" s="279">
        <v>0</v>
      </c>
      <c r="L16" s="279">
        <v>0</v>
      </c>
      <c r="M16" s="279">
        <v>0</v>
      </c>
      <c r="N16" s="279">
        <v>0</v>
      </c>
      <c r="O16" s="279">
        <v>0</v>
      </c>
      <c r="P16" s="26">
        <f t="shared" si="1"/>
        <v>0</v>
      </c>
      <c r="R16" s="65"/>
    </row>
    <row r="17" spans="2:18" x14ac:dyDescent="0.25">
      <c r="B17" s="29" t="s">
        <v>33</v>
      </c>
      <c r="D17" s="279">
        <v>0</v>
      </c>
      <c r="E17" s="279">
        <v>0</v>
      </c>
      <c r="F17" s="279">
        <v>0</v>
      </c>
      <c r="G17" s="279">
        <v>0</v>
      </c>
      <c r="H17" s="279">
        <v>0</v>
      </c>
      <c r="I17" s="279">
        <v>0</v>
      </c>
      <c r="J17" s="279">
        <v>0</v>
      </c>
      <c r="K17" s="279">
        <v>0</v>
      </c>
      <c r="L17" s="279">
        <v>0</v>
      </c>
      <c r="M17" s="279">
        <v>0</v>
      </c>
      <c r="N17" s="279">
        <v>0</v>
      </c>
      <c r="O17" s="279">
        <v>0</v>
      </c>
      <c r="P17" s="26">
        <f t="shared" si="1"/>
        <v>0</v>
      </c>
      <c r="R17" s="65"/>
    </row>
    <row r="18" spans="2:18" x14ac:dyDescent="0.25">
      <c r="B18" s="29" t="s">
        <v>35</v>
      </c>
      <c r="D18" s="279">
        <v>91073</v>
      </c>
      <c r="E18" s="279">
        <v>91073</v>
      </c>
      <c r="F18" s="279">
        <v>91073</v>
      </c>
      <c r="G18" s="279">
        <v>91073</v>
      </c>
      <c r="H18" s="279">
        <v>91073</v>
      </c>
      <c r="I18" s="279">
        <v>91073</v>
      </c>
      <c r="J18" s="279">
        <v>91073</v>
      </c>
      <c r="K18" s="279">
        <v>91073</v>
      </c>
      <c r="L18" s="279">
        <v>91073</v>
      </c>
      <c r="M18" s="279">
        <v>91073</v>
      </c>
      <c r="N18" s="279">
        <v>91073</v>
      </c>
      <c r="O18" s="279">
        <v>91073</v>
      </c>
      <c r="P18" s="26">
        <f t="shared" si="1"/>
        <v>1092876</v>
      </c>
      <c r="R18" s="65"/>
    </row>
    <row r="19" spans="2:18" x14ac:dyDescent="0.25">
      <c r="B19" s="29" t="s">
        <v>37</v>
      </c>
      <c r="D19" s="279">
        <v>54236</v>
      </c>
      <c r="E19" s="279">
        <v>54236</v>
      </c>
      <c r="F19" s="279">
        <v>54236</v>
      </c>
      <c r="G19" s="279">
        <v>54236</v>
      </c>
      <c r="H19" s="279">
        <v>54236</v>
      </c>
      <c r="I19" s="279">
        <v>54236</v>
      </c>
      <c r="J19" s="279">
        <v>54236</v>
      </c>
      <c r="K19" s="279">
        <v>54236</v>
      </c>
      <c r="L19" s="279">
        <v>54236</v>
      </c>
      <c r="M19" s="279">
        <v>54236</v>
      </c>
      <c r="N19" s="279">
        <v>54236</v>
      </c>
      <c r="O19" s="279">
        <v>54236</v>
      </c>
      <c r="P19" s="26">
        <f t="shared" si="1"/>
        <v>650832</v>
      </c>
      <c r="R19" s="65"/>
    </row>
    <row r="20" spans="2:18" x14ac:dyDescent="0.25">
      <c r="B20" s="29" t="s">
        <v>39</v>
      </c>
      <c r="D20" s="279">
        <v>1612</v>
      </c>
      <c r="E20" s="279">
        <v>1612</v>
      </c>
      <c r="F20" s="279">
        <v>1612</v>
      </c>
      <c r="G20" s="279">
        <v>1612</v>
      </c>
      <c r="H20" s="279">
        <v>1612</v>
      </c>
      <c r="I20" s="279">
        <v>1612</v>
      </c>
      <c r="J20" s="279">
        <v>1612</v>
      </c>
      <c r="K20" s="279">
        <v>1612</v>
      </c>
      <c r="L20" s="279">
        <v>1612</v>
      </c>
      <c r="M20" s="279">
        <v>1612</v>
      </c>
      <c r="N20" s="279">
        <v>1612</v>
      </c>
      <c r="O20" s="279">
        <v>1612</v>
      </c>
      <c r="P20" s="26">
        <f t="shared" si="1"/>
        <v>19344</v>
      </c>
      <c r="R20" s="65"/>
    </row>
    <row r="21" spans="2:18" x14ac:dyDescent="0.25">
      <c r="B21" s="29" t="s">
        <v>41</v>
      </c>
      <c r="D21" s="279">
        <v>23934</v>
      </c>
      <c r="E21" s="279">
        <v>23934</v>
      </c>
      <c r="F21" s="279">
        <v>23934</v>
      </c>
      <c r="G21" s="279">
        <v>23934</v>
      </c>
      <c r="H21" s="279">
        <v>23934</v>
      </c>
      <c r="I21" s="279">
        <v>23934</v>
      </c>
      <c r="J21" s="279">
        <v>23934</v>
      </c>
      <c r="K21" s="279">
        <v>23934</v>
      </c>
      <c r="L21" s="279">
        <v>23934</v>
      </c>
      <c r="M21" s="279">
        <v>23934</v>
      </c>
      <c r="N21" s="279">
        <v>23934</v>
      </c>
      <c r="O21" s="279">
        <v>23934</v>
      </c>
      <c r="P21" s="26">
        <f t="shared" si="1"/>
        <v>287208</v>
      </c>
      <c r="R21" s="65"/>
    </row>
    <row r="22" spans="2:18" x14ac:dyDescent="0.25">
      <c r="B22" s="29" t="s">
        <v>13</v>
      </c>
      <c r="D22" s="279">
        <v>39983</v>
      </c>
      <c r="E22" s="279">
        <v>39983</v>
      </c>
      <c r="F22" s="279">
        <v>39983</v>
      </c>
      <c r="G22" s="279">
        <v>39983</v>
      </c>
      <c r="H22" s="279">
        <v>39983</v>
      </c>
      <c r="I22" s="279">
        <v>39983</v>
      </c>
      <c r="J22" s="279">
        <v>39983</v>
      </c>
      <c r="K22" s="279">
        <v>39983</v>
      </c>
      <c r="L22" s="279">
        <v>39983</v>
      </c>
      <c r="M22" s="279">
        <v>39983</v>
      </c>
      <c r="N22" s="279">
        <v>39983</v>
      </c>
      <c r="O22" s="279">
        <v>39983</v>
      </c>
      <c r="P22" s="26">
        <f t="shared" si="1"/>
        <v>479796</v>
      </c>
      <c r="R22" s="65"/>
    </row>
    <row r="23" spans="2:18" x14ac:dyDescent="0.25">
      <c r="B23" s="29" t="s">
        <v>6</v>
      </c>
      <c r="D23" s="30">
        <f t="shared" ref="D23:P23" si="2">SUM(D9:D22)</f>
        <v>612135</v>
      </c>
      <c r="E23" s="30">
        <f t="shared" si="2"/>
        <v>612135</v>
      </c>
      <c r="F23" s="30">
        <f t="shared" si="2"/>
        <v>612135</v>
      </c>
      <c r="G23" s="30">
        <f t="shared" si="2"/>
        <v>612135</v>
      </c>
      <c r="H23" s="30">
        <f t="shared" si="2"/>
        <v>612135</v>
      </c>
      <c r="I23" s="30">
        <f t="shared" si="2"/>
        <v>612135</v>
      </c>
      <c r="J23" s="30">
        <f t="shared" si="2"/>
        <v>612135</v>
      </c>
      <c r="K23" s="30">
        <f t="shared" si="2"/>
        <v>612135</v>
      </c>
      <c r="L23" s="30">
        <f t="shared" si="2"/>
        <v>612135</v>
      </c>
      <c r="M23" s="30">
        <f t="shared" si="2"/>
        <v>612135</v>
      </c>
      <c r="N23" s="30">
        <f t="shared" si="2"/>
        <v>612135</v>
      </c>
      <c r="O23" s="30">
        <f t="shared" si="2"/>
        <v>612135</v>
      </c>
      <c r="P23" s="30">
        <f t="shared" si="2"/>
        <v>7345620</v>
      </c>
    </row>
    <row r="24" spans="2:18" x14ac:dyDescent="0.25">
      <c r="B24" s="29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</row>
    <row r="25" spans="2:18" x14ac:dyDescent="0.25">
      <c r="B25" s="29" t="s">
        <v>66</v>
      </c>
      <c r="D25" s="26">
        <f t="shared" ref="D25:O25" si="3">SUM(D9:D13)</f>
        <v>390237</v>
      </c>
      <c r="E25" s="26">
        <f t="shared" si="3"/>
        <v>390237</v>
      </c>
      <c r="F25" s="26">
        <f t="shared" si="3"/>
        <v>390237</v>
      </c>
      <c r="G25" s="26">
        <f t="shared" si="3"/>
        <v>390237</v>
      </c>
      <c r="H25" s="26">
        <f t="shared" si="3"/>
        <v>390237</v>
      </c>
      <c r="I25" s="26">
        <f t="shared" si="3"/>
        <v>390237</v>
      </c>
      <c r="J25" s="26">
        <f t="shared" si="3"/>
        <v>390237</v>
      </c>
      <c r="K25" s="26">
        <f t="shared" si="3"/>
        <v>390237</v>
      </c>
      <c r="L25" s="26">
        <f t="shared" si="3"/>
        <v>390237</v>
      </c>
      <c r="M25" s="26">
        <f t="shared" si="3"/>
        <v>390237</v>
      </c>
      <c r="N25" s="26">
        <f t="shared" si="3"/>
        <v>390237</v>
      </c>
      <c r="O25" s="26">
        <f t="shared" si="3"/>
        <v>390237</v>
      </c>
      <c r="P25" s="26">
        <f t="shared" si="1"/>
        <v>4682844</v>
      </c>
    </row>
    <row r="26" spans="2:18" x14ac:dyDescent="0.25">
      <c r="B26" s="29" t="s">
        <v>67</v>
      </c>
      <c r="D26" s="26">
        <f>SUM(D14:D16)</f>
        <v>11060</v>
      </c>
      <c r="E26" s="26">
        <f t="shared" ref="E26:O26" si="4">SUM(E14:E16)</f>
        <v>11060</v>
      </c>
      <c r="F26" s="26">
        <f t="shared" si="4"/>
        <v>11060</v>
      </c>
      <c r="G26" s="26">
        <f t="shared" si="4"/>
        <v>11060</v>
      </c>
      <c r="H26" s="26">
        <f t="shared" si="4"/>
        <v>11060</v>
      </c>
      <c r="I26" s="26">
        <f t="shared" si="4"/>
        <v>11060</v>
      </c>
      <c r="J26" s="26">
        <f t="shared" si="4"/>
        <v>11060</v>
      </c>
      <c r="K26" s="26">
        <f t="shared" si="4"/>
        <v>11060</v>
      </c>
      <c r="L26" s="26">
        <f t="shared" si="4"/>
        <v>11060</v>
      </c>
      <c r="M26" s="26">
        <f t="shared" si="4"/>
        <v>11060</v>
      </c>
      <c r="N26" s="26">
        <f t="shared" si="4"/>
        <v>11060</v>
      </c>
      <c r="O26" s="26">
        <f t="shared" si="4"/>
        <v>11060</v>
      </c>
      <c r="P26" s="26">
        <f t="shared" si="1"/>
        <v>132720</v>
      </c>
    </row>
    <row r="27" spans="2:18" x14ac:dyDescent="0.25">
      <c r="B27" s="29" t="s">
        <v>68</v>
      </c>
      <c r="D27" s="30">
        <f>SUM(D25:D26)</f>
        <v>401297</v>
      </c>
      <c r="E27" s="30">
        <f t="shared" ref="E27:P27" si="5">SUM(E25:E26)</f>
        <v>401297</v>
      </c>
      <c r="F27" s="30">
        <f t="shared" si="5"/>
        <v>401297</v>
      </c>
      <c r="G27" s="30">
        <f t="shared" si="5"/>
        <v>401297</v>
      </c>
      <c r="H27" s="30">
        <f t="shared" si="5"/>
        <v>401297</v>
      </c>
      <c r="I27" s="30">
        <f t="shared" si="5"/>
        <v>401297</v>
      </c>
      <c r="J27" s="30">
        <f t="shared" si="5"/>
        <v>401297</v>
      </c>
      <c r="K27" s="30">
        <f t="shared" si="5"/>
        <v>401297</v>
      </c>
      <c r="L27" s="30">
        <f t="shared" si="5"/>
        <v>401297</v>
      </c>
      <c r="M27" s="30">
        <f t="shared" si="5"/>
        <v>401297</v>
      </c>
      <c r="N27" s="30">
        <f t="shared" si="5"/>
        <v>401297</v>
      </c>
      <c r="O27" s="30">
        <f t="shared" si="5"/>
        <v>401297</v>
      </c>
      <c r="P27" s="30">
        <f t="shared" si="5"/>
        <v>4815564</v>
      </c>
    </row>
    <row r="28" spans="2:18" x14ac:dyDescent="0.25">
      <c r="B28" s="29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</row>
    <row r="29" spans="2:18" x14ac:dyDescent="0.25">
      <c r="B29" s="29" t="s">
        <v>69</v>
      </c>
      <c r="D29" s="26">
        <f>SUM(D17:D22)</f>
        <v>210838</v>
      </c>
      <c r="E29" s="26">
        <f t="shared" ref="E29:O29" si="6">SUM(E17:E22)</f>
        <v>210838</v>
      </c>
      <c r="F29" s="26">
        <f t="shared" si="6"/>
        <v>210838</v>
      </c>
      <c r="G29" s="26">
        <f t="shared" si="6"/>
        <v>210838</v>
      </c>
      <c r="H29" s="26">
        <f t="shared" si="6"/>
        <v>210838</v>
      </c>
      <c r="I29" s="26">
        <f t="shared" si="6"/>
        <v>210838</v>
      </c>
      <c r="J29" s="26">
        <f t="shared" si="6"/>
        <v>210838</v>
      </c>
      <c r="K29" s="26">
        <f t="shared" si="6"/>
        <v>210838</v>
      </c>
      <c r="L29" s="26">
        <f t="shared" si="6"/>
        <v>210838</v>
      </c>
      <c r="M29" s="26">
        <f t="shared" si="6"/>
        <v>210838</v>
      </c>
      <c r="N29" s="26">
        <f t="shared" si="6"/>
        <v>210838</v>
      </c>
      <c r="O29" s="26">
        <f t="shared" si="6"/>
        <v>210838</v>
      </c>
      <c r="P29" s="26">
        <f>SUM(D29:O29)</f>
        <v>2530056</v>
      </c>
    </row>
    <row r="30" spans="2:18" x14ac:dyDescent="0.25">
      <c r="B30" s="29" t="s">
        <v>6</v>
      </c>
      <c r="D30" s="30">
        <f>D27+D29</f>
        <v>612135</v>
      </c>
      <c r="E30" s="30">
        <f t="shared" ref="E30:P30" si="7">E27+E29</f>
        <v>612135</v>
      </c>
      <c r="F30" s="30">
        <f t="shared" si="7"/>
        <v>612135</v>
      </c>
      <c r="G30" s="30">
        <f t="shared" si="7"/>
        <v>612135</v>
      </c>
      <c r="H30" s="30">
        <f t="shared" si="7"/>
        <v>612135</v>
      </c>
      <c r="I30" s="30">
        <f t="shared" si="7"/>
        <v>612135</v>
      </c>
      <c r="J30" s="30">
        <f t="shared" si="7"/>
        <v>612135</v>
      </c>
      <c r="K30" s="30">
        <f t="shared" si="7"/>
        <v>612135</v>
      </c>
      <c r="L30" s="30">
        <f t="shared" si="7"/>
        <v>612135</v>
      </c>
      <c r="M30" s="30">
        <f t="shared" si="7"/>
        <v>612135</v>
      </c>
      <c r="N30" s="30">
        <f t="shared" si="7"/>
        <v>612135</v>
      </c>
      <c r="O30" s="30">
        <f t="shared" si="7"/>
        <v>612135</v>
      </c>
      <c r="P30" s="30">
        <f t="shared" si="7"/>
        <v>7345620</v>
      </c>
    </row>
    <row r="31" spans="2:18" x14ac:dyDescent="0.25">
      <c r="B31" s="31" t="s">
        <v>70</v>
      </c>
      <c r="D31" s="32">
        <f>D23-D30</f>
        <v>0</v>
      </c>
      <c r="E31" s="32">
        <f t="shared" ref="E31:P31" si="8">E23-E30</f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8"/>
        <v>0</v>
      </c>
      <c r="O31" s="32">
        <f t="shared" si="8"/>
        <v>0</v>
      </c>
      <c r="P31" s="32">
        <f t="shared" si="8"/>
        <v>0</v>
      </c>
    </row>
    <row r="32" spans="2:18" x14ac:dyDescent="0.25">
      <c r="C32" s="26"/>
    </row>
    <row r="33" spans="2:16" x14ac:dyDescent="0.25"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</row>
    <row r="34" spans="2:16" x14ac:dyDescent="0.25">
      <c r="B34" s="410" t="s">
        <v>235</v>
      </c>
      <c r="C34" s="26"/>
      <c r="D34" s="26">
        <f t="shared" ref="D34:P34" si="9">SUM(D9:D11)</f>
        <v>0</v>
      </c>
      <c r="E34" s="26">
        <f t="shared" si="9"/>
        <v>0</v>
      </c>
      <c r="F34" s="26">
        <f t="shared" si="9"/>
        <v>0</v>
      </c>
      <c r="G34" s="26">
        <f t="shared" si="9"/>
        <v>0</v>
      </c>
      <c r="H34" s="26">
        <f t="shared" si="9"/>
        <v>0</v>
      </c>
      <c r="I34" s="26">
        <f t="shared" si="9"/>
        <v>0</v>
      </c>
      <c r="J34" s="26">
        <f t="shared" si="9"/>
        <v>0</v>
      </c>
      <c r="K34" s="26">
        <f t="shared" si="9"/>
        <v>0</v>
      </c>
      <c r="L34" s="26">
        <f t="shared" si="9"/>
        <v>0</v>
      </c>
      <c r="M34" s="26">
        <f t="shared" si="9"/>
        <v>0</v>
      </c>
      <c r="N34" s="26">
        <f t="shared" si="9"/>
        <v>0</v>
      </c>
      <c r="O34" s="26">
        <f t="shared" si="9"/>
        <v>0</v>
      </c>
      <c r="P34" s="26">
        <f t="shared" si="9"/>
        <v>0</v>
      </c>
    </row>
    <row r="35" spans="2:16" x14ac:dyDescent="0.25">
      <c r="B35" s="29" t="s">
        <v>125</v>
      </c>
      <c r="C35" s="26"/>
      <c r="D35" s="26">
        <f t="shared" ref="D35:P39" si="10">SUM(D12,D17)</f>
        <v>0</v>
      </c>
      <c r="E35" s="26">
        <f t="shared" si="10"/>
        <v>0</v>
      </c>
      <c r="F35" s="26">
        <f t="shared" si="10"/>
        <v>0</v>
      </c>
      <c r="G35" s="26">
        <f t="shared" si="10"/>
        <v>0</v>
      </c>
      <c r="H35" s="26">
        <f t="shared" si="10"/>
        <v>0</v>
      </c>
      <c r="I35" s="26">
        <f t="shared" si="10"/>
        <v>0</v>
      </c>
      <c r="J35" s="26">
        <f t="shared" si="10"/>
        <v>0</v>
      </c>
      <c r="K35" s="26">
        <f t="shared" si="10"/>
        <v>0</v>
      </c>
      <c r="L35" s="26">
        <f t="shared" si="10"/>
        <v>0</v>
      </c>
      <c r="M35" s="26">
        <f t="shared" si="10"/>
        <v>0</v>
      </c>
      <c r="N35" s="26">
        <f t="shared" si="10"/>
        <v>0</v>
      </c>
      <c r="O35" s="26">
        <f t="shared" si="10"/>
        <v>0</v>
      </c>
      <c r="P35" s="26">
        <f t="shared" si="10"/>
        <v>0</v>
      </c>
    </row>
    <row r="36" spans="2:16" x14ac:dyDescent="0.25">
      <c r="B36" s="29" t="s">
        <v>126</v>
      </c>
      <c r="D36" s="26">
        <f t="shared" si="10"/>
        <v>481310</v>
      </c>
      <c r="E36" s="26">
        <f t="shared" si="10"/>
        <v>481310</v>
      </c>
      <c r="F36" s="26">
        <f t="shared" si="10"/>
        <v>481310</v>
      </c>
      <c r="G36" s="26">
        <f t="shared" si="10"/>
        <v>481310</v>
      </c>
      <c r="H36" s="26">
        <f t="shared" si="10"/>
        <v>481310</v>
      </c>
      <c r="I36" s="26">
        <f t="shared" si="10"/>
        <v>481310</v>
      </c>
      <c r="J36" s="26">
        <f t="shared" si="10"/>
        <v>481310</v>
      </c>
      <c r="K36" s="26">
        <f t="shared" si="10"/>
        <v>481310</v>
      </c>
      <c r="L36" s="26">
        <f t="shared" si="10"/>
        <v>481310</v>
      </c>
      <c r="M36" s="26">
        <f t="shared" si="10"/>
        <v>481310</v>
      </c>
      <c r="N36" s="26">
        <f t="shared" si="10"/>
        <v>481310</v>
      </c>
      <c r="O36" s="26">
        <f t="shared" si="10"/>
        <v>481310</v>
      </c>
      <c r="P36" s="26">
        <f t="shared" si="10"/>
        <v>5775720</v>
      </c>
    </row>
    <row r="37" spans="2:16" x14ac:dyDescent="0.25">
      <c r="B37" s="76" t="s">
        <v>129</v>
      </c>
      <c r="D37" s="26">
        <f t="shared" si="10"/>
        <v>62114</v>
      </c>
      <c r="E37" s="26">
        <f t="shared" si="10"/>
        <v>62114</v>
      </c>
      <c r="F37" s="26">
        <f t="shared" si="10"/>
        <v>62114</v>
      </c>
      <c r="G37" s="26">
        <f t="shared" si="10"/>
        <v>62114</v>
      </c>
      <c r="H37" s="26">
        <f t="shared" si="10"/>
        <v>62114</v>
      </c>
      <c r="I37" s="26">
        <f t="shared" si="10"/>
        <v>62114</v>
      </c>
      <c r="J37" s="26">
        <f t="shared" si="10"/>
        <v>62114</v>
      </c>
      <c r="K37" s="26">
        <f t="shared" si="10"/>
        <v>62114</v>
      </c>
      <c r="L37" s="26">
        <f t="shared" si="10"/>
        <v>62114</v>
      </c>
      <c r="M37" s="26">
        <f t="shared" si="10"/>
        <v>62114</v>
      </c>
      <c r="N37" s="26">
        <f t="shared" si="10"/>
        <v>62114</v>
      </c>
      <c r="O37" s="26">
        <f t="shared" si="10"/>
        <v>62114</v>
      </c>
      <c r="P37" s="26">
        <f t="shared" si="10"/>
        <v>745368</v>
      </c>
    </row>
    <row r="38" spans="2:16" x14ac:dyDescent="0.25">
      <c r="B38" s="29" t="s">
        <v>127</v>
      </c>
      <c r="D38" s="26">
        <f t="shared" si="10"/>
        <v>4794</v>
      </c>
      <c r="E38" s="26">
        <f t="shared" si="10"/>
        <v>4794</v>
      </c>
      <c r="F38" s="26">
        <f t="shared" si="10"/>
        <v>4794</v>
      </c>
      <c r="G38" s="26">
        <f t="shared" si="10"/>
        <v>4794</v>
      </c>
      <c r="H38" s="26">
        <f t="shared" si="10"/>
        <v>4794</v>
      </c>
      <c r="I38" s="26">
        <f t="shared" si="10"/>
        <v>4794</v>
      </c>
      <c r="J38" s="26">
        <f t="shared" si="10"/>
        <v>4794</v>
      </c>
      <c r="K38" s="26">
        <f t="shared" si="10"/>
        <v>4794</v>
      </c>
      <c r="L38" s="26">
        <f t="shared" si="10"/>
        <v>4794</v>
      </c>
      <c r="M38" s="26">
        <f t="shared" si="10"/>
        <v>4794</v>
      </c>
      <c r="N38" s="26">
        <f t="shared" si="10"/>
        <v>4794</v>
      </c>
      <c r="O38" s="26">
        <f t="shared" si="10"/>
        <v>4794</v>
      </c>
      <c r="P38" s="26">
        <f t="shared" si="10"/>
        <v>57528</v>
      </c>
    </row>
    <row r="39" spans="2:16" x14ac:dyDescent="0.25">
      <c r="B39" s="29" t="s">
        <v>128</v>
      </c>
      <c r="D39" s="26">
        <f t="shared" si="10"/>
        <v>23934</v>
      </c>
      <c r="E39" s="26">
        <f t="shared" si="10"/>
        <v>23934</v>
      </c>
      <c r="F39" s="26">
        <f t="shared" si="10"/>
        <v>23934</v>
      </c>
      <c r="G39" s="26">
        <f t="shared" si="10"/>
        <v>23934</v>
      </c>
      <c r="H39" s="26">
        <f t="shared" si="10"/>
        <v>23934</v>
      </c>
      <c r="I39" s="26">
        <f t="shared" si="10"/>
        <v>23934</v>
      </c>
      <c r="J39" s="26">
        <f t="shared" si="10"/>
        <v>23934</v>
      </c>
      <c r="K39" s="26">
        <f t="shared" si="10"/>
        <v>23934</v>
      </c>
      <c r="L39" s="26">
        <f t="shared" si="10"/>
        <v>23934</v>
      </c>
      <c r="M39" s="26">
        <f t="shared" si="10"/>
        <v>23934</v>
      </c>
      <c r="N39" s="26">
        <f t="shared" si="10"/>
        <v>23934</v>
      </c>
      <c r="O39" s="26">
        <f t="shared" si="10"/>
        <v>23934</v>
      </c>
      <c r="P39" s="26">
        <f t="shared" si="10"/>
        <v>287208</v>
      </c>
    </row>
    <row r="40" spans="2:16" x14ac:dyDescent="0.25">
      <c r="B40" s="76" t="s">
        <v>13</v>
      </c>
      <c r="D40" s="26">
        <f t="shared" ref="D40:P40" si="11">D22</f>
        <v>39983</v>
      </c>
      <c r="E40" s="26">
        <f t="shared" si="11"/>
        <v>39983</v>
      </c>
      <c r="F40" s="26">
        <f t="shared" si="11"/>
        <v>39983</v>
      </c>
      <c r="G40" s="26">
        <f t="shared" si="11"/>
        <v>39983</v>
      </c>
      <c r="H40" s="26">
        <f t="shared" si="11"/>
        <v>39983</v>
      </c>
      <c r="I40" s="26">
        <f t="shared" si="11"/>
        <v>39983</v>
      </c>
      <c r="J40" s="26">
        <f t="shared" si="11"/>
        <v>39983</v>
      </c>
      <c r="K40" s="26">
        <f t="shared" si="11"/>
        <v>39983</v>
      </c>
      <c r="L40" s="26">
        <f t="shared" si="11"/>
        <v>39983</v>
      </c>
      <c r="M40" s="26">
        <f t="shared" si="11"/>
        <v>39983</v>
      </c>
      <c r="N40" s="26">
        <f t="shared" si="11"/>
        <v>39983</v>
      </c>
      <c r="O40" s="26">
        <f t="shared" si="11"/>
        <v>39983</v>
      </c>
      <c r="P40" s="26">
        <f t="shared" si="11"/>
        <v>479796</v>
      </c>
    </row>
    <row r="41" spans="2:16" x14ac:dyDescent="0.25">
      <c r="B41" s="31" t="s">
        <v>70</v>
      </c>
      <c r="D41" s="32">
        <f>SUM(D34:D40)-D23</f>
        <v>0</v>
      </c>
      <c r="E41" s="32">
        <f>SUM(E34:E40)-E23</f>
        <v>0</v>
      </c>
      <c r="F41" s="32">
        <f t="shared" ref="F41:P41" si="12">SUM(F34:F40)-F23</f>
        <v>0</v>
      </c>
      <c r="G41" s="32">
        <f t="shared" si="12"/>
        <v>0</v>
      </c>
      <c r="H41" s="32">
        <f t="shared" si="12"/>
        <v>0</v>
      </c>
      <c r="I41" s="32">
        <f t="shared" si="12"/>
        <v>0</v>
      </c>
      <c r="J41" s="32">
        <f t="shared" si="12"/>
        <v>0</v>
      </c>
      <c r="K41" s="32">
        <f t="shared" si="12"/>
        <v>0</v>
      </c>
      <c r="L41" s="32">
        <f t="shared" si="12"/>
        <v>0</v>
      </c>
      <c r="M41" s="32">
        <f t="shared" si="12"/>
        <v>0</v>
      </c>
      <c r="N41" s="32">
        <f t="shared" si="12"/>
        <v>0</v>
      </c>
      <c r="O41" s="32">
        <f t="shared" si="12"/>
        <v>0</v>
      </c>
      <c r="P41" s="32">
        <f t="shared" si="12"/>
        <v>0</v>
      </c>
    </row>
  </sheetData>
  <mergeCells count="3">
    <mergeCell ref="B1:P1"/>
    <mergeCell ref="B2:P2"/>
    <mergeCell ref="B3:P3"/>
  </mergeCells>
  <printOptions horizontalCentered="1"/>
  <pageMargins left="0.7" right="0.7" top="0.75" bottom="0.75" header="0.3" footer="0.3"/>
  <pageSetup scale="59" orientation="landscape" blackAndWhite="1" r:id="rId1"/>
  <headerFooter>
    <oddFooter>&amp;L&amp;F 
&amp;A&amp;C&amp;P&amp;R&amp;D</oddFooter>
  </headerFooter>
  <customProperties>
    <customPr name="_pios_id" r:id="rId2"/>
    <customPr name="EpmWorksheetKeyString_GUID" r:id="rId3"/>
  </customPropertie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3"/>
  <sheetViews>
    <sheetView zoomScale="90" zoomScaleNormal="90" workbookViewId="0">
      <pane ySplit="7" topLeftCell="A8" activePane="bottomLeft" state="frozen"/>
      <selection activeCell="N36" sqref="N36:N43"/>
      <selection pane="bottomLeft" activeCell="U41" sqref="U41"/>
    </sheetView>
  </sheetViews>
  <sheetFormatPr defaultColWidth="9.140625" defaultRowHeight="12.75" x14ac:dyDescent="0.2"/>
  <cols>
    <col min="1" max="1" width="35.28515625" style="548" customWidth="1"/>
    <col min="2" max="13" width="13" style="548" customWidth="1"/>
    <col min="14" max="14" width="15" style="548" bestFit="1" customWidth="1"/>
    <col min="15" max="15" width="9.28515625" style="548" bestFit="1" customWidth="1"/>
    <col min="16" max="16384" width="9.140625" style="548"/>
  </cols>
  <sheetData>
    <row r="1" spans="1:19" x14ac:dyDescent="0.2">
      <c r="A1" s="653" t="s">
        <v>0</v>
      </c>
      <c r="B1" s="653"/>
      <c r="C1" s="653"/>
      <c r="D1" s="653"/>
      <c r="E1" s="653"/>
      <c r="F1" s="653"/>
      <c r="G1" s="653"/>
      <c r="H1" s="653"/>
      <c r="I1" s="653"/>
      <c r="J1" s="653"/>
      <c r="K1" s="653"/>
      <c r="L1" s="653"/>
      <c r="M1" s="653"/>
      <c r="N1" s="653"/>
    </row>
    <row r="2" spans="1:19" x14ac:dyDescent="0.2">
      <c r="A2" s="653" t="s">
        <v>293</v>
      </c>
      <c r="B2" s="653"/>
      <c r="C2" s="653"/>
      <c r="D2" s="653"/>
      <c r="E2" s="653"/>
      <c r="F2" s="653"/>
      <c r="G2" s="653"/>
      <c r="H2" s="653"/>
      <c r="I2" s="653"/>
      <c r="J2" s="653"/>
      <c r="K2" s="653"/>
      <c r="L2" s="653"/>
      <c r="M2" s="653"/>
      <c r="N2" s="653"/>
    </row>
    <row r="3" spans="1:19" s="588" customFormat="1" x14ac:dyDescent="0.2">
      <c r="A3" s="653" t="s">
        <v>373</v>
      </c>
      <c r="B3" s="653"/>
      <c r="C3" s="653"/>
      <c r="D3" s="653"/>
      <c r="E3" s="653"/>
      <c r="F3" s="653"/>
      <c r="G3" s="653"/>
      <c r="H3" s="653"/>
      <c r="I3" s="653"/>
      <c r="J3" s="653"/>
      <c r="K3" s="653"/>
      <c r="L3" s="653"/>
      <c r="M3" s="653"/>
      <c r="N3" s="653"/>
    </row>
    <row r="4" spans="1:19" s="588" customFormat="1" x14ac:dyDescent="0.2">
      <c r="A4" s="654" t="s">
        <v>374</v>
      </c>
      <c r="B4" s="654"/>
      <c r="C4" s="654"/>
      <c r="D4" s="654"/>
      <c r="E4" s="654"/>
      <c r="F4" s="654"/>
      <c r="G4" s="654"/>
      <c r="H4" s="654"/>
      <c r="I4" s="654"/>
      <c r="J4" s="654"/>
      <c r="K4" s="654"/>
      <c r="L4" s="654"/>
      <c r="M4" s="654"/>
      <c r="N4" s="654"/>
    </row>
    <row r="5" spans="1:19" s="588" customFormat="1" x14ac:dyDescent="0.2">
      <c r="A5" s="548"/>
      <c r="B5" s="548"/>
      <c r="C5" s="548"/>
      <c r="D5" s="548"/>
      <c r="E5" s="548"/>
      <c r="F5" s="548"/>
      <c r="G5" s="548"/>
      <c r="H5" s="548"/>
      <c r="I5" s="548"/>
      <c r="J5" s="548"/>
      <c r="K5" s="548"/>
      <c r="L5" s="548"/>
      <c r="M5" s="548"/>
      <c r="N5" s="548"/>
    </row>
    <row r="6" spans="1:19" s="588" customFormat="1" x14ac:dyDescent="0.2">
      <c r="A6" s="550"/>
      <c r="B6" s="548"/>
      <c r="C6" s="548"/>
      <c r="D6" s="548"/>
      <c r="E6" s="548"/>
      <c r="F6" s="548"/>
      <c r="G6" s="548"/>
      <c r="H6" s="548"/>
      <c r="I6" s="548"/>
      <c r="J6" s="548"/>
      <c r="K6" s="548"/>
      <c r="L6" s="548"/>
      <c r="M6" s="548"/>
      <c r="N6" s="550"/>
    </row>
    <row r="7" spans="1:19" s="588" customFormat="1" x14ac:dyDescent="0.2">
      <c r="A7" s="552" t="s">
        <v>4</v>
      </c>
      <c r="B7" s="565">
        <v>45292</v>
      </c>
      <c r="C7" s="565">
        <f>EDATE(B7,1)</f>
        <v>45323</v>
      </c>
      <c r="D7" s="565">
        <f>EDATE(C7,1)</f>
        <v>45352</v>
      </c>
      <c r="E7" s="565">
        <f t="shared" ref="E7:M7" si="0">EDATE(D7,1)</f>
        <v>45383</v>
      </c>
      <c r="F7" s="565">
        <f t="shared" si="0"/>
        <v>45413</v>
      </c>
      <c r="G7" s="565">
        <f t="shared" si="0"/>
        <v>45444</v>
      </c>
      <c r="H7" s="565">
        <f t="shared" si="0"/>
        <v>45474</v>
      </c>
      <c r="I7" s="565">
        <f t="shared" si="0"/>
        <v>45505</v>
      </c>
      <c r="J7" s="565">
        <f t="shared" si="0"/>
        <v>45536</v>
      </c>
      <c r="K7" s="565">
        <f t="shared" si="0"/>
        <v>45566</v>
      </c>
      <c r="L7" s="565">
        <f t="shared" si="0"/>
        <v>45597</v>
      </c>
      <c r="M7" s="565">
        <f t="shared" si="0"/>
        <v>45627</v>
      </c>
      <c r="N7" s="552" t="s">
        <v>6</v>
      </c>
    </row>
    <row r="8" spans="1:19" s="588" customFormat="1" x14ac:dyDescent="0.2">
      <c r="A8" s="589" t="s">
        <v>375</v>
      </c>
      <c r="B8" s="590">
        <v>736</v>
      </c>
      <c r="C8" s="590">
        <v>736</v>
      </c>
      <c r="D8" s="590">
        <v>736</v>
      </c>
      <c r="E8" s="590">
        <v>736</v>
      </c>
      <c r="F8" s="590">
        <v>736</v>
      </c>
      <c r="G8" s="590">
        <v>736</v>
      </c>
      <c r="H8" s="590">
        <v>736</v>
      </c>
      <c r="I8" s="590">
        <v>736</v>
      </c>
      <c r="J8" s="590">
        <v>736</v>
      </c>
      <c r="K8" s="590">
        <v>736</v>
      </c>
      <c r="L8" s="590">
        <v>736</v>
      </c>
      <c r="M8" s="590">
        <v>736</v>
      </c>
      <c r="N8" s="591">
        <f>SUM(B8:M8)</f>
        <v>8832</v>
      </c>
      <c r="P8" s="589"/>
      <c r="Q8" s="592"/>
      <c r="R8" s="592"/>
      <c r="S8" s="592"/>
    </row>
    <row r="9" spans="1:19" s="588" customFormat="1" x14ac:dyDescent="0.2">
      <c r="A9" s="589" t="s">
        <v>376</v>
      </c>
      <c r="B9" s="590">
        <v>97939022</v>
      </c>
      <c r="C9" s="590">
        <v>84388896</v>
      </c>
      <c r="D9" s="590">
        <v>77323969</v>
      </c>
      <c r="E9" s="590">
        <v>53507958</v>
      </c>
      <c r="F9" s="590">
        <v>30480725</v>
      </c>
      <c r="G9" s="590">
        <v>20098155</v>
      </c>
      <c r="H9" s="590">
        <v>14466554</v>
      </c>
      <c r="I9" s="590">
        <v>13798925</v>
      </c>
      <c r="J9" s="590">
        <v>20484242</v>
      </c>
      <c r="K9" s="590">
        <v>47350638</v>
      </c>
      <c r="L9" s="590">
        <v>77723497</v>
      </c>
      <c r="M9" s="590">
        <v>101901968</v>
      </c>
      <c r="N9" s="591">
        <f t="shared" ref="N9:N31" si="1">SUM(B9:M9)</f>
        <v>639464549</v>
      </c>
      <c r="P9" s="589"/>
      <c r="Q9" s="592"/>
      <c r="R9" s="592"/>
      <c r="S9" s="592"/>
    </row>
    <row r="10" spans="1:19" s="588" customFormat="1" x14ac:dyDescent="0.2">
      <c r="A10" s="589" t="s">
        <v>377</v>
      </c>
      <c r="B10" s="590">
        <v>31045820</v>
      </c>
      <c r="C10" s="590">
        <v>28959080</v>
      </c>
      <c r="D10" s="590">
        <v>26493362</v>
      </c>
      <c r="E10" s="590">
        <v>18957677</v>
      </c>
      <c r="F10" s="590">
        <v>13587938</v>
      </c>
      <c r="G10" s="590">
        <v>10554469</v>
      </c>
      <c r="H10" s="590">
        <v>8821480</v>
      </c>
      <c r="I10" s="590">
        <v>9117196</v>
      </c>
      <c r="J10" s="590">
        <v>10157835</v>
      </c>
      <c r="K10" s="590">
        <v>17038421</v>
      </c>
      <c r="L10" s="590">
        <v>25385561</v>
      </c>
      <c r="M10" s="590">
        <v>33487301</v>
      </c>
      <c r="N10" s="591">
        <f t="shared" si="1"/>
        <v>233606140</v>
      </c>
      <c r="P10" s="589"/>
      <c r="Q10" s="592"/>
      <c r="R10" s="592"/>
      <c r="S10" s="592"/>
    </row>
    <row r="11" spans="1:19" s="588" customFormat="1" x14ac:dyDescent="0.2">
      <c r="A11" s="589" t="s">
        <v>378</v>
      </c>
      <c r="B11" s="590">
        <v>1882277</v>
      </c>
      <c r="C11" s="590">
        <v>1665902</v>
      </c>
      <c r="D11" s="590">
        <v>1474996</v>
      </c>
      <c r="E11" s="590">
        <v>1080825</v>
      </c>
      <c r="F11" s="590">
        <v>648970</v>
      </c>
      <c r="G11" s="590">
        <v>424406</v>
      </c>
      <c r="H11" s="590">
        <v>316062</v>
      </c>
      <c r="I11" s="590">
        <v>315308</v>
      </c>
      <c r="J11" s="590">
        <v>438274</v>
      </c>
      <c r="K11" s="590">
        <v>627355</v>
      </c>
      <c r="L11" s="590">
        <v>1387974</v>
      </c>
      <c r="M11" s="590">
        <v>2067754</v>
      </c>
      <c r="N11" s="591">
        <f t="shared" si="1"/>
        <v>12330103</v>
      </c>
      <c r="P11" s="589"/>
      <c r="Q11" s="592"/>
      <c r="R11" s="592"/>
      <c r="S11" s="592"/>
    </row>
    <row r="12" spans="1:19" s="588" customFormat="1" x14ac:dyDescent="0.2">
      <c r="A12" s="589" t="s">
        <v>379</v>
      </c>
      <c r="B12" s="590">
        <v>3584</v>
      </c>
      <c r="C12" s="590">
        <v>3704</v>
      </c>
      <c r="D12" s="590">
        <v>3231</v>
      </c>
      <c r="E12" s="590">
        <v>2806</v>
      </c>
      <c r="F12" s="590">
        <v>2070</v>
      </c>
      <c r="G12" s="590">
        <v>1945</v>
      </c>
      <c r="H12" s="590">
        <v>1693</v>
      </c>
      <c r="I12" s="590">
        <v>1910</v>
      </c>
      <c r="J12" s="590">
        <v>2000</v>
      </c>
      <c r="K12" s="590">
        <v>2796</v>
      </c>
      <c r="L12" s="590">
        <v>3910</v>
      </c>
      <c r="M12" s="590">
        <v>4218</v>
      </c>
      <c r="N12" s="591">
        <f t="shared" si="1"/>
        <v>33867</v>
      </c>
      <c r="P12" s="589"/>
      <c r="Q12" s="592"/>
      <c r="R12" s="592"/>
      <c r="S12" s="592"/>
    </row>
    <row r="13" spans="1:19" s="588" customFormat="1" x14ac:dyDescent="0.2">
      <c r="A13" s="589" t="s">
        <v>380</v>
      </c>
      <c r="B13" s="590">
        <v>0</v>
      </c>
      <c r="C13" s="590">
        <v>0</v>
      </c>
      <c r="D13" s="590">
        <v>0</v>
      </c>
      <c r="E13" s="590">
        <v>0</v>
      </c>
      <c r="F13" s="590">
        <v>0</v>
      </c>
      <c r="G13" s="590">
        <v>0</v>
      </c>
      <c r="H13" s="590">
        <v>0</v>
      </c>
      <c r="I13" s="590">
        <v>0</v>
      </c>
      <c r="J13" s="590">
        <v>0</v>
      </c>
      <c r="K13" s="590">
        <v>0</v>
      </c>
      <c r="L13" s="590">
        <v>0</v>
      </c>
      <c r="M13" s="590">
        <v>0</v>
      </c>
      <c r="N13" s="591">
        <f t="shared" si="1"/>
        <v>0</v>
      </c>
      <c r="P13" s="589"/>
      <c r="Q13" s="592"/>
      <c r="R13" s="592"/>
      <c r="S13" s="592"/>
    </row>
    <row r="14" spans="1:19" s="588" customFormat="1" x14ac:dyDescent="0.2">
      <c r="A14" s="589" t="s">
        <v>381</v>
      </c>
      <c r="B14" s="590">
        <v>6990153</v>
      </c>
      <c r="C14" s="590">
        <v>6905911</v>
      </c>
      <c r="D14" s="590">
        <v>6478988</v>
      </c>
      <c r="E14" s="590">
        <v>4793163</v>
      </c>
      <c r="F14" s="590">
        <v>3696104</v>
      </c>
      <c r="G14" s="590">
        <v>2940436</v>
      </c>
      <c r="H14" s="590">
        <v>2308117</v>
      </c>
      <c r="I14" s="590">
        <v>2369716</v>
      </c>
      <c r="J14" s="590">
        <v>2656703</v>
      </c>
      <c r="K14" s="590">
        <v>4575785</v>
      </c>
      <c r="L14" s="590">
        <v>6224489</v>
      </c>
      <c r="M14" s="590">
        <v>7397855</v>
      </c>
      <c r="N14" s="591">
        <f t="shared" si="1"/>
        <v>57337420</v>
      </c>
      <c r="P14" s="589"/>
      <c r="Q14" s="592"/>
      <c r="R14" s="592"/>
      <c r="S14" s="592"/>
    </row>
    <row r="15" spans="1:19" s="588" customFormat="1" x14ac:dyDescent="0.2">
      <c r="A15" s="589" t="s">
        <v>382</v>
      </c>
      <c r="B15" s="590">
        <v>898036</v>
      </c>
      <c r="C15" s="590">
        <v>863678</v>
      </c>
      <c r="D15" s="590">
        <v>844097</v>
      </c>
      <c r="E15" s="590">
        <v>826704</v>
      </c>
      <c r="F15" s="590">
        <v>707572</v>
      </c>
      <c r="G15" s="590">
        <v>661917</v>
      </c>
      <c r="H15" s="590">
        <v>552524</v>
      </c>
      <c r="I15" s="590">
        <v>601133</v>
      </c>
      <c r="J15" s="590">
        <v>748460</v>
      </c>
      <c r="K15" s="590">
        <v>730081</v>
      </c>
      <c r="L15" s="590">
        <v>1045199</v>
      </c>
      <c r="M15" s="590">
        <v>1073720</v>
      </c>
      <c r="N15" s="591">
        <f t="shared" si="1"/>
        <v>9553121</v>
      </c>
      <c r="P15" s="589"/>
      <c r="Q15" s="592"/>
      <c r="R15" s="592"/>
      <c r="S15" s="592"/>
    </row>
    <row r="16" spans="1:19" s="588" customFormat="1" x14ac:dyDescent="0.2">
      <c r="A16" s="589" t="s">
        <v>383</v>
      </c>
      <c r="B16" s="590">
        <v>1775683</v>
      </c>
      <c r="C16" s="590">
        <v>1836591</v>
      </c>
      <c r="D16" s="590">
        <v>1648479</v>
      </c>
      <c r="E16" s="590">
        <v>1823807</v>
      </c>
      <c r="F16" s="590">
        <v>1696203</v>
      </c>
      <c r="G16" s="590">
        <v>1757704</v>
      </c>
      <c r="H16" s="590">
        <v>1577825</v>
      </c>
      <c r="I16" s="590">
        <v>1654592</v>
      </c>
      <c r="J16" s="590">
        <v>1634637</v>
      </c>
      <c r="K16" s="590">
        <v>1637231</v>
      </c>
      <c r="L16" s="590">
        <v>1897850</v>
      </c>
      <c r="M16" s="590">
        <v>1881503</v>
      </c>
      <c r="N16" s="591">
        <f t="shared" si="1"/>
        <v>20822105</v>
      </c>
      <c r="P16" s="589"/>
      <c r="Q16" s="592"/>
      <c r="R16" s="592"/>
      <c r="S16" s="592"/>
    </row>
    <row r="17" spans="1:19" s="588" customFormat="1" x14ac:dyDescent="0.2">
      <c r="A17" s="589" t="s">
        <v>384</v>
      </c>
      <c r="B17" s="590">
        <v>490163</v>
      </c>
      <c r="C17" s="590">
        <v>586219</v>
      </c>
      <c r="D17" s="590">
        <v>414071</v>
      </c>
      <c r="E17" s="590">
        <v>486463</v>
      </c>
      <c r="F17" s="590">
        <v>454010</v>
      </c>
      <c r="G17" s="590">
        <v>506687</v>
      </c>
      <c r="H17" s="590">
        <v>478169</v>
      </c>
      <c r="I17" s="590">
        <v>454248</v>
      </c>
      <c r="J17" s="590">
        <v>416189</v>
      </c>
      <c r="K17" s="590">
        <v>454914</v>
      </c>
      <c r="L17" s="590">
        <v>496708</v>
      </c>
      <c r="M17" s="590">
        <v>450288</v>
      </c>
      <c r="N17" s="591">
        <f t="shared" si="1"/>
        <v>5688129</v>
      </c>
      <c r="P17" s="589"/>
      <c r="Q17" s="592"/>
      <c r="R17" s="592"/>
      <c r="S17" s="592"/>
    </row>
    <row r="18" spans="1:19" s="588" customFormat="1" x14ac:dyDescent="0.2">
      <c r="A18" s="589" t="s">
        <v>385</v>
      </c>
      <c r="B18" s="590">
        <v>0</v>
      </c>
      <c r="C18" s="590">
        <v>0</v>
      </c>
      <c r="D18" s="590">
        <v>0</v>
      </c>
      <c r="E18" s="590">
        <v>0</v>
      </c>
      <c r="F18" s="590">
        <v>0</v>
      </c>
      <c r="G18" s="590">
        <v>0</v>
      </c>
      <c r="H18" s="590">
        <v>0</v>
      </c>
      <c r="I18" s="590">
        <v>0</v>
      </c>
      <c r="J18" s="590">
        <v>0</v>
      </c>
      <c r="K18" s="590">
        <v>0</v>
      </c>
      <c r="L18" s="590">
        <v>0</v>
      </c>
      <c r="M18" s="590">
        <v>0</v>
      </c>
      <c r="N18" s="591">
        <f t="shared" si="1"/>
        <v>0</v>
      </c>
      <c r="P18" s="589"/>
      <c r="Q18" s="592"/>
      <c r="R18" s="592"/>
      <c r="S18" s="592"/>
    </row>
    <row r="19" spans="1:19" s="588" customFormat="1" x14ac:dyDescent="0.2">
      <c r="A19" s="589" t="s">
        <v>386</v>
      </c>
      <c r="B19" s="590">
        <v>1057607</v>
      </c>
      <c r="C19" s="590">
        <v>1040657</v>
      </c>
      <c r="D19" s="590">
        <v>948024</v>
      </c>
      <c r="E19" s="590">
        <v>760315</v>
      </c>
      <c r="F19" s="590">
        <v>715098</v>
      </c>
      <c r="G19" s="590">
        <v>546965</v>
      </c>
      <c r="H19" s="590">
        <v>515440</v>
      </c>
      <c r="I19" s="590">
        <v>568866</v>
      </c>
      <c r="J19" s="590">
        <v>548041</v>
      </c>
      <c r="K19" s="590">
        <v>805565</v>
      </c>
      <c r="L19" s="590">
        <v>941691</v>
      </c>
      <c r="M19" s="590">
        <v>1208597</v>
      </c>
      <c r="N19" s="591">
        <f t="shared" si="1"/>
        <v>9656866</v>
      </c>
      <c r="P19" s="589"/>
      <c r="Q19" s="592"/>
      <c r="R19" s="592"/>
      <c r="S19" s="592"/>
    </row>
    <row r="20" spans="1:19" s="588" customFormat="1" x14ac:dyDescent="0.2">
      <c r="A20" s="589" t="s">
        <v>387</v>
      </c>
      <c r="B20" s="590">
        <v>103529</v>
      </c>
      <c r="C20" s="590">
        <v>120534</v>
      </c>
      <c r="D20" s="590">
        <v>110221</v>
      </c>
      <c r="E20" s="590">
        <v>80034</v>
      </c>
      <c r="F20" s="590">
        <v>65787</v>
      </c>
      <c r="G20" s="590">
        <v>68137</v>
      </c>
      <c r="H20" s="590">
        <v>65688</v>
      </c>
      <c r="I20" s="590">
        <v>67187</v>
      </c>
      <c r="J20" s="590">
        <v>94698</v>
      </c>
      <c r="K20" s="590">
        <v>103998</v>
      </c>
      <c r="L20" s="590">
        <v>95565</v>
      </c>
      <c r="M20" s="590">
        <v>113134</v>
      </c>
      <c r="N20" s="591">
        <f t="shared" si="1"/>
        <v>1088512</v>
      </c>
      <c r="P20" s="589"/>
      <c r="Q20" s="592"/>
      <c r="R20" s="592"/>
      <c r="S20" s="592"/>
    </row>
    <row r="21" spans="1:19" s="588" customFormat="1" x14ac:dyDescent="0.2">
      <c r="A21" s="589" t="s">
        <v>388</v>
      </c>
      <c r="B21" s="590">
        <v>1782343</v>
      </c>
      <c r="C21" s="590">
        <v>1782088</v>
      </c>
      <c r="D21" s="590">
        <v>1738224</v>
      </c>
      <c r="E21" s="590">
        <v>1730188</v>
      </c>
      <c r="F21" s="590">
        <v>1503928</v>
      </c>
      <c r="G21" s="590">
        <v>1462157</v>
      </c>
      <c r="H21" s="590">
        <v>1269817</v>
      </c>
      <c r="I21" s="590">
        <v>1306465</v>
      </c>
      <c r="J21" s="590">
        <v>1296082</v>
      </c>
      <c r="K21" s="590">
        <v>1463908</v>
      </c>
      <c r="L21" s="590">
        <v>1795544</v>
      </c>
      <c r="M21" s="590">
        <v>1791666</v>
      </c>
      <c r="N21" s="591">
        <f t="shared" si="1"/>
        <v>18922410</v>
      </c>
      <c r="P21" s="589"/>
      <c r="Q21" s="592"/>
      <c r="R21" s="592"/>
      <c r="S21" s="592"/>
    </row>
    <row r="22" spans="1:19" s="588" customFormat="1" x14ac:dyDescent="0.2">
      <c r="A22" s="589" t="s">
        <v>389</v>
      </c>
      <c r="B22" s="590">
        <v>3352335</v>
      </c>
      <c r="C22" s="590">
        <v>4360838</v>
      </c>
      <c r="D22" s="590">
        <v>3126716</v>
      </c>
      <c r="E22" s="590">
        <v>3708888</v>
      </c>
      <c r="F22" s="590">
        <v>3343679</v>
      </c>
      <c r="G22" s="590">
        <v>3715175</v>
      </c>
      <c r="H22" s="590">
        <v>3489803</v>
      </c>
      <c r="I22" s="590">
        <v>3445005</v>
      </c>
      <c r="J22" s="590">
        <v>3495455</v>
      </c>
      <c r="K22" s="590">
        <v>3804626</v>
      </c>
      <c r="L22" s="590">
        <v>3906181</v>
      </c>
      <c r="M22" s="590">
        <v>3617815</v>
      </c>
      <c r="N22" s="591">
        <f t="shared" si="1"/>
        <v>43366516</v>
      </c>
      <c r="P22" s="589"/>
      <c r="Q22" s="592"/>
      <c r="R22" s="592"/>
      <c r="S22" s="592"/>
    </row>
    <row r="23" spans="1:19" s="588" customFormat="1" x14ac:dyDescent="0.2">
      <c r="A23" s="589" t="s">
        <v>390</v>
      </c>
      <c r="B23" s="590">
        <v>722035</v>
      </c>
      <c r="C23" s="590">
        <v>714438</v>
      </c>
      <c r="D23" s="590">
        <v>664061</v>
      </c>
      <c r="E23" s="590">
        <v>459352</v>
      </c>
      <c r="F23" s="590">
        <v>392842</v>
      </c>
      <c r="G23" s="590">
        <v>242222</v>
      </c>
      <c r="H23" s="590">
        <v>175870</v>
      </c>
      <c r="I23" s="590">
        <v>142809</v>
      </c>
      <c r="J23" s="590">
        <v>158443</v>
      </c>
      <c r="K23" s="590">
        <v>355023</v>
      </c>
      <c r="L23" s="590">
        <v>543537</v>
      </c>
      <c r="M23" s="590">
        <v>803545</v>
      </c>
      <c r="N23" s="591">
        <f t="shared" si="1"/>
        <v>5374177</v>
      </c>
      <c r="P23" s="589"/>
      <c r="Q23" s="592"/>
      <c r="R23" s="592"/>
      <c r="S23" s="592"/>
    </row>
    <row r="24" spans="1:19" s="588" customFormat="1" x14ac:dyDescent="0.2">
      <c r="A24" s="589" t="s">
        <v>391</v>
      </c>
      <c r="B24" s="590">
        <v>12435</v>
      </c>
      <c r="C24" s="590">
        <v>15921</v>
      </c>
      <c r="D24" s="590">
        <v>16435</v>
      </c>
      <c r="E24" s="590">
        <v>10185</v>
      </c>
      <c r="F24" s="590">
        <v>9559</v>
      </c>
      <c r="G24" s="590">
        <v>6646</v>
      </c>
      <c r="H24" s="590">
        <v>4521</v>
      </c>
      <c r="I24" s="590">
        <v>4140</v>
      </c>
      <c r="J24" s="590">
        <v>5127</v>
      </c>
      <c r="K24" s="590">
        <v>9453</v>
      </c>
      <c r="L24" s="590">
        <v>11029</v>
      </c>
      <c r="M24" s="590">
        <v>9780</v>
      </c>
      <c r="N24" s="591">
        <f t="shared" si="1"/>
        <v>115231</v>
      </c>
      <c r="P24" s="589"/>
      <c r="Q24" s="592"/>
      <c r="R24" s="592"/>
      <c r="S24" s="592"/>
    </row>
    <row r="25" spans="1:19" s="588" customFormat="1" x14ac:dyDescent="0.2">
      <c r="A25" s="589" t="s">
        <v>392</v>
      </c>
      <c r="B25" s="590">
        <v>0</v>
      </c>
      <c r="C25" s="590">
        <v>0</v>
      </c>
      <c r="D25" s="590">
        <v>0</v>
      </c>
      <c r="E25" s="590">
        <v>0</v>
      </c>
      <c r="F25" s="590">
        <v>0</v>
      </c>
      <c r="G25" s="590">
        <v>0</v>
      </c>
      <c r="H25" s="590">
        <v>0</v>
      </c>
      <c r="I25" s="590">
        <v>0</v>
      </c>
      <c r="J25" s="590">
        <v>0</v>
      </c>
      <c r="K25" s="590">
        <v>0</v>
      </c>
      <c r="L25" s="590">
        <v>0</v>
      </c>
      <c r="M25" s="590">
        <v>0</v>
      </c>
      <c r="N25" s="591">
        <f t="shared" si="1"/>
        <v>0</v>
      </c>
      <c r="P25" s="589"/>
      <c r="Q25" s="592"/>
      <c r="R25" s="592"/>
      <c r="S25" s="592"/>
    </row>
    <row r="26" spans="1:19" s="588" customFormat="1" x14ac:dyDescent="0.2">
      <c r="A26" s="589" t="s">
        <v>393</v>
      </c>
      <c r="B26" s="590">
        <v>47088</v>
      </c>
      <c r="C26" s="590">
        <v>64390</v>
      </c>
      <c r="D26" s="590">
        <v>37100</v>
      </c>
      <c r="E26" s="590">
        <v>47661</v>
      </c>
      <c r="F26" s="590">
        <v>43279</v>
      </c>
      <c r="G26" s="590">
        <v>48694</v>
      </c>
      <c r="H26" s="590">
        <v>48436</v>
      </c>
      <c r="I26" s="590">
        <v>45424</v>
      </c>
      <c r="J26" s="590">
        <v>46262</v>
      </c>
      <c r="K26" s="590">
        <v>44895</v>
      </c>
      <c r="L26" s="590">
        <v>52241</v>
      </c>
      <c r="M26" s="590">
        <v>53232</v>
      </c>
      <c r="N26" s="591">
        <f t="shared" si="1"/>
        <v>578702</v>
      </c>
      <c r="P26" s="589"/>
      <c r="Q26" s="592"/>
      <c r="R26" s="592"/>
      <c r="S26" s="592"/>
    </row>
    <row r="27" spans="1:19" s="588" customFormat="1" x14ac:dyDescent="0.2">
      <c r="A27" s="589" t="s">
        <v>394</v>
      </c>
      <c r="B27" s="590">
        <v>2998650.8943750001</v>
      </c>
      <c r="C27" s="590">
        <v>4620973.8603750002</v>
      </c>
      <c r="D27" s="590">
        <v>-230183.26163159739</v>
      </c>
      <c r="E27" s="590">
        <v>2722328.7807902782</v>
      </c>
      <c r="F27" s="590">
        <v>1246699.5224090284</v>
      </c>
      <c r="G27" s="590">
        <v>1711965.7117916665</v>
      </c>
      <c r="H27" s="590">
        <v>204785.59449999995</v>
      </c>
      <c r="I27" s="590">
        <v>2315404.6089999997</v>
      </c>
      <c r="J27" s="590">
        <v>955360.63349999976</v>
      </c>
      <c r="K27" s="590">
        <v>1332643.2697923623</v>
      </c>
      <c r="L27" s="590">
        <v>4079298.5974499993</v>
      </c>
      <c r="M27" s="590">
        <v>-138472.44999652982</v>
      </c>
      <c r="N27" s="591">
        <f t="shared" si="1"/>
        <v>21819455.762355205</v>
      </c>
      <c r="P27" s="589"/>
      <c r="Q27" s="592"/>
      <c r="R27" s="592"/>
      <c r="S27" s="592"/>
    </row>
    <row r="28" spans="1:19" s="588" customFormat="1" x14ac:dyDescent="0.2">
      <c r="A28" s="589" t="s">
        <v>395</v>
      </c>
      <c r="B28" s="590">
        <v>0</v>
      </c>
      <c r="C28" s="590">
        <v>0</v>
      </c>
      <c r="D28" s="590">
        <v>0</v>
      </c>
      <c r="E28" s="590">
        <v>0</v>
      </c>
      <c r="F28" s="590">
        <v>0</v>
      </c>
      <c r="G28" s="590">
        <v>0</v>
      </c>
      <c r="H28" s="590">
        <v>0</v>
      </c>
      <c r="I28" s="590">
        <v>0</v>
      </c>
      <c r="J28" s="590">
        <v>0</v>
      </c>
      <c r="K28" s="590">
        <v>0</v>
      </c>
      <c r="L28" s="590">
        <v>0</v>
      </c>
      <c r="M28" s="590">
        <v>0</v>
      </c>
      <c r="N28" s="591">
        <f t="shared" si="1"/>
        <v>0</v>
      </c>
      <c r="P28" s="589"/>
      <c r="Q28" s="592"/>
      <c r="R28" s="592"/>
      <c r="S28" s="592"/>
    </row>
    <row r="29" spans="1:19" s="588" customFormat="1" x14ac:dyDescent="0.2">
      <c r="A29" s="589" t="s">
        <v>396</v>
      </c>
      <c r="B29" s="590">
        <v>1665367.0782708321</v>
      </c>
      <c r="C29" s="590">
        <v>1763149.7227500007</v>
      </c>
      <c r="D29" s="590">
        <v>1890996.2701258333</v>
      </c>
      <c r="E29" s="590">
        <v>1474771.4626187503</v>
      </c>
      <c r="F29" s="590">
        <v>1274825.9547841665</v>
      </c>
      <c r="G29" s="590">
        <v>937480.57004500041</v>
      </c>
      <c r="H29" s="590">
        <v>1019637.2000000002</v>
      </c>
      <c r="I29" s="590">
        <v>982726.42999999993</v>
      </c>
      <c r="J29" s="590">
        <v>997833.03000000026</v>
      </c>
      <c r="K29" s="590">
        <v>1335391.5905979173</v>
      </c>
      <c r="L29" s="590">
        <v>263122.60083499935</v>
      </c>
      <c r="M29" s="590">
        <v>3221065.0854520816</v>
      </c>
      <c r="N29" s="591">
        <f t="shared" si="1"/>
        <v>16826366.995479584</v>
      </c>
    </row>
    <row r="30" spans="1:19" s="588" customFormat="1" x14ac:dyDescent="0.2">
      <c r="A30" s="589" t="s">
        <v>397</v>
      </c>
      <c r="B30" s="590">
        <v>9426422.1999999993</v>
      </c>
      <c r="C30" s="590">
        <v>8877935.9100000001</v>
      </c>
      <c r="D30" s="590">
        <v>10788797.190000001</v>
      </c>
      <c r="E30" s="590">
        <v>10939613.629999999</v>
      </c>
      <c r="F30" s="590">
        <v>10913282.559999999</v>
      </c>
      <c r="G30" s="590">
        <v>10316694.349999998</v>
      </c>
      <c r="H30" s="590">
        <v>9390439.0099999998</v>
      </c>
      <c r="I30" s="590">
        <v>11333786.170000002</v>
      </c>
      <c r="J30" s="590">
        <v>10365364.079999998</v>
      </c>
      <c r="K30" s="590">
        <v>11393166.450000001</v>
      </c>
      <c r="L30" s="590">
        <v>10047949.390000001</v>
      </c>
      <c r="M30" s="590">
        <v>11389148.710000001</v>
      </c>
      <c r="N30" s="591">
        <f t="shared" si="1"/>
        <v>125182599.65000001</v>
      </c>
    </row>
    <row r="31" spans="1:19" s="588" customFormat="1" x14ac:dyDescent="0.2">
      <c r="A31" s="589" t="s">
        <v>398</v>
      </c>
      <c r="B31" s="590">
        <v>3376573</v>
      </c>
      <c r="C31" s="590">
        <v>4414906</v>
      </c>
      <c r="D31" s="590">
        <v>2630513</v>
      </c>
      <c r="E31" s="590">
        <v>2564284</v>
      </c>
      <c r="F31" s="590">
        <v>1925391</v>
      </c>
      <c r="G31" s="590">
        <v>1922345</v>
      </c>
      <c r="H31" s="590">
        <v>1684994</v>
      </c>
      <c r="I31" s="590">
        <v>1546823</v>
      </c>
      <c r="J31" s="590">
        <v>1699014</v>
      </c>
      <c r="K31" s="590">
        <v>2410628</v>
      </c>
      <c r="L31" s="590">
        <v>3256750</v>
      </c>
      <c r="M31" s="590">
        <v>3535679</v>
      </c>
      <c r="N31" s="591">
        <f t="shared" si="1"/>
        <v>30967900</v>
      </c>
    </row>
    <row r="32" spans="1:19" s="588" customFormat="1" x14ac:dyDescent="0.2">
      <c r="A32" s="589" t="s">
        <v>6</v>
      </c>
      <c r="B32" s="593">
        <f t="shared" ref="B32:N32" si="2">SUM(B8:B31)</f>
        <v>165569859.17264581</v>
      </c>
      <c r="C32" s="593">
        <f t="shared" si="2"/>
        <v>152986548.49312499</v>
      </c>
      <c r="D32" s="593">
        <f t="shared" si="2"/>
        <v>136402833.19849426</v>
      </c>
      <c r="E32" s="593">
        <f t="shared" si="2"/>
        <v>105977759.87340903</v>
      </c>
      <c r="F32" s="593">
        <f t="shared" si="2"/>
        <v>72708699.037193194</v>
      </c>
      <c r="G32" s="593">
        <f t="shared" si="2"/>
        <v>57924936.631836668</v>
      </c>
      <c r="H32" s="593">
        <f t="shared" si="2"/>
        <v>46392590.804499999</v>
      </c>
      <c r="I32" s="593">
        <f t="shared" si="2"/>
        <v>50072400.208999999</v>
      </c>
      <c r="J32" s="593">
        <f t="shared" si="2"/>
        <v>56200755.743500002</v>
      </c>
      <c r="K32" s="593">
        <f t="shared" si="2"/>
        <v>95477254.310390279</v>
      </c>
      <c r="L32" s="593">
        <f t="shared" si="2"/>
        <v>139158832.588285</v>
      </c>
      <c r="M32" s="593">
        <f t="shared" si="2"/>
        <v>173870532.34545556</v>
      </c>
      <c r="N32" s="593">
        <f t="shared" si="2"/>
        <v>1252743002.4078348</v>
      </c>
    </row>
    <row r="33" spans="1:19" s="588" customFormat="1" x14ac:dyDescent="0.2">
      <c r="A33" s="589" t="s">
        <v>42</v>
      </c>
      <c r="B33" s="594">
        <v>-2.4214386940002441E-8</v>
      </c>
      <c r="C33" s="594">
        <v>0</v>
      </c>
      <c r="D33" s="594">
        <v>1.862645149230957E-8</v>
      </c>
      <c r="E33" s="594">
        <v>0</v>
      </c>
      <c r="F33" s="594">
        <v>0</v>
      </c>
      <c r="G33" s="594">
        <v>0</v>
      </c>
      <c r="H33" s="594">
        <v>0</v>
      </c>
      <c r="I33" s="594">
        <v>0</v>
      </c>
      <c r="J33" s="594">
        <v>0</v>
      </c>
      <c r="K33" s="594">
        <v>0</v>
      </c>
      <c r="L33" s="594">
        <v>0</v>
      </c>
      <c r="M33" s="594">
        <v>0</v>
      </c>
      <c r="N33" s="594"/>
    </row>
    <row r="34" spans="1:19" s="588" customFormat="1" x14ac:dyDescent="0.2">
      <c r="A34" s="589"/>
      <c r="B34" s="594"/>
      <c r="C34" s="594"/>
      <c r="D34" s="594"/>
      <c r="E34" s="594"/>
      <c r="F34" s="594"/>
      <c r="G34" s="594"/>
      <c r="H34" s="594"/>
      <c r="I34" s="594"/>
      <c r="J34" s="594"/>
      <c r="K34" s="594"/>
      <c r="L34" s="594"/>
      <c r="M34" s="594"/>
      <c r="N34" s="594"/>
    </row>
    <row r="35" spans="1:19" s="588" customFormat="1" x14ac:dyDescent="0.2">
      <c r="A35" s="589"/>
      <c r="B35" s="594"/>
      <c r="C35" s="594"/>
      <c r="D35" s="594"/>
      <c r="E35" s="594"/>
      <c r="F35" s="594"/>
      <c r="G35" s="594"/>
      <c r="H35" s="594"/>
      <c r="I35" s="594"/>
      <c r="J35" s="594"/>
      <c r="K35" s="594"/>
      <c r="L35" s="594"/>
      <c r="M35" s="594"/>
      <c r="N35" s="594"/>
    </row>
    <row r="36" spans="1:19" s="588" customFormat="1" x14ac:dyDescent="0.2">
      <c r="A36" s="589" t="s">
        <v>399</v>
      </c>
      <c r="B36" s="591">
        <f t="shared" ref="B36:M37" si="3">B8</f>
        <v>736</v>
      </c>
      <c r="C36" s="591">
        <f t="shared" si="3"/>
        <v>736</v>
      </c>
      <c r="D36" s="591">
        <f t="shared" si="3"/>
        <v>736</v>
      </c>
      <c r="E36" s="591">
        <f t="shared" si="3"/>
        <v>736</v>
      </c>
      <c r="F36" s="591">
        <f t="shared" si="3"/>
        <v>736</v>
      </c>
      <c r="G36" s="591">
        <f t="shared" si="3"/>
        <v>736</v>
      </c>
      <c r="H36" s="591">
        <f t="shared" si="3"/>
        <v>736</v>
      </c>
      <c r="I36" s="591">
        <f t="shared" si="3"/>
        <v>736</v>
      </c>
      <c r="J36" s="591">
        <f t="shared" si="3"/>
        <v>736</v>
      </c>
      <c r="K36" s="591">
        <f t="shared" si="3"/>
        <v>736</v>
      </c>
      <c r="L36" s="591">
        <f t="shared" si="3"/>
        <v>736</v>
      </c>
      <c r="M36" s="591">
        <f t="shared" si="3"/>
        <v>736</v>
      </c>
      <c r="N36" s="591">
        <f>SUM(B36:M36)</f>
        <v>8832</v>
      </c>
    </row>
    <row r="37" spans="1:19" s="588" customFormat="1" x14ac:dyDescent="0.2">
      <c r="A37" s="589" t="s">
        <v>400</v>
      </c>
      <c r="B37" s="591">
        <f t="shared" si="3"/>
        <v>97939022</v>
      </c>
      <c r="C37" s="591">
        <f t="shared" si="3"/>
        <v>84388896</v>
      </c>
      <c r="D37" s="591">
        <f t="shared" si="3"/>
        <v>77323969</v>
      </c>
      <c r="E37" s="591">
        <f t="shared" si="3"/>
        <v>53507958</v>
      </c>
      <c r="F37" s="591">
        <f t="shared" si="3"/>
        <v>30480725</v>
      </c>
      <c r="G37" s="591">
        <f t="shared" si="3"/>
        <v>20098155</v>
      </c>
      <c r="H37" s="591">
        <f t="shared" si="3"/>
        <v>14466554</v>
      </c>
      <c r="I37" s="591">
        <f t="shared" si="3"/>
        <v>13798925</v>
      </c>
      <c r="J37" s="591">
        <f t="shared" si="3"/>
        <v>20484242</v>
      </c>
      <c r="K37" s="591">
        <f t="shared" si="3"/>
        <v>47350638</v>
      </c>
      <c r="L37" s="591">
        <f t="shared" si="3"/>
        <v>77723497</v>
      </c>
      <c r="M37" s="591">
        <f t="shared" si="3"/>
        <v>101901968</v>
      </c>
      <c r="N37" s="591">
        <f t="shared" ref="N37:N49" si="4">SUM(B37:M37)</f>
        <v>639464549</v>
      </c>
    </row>
    <row r="38" spans="1:19" s="588" customFormat="1" x14ac:dyDescent="0.2">
      <c r="A38" s="589" t="s">
        <v>401</v>
      </c>
      <c r="B38" s="591">
        <f t="shared" ref="B38:M38" si="5">B18</f>
        <v>0</v>
      </c>
      <c r="C38" s="591">
        <f t="shared" si="5"/>
        <v>0</v>
      </c>
      <c r="D38" s="591">
        <f t="shared" si="5"/>
        <v>0</v>
      </c>
      <c r="E38" s="591">
        <f t="shared" si="5"/>
        <v>0</v>
      </c>
      <c r="F38" s="591">
        <f t="shared" si="5"/>
        <v>0</v>
      </c>
      <c r="G38" s="591">
        <f t="shared" si="5"/>
        <v>0</v>
      </c>
      <c r="H38" s="591">
        <f t="shared" si="5"/>
        <v>0</v>
      </c>
      <c r="I38" s="591">
        <f t="shared" si="5"/>
        <v>0</v>
      </c>
      <c r="J38" s="591">
        <f t="shared" si="5"/>
        <v>0</v>
      </c>
      <c r="K38" s="591">
        <f t="shared" si="5"/>
        <v>0</v>
      </c>
      <c r="L38" s="591">
        <f t="shared" si="5"/>
        <v>0</v>
      </c>
      <c r="M38" s="591">
        <f t="shared" si="5"/>
        <v>0</v>
      </c>
      <c r="N38" s="591">
        <f t="shared" si="4"/>
        <v>0</v>
      </c>
    </row>
    <row r="39" spans="1:19" s="588" customFormat="1" x14ac:dyDescent="0.2">
      <c r="A39" s="589" t="s">
        <v>402</v>
      </c>
      <c r="B39" s="591">
        <f t="shared" ref="B39:M39" si="6">SUM(B10:B11)</f>
        <v>32928097</v>
      </c>
      <c r="C39" s="591">
        <f t="shared" si="6"/>
        <v>30624982</v>
      </c>
      <c r="D39" s="591">
        <f t="shared" si="6"/>
        <v>27968358</v>
      </c>
      <c r="E39" s="591">
        <f t="shared" si="6"/>
        <v>20038502</v>
      </c>
      <c r="F39" s="591">
        <f t="shared" si="6"/>
        <v>14236908</v>
      </c>
      <c r="G39" s="591">
        <f t="shared" si="6"/>
        <v>10978875</v>
      </c>
      <c r="H39" s="591">
        <f t="shared" si="6"/>
        <v>9137542</v>
      </c>
      <c r="I39" s="591">
        <f t="shared" si="6"/>
        <v>9432504</v>
      </c>
      <c r="J39" s="591">
        <f t="shared" si="6"/>
        <v>10596109</v>
      </c>
      <c r="K39" s="591">
        <f t="shared" si="6"/>
        <v>17665776</v>
      </c>
      <c r="L39" s="591">
        <f t="shared" si="6"/>
        <v>26773535</v>
      </c>
      <c r="M39" s="591">
        <f t="shared" si="6"/>
        <v>35555055</v>
      </c>
      <c r="N39" s="591">
        <f t="shared" si="4"/>
        <v>245936243</v>
      </c>
    </row>
    <row r="40" spans="1:19" s="588" customFormat="1" x14ac:dyDescent="0.2">
      <c r="A40" s="589" t="s">
        <v>403</v>
      </c>
      <c r="B40" s="591">
        <f t="shared" ref="B40:M40" si="7">SUM(B14:B15)</f>
        <v>7888189</v>
      </c>
      <c r="C40" s="591">
        <f t="shared" si="7"/>
        <v>7769589</v>
      </c>
      <c r="D40" s="591">
        <f t="shared" si="7"/>
        <v>7323085</v>
      </c>
      <c r="E40" s="591">
        <f t="shared" si="7"/>
        <v>5619867</v>
      </c>
      <c r="F40" s="591">
        <f t="shared" si="7"/>
        <v>4403676</v>
      </c>
      <c r="G40" s="591">
        <f t="shared" si="7"/>
        <v>3602353</v>
      </c>
      <c r="H40" s="591">
        <f t="shared" si="7"/>
        <v>2860641</v>
      </c>
      <c r="I40" s="591">
        <f t="shared" si="7"/>
        <v>2970849</v>
      </c>
      <c r="J40" s="591">
        <f t="shared" si="7"/>
        <v>3405163</v>
      </c>
      <c r="K40" s="591">
        <f t="shared" si="7"/>
        <v>5305866</v>
      </c>
      <c r="L40" s="591">
        <f t="shared" si="7"/>
        <v>7269688</v>
      </c>
      <c r="M40" s="591">
        <f t="shared" si="7"/>
        <v>8471575</v>
      </c>
      <c r="N40" s="591">
        <f t="shared" si="4"/>
        <v>66890541</v>
      </c>
    </row>
    <row r="41" spans="1:19" x14ac:dyDescent="0.2">
      <c r="A41" s="589" t="s">
        <v>404</v>
      </c>
      <c r="B41" s="595">
        <f t="shared" ref="B41:M41" si="8">SUM(B19:B20)</f>
        <v>1161136</v>
      </c>
      <c r="C41" s="595">
        <f t="shared" si="8"/>
        <v>1161191</v>
      </c>
      <c r="D41" s="595">
        <f t="shared" si="8"/>
        <v>1058245</v>
      </c>
      <c r="E41" s="595">
        <f t="shared" si="8"/>
        <v>840349</v>
      </c>
      <c r="F41" s="595">
        <f t="shared" si="8"/>
        <v>780885</v>
      </c>
      <c r="G41" s="595">
        <f t="shared" si="8"/>
        <v>615102</v>
      </c>
      <c r="H41" s="595">
        <f t="shared" si="8"/>
        <v>581128</v>
      </c>
      <c r="I41" s="595">
        <f t="shared" si="8"/>
        <v>636053</v>
      </c>
      <c r="J41" s="595">
        <f t="shared" si="8"/>
        <v>642739</v>
      </c>
      <c r="K41" s="595">
        <f t="shared" si="8"/>
        <v>909563</v>
      </c>
      <c r="L41" s="595">
        <f t="shared" si="8"/>
        <v>1037256</v>
      </c>
      <c r="M41" s="595">
        <f t="shared" si="8"/>
        <v>1321731</v>
      </c>
      <c r="N41" s="591">
        <f t="shared" si="4"/>
        <v>10745378</v>
      </c>
      <c r="O41" s="591"/>
      <c r="P41" s="588"/>
      <c r="Q41" s="588"/>
      <c r="R41" s="588"/>
      <c r="S41" s="588"/>
    </row>
    <row r="42" spans="1:19" x14ac:dyDescent="0.2">
      <c r="A42" s="589" t="s">
        <v>405</v>
      </c>
      <c r="B42" s="591">
        <f t="shared" ref="B42:M42" si="9">SUM(B23:B24)</f>
        <v>734470</v>
      </c>
      <c r="C42" s="591">
        <f t="shared" si="9"/>
        <v>730359</v>
      </c>
      <c r="D42" s="591">
        <f t="shared" si="9"/>
        <v>680496</v>
      </c>
      <c r="E42" s="591">
        <f t="shared" si="9"/>
        <v>469537</v>
      </c>
      <c r="F42" s="591">
        <f t="shared" si="9"/>
        <v>402401</v>
      </c>
      <c r="G42" s="591">
        <f t="shared" si="9"/>
        <v>248868</v>
      </c>
      <c r="H42" s="591">
        <f t="shared" si="9"/>
        <v>180391</v>
      </c>
      <c r="I42" s="591">
        <f t="shared" si="9"/>
        <v>146949</v>
      </c>
      <c r="J42" s="591">
        <f t="shared" si="9"/>
        <v>163570</v>
      </c>
      <c r="K42" s="591">
        <f t="shared" si="9"/>
        <v>364476</v>
      </c>
      <c r="L42" s="591">
        <f t="shared" si="9"/>
        <v>554566</v>
      </c>
      <c r="M42" s="591">
        <f t="shared" si="9"/>
        <v>813325</v>
      </c>
      <c r="N42" s="591">
        <f t="shared" si="4"/>
        <v>5489408</v>
      </c>
    </row>
    <row r="43" spans="1:19" x14ac:dyDescent="0.2">
      <c r="A43" s="589" t="s">
        <v>406</v>
      </c>
      <c r="B43" s="591">
        <f>SUM(B27:B28)</f>
        <v>2998650.8943750001</v>
      </c>
      <c r="C43" s="591">
        <f t="shared" ref="C43:M43" si="10">SUM(C27:C28)</f>
        <v>4620973.8603750002</v>
      </c>
      <c r="D43" s="591">
        <f t="shared" si="10"/>
        <v>-230183.26163159739</v>
      </c>
      <c r="E43" s="591">
        <f t="shared" si="10"/>
        <v>2722328.7807902782</v>
      </c>
      <c r="F43" s="591">
        <f t="shared" si="10"/>
        <v>1246699.5224090284</v>
      </c>
      <c r="G43" s="591">
        <f t="shared" si="10"/>
        <v>1711965.7117916665</v>
      </c>
      <c r="H43" s="591">
        <f t="shared" si="10"/>
        <v>204785.59449999995</v>
      </c>
      <c r="I43" s="591">
        <f t="shared" si="10"/>
        <v>2315404.6089999997</v>
      </c>
      <c r="J43" s="591">
        <f t="shared" si="10"/>
        <v>955360.63349999976</v>
      </c>
      <c r="K43" s="591">
        <f t="shared" si="10"/>
        <v>1332643.2697923623</v>
      </c>
      <c r="L43" s="591">
        <f t="shared" si="10"/>
        <v>4079298.5974499993</v>
      </c>
      <c r="M43" s="591">
        <f t="shared" si="10"/>
        <v>-138472.44999652982</v>
      </c>
      <c r="N43" s="591">
        <f>SUM(B43:M43)</f>
        <v>21819455.762355205</v>
      </c>
    </row>
    <row r="44" spans="1:19" x14ac:dyDescent="0.2">
      <c r="A44" s="548" t="s">
        <v>407</v>
      </c>
      <c r="B44" s="591">
        <f t="shared" ref="B44:M44" si="11">SUM(B12:B13)</f>
        <v>3584</v>
      </c>
      <c r="C44" s="591">
        <f t="shared" si="11"/>
        <v>3704</v>
      </c>
      <c r="D44" s="591">
        <f t="shared" si="11"/>
        <v>3231</v>
      </c>
      <c r="E44" s="591">
        <f t="shared" si="11"/>
        <v>2806</v>
      </c>
      <c r="F44" s="591">
        <f t="shared" si="11"/>
        <v>2070</v>
      </c>
      <c r="G44" s="591">
        <f t="shared" si="11"/>
        <v>1945</v>
      </c>
      <c r="H44" s="591">
        <f t="shared" si="11"/>
        <v>1693</v>
      </c>
      <c r="I44" s="591">
        <f t="shared" si="11"/>
        <v>1910</v>
      </c>
      <c r="J44" s="591">
        <f t="shared" si="11"/>
        <v>2000</v>
      </c>
      <c r="K44" s="591">
        <f t="shared" si="11"/>
        <v>2796</v>
      </c>
      <c r="L44" s="591">
        <f t="shared" si="11"/>
        <v>3910</v>
      </c>
      <c r="M44" s="591">
        <f t="shared" si="11"/>
        <v>4218</v>
      </c>
      <c r="N44" s="591">
        <f t="shared" si="4"/>
        <v>33867</v>
      </c>
    </row>
    <row r="45" spans="1:19" x14ac:dyDescent="0.2">
      <c r="A45" s="548" t="s">
        <v>408</v>
      </c>
      <c r="B45" s="595">
        <f t="shared" ref="B45:M45" si="12">SUM(B16:B17)</f>
        <v>2265846</v>
      </c>
      <c r="C45" s="595">
        <f t="shared" si="12"/>
        <v>2422810</v>
      </c>
      <c r="D45" s="595">
        <f t="shared" si="12"/>
        <v>2062550</v>
      </c>
      <c r="E45" s="595">
        <f t="shared" si="12"/>
        <v>2310270</v>
      </c>
      <c r="F45" s="595">
        <f t="shared" si="12"/>
        <v>2150213</v>
      </c>
      <c r="G45" s="595">
        <f t="shared" si="12"/>
        <v>2264391</v>
      </c>
      <c r="H45" s="595">
        <f t="shared" si="12"/>
        <v>2055994</v>
      </c>
      <c r="I45" s="595">
        <f t="shared" si="12"/>
        <v>2108840</v>
      </c>
      <c r="J45" s="595">
        <f t="shared" si="12"/>
        <v>2050826</v>
      </c>
      <c r="K45" s="595">
        <f t="shared" si="12"/>
        <v>2092145</v>
      </c>
      <c r="L45" s="595">
        <f t="shared" si="12"/>
        <v>2394558</v>
      </c>
      <c r="M45" s="595">
        <f t="shared" si="12"/>
        <v>2331791</v>
      </c>
      <c r="N45" s="591">
        <f t="shared" si="4"/>
        <v>26510234</v>
      </c>
    </row>
    <row r="46" spans="1:19" x14ac:dyDescent="0.2">
      <c r="A46" s="548" t="s">
        <v>409</v>
      </c>
      <c r="B46" s="595">
        <f t="shared" ref="B46:M46" si="13">SUM(B21:B22)</f>
        <v>5134678</v>
      </c>
      <c r="C46" s="595">
        <f t="shared" si="13"/>
        <v>6142926</v>
      </c>
      <c r="D46" s="595">
        <f t="shared" si="13"/>
        <v>4864940</v>
      </c>
      <c r="E46" s="595">
        <f t="shared" si="13"/>
        <v>5439076</v>
      </c>
      <c r="F46" s="595">
        <f t="shared" si="13"/>
        <v>4847607</v>
      </c>
      <c r="G46" s="595">
        <f t="shared" si="13"/>
        <v>5177332</v>
      </c>
      <c r="H46" s="595">
        <f t="shared" si="13"/>
        <v>4759620</v>
      </c>
      <c r="I46" s="595">
        <f t="shared" si="13"/>
        <v>4751470</v>
      </c>
      <c r="J46" s="595">
        <f t="shared" si="13"/>
        <v>4791537</v>
      </c>
      <c r="K46" s="595">
        <f t="shared" si="13"/>
        <v>5268534</v>
      </c>
      <c r="L46" s="595">
        <f t="shared" si="13"/>
        <v>5701725</v>
      </c>
      <c r="M46" s="595">
        <f t="shared" si="13"/>
        <v>5409481</v>
      </c>
      <c r="N46" s="591">
        <f t="shared" si="4"/>
        <v>62288926</v>
      </c>
    </row>
    <row r="47" spans="1:19" x14ac:dyDescent="0.2">
      <c r="A47" s="548" t="s">
        <v>410</v>
      </c>
      <c r="B47" s="595">
        <f t="shared" ref="B47:M47" si="14">SUM(B25:B26)</f>
        <v>47088</v>
      </c>
      <c r="C47" s="595">
        <f t="shared" si="14"/>
        <v>64390</v>
      </c>
      <c r="D47" s="595">
        <f t="shared" si="14"/>
        <v>37100</v>
      </c>
      <c r="E47" s="595">
        <f t="shared" si="14"/>
        <v>47661</v>
      </c>
      <c r="F47" s="595">
        <f t="shared" si="14"/>
        <v>43279</v>
      </c>
      <c r="G47" s="595">
        <f t="shared" si="14"/>
        <v>48694</v>
      </c>
      <c r="H47" s="595">
        <f t="shared" si="14"/>
        <v>48436</v>
      </c>
      <c r="I47" s="595">
        <f t="shared" si="14"/>
        <v>45424</v>
      </c>
      <c r="J47" s="595">
        <f t="shared" si="14"/>
        <v>46262</v>
      </c>
      <c r="K47" s="595">
        <f t="shared" si="14"/>
        <v>44895</v>
      </c>
      <c r="L47" s="595">
        <f t="shared" si="14"/>
        <v>52241</v>
      </c>
      <c r="M47" s="595">
        <f t="shared" si="14"/>
        <v>53232</v>
      </c>
      <c r="N47" s="591">
        <f t="shared" si="4"/>
        <v>578702</v>
      </c>
    </row>
    <row r="48" spans="1:19" x14ac:dyDescent="0.2">
      <c r="A48" s="548" t="s">
        <v>411</v>
      </c>
      <c r="B48" s="595">
        <f>SUM(B29:B30)</f>
        <v>11091789.278270831</v>
      </c>
      <c r="C48" s="595">
        <f t="shared" ref="C48:M48" si="15">SUM(C29:C30)</f>
        <v>10641085.632750001</v>
      </c>
      <c r="D48" s="595">
        <f t="shared" si="15"/>
        <v>12679793.460125834</v>
      </c>
      <c r="E48" s="595">
        <f t="shared" si="15"/>
        <v>12414385.092618749</v>
      </c>
      <c r="F48" s="595">
        <f t="shared" si="15"/>
        <v>12188108.514784165</v>
      </c>
      <c r="G48" s="595">
        <f t="shared" si="15"/>
        <v>11254174.920044998</v>
      </c>
      <c r="H48" s="595">
        <f t="shared" si="15"/>
        <v>10410076.210000001</v>
      </c>
      <c r="I48" s="595">
        <f t="shared" si="15"/>
        <v>12316512.600000001</v>
      </c>
      <c r="J48" s="595">
        <f t="shared" si="15"/>
        <v>11363197.109999999</v>
      </c>
      <c r="K48" s="595">
        <f t="shared" si="15"/>
        <v>12728558.040597919</v>
      </c>
      <c r="L48" s="595">
        <f t="shared" si="15"/>
        <v>10311071.990835</v>
      </c>
      <c r="M48" s="595">
        <f t="shared" si="15"/>
        <v>14610213.795452083</v>
      </c>
      <c r="N48" s="591">
        <f t="shared" si="4"/>
        <v>142008966.64547956</v>
      </c>
    </row>
    <row r="49" spans="1:14" x14ac:dyDescent="0.2">
      <c r="A49" s="555" t="s">
        <v>13</v>
      </c>
      <c r="B49" s="595">
        <f>B31</f>
        <v>3376573</v>
      </c>
      <c r="C49" s="595">
        <f t="shared" ref="C49:M49" si="16">C31</f>
        <v>4414906</v>
      </c>
      <c r="D49" s="595">
        <f t="shared" si="16"/>
        <v>2630513</v>
      </c>
      <c r="E49" s="595">
        <f t="shared" si="16"/>
        <v>2564284</v>
      </c>
      <c r="F49" s="595">
        <f t="shared" si="16"/>
        <v>1925391</v>
      </c>
      <c r="G49" s="595">
        <f t="shared" si="16"/>
        <v>1922345</v>
      </c>
      <c r="H49" s="595">
        <f t="shared" si="16"/>
        <v>1684994</v>
      </c>
      <c r="I49" s="595">
        <f t="shared" si="16"/>
        <v>1546823</v>
      </c>
      <c r="J49" s="595">
        <f t="shared" si="16"/>
        <v>1699014</v>
      </c>
      <c r="K49" s="595">
        <f t="shared" si="16"/>
        <v>2410628</v>
      </c>
      <c r="L49" s="595">
        <f t="shared" si="16"/>
        <v>3256750</v>
      </c>
      <c r="M49" s="595">
        <f t="shared" si="16"/>
        <v>3535679</v>
      </c>
      <c r="N49" s="591">
        <f t="shared" si="4"/>
        <v>30967900</v>
      </c>
    </row>
    <row r="50" spans="1:14" x14ac:dyDescent="0.2">
      <c r="A50" s="548" t="s">
        <v>6</v>
      </c>
      <c r="B50" s="596">
        <f>SUM(B36:B49)</f>
        <v>165569859.17264584</v>
      </c>
      <c r="C50" s="596">
        <f t="shared" ref="C50:N50" si="17">SUM(C36:C49)</f>
        <v>152986548.49312499</v>
      </c>
      <c r="D50" s="596">
        <f t="shared" si="17"/>
        <v>136402833.19849426</v>
      </c>
      <c r="E50" s="596">
        <f t="shared" si="17"/>
        <v>105977759.87340903</v>
      </c>
      <c r="F50" s="596">
        <f t="shared" si="17"/>
        <v>72708699.037193194</v>
      </c>
      <c r="G50" s="596">
        <f t="shared" si="17"/>
        <v>57924936.63183666</v>
      </c>
      <c r="H50" s="596">
        <f t="shared" si="17"/>
        <v>46392590.804500006</v>
      </c>
      <c r="I50" s="596">
        <f t="shared" si="17"/>
        <v>50072400.208999999</v>
      </c>
      <c r="J50" s="596">
        <f t="shared" si="17"/>
        <v>56200755.743500002</v>
      </c>
      <c r="K50" s="596">
        <f t="shared" si="17"/>
        <v>95477254.310390279</v>
      </c>
      <c r="L50" s="596">
        <f t="shared" si="17"/>
        <v>139158832.588285</v>
      </c>
      <c r="M50" s="596">
        <f t="shared" si="17"/>
        <v>173870532.34545556</v>
      </c>
      <c r="N50" s="596">
        <f t="shared" si="17"/>
        <v>1252743002.407835</v>
      </c>
    </row>
    <row r="51" spans="1:14" x14ac:dyDescent="0.2">
      <c r="B51" s="597"/>
      <c r="C51" s="597"/>
      <c r="D51" s="597"/>
      <c r="E51" s="597"/>
      <c r="F51" s="597"/>
      <c r="G51" s="597"/>
      <c r="H51" s="597"/>
      <c r="I51" s="597"/>
      <c r="J51" s="597"/>
      <c r="K51" s="597"/>
      <c r="L51" s="597"/>
      <c r="M51" s="597"/>
      <c r="N51" s="597"/>
    </row>
    <row r="52" spans="1:14" x14ac:dyDescent="0.2">
      <c r="A52" s="598"/>
      <c r="B52" s="595"/>
      <c r="C52" s="595"/>
      <c r="D52" s="595"/>
      <c r="E52" s="595"/>
      <c r="F52" s="595"/>
      <c r="G52" s="595"/>
      <c r="H52" s="595"/>
      <c r="I52" s="595"/>
      <c r="J52" s="595"/>
      <c r="K52" s="595"/>
      <c r="L52" s="595"/>
      <c r="M52" s="595"/>
      <c r="N52" s="595"/>
    </row>
    <row r="53" spans="1:14" x14ac:dyDescent="0.2">
      <c r="A53" s="599"/>
      <c r="B53" s="595"/>
      <c r="C53" s="595"/>
      <c r="D53" s="595"/>
      <c r="E53" s="595"/>
      <c r="F53" s="595"/>
      <c r="G53" s="595"/>
      <c r="H53" s="595"/>
      <c r="I53" s="595"/>
      <c r="J53" s="595"/>
      <c r="K53" s="595"/>
      <c r="L53" s="595"/>
      <c r="M53" s="595"/>
      <c r="N53" s="595"/>
    </row>
  </sheetData>
  <mergeCells count="4">
    <mergeCell ref="A1:N1"/>
    <mergeCell ref="A2:N2"/>
    <mergeCell ref="A3:N3"/>
    <mergeCell ref="A4:N4"/>
  </mergeCells>
  <printOptions horizontalCentered="1"/>
  <pageMargins left="0.75" right="0.75" top="0.78" bottom="1" header="0.5" footer="0.5"/>
  <pageSetup scale="60" orientation="landscape" blackAndWhite="1" horizontalDpi="300" verticalDpi="300" r:id="rId1"/>
  <headerFooter alignWithMargins="0">
    <oddFooter>&amp;L&amp;F
&amp;A&amp;C&amp;P&amp;R&amp;D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1"/>
  <sheetViews>
    <sheetView zoomScale="90" zoomScaleNormal="90" workbookViewId="0">
      <pane xSplit="1" ySplit="7" topLeftCell="B8" activePane="bottomRight" state="frozen"/>
      <selection activeCell="C42" sqref="C42"/>
      <selection pane="topRight" activeCell="C42" sqref="C42"/>
      <selection pane="bottomLeft" activeCell="C42" sqref="C42"/>
      <selection pane="bottomRight" activeCell="P48" sqref="P48"/>
    </sheetView>
  </sheetViews>
  <sheetFormatPr defaultColWidth="9.140625" defaultRowHeight="12.75" x14ac:dyDescent="0.2"/>
  <cols>
    <col min="1" max="1" width="24.28515625" style="607" customWidth="1"/>
    <col min="2" max="4" width="12.85546875" style="607" bestFit="1" customWidth="1"/>
    <col min="5" max="13" width="12.28515625" style="607" customWidth="1"/>
    <col min="14" max="14" width="14" style="607" bestFit="1" customWidth="1"/>
    <col min="15" max="16" width="9.140625" style="607" customWidth="1"/>
    <col min="17" max="16384" width="9.140625" style="607"/>
  </cols>
  <sheetData>
    <row r="1" spans="1:14" x14ac:dyDescent="0.2">
      <c r="A1" s="655" t="s">
        <v>0</v>
      </c>
      <c r="B1" s="655"/>
      <c r="C1" s="655"/>
      <c r="D1" s="655"/>
      <c r="E1" s="655"/>
      <c r="F1" s="655"/>
      <c r="G1" s="655"/>
      <c r="H1" s="655"/>
      <c r="I1" s="655"/>
      <c r="J1" s="655"/>
      <c r="K1" s="655"/>
      <c r="L1" s="655"/>
      <c r="M1" s="655"/>
      <c r="N1" s="655"/>
    </row>
    <row r="2" spans="1:14" x14ac:dyDescent="0.2">
      <c r="A2" s="655" t="s">
        <v>293</v>
      </c>
      <c r="B2" s="655"/>
      <c r="C2" s="655"/>
      <c r="D2" s="655"/>
      <c r="E2" s="655"/>
      <c r="F2" s="655"/>
      <c r="G2" s="655"/>
      <c r="H2" s="655"/>
      <c r="I2" s="655"/>
      <c r="J2" s="655"/>
      <c r="K2" s="655"/>
      <c r="L2" s="655"/>
      <c r="M2" s="655"/>
      <c r="N2" s="655"/>
    </row>
    <row r="3" spans="1:14" x14ac:dyDescent="0.2">
      <c r="A3" s="655" t="s">
        <v>421</v>
      </c>
      <c r="B3" s="655"/>
      <c r="C3" s="655"/>
      <c r="D3" s="655"/>
      <c r="E3" s="655"/>
      <c r="F3" s="655"/>
      <c r="G3" s="655"/>
      <c r="H3" s="655"/>
      <c r="I3" s="655"/>
      <c r="J3" s="655"/>
      <c r="K3" s="655"/>
      <c r="L3" s="655"/>
      <c r="M3" s="655"/>
      <c r="N3" s="655"/>
    </row>
    <row r="4" spans="1:14" x14ac:dyDescent="0.2">
      <c r="A4" s="654" t="s">
        <v>374</v>
      </c>
      <c r="B4" s="654"/>
      <c r="C4" s="654"/>
      <c r="D4" s="654"/>
      <c r="E4" s="654"/>
      <c r="F4" s="654"/>
      <c r="G4" s="654"/>
      <c r="H4" s="654"/>
      <c r="I4" s="654"/>
      <c r="J4" s="654"/>
      <c r="K4" s="654"/>
      <c r="L4" s="654"/>
      <c r="M4" s="654"/>
      <c r="N4" s="654"/>
    </row>
    <row r="6" spans="1:14" x14ac:dyDescent="0.2">
      <c r="N6" s="571"/>
    </row>
    <row r="7" spans="1:14" x14ac:dyDescent="0.2">
      <c r="A7" s="608" t="s">
        <v>79</v>
      </c>
      <c r="B7" s="609">
        <v>45292</v>
      </c>
      <c r="C7" s="609">
        <f>EDATE(B7,1)</f>
        <v>45323</v>
      </c>
      <c r="D7" s="609">
        <f t="shared" ref="D7:M7" si="0">EDATE(C7,1)</f>
        <v>45352</v>
      </c>
      <c r="E7" s="609">
        <f t="shared" si="0"/>
        <v>45383</v>
      </c>
      <c r="F7" s="609">
        <f t="shared" si="0"/>
        <v>45413</v>
      </c>
      <c r="G7" s="609">
        <f t="shared" si="0"/>
        <v>45444</v>
      </c>
      <c r="H7" s="609">
        <f t="shared" si="0"/>
        <v>45474</v>
      </c>
      <c r="I7" s="609">
        <f t="shared" si="0"/>
        <v>45505</v>
      </c>
      <c r="J7" s="609">
        <f t="shared" si="0"/>
        <v>45536</v>
      </c>
      <c r="K7" s="609">
        <f t="shared" si="0"/>
        <v>45566</v>
      </c>
      <c r="L7" s="609">
        <f t="shared" si="0"/>
        <v>45597</v>
      </c>
      <c r="M7" s="609">
        <f t="shared" si="0"/>
        <v>45627</v>
      </c>
      <c r="N7" s="610" t="s">
        <v>6</v>
      </c>
    </row>
    <row r="8" spans="1:14" x14ac:dyDescent="0.2">
      <c r="A8" s="560" t="s">
        <v>299</v>
      </c>
      <c r="B8" s="611"/>
      <c r="C8" s="611"/>
      <c r="D8" s="611"/>
      <c r="E8" s="611"/>
      <c r="F8" s="611"/>
      <c r="G8" s="611"/>
      <c r="H8" s="611"/>
      <c r="I8" s="611"/>
      <c r="J8" s="611"/>
      <c r="K8" s="611"/>
      <c r="L8" s="611"/>
      <c r="M8" s="611"/>
      <c r="N8" s="612"/>
    </row>
    <row r="9" spans="1:14" x14ac:dyDescent="0.2">
      <c r="A9" s="561" t="s">
        <v>93</v>
      </c>
      <c r="B9" s="613">
        <v>1525812.4602369822</v>
      </c>
      <c r="C9" s="613">
        <v>1507424.0940202079</v>
      </c>
      <c r="D9" s="613">
        <v>1414235.2277733958</v>
      </c>
      <c r="E9" s="613">
        <v>1046252.8973753328</v>
      </c>
      <c r="F9" s="613">
        <v>806786.56640730915</v>
      </c>
      <c r="G9" s="613">
        <v>641839.15392544214</v>
      </c>
      <c r="H9" s="613">
        <v>503816.39404528099</v>
      </c>
      <c r="I9" s="613">
        <v>517262.24018600746</v>
      </c>
      <c r="J9" s="613">
        <v>579905.83904944162</v>
      </c>
      <c r="K9" s="613">
        <v>998803.56958788738</v>
      </c>
      <c r="L9" s="613">
        <v>1358683.1182104361</v>
      </c>
      <c r="M9" s="613">
        <v>1614805.7614799649</v>
      </c>
      <c r="N9" s="612">
        <f t="shared" ref="N9:N11" si="1">SUM(B9:M9)</f>
        <v>12515627.32229769</v>
      </c>
    </row>
    <row r="10" spans="1:14" x14ac:dyDescent="0.2">
      <c r="A10" s="561" t="s">
        <v>82</v>
      </c>
      <c r="B10" s="613">
        <v>3304868.337985713</v>
      </c>
      <c r="C10" s="613">
        <v>3265039.6363065662</v>
      </c>
      <c r="D10" s="613">
        <v>3063195.0836254056</v>
      </c>
      <c r="E10" s="613">
        <v>2266155.3527518804</v>
      </c>
      <c r="F10" s="613">
        <v>1747477.7853220589</v>
      </c>
      <c r="G10" s="613">
        <v>1390206.1709197722</v>
      </c>
      <c r="H10" s="613">
        <v>1091252.6226059101</v>
      </c>
      <c r="I10" s="613">
        <v>1120375.9600709958</v>
      </c>
      <c r="J10" s="613">
        <v>1256060.293405832</v>
      </c>
      <c r="K10" s="613">
        <v>2163381.3977934327</v>
      </c>
      <c r="L10" s="613">
        <v>2942870.7234649016</v>
      </c>
      <c r="M10" s="613">
        <v>3497625.4108471298</v>
      </c>
      <c r="N10" s="612">
        <f t="shared" si="1"/>
        <v>27108508.775099598</v>
      </c>
    </row>
    <row r="11" spans="1:14" x14ac:dyDescent="0.2">
      <c r="A11" s="561" t="s">
        <v>83</v>
      </c>
      <c r="B11" s="613">
        <v>2159472.2017773045</v>
      </c>
      <c r="C11" s="613">
        <v>2133447.2696732255</v>
      </c>
      <c r="D11" s="613">
        <v>2001557.6886011986</v>
      </c>
      <c r="E11" s="613">
        <v>1480754.7498727867</v>
      </c>
      <c r="F11" s="613">
        <v>1141839.6482706319</v>
      </c>
      <c r="G11" s="613">
        <v>908390.67515478563</v>
      </c>
      <c r="H11" s="613">
        <v>713047.98334880895</v>
      </c>
      <c r="I11" s="613">
        <v>732077.79974299658</v>
      </c>
      <c r="J11" s="613">
        <v>820736.86754472612</v>
      </c>
      <c r="K11" s="613">
        <v>1413600.0326186798</v>
      </c>
      <c r="L11" s="613">
        <v>1922935.1583246621</v>
      </c>
      <c r="M11" s="613">
        <v>2285423.8276729053</v>
      </c>
      <c r="N11" s="612">
        <f t="shared" si="1"/>
        <v>17713283.902602714</v>
      </c>
    </row>
    <row r="12" spans="1:14" s="612" customFormat="1" x14ac:dyDescent="0.2">
      <c r="A12" s="561" t="s">
        <v>6</v>
      </c>
      <c r="B12" s="614">
        <f>SUM(B9:B11)</f>
        <v>6990153</v>
      </c>
      <c r="C12" s="614">
        <f t="shared" ref="C12:N12" si="2">SUM(C9:C11)</f>
        <v>6905910.9999999991</v>
      </c>
      <c r="D12" s="614">
        <f t="shared" si="2"/>
        <v>6478988</v>
      </c>
      <c r="E12" s="614">
        <f t="shared" si="2"/>
        <v>4793163</v>
      </c>
      <c r="F12" s="614">
        <f t="shared" si="2"/>
        <v>3696104</v>
      </c>
      <c r="G12" s="614">
        <f t="shared" si="2"/>
        <v>2940436</v>
      </c>
      <c r="H12" s="614">
        <f t="shared" si="2"/>
        <v>2308117</v>
      </c>
      <c r="I12" s="614">
        <f t="shared" si="2"/>
        <v>2369716</v>
      </c>
      <c r="J12" s="614">
        <f t="shared" si="2"/>
        <v>2656702.9999999995</v>
      </c>
      <c r="K12" s="614">
        <f t="shared" si="2"/>
        <v>4575785</v>
      </c>
      <c r="L12" s="614">
        <f t="shared" si="2"/>
        <v>6224489</v>
      </c>
      <c r="M12" s="614">
        <f t="shared" si="2"/>
        <v>7397855</v>
      </c>
      <c r="N12" s="614">
        <f t="shared" si="2"/>
        <v>57337420</v>
      </c>
    </row>
    <row r="13" spans="1:14" x14ac:dyDescent="0.2">
      <c r="A13" s="561" t="s">
        <v>42</v>
      </c>
      <c r="B13" s="605">
        <v>0</v>
      </c>
      <c r="C13" s="605">
        <v>0</v>
      </c>
      <c r="D13" s="605">
        <v>0</v>
      </c>
      <c r="E13" s="605">
        <v>0</v>
      </c>
      <c r="F13" s="605">
        <v>0</v>
      </c>
      <c r="G13" s="605">
        <v>0</v>
      </c>
      <c r="H13" s="605">
        <v>0</v>
      </c>
      <c r="I13" s="605">
        <v>0</v>
      </c>
      <c r="J13" s="605">
        <v>0</v>
      </c>
      <c r="K13" s="605">
        <v>0</v>
      </c>
      <c r="L13" s="605">
        <v>0</v>
      </c>
      <c r="M13" s="605">
        <v>0</v>
      </c>
      <c r="N13" s="605">
        <v>0</v>
      </c>
    </row>
    <row r="14" spans="1:14" x14ac:dyDescent="0.2">
      <c r="A14" s="561"/>
      <c r="B14" s="611"/>
      <c r="C14" s="611"/>
      <c r="D14" s="611"/>
      <c r="E14" s="611"/>
      <c r="F14" s="611"/>
      <c r="G14" s="611"/>
      <c r="H14" s="611"/>
      <c r="I14" s="611"/>
      <c r="J14" s="611"/>
      <c r="K14" s="611"/>
      <c r="L14" s="611"/>
      <c r="M14" s="611"/>
      <c r="N14" s="612"/>
    </row>
    <row r="15" spans="1:14" x14ac:dyDescent="0.2">
      <c r="A15" s="560" t="s">
        <v>300</v>
      </c>
      <c r="B15" s="611"/>
      <c r="C15" s="611"/>
      <c r="D15" s="611"/>
      <c r="E15" s="611"/>
      <c r="F15" s="611"/>
      <c r="G15" s="611"/>
      <c r="H15" s="611"/>
      <c r="I15" s="611"/>
      <c r="J15" s="611"/>
      <c r="K15" s="611"/>
      <c r="L15" s="611"/>
      <c r="M15" s="611"/>
      <c r="N15" s="612"/>
    </row>
    <row r="16" spans="1:14" x14ac:dyDescent="0.2">
      <c r="A16" s="561" t="s">
        <v>93</v>
      </c>
      <c r="B16" s="613">
        <v>64781.788099445781</v>
      </c>
      <c r="C16" s="613">
        <v>62303.298734296994</v>
      </c>
      <c r="D16" s="613">
        <v>60890.780535944985</v>
      </c>
      <c r="E16" s="613">
        <v>59636.098496011546</v>
      </c>
      <c r="F16" s="613">
        <v>51042.251501165934</v>
      </c>
      <c r="G16" s="613">
        <v>47748.828369264542</v>
      </c>
      <c r="H16" s="613">
        <v>39857.52540862302</v>
      </c>
      <c r="I16" s="613">
        <v>43364.041781826279</v>
      </c>
      <c r="J16" s="613">
        <v>53991.796677317157</v>
      </c>
      <c r="K16" s="613">
        <v>52665.987374037875</v>
      </c>
      <c r="L16" s="613">
        <v>75397.71249677366</v>
      </c>
      <c r="M16" s="613">
        <v>77455.13711937709</v>
      </c>
      <c r="N16" s="612">
        <f t="shared" ref="N16:N18" si="3">SUM(B16:M16)</f>
        <v>689135.24659408489</v>
      </c>
    </row>
    <row r="17" spans="1:16" x14ac:dyDescent="0.2">
      <c r="A17" s="561" t="s">
        <v>82</v>
      </c>
      <c r="B17" s="613">
        <v>233306.52204178521</v>
      </c>
      <c r="C17" s="613">
        <v>224380.43724751007</v>
      </c>
      <c r="D17" s="613">
        <v>219293.36389176466</v>
      </c>
      <c r="E17" s="613">
        <v>214774.72506450966</v>
      </c>
      <c r="F17" s="613">
        <v>183824.66005165721</v>
      </c>
      <c r="G17" s="613">
        <v>171963.65529926677</v>
      </c>
      <c r="H17" s="613">
        <v>143543.74744956251</v>
      </c>
      <c r="I17" s="613">
        <v>156172.19077469551</v>
      </c>
      <c r="J17" s="613">
        <v>194447.2153537214</v>
      </c>
      <c r="K17" s="613">
        <v>189672.41727368234</v>
      </c>
      <c r="L17" s="613">
        <v>271538.94001081452</v>
      </c>
      <c r="M17" s="613">
        <v>278948.59320417623</v>
      </c>
      <c r="N17" s="612">
        <f t="shared" si="3"/>
        <v>2481866.4676631461</v>
      </c>
    </row>
    <row r="18" spans="1:16" x14ac:dyDescent="0.2">
      <c r="A18" s="561" t="s">
        <v>83</v>
      </c>
      <c r="B18" s="613">
        <v>599947.68985876907</v>
      </c>
      <c r="C18" s="613">
        <v>576994.264018193</v>
      </c>
      <c r="D18" s="613">
        <v>563912.85557229037</v>
      </c>
      <c r="E18" s="613">
        <v>552293.17643947888</v>
      </c>
      <c r="F18" s="613">
        <v>472705.08844717691</v>
      </c>
      <c r="G18" s="613">
        <v>442204.51633146871</v>
      </c>
      <c r="H18" s="613">
        <v>369122.72714181448</v>
      </c>
      <c r="I18" s="613">
        <v>401596.76744347822</v>
      </c>
      <c r="J18" s="613">
        <v>500020.98796896148</v>
      </c>
      <c r="K18" s="613">
        <v>487742.59535227984</v>
      </c>
      <c r="L18" s="613">
        <v>698262.34749241185</v>
      </c>
      <c r="M18" s="613">
        <v>717316.26967644668</v>
      </c>
      <c r="N18" s="612">
        <f t="shared" si="3"/>
        <v>6382119.285742769</v>
      </c>
    </row>
    <row r="19" spans="1:16" s="612" customFormat="1" x14ac:dyDescent="0.2">
      <c r="A19" s="561" t="s">
        <v>6</v>
      </c>
      <c r="B19" s="614">
        <f>SUM(B16:B18)</f>
        <v>898036</v>
      </c>
      <c r="C19" s="614">
        <f t="shared" ref="C19:N19" si="4">SUM(C16:C18)</f>
        <v>863678</v>
      </c>
      <c r="D19" s="614">
        <f t="shared" si="4"/>
        <v>844097</v>
      </c>
      <c r="E19" s="614">
        <f t="shared" si="4"/>
        <v>826704.00000000012</v>
      </c>
      <c r="F19" s="614">
        <f t="shared" si="4"/>
        <v>707572</v>
      </c>
      <c r="G19" s="614">
        <f t="shared" si="4"/>
        <v>661917</v>
      </c>
      <c r="H19" s="614">
        <f t="shared" si="4"/>
        <v>552524</v>
      </c>
      <c r="I19" s="614">
        <f t="shared" si="4"/>
        <v>601133</v>
      </c>
      <c r="J19" s="614">
        <f t="shared" si="4"/>
        <v>748460</v>
      </c>
      <c r="K19" s="614">
        <f t="shared" si="4"/>
        <v>730081</v>
      </c>
      <c r="L19" s="614">
        <f t="shared" si="4"/>
        <v>1045199</v>
      </c>
      <c r="M19" s="614">
        <f t="shared" si="4"/>
        <v>1073720</v>
      </c>
      <c r="N19" s="614">
        <f t="shared" si="4"/>
        <v>9553121</v>
      </c>
    </row>
    <row r="20" spans="1:16" x14ac:dyDescent="0.2">
      <c r="A20" s="561" t="s">
        <v>42</v>
      </c>
      <c r="B20" s="605">
        <v>0</v>
      </c>
      <c r="C20" s="605">
        <v>0</v>
      </c>
      <c r="D20" s="605">
        <v>0</v>
      </c>
      <c r="E20" s="605">
        <v>0</v>
      </c>
      <c r="F20" s="605">
        <v>0</v>
      </c>
      <c r="G20" s="605">
        <v>0</v>
      </c>
      <c r="H20" s="605">
        <v>0</v>
      </c>
      <c r="I20" s="605">
        <v>0</v>
      </c>
      <c r="J20" s="605">
        <v>0</v>
      </c>
      <c r="K20" s="605">
        <v>0</v>
      </c>
      <c r="L20" s="605">
        <v>0</v>
      </c>
      <c r="M20" s="605">
        <v>0</v>
      </c>
      <c r="N20" s="605">
        <v>0</v>
      </c>
    </row>
    <row r="21" spans="1:16" x14ac:dyDescent="0.2">
      <c r="A21" s="561"/>
      <c r="B21" s="611"/>
      <c r="C21" s="611"/>
      <c r="D21" s="611"/>
      <c r="E21" s="611"/>
      <c r="F21" s="611"/>
      <c r="G21" s="611"/>
      <c r="H21" s="611"/>
      <c r="I21" s="611"/>
      <c r="J21" s="611"/>
      <c r="K21" s="611"/>
      <c r="L21" s="611"/>
      <c r="M21" s="611"/>
      <c r="N21" s="612"/>
      <c r="P21" s="612"/>
    </row>
    <row r="22" spans="1:16" x14ac:dyDescent="0.2">
      <c r="A22" s="560" t="s">
        <v>80</v>
      </c>
      <c r="B22" s="612"/>
      <c r="C22" s="612"/>
      <c r="D22" s="612"/>
      <c r="E22" s="612"/>
      <c r="F22" s="612"/>
      <c r="G22" s="612"/>
      <c r="H22" s="612"/>
      <c r="I22" s="612"/>
      <c r="J22" s="612"/>
      <c r="K22" s="612"/>
      <c r="L22" s="612"/>
      <c r="M22" s="612"/>
      <c r="N22" s="612"/>
      <c r="P22" s="612"/>
    </row>
    <row r="23" spans="1:16" x14ac:dyDescent="0.2">
      <c r="A23" s="561" t="s">
        <v>81</v>
      </c>
      <c r="B23" s="613">
        <v>109890.18669061211</v>
      </c>
      <c r="C23" s="613">
        <v>113659.54839028024</v>
      </c>
      <c r="D23" s="613">
        <v>102018.02070839984</v>
      </c>
      <c r="E23" s="613">
        <v>112868.39583284021</v>
      </c>
      <c r="F23" s="613">
        <v>104971.47539013233</v>
      </c>
      <c r="G23" s="613">
        <v>108777.53557748521</v>
      </c>
      <c r="H23" s="613">
        <v>97645.516578755924</v>
      </c>
      <c r="I23" s="613">
        <v>102396.33075092416</v>
      </c>
      <c r="J23" s="613">
        <v>101161.39260294889</v>
      </c>
      <c r="K23" s="613">
        <v>101321.925279263</v>
      </c>
      <c r="L23" s="613">
        <v>117450.63212903327</v>
      </c>
      <c r="M23" s="613">
        <v>116438.9792147285</v>
      </c>
      <c r="N23" s="612">
        <f>SUM(B23:M23)</f>
        <v>1288599.9391454039</v>
      </c>
      <c r="P23" s="612"/>
    </row>
    <row r="24" spans="1:16" x14ac:dyDescent="0.2">
      <c r="A24" s="561" t="s">
        <v>82</v>
      </c>
      <c r="B24" s="613">
        <v>386922.37188210624</v>
      </c>
      <c r="C24" s="613">
        <v>400194.26096737385</v>
      </c>
      <c r="D24" s="613">
        <v>359204.54533711396</v>
      </c>
      <c r="E24" s="613">
        <v>397408.61983540334</v>
      </c>
      <c r="F24" s="613">
        <v>369603.63305474241</v>
      </c>
      <c r="G24" s="613">
        <v>383004.73718938889</v>
      </c>
      <c r="H24" s="613">
        <v>343808.99710977927</v>
      </c>
      <c r="I24" s="613">
        <v>360536.57163872034</v>
      </c>
      <c r="J24" s="613">
        <v>356188.36538179981</v>
      </c>
      <c r="K24" s="613">
        <v>356753.59951011109</v>
      </c>
      <c r="L24" s="613">
        <v>413542.63315944077</v>
      </c>
      <c r="M24" s="613">
        <v>409980.61222825159</v>
      </c>
      <c r="N24" s="612">
        <f t="shared" ref="N24:N25" si="5">SUM(B24:M24)</f>
        <v>4537148.9472942315</v>
      </c>
      <c r="P24" s="612"/>
    </row>
    <row r="25" spans="1:16" x14ac:dyDescent="0.2">
      <c r="A25" s="561" t="s">
        <v>83</v>
      </c>
      <c r="B25" s="613">
        <v>1278870.4414272816</v>
      </c>
      <c r="C25" s="613">
        <v>1322737.1906423459</v>
      </c>
      <c r="D25" s="613">
        <v>1187256.4339544862</v>
      </c>
      <c r="E25" s="613">
        <v>1313529.9843317564</v>
      </c>
      <c r="F25" s="613">
        <v>1221627.8915551251</v>
      </c>
      <c r="G25" s="613">
        <v>1265921.7272331258</v>
      </c>
      <c r="H25" s="613">
        <v>1136370.4863114648</v>
      </c>
      <c r="I25" s="613">
        <v>1191659.0976103554</v>
      </c>
      <c r="J25" s="613">
        <v>1177287.2420152512</v>
      </c>
      <c r="K25" s="613">
        <v>1179155.4752106259</v>
      </c>
      <c r="L25" s="613">
        <v>1366856.734711526</v>
      </c>
      <c r="M25" s="613">
        <v>1355083.4085570199</v>
      </c>
      <c r="N25" s="612">
        <f t="shared" si="5"/>
        <v>14996356.113560364</v>
      </c>
      <c r="P25" s="612"/>
    </row>
    <row r="26" spans="1:16" x14ac:dyDescent="0.2">
      <c r="A26" s="561" t="s">
        <v>6</v>
      </c>
      <c r="B26" s="614">
        <f>SUM(B23:B25)</f>
        <v>1775683</v>
      </c>
      <c r="C26" s="614">
        <f t="shared" ref="C26:N26" si="6">SUM(C23:C25)</f>
        <v>1836591</v>
      </c>
      <c r="D26" s="614">
        <f t="shared" si="6"/>
        <v>1648479</v>
      </c>
      <c r="E26" s="614">
        <f t="shared" si="6"/>
        <v>1823807</v>
      </c>
      <c r="F26" s="614">
        <f t="shared" si="6"/>
        <v>1696203</v>
      </c>
      <c r="G26" s="614">
        <f t="shared" si="6"/>
        <v>1757704</v>
      </c>
      <c r="H26" s="614">
        <f t="shared" si="6"/>
        <v>1577825</v>
      </c>
      <c r="I26" s="614">
        <f t="shared" si="6"/>
        <v>1654592</v>
      </c>
      <c r="J26" s="614">
        <f t="shared" si="6"/>
        <v>1634637</v>
      </c>
      <c r="K26" s="614">
        <f t="shared" si="6"/>
        <v>1637231</v>
      </c>
      <c r="L26" s="614">
        <f t="shared" si="6"/>
        <v>1897850</v>
      </c>
      <c r="M26" s="614">
        <f t="shared" si="6"/>
        <v>1881503</v>
      </c>
      <c r="N26" s="614">
        <f t="shared" si="6"/>
        <v>20822105</v>
      </c>
      <c r="P26" s="612"/>
    </row>
    <row r="27" spans="1:16" x14ac:dyDescent="0.2">
      <c r="A27" s="612" t="s">
        <v>42</v>
      </c>
      <c r="B27" s="605">
        <v>0</v>
      </c>
      <c r="C27" s="605">
        <v>0</v>
      </c>
      <c r="D27" s="605">
        <v>0</v>
      </c>
      <c r="E27" s="605">
        <v>0</v>
      </c>
      <c r="F27" s="605">
        <v>0</v>
      </c>
      <c r="G27" s="605">
        <v>0</v>
      </c>
      <c r="H27" s="605">
        <v>0</v>
      </c>
      <c r="I27" s="605">
        <v>0</v>
      </c>
      <c r="J27" s="605">
        <v>0</v>
      </c>
      <c r="K27" s="605">
        <v>0</v>
      </c>
      <c r="L27" s="605">
        <v>0</v>
      </c>
      <c r="M27" s="605">
        <v>0</v>
      </c>
      <c r="N27" s="605">
        <v>0</v>
      </c>
      <c r="P27" s="612"/>
    </row>
    <row r="28" spans="1:16" x14ac:dyDescent="0.2">
      <c r="A28" s="561"/>
      <c r="B28" s="611"/>
      <c r="C28" s="611"/>
      <c r="D28" s="611"/>
      <c r="E28" s="611"/>
      <c r="F28" s="611"/>
      <c r="G28" s="611"/>
      <c r="H28" s="611"/>
      <c r="I28" s="611"/>
      <c r="J28" s="611"/>
      <c r="K28" s="611"/>
      <c r="L28" s="611"/>
      <c r="M28" s="611"/>
      <c r="N28" s="612"/>
      <c r="P28" s="612"/>
    </row>
    <row r="29" spans="1:16" x14ac:dyDescent="0.2">
      <c r="A29" s="560" t="s">
        <v>84</v>
      </c>
      <c r="B29" s="611"/>
      <c r="C29" s="611"/>
      <c r="D29" s="611"/>
      <c r="E29" s="611"/>
      <c r="F29" s="611"/>
      <c r="G29" s="611"/>
      <c r="H29" s="611"/>
      <c r="I29" s="611"/>
      <c r="J29" s="611"/>
      <c r="K29" s="611"/>
      <c r="L29" s="611"/>
      <c r="M29" s="611"/>
      <c r="N29" s="612"/>
      <c r="P29" s="612"/>
    </row>
    <row r="30" spans="1:16" x14ac:dyDescent="0.2">
      <c r="A30" s="561" t="s">
        <v>81</v>
      </c>
      <c r="B30" s="613">
        <v>17461.895811107672</v>
      </c>
      <c r="C30" s="613">
        <v>20883.85924782517</v>
      </c>
      <c r="D30" s="613">
        <v>14751.14331436923</v>
      </c>
      <c r="E30" s="613">
        <v>17330.084526899973</v>
      </c>
      <c r="F30" s="613">
        <v>16173.957065712822</v>
      </c>
      <c r="G30" s="613">
        <v>18050.557881444976</v>
      </c>
      <c r="H30" s="613">
        <v>17034.613502246284</v>
      </c>
      <c r="I30" s="613">
        <v>16182.435737507805</v>
      </c>
      <c r="J30" s="613">
        <v>14826.596368410286</v>
      </c>
      <c r="K30" s="613">
        <v>16206.16176866519</v>
      </c>
      <c r="L30" s="613">
        <v>17695.05928546967</v>
      </c>
      <c r="M30" s="613">
        <v>16041.36203873416</v>
      </c>
      <c r="N30" s="612">
        <f>SUM(B30:M30)</f>
        <v>202637.72654839323</v>
      </c>
      <c r="P30" s="612"/>
    </row>
    <row r="31" spans="1:16" x14ac:dyDescent="0.2">
      <c r="A31" s="561" t="s">
        <v>82</v>
      </c>
      <c r="B31" s="613">
        <v>76978.946043198433</v>
      </c>
      <c r="C31" s="613">
        <v>92064.314871782932</v>
      </c>
      <c r="D31" s="613">
        <v>65028.876449371368</v>
      </c>
      <c r="E31" s="613">
        <v>76397.869747435936</v>
      </c>
      <c r="F31" s="613">
        <v>71301.202443008791</v>
      </c>
      <c r="G31" s="613">
        <v>79574.001370544254</v>
      </c>
      <c r="H31" s="613">
        <v>75095.316559042913</v>
      </c>
      <c r="I31" s="613">
        <v>71338.57978311459</v>
      </c>
      <c r="J31" s="613">
        <v>65361.503366783523</v>
      </c>
      <c r="K31" s="613">
        <v>71443.173516351846</v>
      </c>
      <c r="L31" s="613">
        <v>78006.822896108046</v>
      </c>
      <c r="M31" s="613">
        <v>70716.671099001222</v>
      </c>
      <c r="N31" s="612">
        <f t="shared" ref="N31:N32" si="7">SUM(B31:M31)</f>
        <v>893307.27814574377</v>
      </c>
      <c r="P31" s="612"/>
    </row>
    <row r="32" spans="1:16" x14ac:dyDescent="0.2">
      <c r="A32" s="561" t="s">
        <v>83</v>
      </c>
      <c r="B32" s="613">
        <v>395722.15814569383</v>
      </c>
      <c r="C32" s="613">
        <v>473270.82588039181</v>
      </c>
      <c r="D32" s="613">
        <v>334290.98023625935</v>
      </c>
      <c r="E32" s="613">
        <v>392735.04572566407</v>
      </c>
      <c r="F32" s="613">
        <v>366534.84049127833</v>
      </c>
      <c r="G32" s="613">
        <v>409062.4407480107</v>
      </c>
      <c r="H32" s="613">
        <v>386039.06993871077</v>
      </c>
      <c r="I32" s="613">
        <v>366726.98447937757</v>
      </c>
      <c r="J32" s="613">
        <v>336000.90026480617</v>
      </c>
      <c r="K32" s="613">
        <v>367264.66471498291</v>
      </c>
      <c r="L32" s="613">
        <v>401006.11781842221</v>
      </c>
      <c r="M32" s="613">
        <v>363529.96686226455</v>
      </c>
      <c r="N32" s="612">
        <f t="shared" si="7"/>
        <v>4592183.9953058623</v>
      </c>
      <c r="P32" s="612"/>
    </row>
    <row r="33" spans="1:16" x14ac:dyDescent="0.2">
      <c r="A33" s="561" t="s">
        <v>6</v>
      </c>
      <c r="B33" s="614">
        <f>SUM(B30:B32)</f>
        <v>490162.99999999994</v>
      </c>
      <c r="C33" s="614">
        <f t="shared" ref="C33:N33" si="8">SUM(C30:C32)</f>
        <v>586218.99999999988</v>
      </c>
      <c r="D33" s="614">
        <f t="shared" si="8"/>
        <v>414070.99999999994</v>
      </c>
      <c r="E33" s="614">
        <f t="shared" si="8"/>
        <v>486463</v>
      </c>
      <c r="F33" s="614">
        <f t="shared" si="8"/>
        <v>454009.99999999994</v>
      </c>
      <c r="G33" s="614">
        <f t="shared" si="8"/>
        <v>506686.99999999994</v>
      </c>
      <c r="H33" s="614">
        <f t="shared" si="8"/>
        <v>478169</v>
      </c>
      <c r="I33" s="614">
        <f t="shared" si="8"/>
        <v>454248</v>
      </c>
      <c r="J33" s="614">
        <f t="shared" si="8"/>
        <v>416189</v>
      </c>
      <c r="K33" s="614">
        <f t="shared" si="8"/>
        <v>454913.99999999994</v>
      </c>
      <c r="L33" s="614">
        <f t="shared" si="8"/>
        <v>496707.99999999994</v>
      </c>
      <c r="M33" s="614">
        <f t="shared" si="8"/>
        <v>450287.99999999994</v>
      </c>
      <c r="N33" s="614">
        <f t="shared" si="8"/>
        <v>5688128.9999999991</v>
      </c>
      <c r="P33" s="612"/>
    </row>
    <row r="34" spans="1:16" x14ac:dyDescent="0.2">
      <c r="A34" s="561" t="s">
        <v>42</v>
      </c>
      <c r="B34" s="605">
        <v>0</v>
      </c>
      <c r="C34" s="605">
        <v>0</v>
      </c>
      <c r="D34" s="605">
        <v>0</v>
      </c>
      <c r="E34" s="605">
        <v>0</v>
      </c>
      <c r="F34" s="605">
        <v>0</v>
      </c>
      <c r="G34" s="605">
        <v>0</v>
      </c>
      <c r="H34" s="605">
        <v>0</v>
      </c>
      <c r="I34" s="605">
        <v>0</v>
      </c>
      <c r="J34" s="605">
        <v>0</v>
      </c>
      <c r="K34" s="605">
        <v>0</v>
      </c>
      <c r="L34" s="605">
        <v>0</v>
      </c>
      <c r="M34" s="605">
        <v>0</v>
      </c>
      <c r="N34" s="605">
        <v>0</v>
      </c>
      <c r="P34" s="612"/>
    </row>
    <row r="35" spans="1:16" x14ac:dyDescent="0.2">
      <c r="P35" s="612"/>
    </row>
    <row r="36" spans="1:16" x14ac:dyDescent="0.2">
      <c r="A36" s="560" t="s">
        <v>301</v>
      </c>
      <c r="B36" s="611"/>
      <c r="C36" s="611"/>
      <c r="D36" s="611"/>
      <c r="E36" s="611"/>
      <c r="F36" s="611"/>
      <c r="G36" s="611"/>
      <c r="H36" s="611"/>
      <c r="I36" s="611"/>
      <c r="J36" s="611"/>
      <c r="K36" s="611"/>
      <c r="L36" s="611"/>
      <c r="M36" s="611"/>
      <c r="N36" s="612"/>
      <c r="P36" s="612"/>
    </row>
    <row r="37" spans="1:16" x14ac:dyDescent="0.2">
      <c r="A37" s="561" t="s">
        <v>56</v>
      </c>
      <c r="B37" s="613">
        <v>451846.75324205903</v>
      </c>
      <c r="C37" s="613">
        <v>444605.11956579465</v>
      </c>
      <c r="D37" s="613">
        <v>405029.05748122861</v>
      </c>
      <c r="E37" s="613">
        <v>324833.19814565912</v>
      </c>
      <c r="F37" s="613">
        <v>305514.91201352666</v>
      </c>
      <c r="G37" s="613">
        <v>233682.60553026106</v>
      </c>
      <c r="H37" s="613">
        <v>220214.02136245969</v>
      </c>
      <c r="I37" s="613">
        <v>243039.47981603481</v>
      </c>
      <c r="J37" s="613">
        <v>234142.31041732067</v>
      </c>
      <c r="K37" s="613">
        <v>344165.58303362143</v>
      </c>
      <c r="L37" s="613">
        <v>402323.37806696421</v>
      </c>
      <c r="M37" s="613">
        <v>516354.96968920669</v>
      </c>
      <c r="N37" s="612">
        <f t="shared" ref="N37:N39" si="9">SUM(B37:M37)</f>
        <v>4125751.3883641367</v>
      </c>
    </row>
    <row r="38" spans="1:16" x14ac:dyDescent="0.2">
      <c r="A38" s="561" t="s">
        <v>57</v>
      </c>
      <c r="B38" s="613">
        <v>258411.56533585707</v>
      </c>
      <c r="C38" s="613">
        <v>254270.06851100363</v>
      </c>
      <c r="D38" s="613">
        <v>231636.48294305973</v>
      </c>
      <c r="E38" s="613">
        <v>185772.39872498214</v>
      </c>
      <c r="F38" s="613">
        <v>174724.25347840996</v>
      </c>
      <c r="G38" s="613">
        <v>133643.29267291827</v>
      </c>
      <c r="H38" s="613">
        <v>125940.59725088258</v>
      </c>
      <c r="I38" s="613">
        <v>138994.49750838231</v>
      </c>
      <c r="J38" s="613">
        <v>133906.1983120653</v>
      </c>
      <c r="K38" s="613">
        <v>196828.60706271773</v>
      </c>
      <c r="L38" s="613">
        <v>230089.10244796847</v>
      </c>
      <c r="M38" s="613">
        <v>295303.87244999403</v>
      </c>
      <c r="N38" s="612">
        <f t="shared" si="9"/>
        <v>2359520.9366982412</v>
      </c>
    </row>
    <row r="39" spans="1:16" x14ac:dyDescent="0.2">
      <c r="A39" s="561" t="s">
        <v>86</v>
      </c>
      <c r="B39" s="613">
        <v>347348.68142208399</v>
      </c>
      <c r="C39" s="613">
        <v>341781.81192320172</v>
      </c>
      <c r="D39" s="613">
        <v>311358.45957571169</v>
      </c>
      <c r="E39" s="613">
        <v>249709.40312935881</v>
      </c>
      <c r="F39" s="613">
        <v>234858.83450806339</v>
      </c>
      <c r="G39" s="613">
        <v>179639.1017968207</v>
      </c>
      <c r="H39" s="613">
        <v>169285.38138665777</v>
      </c>
      <c r="I39" s="613">
        <v>186832.02267558291</v>
      </c>
      <c r="J39" s="613">
        <v>179992.49127061406</v>
      </c>
      <c r="K39" s="613">
        <v>264570.80990366085</v>
      </c>
      <c r="L39" s="613">
        <v>309278.5194850674</v>
      </c>
      <c r="M39" s="613">
        <v>396938.15786079934</v>
      </c>
      <c r="N39" s="612">
        <f t="shared" si="9"/>
        <v>3171593.6749376226</v>
      </c>
    </row>
    <row r="40" spans="1:16" x14ac:dyDescent="0.2">
      <c r="A40" s="561" t="s">
        <v>6</v>
      </c>
      <c r="B40" s="614">
        <f>SUM(B37:B39)</f>
        <v>1057607</v>
      </c>
      <c r="C40" s="614">
        <f t="shared" ref="C40:N40" si="10">SUM(C37:C39)</f>
        <v>1040657</v>
      </c>
      <c r="D40" s="614">
        <f t="shared" si="10"/>
        <v>948024</v>
      </c>
      <c r="E40" s="614">
        <f t="shared" si="10"/>
        <v>760315</v>
      </c>
      <c r="F40" s="614">
        <f t="shared" si="10"/>
        <v>715098</v>
      </c>
      <c r="G40" s="614">
        <f t="shared" si="10"/>
        <v>546965</v>
      </c>
      <c r="H40" s="614">
        <f t="shared" si="10"/>
        <v>515440.00000000006</v>
      </c>
      <c r="I40" s="614">
        <f t="shared" si="10"/>
        <v>568866</v>
      </c>
      <c r="J40" s="614">
        <f t="shared" si="10"/>
        <v>548041</v>
      </c>
      <c r="K40" s="614">
        <f t="shared" si="10"/>
        <v>805565</v>
      </c>
      <c r="L40" s="614">
        <f t="shared" si="10"/>
        <v>941691</v>
      </c>
      <c r="M40" s="614">
        <f t="shared" si="10"/>
        <v>1208597</v>
      </c>
      <c r="N40" s="614">
        <f t="shared" si="10"/>
        <v>9656866</v>
      </c>
    </row>
    <row r="41" spans="1:16" x14ac:dyDescent="0.2">
      <c r="A41" s="561" t="s">
        <v>42</v>
      </c>
      <c r="B41" s="605">
        <v>0</v>
      </c>
      <c r="C41" s="605">
        <v>0</v>
      </c>
      <c r="D41" s="605">
        <v>0</v>
      </c>
      <c r="E41" s="605">
        <v>0</v>
      </c>
      <c r="F41" s="605">
        <v>0</v>
      </c>
      <c r="G41" s="605">
        <v>0</v>
      </c>
      <c r="H41" s="605">
        <v>0</v>
      </c>
      <c r="I41" s="605">
        <v>0</v>
      </c>
      <c r="J41" s="605">
        <v>0</v>
      </c>
      <c r="K41" s="605">
        <v>0</v>
      </c>
      <c r="L41" s="605">
        <v>0</v>
      </c>
      <c r="M41" s="605">
        <v>0</v>
      </c>
      <c r="N41" s="605">
        <v>0</v>
      </c>
    </row>
    <row r="42" spans="1:16" x14ac:dyDescent="0.2">
      <c r="A42" s="561"/>
      <c r="B42" s="611"/>
      <c r="C42" s="611"/>
      <c r="D42" s="611"/>
      <c r="E42" s="611"/>
      <c r="F42" s="611"/>
      <c r="G42" s="611"/>
      <c r="H42" s="611"/>
      <c r="I42" s="611"/>
      <c r="J42" s="611"/>
      <c r="K42" s="611"/>
      <c r="L42" s="611"/>
      <c r="M42" s="611"/>
      <c r="N42" s="612"/>
      <c r="P42" s="612"/>
    </row>
    <row r="43" spans="1:16" x14ac:dyDescent="0.2">
      <c r="A43" s="607" t="s">
        <v>302</v>
      </c>
      <c r="B43" s="611"/>
      <c r="C43" s="611"/>
      <c r="D43" s="611"/>
      <c r="E43" s="611"/>
      <c r="F43" s="611"/>
      <c r="G43" s="611"/>
      <c r="H43" s="611"/>
      <c r="I43" s="611"/>
      <c r="J43" s="611"/>
      <c r="K43" s="611"/>
      <c r="L43" s="611"/>
      <c r="M43" s="611"/>
      <c r="N43" s="612"/>
      <c r="P43" s="612"/>
    </row>
    <row r="44" spans="1:16" x14ac:dyDescent="0.2">
      <c r="A44" s="561" t="s">
        <v>56</v>
      </c>
      <c r="B44" s="613">
        <v>36914.522602558856</v>
      </c>
      <c r="C44" s="613">
        <v>42977.861926386126</v>
      </c>
      <c r="D44" s="613">
        <v>39300.636495828607</v>
      </c>
      <c r="E44" s="613">
        <v>28537.094939323237</v>
      </c>
      <c r="F44" s="613">
        <v>23457.154019207559</v>
      </c>
      <c r="G44" s="613">
        <v>24295.075066605037</v>
      </c>
      <c r="H44" s="613">
        <v>23421.854366572516</v>
      </c>
      <c r="I44" s="613">
        <v>23956.341026167756</v>
      </c>
      <c r="J44" s="613">
        <v>33765.722275083492</v>
      </c>
      <c r="K44" s="613">
        <v>37081.750249890523</v>
      </c>
      <c r="L44" s="613">
        <v>34074.861657250985</v>
      </c>
      <c r="M44" s="613">
        <v>40339.302032453648</v>
      </c>
      <c r="N44" s="612">
        <f t="shared" ref="N44:N46" si="11">SUM(B44:M44)</f>
        <v>388122.17665732827</v>
      </c>
      <c r="P44" s="612"/>
    </row>
    <row r="45" spans="1:16" x14ac:dyDescent="0.2">
      <c r="A45" s="561" t="s">
        <v>57</v>
      </c>
      <c r="B45" s="613">
        <v>11357.972963348486</v>
      </c>
      <c r="C45" s="613">
        <v>13223.559709494408</v>
      </c>
      <c r="D45" s="613">
        <v>12092.139767535989</v>
      </c>
      <c r="E45" s="613">
        <v>8780.3804552215588</v>
      </c>
      <c r="F45" s="613">
        <v>7217.3687308851322</v>
      </c>
      <c r="G45" s="613">
        <v>7475.1828357626928</v>
      </c>
      <c r="H45" s="613">
        <v>7206.5076260413543</v>
      </c>
      <c r="I45" s="613">
        <v>7370.9601125143172</v>
      </c>
      <c r="J45" s="613">
        <v>10389.140469657536</v>
      </c>
      <c r="K45" s="613">
        <v>11409.426076194264</v>
      </c>
      <c r="L45" s="613">
        <v>10484.257418137895</v>
      </c>
      <c r="M45" s="613">
        <v>12411.71954945443</v>
      </c>
      <c r="N45" s="612">
        <f t="shared" si="11"/>
        <v>119418.61571424807</v>
      </c>
      <c r="P45" s="612"/>
    </row>
    <row r="46" spans="1:16" x14ac:dyDescent="0.2">
      <c r="A46" s="561" t="s">
        <v>86</v>
      </c>
      <c r="B46" s="613">
        <v>55256.504434092662</v>
      </c>
      <c r="C46" s="613">
        <v>64332.578364119472</v>
      </c>
      <c r="D46" s="613">
        <v>58828.223736635402</v>
      </c>
      <c r="E46" s="613">
        <v>42716.524605455204</v>
      </c>
      <c r="F46" s="613">
        <v>35112.477249907308</v>
      </c>
      <c r="G46" s="613">
        <v>36366.742097632268</v>
      </c>
      <c r="H46" s="613">
        <v>35059.638007386129</v>
      </c>
      <c r="I46" s="613">
        <v>35859.698861317927</v>
      </c>
      <c r="J46" s="613">
        <v>50543.137255258975</v>
      </c>
      <c r="K46" s="613">
        <v>55506.823673915213</v>
      </c>
      <c r="L46" s="613">
        <v>51005.88092461112</v>
      </c>
      <c r="M46" s="613">
        <v>60382.978418091923</v>
      </c>
      <c r="N46" s="612">
        <f t="shared" si="11"/>
        <v>580971.20762842358</v>
      </c>
      <c r="P46" s="612"/>
    </row>
    <row r="47" spans="1:16" x14ac:dyDescent="0.2">
      <c r="A47" s="561" t="s">
        <v>6</v>
      </c>
      <c r="B47" s="614">
        <f>SUM(B44:B46)</f>
        <v>103529</v>
      </c>
      <c r="C47" s="614">
        <f t="shared" ref="C47:N47" si="12">SUM(C44:C46)</f>
        <v>120534</v>
      </c>
      <c r="D47" s="614">
        <f t="shared" si="12"/>
        <v>110221</v>
      </c>
      <c r="E47" s="614">
        <f t="shared" si="12"/>
        <v>80034</v>
      </c>
      <c r="F47" s="614">
        <f t="shared" si="12"/>
        <v>65787</v>
      </c>
      <c r="G47" s="614">
        <f t="shared" si="12"/>
        <v>68137</v>
      </c>
      <c r="H47" s="614">
        <f t="shared" si="12"/>
        <v>65688</v>
      </c>
      <c r="I47" s="614">
        <f t="shared" si="12"/>
        <v>67187</v>
      </c>
      <c r="J47" s="614">
        <f t="shared" si="12"/>
        <v>94698</v>
      </c>
      <c r="K47" s="614">
        <f t="shared" si="12"/>
        <v>103998</v>
      </c>
      <c r="L47" s="614">
        <f t="shared" si="12"/>
        <v>95565</v>
      </c>
      <c r="M47" s="614">
        <f t="shared" si="12"/>
        <v>113134</v>
      </c>
      <c r="N47" s="614">
        <f t="shared" si="12"/>
        <v>1088512</v>
      </c>
      <c r="P47" s="612"/>
    </row>
    <row r="48" spans="1:16" x14ac:dyDescent="0.2">
      <c r="A48" s="561" t="s">
        <v>42</v>
      </c>
      <c r="B48" s="605">
        <v>0</v>
      </c>
      <c r="C48" s="605">
        <v>0</v>
      </c>
      <c r="D48" s="605">
        <v>0</v>
      </c>
      <c r="E48" s="605">
        <v>0</v>
      </c>
      <c r="F48" s="605">
        <v>0</v>
      </c>
      <c r="G48" s="605">
        <v>0</v>
      </c>
      <c r="H48" s="605">
        <v>0</v>
      </c>
      <c r="I48" s="605">
        <v>0</v>
      </c>
      <c r="J48" s="605">
        <v>0</v>
      </c>
      <c r="K48" s="605">
        <v>0</v>
      </c>
      <c r="L48" s="605">
        <v>0</v>
      </c>
      <c r="M48" s="605">
        <v>0</v>
      </c>
      <c r="N48" s="605">
        <v>0</v>
      </c>
      <c r="P48" s="612"/>
    </row>
    <row r="49" spans="1:16" x14ac:dyDescent="0.2">
      <c r="P49" s="612"/>
    </row>
    <row r="50" spans="1:16" x14ac:dyDescent="0.2">
      <c r="A50" s="560" t="s">
        <v>85</v>
      </c>
      <c r="B50" s="611"/>
      <c r="C50" s="611"/>
      <c r="D50" s="611"/>
      <c r="E50" s="611"/>
      <c r="F50" s="611"/>
      <c r="G50" s="611"/>
      <c r="H50" s="611"/>
      <c r="I50" s="611"/>
      <c r="J50" s="611"/>
      <c r="K50" s="611"/>
      <c r="L50" s="611"/>
      <c r="M50" s="611"/>
      <c r="N50" s="612"/>
      <c r="P50" s="612"/>
    </row>
    <row r="51" spans="1:16" x14ac:dyDescent="0.2">
      <c r="A51" s="561" t="s">
        <v>56</v>
      </c>
      <c r="B51" s="613">
        <v>702408.96633841889</v>
      </c>
      <c r="C51" s="613">
        <v>702308.47261391347</v>
      </c>
      <c r="D51" s="613">
        <v>685021.9756268193</v>
      </c>
      <c r="E51" s="613">
        <v>681855.04397926573</v>
      </c>
      <c r="F51" s="613">
        <v>592687.55336509622</v>
      </c>
      <c r="G51" s="613">
        <v>576225.89310502168</v>
      </c>
      <c r="H51" s="613">
        <v>500426.03831526934</v>
      </c>
      <c r="I51" s="613">
        <v>514868.75994537666</v>
      </c>
      <c r="J51" s="613">
        <v>510776.89193933533</v>
      </c>
      <c r="K51" s="613">
        <v>576915.95001329272</v>
      </c>
      <c r="L51" s="613">
        <v>707611.3885235053</v>
      </c>
      <c r="M51" s="613">
        <v>706083.09572494728</v>
      </c>
      <c r="N51" s="612">
        <f t="shared" ref="N51:N53" si="13">SUM(B51:M51)</f>
        <v>7457190.0294902623</v>
      </c>
      <c r="P51" s="612"/>
    </row>
    <row r="52" spans="1:16" x14ac:dyDescent="0.2">
      <c r="A52" s="561" t="s">
        <v>57</v>
      </c>
      <c r="B52" s="613">
        <v>468208.27707923116</v>
      </c>
      <c r="C52" s="613">
        <v>468141.29047190858</v>
      </c>
      <c r="D52" s="613">
        <v>456618.5432421086</v>
      </c>
      <c r="E52" s="613">
        <v>454507.54568742425</v>
      </c>
      <c r="F52" s="613">
        <v>395070.72304893838</v>
      </c>
      <c r="G52" s="613">
        <v>384097.79138433927</v>
      </c>
      <c r="H52" s="613">
        <v>333571.50098264928</v>
      </c>
      <c r="I52" s="613">
        <v>343198.65857150825</v>
      </c>
      <c r="J52" s="613">
        <v>340471.12153687817</v>
      </c>
      <c r="K52" s="613">
        <v>384557.76608795451</v>
      </c>
      <c r="L52" s="613">
        <v>471676.08179792052</v>
      </c>
      <c r="M52" s="613">
        <v>470657.35998146137</v>
      </c>
      <c r="N52" s="612">
        <f t="shared" si="13"/>
        <v>4970776.6598723223</v>
      </c>
      <c r="O52" s="611"/>
      <c r="P52" s="612"/>
    </row>
    <row r="53" spans="1:16" x14ac:dyDescent="0.2">
      <c r="A53" s="561" t="s">
        <v>86</v>
      </c>
      <c r="B53" s="613">
        <v>611725.75658235</v>
      </c>
      <c r="C53" s="613">
        <v>611638.23691417812</v>
      </c>
      <c r="D53" s="613">
        <v>596583.48113107227</v>
      </c>
      <c r="E53" s="613">
        <v>593825.41033331014</v>
      </c>
      <c r="F53" s="613">
        <v>516169.72358596546</v>
      </c>
      <c r="G53" s="613">
        <v>501833.31551063916</v>
      </c>
      <c r="H53" s="613">
        <v>435819.46070208144</v>
      </c>
      <c r="I53" s="613">
        <v>448397.58148311515</v>
      </c>
      <c r="J53" s="613">
        <v>444833.98652378656</v>
      </c>
      <c r="K53" s="613">
        <v>502434.28389875282</v>
      </c>
      <c r="L53" s="613">
        <v>616256.52967857418</v>
      </c>
      <c r="M53" s="613">
        <v>614925.5442935914</v>
      </c>
      <c r="N53" s="612">
        <f t="shared" si="13"/>
        <v>6494443.3106374172</v>
      </c>
      <c r="P53" s="612"/>
    </row>
    <row r="54" spans="1:16" x14ac:dyDescent="0.2">
      <c r="A54" s="561" t="s">
        <v>6</v>
      </c>
      <c r="B54" s="614">
        <f>SUM(B51:B53)</f>
        <v>1782343</v>
      </c>
      <c r="C54" s="614">
        <f t="shared" ref="C54:N54" si="14">SUM(C51:C53)</f>
        <v>1782088.0000000002</v>
      </c>
      <c r="D54" s="614">
        <f t="shared" si="14"/>
        <v>1738224</v>
      </c>
      <c r="E54" s="614">
        <f t="shared" si="14"/>
        <v>1730188</v>
      </c>
      <c r="F54" s="614">
        <f t="shared" si="14"/>
        <v>1503928</v>
      </c>
      <c r="G54" s="614">
        <f t="shared" si="14"/>
        <v>1462157.0000000002</v>
      </c>
      <c r="H54" s="614">
        <f t="shared" si="14"/>
        <v>1269817</v>
      </c>
      <c r="I54" s="614">
        <f t="shared" si="14"/>
        <v>1306465</v>
      </c>
      <c r="J54" s="614">
        <f t="shared" si="14"/>
        <v>1296082</v>
      </c>
      <c r="K54" s="614">
        <f t="shared" si="14"/>
        <v>1463908</v>
      </c>
      <c r="L54" s="614">
        <f t="shared" si="14"/>
        <v>1795544</v>
      </c>
      <c r="M54" s="614">
        <f t="shared" si="14"/>
        <v>1791666</v>
      </c>
      <c r="N54" s="614">
        <f t="shared" si="14"/>
        <v>18922410.000000004</v>
      </c>
      <c r="P54" s="612"/>
    </row>
    <row r="55" spans="1:16" x14ac:dyDescent="0.2">
      <c r="A55" s="561" t="s">
        <v>42</v>
      </c>
      <c r="B55" s="605">
        <v>0</v>
      </c>
      <c r="C55" s="605">
        <v>0</v>
      </c>
      <c r="D55" s="605">
        <v>0</v>
      </c>
      <c r="E55" s="605">
        <v>0</v>
      </c>
      <c r="F55" s="605">
        <v>0</v>
      </c>
      <c r="G55" s="605">
        <v>0</v>
      </c>
      <c r="H55" s="605">
        <v>0</v>
      </c>
      <c r="I55" s="605">
        <v>0</v>
      </c>
      <c r="J55" s="605">
        <v>0</v>
      </c>
      <c r="K55" s="605">
        <v>0</v>
      </c>
      <c r="L55" s="605">
        <v>0</v>
      </c>
      <c r="M55" s="605">
        <v>0</v>
      </c>
      <c r="N55" s="605">
        <v>0</v>
      </c>
      <c r="P55" s="612"/>
    </row>
    <row r="56" spans="1:16" x14ac:dyDescent="0.2">
      <c r="A56" s="561"/>
      <c r="B56" s="611"/>
      <c r="C56" s="611"/>
      <c r="D56" s="611"/>
      <c r="E56" s="611"/>
      <c r="F56" s="611"/>
      <c r="G56" s="611"/>
      <c r="H56" s="611"/>
      <c r="I56" s="611"/>
      <c r="J56" s="611"/>
      <c r="K56" s="611"/>
      <c r="L56" s="611"/>
      <c r="M56" s="611"/>
      <c r="N56" s="612"/>
      <c r="P56" s="612"/>
    </row>
    <row r="57" spans="1:16" x14ac:dyDescent="0.2">
      <c r="A57" s="560" t="s">
        <v>87</v>
      </c>
      <c r="B57" s="611"/>
      <c r="C57" s="611"/>
      <c r="D57" s="611"/>
      <c r="E57" s="611"/>
      <c r="F57" s="611"/>
      <c r="G57" s="611"/>
      <c r="H57" s="611"/>
      <c r="I57" s="611"/>
      <c r="J57" s="611"/>
      <c r="K57" s="611"/>
      <c r="L57" s="611"/>
      <c r="M57" s="611"/>
      <c r="N57" s="612"/>
      <c r="P57" s="612"/>
    </row>
    <row r="58" spans="1:16" x14ac:dyDescent="0.2">
      <c r="A58" s="561" t="s">
        <v>56</v>
      </c>
      <c r="B58" s="613">
        <v>1132461.8634308889</v>
      </c>
      <c r="C58" s="613">
        <v>1473147.1429914464</v>
      </c>
      <c r="D58" s="613">
        <v>1056244.8644837628</v>
      </c>
      <c r="E58" s="613">
        <v>1252910.0509753537</v>
      </c>
      <c r="F58" s="613">
        <v>1129537.7553420917</v>
      </c>
      <c r="G58" s="613">
        <v>1255033.8804062996</v>
      </c>
      <c r="H58" s="613">
        <v>1178900.3212348127</v>
      </c>
      <c r="I58" s="613">
        <v>1163766.9808741456</v>
      </c>
      <c r="J58" s="613">
        <v>1180809.639501666</v>
      </c>
      <c r="K58" s="613">
        <v>1285251.5782633922</v>
      </c>
      <c r="L58" s="613">
        <v>1319558.1629396623</v>
      </c>
      <c r="M58" s="613">
        <v>1222144.4206644685</v>
      </c>
      <c r="N58" s="612">
        <f t="shared" ref="N58:N60" si="15">SUM(B58:M58)</f>
        <v>14649766.661107991</v>
      </c>
      <c r="P58" s="612"/>
    </row>
    <row r="59" spans="1:16" x14ac:dyDescent="0.2">
      <c r="A59" s="561" t="s">
        <v>57</v>
      </c>
      <c r="B59" s="613">
        <v>828830.10286979005</v>
      </c>
      <c r="C59" s="613">
        <v>1078172.0228254304</v>
      </c>
      <c r="D59" s="613">
        <v>773048.14224253199</v>
      </c>
      <c r="E59" s="613">
        <v>916984.13868916139</v>
      </c>
      <c r="F59" s="613">
        <v>826689.9965348203</v>
      </c>
      <c r="G59" s="613">
        <v>918538.53431392508</v>
      </c>
      <c r="H59" s="613">
        <v>862817.64187806461</v>
      </c>
      <c r="I59" s="613">
        <v>851741.80042774393</v>
      </c>
      <c r="J59" s="613">
        <v>864215.04033061187</v>
      </c>
      <c r="K59" s="613">
        <v>940654.36746658012</v>
      </c>
      <c r="L59" s="613">
        <v>965762.78923735826</v>
      </c>
      <c r="M59" s="613">
        <v>894467.28283834085</v>
      </c>
      <c r="N59" s="612">
        <f t="shared" si="15"/>
        <v>10721921.85965436</v>
      </c>
      <c r="P59" s="612"/>
    </row>
    <row r="60" spans="1:16" x14ac:dyDescent="0.2">
      <c r="A60" s="561" t="s">
        <v>86</v>
      </c>
      <c r="B60" s="613">
        <v>1391043.0336993211</v>
      </c>
      <c r="C60" s="613">
        <v>1809518.834183123</v>
      </c>
      <c r="D60" s="613">
        <v>1297422.993273705</v>
      </c>
      <c r="E60" s="613">
        <v>1538993.8103354848</v>
      </c>
      <c r="F60" s="613">
        <v>1387451.2481230879</v>
      </c>
      <c r="G60" s="613">
        <v>1541602.5852797751</v>
      </c>
      <c r="H60" s="613">
        <v>1448085.0368871226</v>
      </c>
      <c r="I60" s="613">
        <v>1429496.2186981102</v>
      </c>
      <c r="J60" s="613">
        <v>1450430.3201677219</v>
      </c>
      <c r="K60" s="613">
        <v>1578720.0542700277</v>
      </c>
      <c r="L60" s="613">
        <v>1620860.0478229793</v>
      </c>
      <c r="M60" s="613">
        <v>1501203.2964971904</v>
      </c>
      <c r="N60" s="612">
        <f t="shared" si="15"/>
        <v>17994827.479237646</v>
      </c>
      <c r="P60" s="612"/>
    </row>
    <row r="61" spans="1:16" s="612" customFormat="1" x14ac:dyDescent="0.2">
      <c r="A61" s="561" t="s">
        <v>6</v>
      </c>
      <c r="B61" s="614">
        <f>SUM(B58:B60)</f>
        <v>3352335</v>
      </c>
      <c r="C61" s="614">
        <f t="shared" ref="C61:N61" si="16">SUM(C58:C60)</f>
        <v>4360838</v>
      </c>
      <c r="D61" s="614">
        <f t="shared" si="16"/>
        <v>3126716</v>
      </c>
      <c r="E61" s="614">
        <f t="shared" si="16"/>
        <v>3708888</v>
      </c>
      <c r="F61" s="614">
        <f t="shared" si="16"/>
        <v>3343679</v>
      </c>
      <c r="G61" s="614">
        <f t="shared" si="16"/>
        <v>3715175</v>
      </c>
      <c r="H61" s="614">
        <f t="shared" si="16"/>
        <v>3489803</v>
      </c>
      <c r="I61" s="614">
        <f t="shared" si="16"/>
        <v>3445005</v>
      </c>
      <c r="J61" s="614">
        <f t="shared" si="16"/>
        <v>3495455</v>
      </c>
      <c r="K61" s="614">
        <f t="shared" si="16"/>
        <v>3804626</v>
      </c>
      <c r="L61" s="614">
        <f t="shared" si="16"/>
        <v>3906181</v>
      </c>
      <c r="M61" s="614">
        <f t="shared" si="16"/>
        <v>3617815</v>
      </c>
      <c r="N61" s="614">
        <f t="shared" si="16"/>
        <v>43366516</v>
      </c>
    </row>
    <row r="62" spans="1:16" x14ac:dyDescent="0.2">
      <c r="A62" s="561" t="s">
        <v>42</v>
      </c>
      <c r="B62" s="605">
        <v>0</v>
      </c>
      <c r="C62" s="605">
        <v>0</v>
      </c>
      <c r="D62" s="605">
        <v>0</v>
      </c>
      <c r="E62" s="605">
        <v>0</v>
      </c>
      <c r="F62" s="605">
        <v>0</v>
      </c>
      <c r="G62" s="605">
        <v>0</v>
      </c>
      <c r="H62" s="605">
        <v>0</v>
      </c>
      <c r="I62" s="605">
        <v>0</v>
      </c>
      <c r="J62" s="605">
        <v>0</v>
      </c>
      <c r="K62" s="605">
        <v>0</v>
      </c>
      <c r="L62" s="605">
        <v>0</v>
      </c>
      <c r="M62" s="605">
        <v>0</v>
      </c>
      <c r="N62" s="605">
        <v>0</v>
      </c>
      <c r="P62" s="612"/>
    </row>
    <row r="63" spans="1:16" x14ac:dyDescent="0.2">
      <c r="A63" s="561"/>
      <c r="B63" s="612"/>
      <c r="C63" s="612"/>
      <c r="D63" s="612"/>
      <c r="E63" s="612"/>
      <c r="F63" s="612"/>
      <c r="G63" s="612"/>
      <c r="H63" s="612"/>
      <c r="I63" s="612"/>
      <c r="J63" s="612"/>
      <c r="K63" s="612"/>
      <c r="L63" s="612"/>
      <c r="M63" s="612"/>
      <c r="N63" s="612"/>
      <c r="P63" s="612"/>
    </row>
    <row r="64" spans="1:16" x14ac:dyDescent="0.2">
      <c r="A64" s="560" t="s">
        <v>303</v>
      </c>
      <c r="B64" s="611"/>
      <c r="C64" s="611"/>
      <c r="D64" s="611"/>
      <c r="E64" s="611"/>
      <c r="F64" s="611"/>
      <c r="G64" s="611"/>
      <c r="H64" s="611"/>
      <c r="I64" s="611"/>
      <c r="J64" s="611"/>
      <c r="K64" s="611"/>
      <c r="L64" s="611"/>
      <c r="M64" s="611"/>
      <c r="N64" s="612"/>
      <c r="P64" s="612"/>
    </row>
    <row r="65" spans="1:16" x14ac:dyDescent="0.2">
      <c r="A65" s="561" t="s">
        <v>59</v>
      </c>
      <c r="B65" s="613">
        <v>132062.38367492249</v>
      </c>
      <c r="C65" s="613">
        <v>130672.86941484037</v>
      </c>
      <c r="D65" s="613">
        <v>121458.76386262813</v>
      </c>
      <c r="E65" s="613">
        <v>84016.869079536307</v>
      </c>
      <c r="F65" s="613">
        <v>71851.98906926105</v>
      </c>
      <c r="G65" s="613">
        <v>44303.135856997338</v>
      </c>
      <c r="H65" s="613">
        <v>32167.154524238602</v>
      </c>
      <c r="I65" s="613">
        <v>26120.197705418719</v>
      </c>
      <c r="J65" s="613">
        <v>28979.703555375771</v>
      </c>
      <c r="K65" s="613">
        <v>64934.779670545067</v>
      </c>
      <c r="L65" s="613">
        <v>99414.560008193992</v>
      </c>
      <c r="M65" s="613">
        <v>146970.80901904422</v>
      </c>
      <c r="N65" s="612">
        <f t="shared" ref="N65:N66" si="17">SUM(B65:M65)</f>
        <v>982953.21544100181</v>
      </c>
      <c r="P65" s="612"/>
    </row>
    <row r="66" spans="1:16" x14ac:dyDescent="0.2">
      <c r="A66" s="561" t="s">
        <v>89</v>
      </c>
      <c r="B66" s="613">
        <v>589972.6163250776</v>
      </c>
      <c r="C66" s="613">
        <v>583765.13058515964</v>
      </c>
      <c r="D66" s="613">
        <v>542602.23613737186</v>
      </c>
      <c r="E66" s="613">
        <v>375335.13092046371</v>
      </c>
      <c r="F66" s="613">
        <v>320990.01093073899</v>
      </c>
      <c r="G66" s="613">
        <v>197918.86414300266</v>
      </c>
      <c r="H66" s="613">
        <v>143702.84547576142</v>
      </c>
      <c r="I66" s="613">
        <v>116688.80229458128</v>
      </c>
      <c r="J66" s="613">
        <v>129463.29644462424</v>
      </c>
      <c r="K66" s="613">
        <v>290088.22032945493</v>
      </c>
      <c r="L66" s="613">
        <v>444122.43999180605</v>
      </c>
      <c r="M66" s="613">
        <v>656574.19098095584</v>
      </c>
      <c r="N66" s="612">
        <f t="shared" si="17"/>
        <v>4391223.7845589984</v>
      </c>
      <c r="P66" s="612"/>
    </row>
    <row r="67" spans="1:16" x14ac:dyDescent="0.2">
      <c r="A67" s="561" t="s">
        <v>6</v>
      </c>
      <c r="B67" s="614">
        <f>SUM(B65:B66)</f>
        <v>722035.00000000012</v>
      </c>
      <c r="C67" s="614">
        <f t="shared" ref="C67:N67" si="18">SUM(C65:C66)</f>
        <v>714438</v>
      </c>
      <c r="D67" s="614">
        <f t="shared" si="18"/>
        <v>664061</v>
      </c>
      <c r="E67" s="614">
        <f t="shared" si="18"/>
        <v>459352</v>
      </c>
      <c r="F67" s="614">
        <f t="shared" si="18"/>
        <v>392842.00000000006</v>
      </c>
      <c r="G67" s="614">
        <f t="shared" si="18"/>
        <v>242222</v>
      </c>
      <c r="H67" s="614">
        <f t="shared" si="18"/>
        <v>175870.00000000003</v>
      </c>
      <c r="I67" s="614">
        <f t="shared" si="18"/>
        <v>142809</v>
      </c>
      <c r="J67" s="614">
        <f t="shared" si="18"/>
        <v>158443</v>
      </c>
      <c r="K67" s="614">
        <f t="shared" si="18"/>
        <v>355023</v>
      </c>
      <c r="L67" s="614">
        <f t="shared" si="18"/>
        <v>543537</v>
      </c>
      <c r="M67" s="614">
        <f t="shared" si="18"/>
        <v>803545</v>
      </c>
      <c r="N67" s="614">
        <f t="shared" si="18"/>
        <v>5374177</v>
      </c>
      <c r="P67" s="612"/>
    </row>
    <row r="68" spans="1:16" s="612" customFormat="1" x14ac:dyDescent="0.2">
      <c r="A68" s="561" t="s">
        <v>42</v>
      </c>
      <c r="B68" s="605">
        <v>0</v>
      </c>
      <c r="C68" s="605">
        <v>0</v>
      </c>
      <c r="D68" s="605">
        <v>0</v>
      </c>
      <c r="E68" s="605">
        <v>0</v>
      </c>
      <c r="F68" s="605">
        <v>0</v>
      </c>
      <c r="G68" s="605">
        <v>0</v>
      </c>
      <c r="H68" s="605">
        <v>0</v>
      </c>
      <c r="I68" s="605">
        <v>0</v>
      </c>
      <c r="J68" s="605">
        <v>0</v>
      </c>
      <c r="K68" s="605">
        <v>0</v>
      </c>
      <c r="L68" s="605">
        <v>0</v>
      </c>
      <c r="M68" s="605">
        <v>0</v>
      </c>
      <c r="N68" s="605">
        <v>0</v>
      </c>
    </row>
    <row r="69" spans="1:16" x14ac:dyDescent="0.2">
      <c r="A69" s="561"/>
      <c r="B69" s="611"/>
      <c r="C69" s="611"/>
      <c r="D69" s="611"/>
      <c r="E69" s="611"/>
      <c r="F69" s="611"/>
      <c r="G69" s="611"/>
      <c r="H69" s="611"/>
      <c r="I69" s="611"/>
      <c r="J69" s="611"/>
      <c r="K69" s="611"/>
      <c r="L69" s="611"/>
      <c r="M69" s="611"/>
      <c r="N69" s="612"/>
      <c r="P69" s="612"/>
    </row>
    <row r="70" spans="1:16" x14ac:dyDescent="0.2">
      <c r="A70" s="560" t="s">
        <v>304</v>
      </c>
      <c r="B70" s="611"/>
      <c r="C70" s="611"/>
      <c r="D70" s="611"/>
      <c r="E70" s="611"/>
      <c r="F70" s="611"/>
      <c r="G70" s="611"/>
      <c r="H70" s="611"/>
      <c r="I70" s="611"/>
      <c r="J70" s="611"/>
      <c r="K70" s="611"/>
      <c r="L70" s="611"/>
      <c r="M70" s="611"/>
      <c r="N70" s="612"/>
      <c r="P70" s="612"/>
    </row>
    <row r="71" spans="1:16" x14ac:dyDescent="0.2">
      <c r="A71" s="561" t="s">
        <v>59</v>
      </c>
      <c r="B71" s="613">
        <v>2853.6242146474438</v>
      </c>
      <c r="C71" s="613">
        <v>3653.6028243990313</v>
      </c>
      <c r="D71" s="613">
        <v>3771.5572149361269</v>
      </c>
      <c r="E71" s="613">
        <v>2337.2869019850596</v>
      </c>
      <c r="F71" s="613">
        <v>2193.6303874398805</v>
      </c>
      <c r="G71" s="613">
        <v>1525.1456799796472</v>
      </c>
      <c r="H71" s="613">
        <v>1037.4937735762842</v>
      </c>
      <c r="I71" s="613">
        <v>950.06065529878708</v>
      </c>
      <c r="J71" s="613">
        <v>1176.5606231200197</v>
      </c>
      <c r="K71" s="613">
        <v>2169.3051629322304</v>
      </c>
      <c r="L71" s="613">
        <v>2530.9707650459718</v>
      </c>
      <c r="M71" s="613">
        <v>2244.3461857058305</v>
      </c>
      <c r="N71" s="612">
        <f t="shared" ref="N71:N72" si="19">SUM(B71:M71)</f>
        <v>26443.584389066309</v>
      </c>
      <c r="P71" s="612"/>
    </row>
    <row r="72" spans="1:16" x14ac:dyDescent="0.2">
      <c r="A72" s="561" t="s">
        <v>89</v>
      </c>
      <c r="B72" s="613">
        <v>9581.3757853525567</v>
      </c>
      <c r="C72" s="613">
        <v>12267.397175600971</v>
      </c>
      <c r="D72" s="613">
        <v>12663.442785063873</v>
      </c>
      <c r="E72" s="613">
        <v>7847.7130980149414</v>
      </c>
      <c r="F72" s="613">
        <v>7365.36961256012</v>
      </c>
      <c r="G72" s="613">
        <v>5120.854320020353</v>
      </c>
      <c r="H72" s="613">
        <v>3483.5062264237163</v>
      </c>
      <c r="I72" s="613">
        <v>3189.939344701213</v>
      </c>
      <c r="J72" s="613">
        <v>3950.4393768799805</v>
      </c>
      <c r="K72" s="613">
        <v>7283.6948370677701</v>
      </c>
      <c r="L72" s="613">
        <v>8498.0292349540287</v>
      </c>
      <c r="M72" s="613">
        <v>7535.6538142941699</v>
      </c>
      <c r="N72" s="612">
        <f t="shared" si="19"/>
        <v>88787.415610933676</v>
      </c>
      <c r="P72" s="612"/>
    </row>
    <row r="73" spans="1:16" x14ac:dyDescent="0.2">
      <c r="A73" s="561" t="s">
        <v>6</v>
      </c>
      <c r="B73" s="614">
        <f>SUM(B71:B72)</f>
        <v>12435</v>
      </c>
      <c r="C73" s="614">
        <f t="shared" ref="C73:N73" si="20">SUM(C71:C72)</f>
        <v>15921.000000000002</v>
      </c>
      <c r="D73" s="614">
        <f t="shared" si="20"/>
        <v>16435</v>
      </c>
      <c r="E73" s="614">
        <f t="shared" si="20"/>
        <v>10185</v>
      </c>
      <c r="F73" s="614">
        <f t="shared" si="20"/>
        <v>9559</v>
      </c>
      <c r="G73" s="614">
        <f t="shared" si="20"/>
        <v>6646</v>
      </c>
      <c r="H73" s="614">
        <f t="shared" si="20"/>
        <v>4521</v>
      </c>
      <c r="I73" s="614">
        <f t="shared" si="20"/>
        <v>4140</v>
      </c>
      <c r="J73" s="614">
        <f t="shared" si="20"/>
        <v>5127</v>
      </c>
      <c r="K73" s="614">
        <f t="shared" si="20"/>
        <v>9453</v>
      </c>
      <c r="L73" s="614">
        <f t="shared" si="20"/>
        <v>11029</v>
      </c>
      <c r="M73" s="614">
        <f t="shared" si="20"/>
        <v>9780</v>
      </c>
      <c r="N73" s="614">
        <f t="shared" si="20"/>
        <v>115230.99999999999</v>
      </c>
      <c r="P73" s="612"/>
    </row>
    <row r="74" spans="1:16" x14ac:dyDescent="0.2">
      <c r="A74" s="561" t="s">
        <v>42</v>
      </c>
      <c r="B74" s="605">
        <v>0</v>
      </c>
      <c r="C74" s="605">
        <v>0</v>
      </c>
      <c r="D74" s="605">
        <v>0</v>
      </c>
      <c r="E74" s="605">
        <v>0</v>
      </c>
      <c r="F74" s="605">
        <v>0</v>
      </c>
      <c r="G74" s="605">
        <v>0</v>
      </c>
      <c r="H74" s="605">
        <v>0</v>
      </c>
      <c r="I74" s="605">
        <v>0</v>
      </c>
      <c r="J74" s="605">
        <v>0</v>
      </c>
      <c r="K74" s="605">
        <v>0</v>
      </c>
      <c r="L74" s="605">
        <v>0</v>
      </c>
      <c r="M74" s="605">
        <v>0</v>
      </c>
      <c r="N74" s="605">
        <v>0</v>
      </c>
      <c r="P74" s="612"/>
    </row>
    <row r="75" spans="1:16" s="612" customFormat="1" x14ac:dyDescent="0.2"/>
    <row r="76" spans="1:16" s="612" customFormat="1" x14ac:dyDescent="0.2">
      <c r="A76" s="560" t="s">
        <v>305</v>
      </c>
      <c r="B76" s="611"/>
      <c r="C76" s="611"/>
      <c r="D76" s="611"/>
      <c r="E76" s="611"/>
      <c r="F76" s="611"/>
      <c r="G76" s="611"/>
      <c r="H76" s="611"/>
      <c r="I76" s="611"/>
      <c r="J76" s="611"/>
      <c r="K76" s="611"/>
      <c r="L76" s="611"/>
      <c r="M76" s="611"/>
    </row>
    <row r="77" spans="1:16" s="612" customFormat="1" x14ac:dyDescent="0.2">
      <c r="A77" s="561" t="s">
        <v>59</v>
      </c>
      <c r="B77" s="613">
        <v>0</v>
      </c>
      <c r="C77" s="613">
        <v>0</v>
      </c>
      <c r="D77" s="613">
        <v>0</v>
      </c>
      <c r="E77" s="613">
        <v>0</v>
      </c>
      <c r="F77" s="613">
        <v>0</v>
      </c>
      <c r="G77" s="613">
        <v>0</v>
      </c>
      <c r="H77" s="613">
        <v>0</v>
      </c>
      <c r="I77" s="613">
        <v>0</v>
      </c>
      <c r="J77" s="613">
        <v>0</v>
      </c>
      <c r="K77" s="613">
        <v>0</v>
      </c>
      <c r="L77" s="613">
        <v>0</v>
      </c>
      <c r="M77" s="613">
        <v>0</v>
      </c>
      <c r="N77" s="612">
        <f t="shared" ref="N77:N78" si="21">SUM(B77:M77)</f>
        <v>0</v>
      </c>
    </row>
    <row r="78" spans="1:16" s="612" customFormat="1" x14ac:dyDescent="0.2">
      <c r="A78" s="561" t="s">
        <v>89</v>
      </c>
      <c r="B78" s="613">
        <v>0</v>
      </c>
      <c r="C78" s="613">
        <v>0</v>
      </c>
      <c r="D78" s="613">
        <v>0</v>
      </c>
      <c r="E78" s="613">
        <v>0</v>
      </c>
      <c r="F78" s="613">
        <v>0</v>
      </c>
      <c r="G78" s="613">
        <v>0</v>
      </c>
      <c r="H78" s="613">
        <v>0</v>
      </c>
      <c r="I78" s="613">
        <v>0</v>
      </c>
      <c r="J78" s="613">
        <v>0</v>
      </c>
      <c r="K78" s="613">
        <v>0</v>
      </c>
      <c r="L78" s="613">
        <v>0</v>
      </c>
      <c r="M78" s="613">
        <v>0</v>
      </c>
      <c r="N78" s="612">
        <f t="shared" si="21"/>
        <v>0</v>
      </c>
    </row>
    <row r="79" spans="1:16" s="612" customFormat="1" x14ac:dyDescent="0.2">
      <c r="A79" s="561" t="s">
        <v>6</v>
      </c>
      <c r="B79" s="614">
        <f>SUM(B77:B78)</f>
        <v>0</v>
      </c>
      <c r="C79" s="614">
        <f t="shared" ref="C79:N79" si="22">SUM(C77:C78)</f>
        <v>0</v>
      </c>
      <c r="D79" s="614">
        <f t="shared" si="22"/>
        <v>0</v>
      </c>
      <c r="E79" s="614">
        <f t="shared" si="22"/>
        <v>0</v>
      </c>
      <c r="F79" s="614">
        <f t="shared" si="22"/>
        <v>0</v>
      </c>
      <c r="G79" s="614">
        <f t="shared" si="22"/>
        <v>0</v>
      </c>
      <c r="H79" s="614">
        <f t="shared" si="22"/>
        <v>0</v>
      </c>
      <c r="I79" s="614">
        <f t="shared" si="22"/>
        <v>0</v>
      </c>
      <c r="J79" s="614">
        <f t="shared" si="22"/>
        <v>0</v>
      </c>
      <c r="K79" s="614">
        <f t="shared" si="22"/>
        <v>0</v>
      </c>
      <c r="L79" s="614">
        <f t="shared" si="22"/>
        <v>0</v>
      </c>
      <c r="M79" s="614">
        <f t="shared" si="22"/>
        <v>0</v>
      </c>
      <c r="N79" s="614">
        <f t="shared" si="22"/>
        <v>0</v>
      </c>
    </row>
    <row r="80" spans="1:16" s="612" customFormat="1" x14ac:dyDescent="0.2">
      <c r="A80" s="561" t="s">
        <v>42</v>
      </c>
      <c r="B80" s="605">
        <v>0</v>
      </c>
      <c r="C80" s="605">
        <v>0</v>
      </c>
      <c r="D80" s="605">
        <v>0</v>
      </c>
      <c r="E80" s="605">
        <v>0</v>
      </c>
      <c r="F80" s="605">
        <v>0</v>
      </c>
      <c r="G80" s="605">
        <v>0</v>
      </c>
      <c r="H80" s="605">
        <v>0</v>
      </c>
      <c r="I80" s="605">
        <v>0</v>
      </c>
      <c r="J80" s="605">
        <v>0</v>
      </c>
      <c r="K80" s="605">
        <v>0</v>
      </c>
      <c r="L80" s="605">
        <v>0</v>
      </c>
      <c r="M80" s="605">
        <v>0</v>
      </c>
      <c r="N80" s="605">
        <v>0</v>
      </c>
    </row>
    <row r="81" spans="1:16" s="612" customFormat="1" x14ac:dyDescent="0.2"/>
    <row r="82" spans="1:16" x14ac:dyDescent="0.2">
      <c r="A82" s="560" t="s">
        <v>88</v>
      </c>
      <c r="B82" s="611"/>
      <c r="C82" s="611"/>
      <c r="D82" s="611"/>
      <c r="E82" s="611"/>
      <c r="F82" s="611"/>
      <c r="G82" s="611"/>
      <c r="H82" s="611"/>
      <c r="I82" s="611"/>
      <c r="J82" s="611"/>
      <c r="K82" s="611"/>
      <c r="L82" s="611"/>
      <c r="M82" s="611"/>
      <c r="N82" s="612"/>
      <c r="P82" s="612"/>
    </row>
    <row r="83" spans="1:16" x14ac:dyDescent="0.2">
      <c r="A83" s="561" t="s">
        <v>59</v>
      </c>
      <c r="B83" s="613">
        <v>4664.4763028871275</v>
      </c>
      <c r="C83" s="613">
        <v>6378.3900174758355</v>
      </c>
      <c r="D83" s="613">
        <v>3675.077956955327</v>
      </c>
      <c r="E83" s="613">
        <v>4721.2369408746054</v>
      </c>
      <c r="F83" s="613">
        <v>4287.1616953927114</v>
      </c>
      <c r="G83" s="613">
        <v>4823.5645831801266</v>
      </c>
      <c r="H83" s="613">
        <v>4798.0074372800063</v>
      </c>
      <c r="I83" s="613">
        <v>4499.6426177018539</v>
      </c>
      <c r="J83" s="613">
        <v>4582.6538125247262</v>
      </c>
      <c r="K83" s="613">
        <v>4447.2405627361031</v>
      </c>
      <c r="L83" s="613">
        <v>5174.9258099542658</v>
      </c>
      <c r="M83" s="613">
        <v>5273.0929866481392</v>
      </c>
      <c r="N83" s="612">
        <f t="shared" ref="N83:N84" si="23">SUM(B83:M83)</f>
        <v>57325.470723610815</v>
      </c>
      <c r="P83" s="612"/>
    </row>
    <row r="84" spans="1:16" x14ac:dyDescent="0.2">
      <c r="A84" s="561" t="s">
        <v>89</v>
      </c>
      <c r="B84" s="613">
        <v>42423.523697112869</v>
      </c>
      <c r="C84" s="613">
        <v>58011.609982524162</v>
      </c>
      <c r="D84" s="613">
        <v>33424.922043044673</v>
      </c>
      <c r="E84" s="613">
        <v>42939.763059125391</v>
      </c>
      <c r="F84" s="613">
        <v>38991.838304607285</v>
      </c>
      <c r="G84" s="613">
        <v>43870.43541681987</v>
      </c>
      <c r="H84" s="613">
        <v>43637.992562719992</v>
      </c>
      <c r="I84" s="613">
        <v>40924.357382298142</v>
      </c>
      <c r="J84" s="613">
        <v>41679.346187475268</v>
      </c>
      <c r="K84" s="613">
        <v>40447.759437263892</v>
      </c>
      <c r="L84" s="613">
        <v>47066.074190045729</v>
      </c>
      <c r="M84" s="613">
        <v>47958.907013351854</v>
      </c>
      <c r="N84" s="612">
        <f t="shared" si="23"/>
        <v>521376.5292763891</v>
      </c>
      <c r="P84" s="612"/>
    </row>
    <row r="85" spans="1:16" x14ac:dyDescent="0.2">
      <c r="A85" s="561" t="s">
        <v>6</v>
      </c>
      <c r="B85" s="614">
        <f>SUM(B83:B84)</f>
        <v>47088</v>
      </c>
      <c r="C85" s="614">
        <f t="shared" ref="C85:N85" si="24">SUM(C83:C84)</f>
        <v>64390</v>
      </c>
      <c r="D85" s="614">
        <f t="shared" si="24"/>
        <v>37100</v>
      </c>
      <c r="E85" s="614">
        <f t="shared" si="24"/>
        <v>47661</v>
      </c>
      <c r="F85" s="614">
        <f t="shared" si="24"/>
        <v>43279</v>
      </c>
      <c r="G85" s="614">
        <f t="shared" si="24"/>
        <v>48694</v>
      </c>
      <c r="H85" s="614">
        <f t="shared" si="24"/>
        <v>48436</v>
      </c>
      <c r="I85" s="614">
        <f t="shared" si="24"/>
        <v>45423.999999999993</v>
      </c>
      <c r="J85" s="614">
        <f t="shared" si="24"/>
        <v>46261.999999999993</v>
      </c>
      <c r="K85" s="614">
        <f t="shared" si="24"/>
        <v>44894.999999999993</v>
      </c>
      <c r="L85" s="614">
        <f t="shared" si="24"/>
        <v>52240.999999999993</v>
      </c>
      <c r="M85" s="614">
        <f t="shared" si="24"/>
        <v>53231.999999999993</v>
      </c>
      <c r="N85" s="614">
        <f t="shared" si="24"/>
        <v>578701.99999999988</v>
      </c>
      <c r="P85" s="612"/>
    </row>
    <row r="86" spans="1:16" x14ac:dyDescent="0.2">
      <c r="A86" s="561" t="s">
        <v>42</v>
      </c>
      <c r="B86" s="605">
        <v>0</v>
      </c>
      <c r="C86" s="605">
        <v>0</v>
      </c>
      <c r="D86" s="605">
        <v>0</v>
      </c>
      <c r="E86" s="605">
        <v>0</v>
      </c>
      <c r="F86" s="605">
        <v>0</v>
      </c>
      <c r="G86" s="605">
        <v>0</v>
      </c>
      <c r="H86" s="605">
        <v>0</v>
      </c>
      <c r="I86" s="605">
        <v>0</v>
      </c>
      <c r="J86" s="605">
        <v>0</v>
      </c>
      <c r="K86" s="605">
        <v>0</v>
      </c>
      <c r="L86" s="605">
        <v>0</v>
      </c>
      <c r="M86" s="605">
        <v>0</v>
      </c>
      <c r="N86" s="605">
        <v>0</v>
      </c>
      <c r="O86" s="611"/>
      <c r="P86" s="612"/>
    </row>
    <row r="87" spans="1:16" x14ac:dyDescent="0.2">
      <c r="P87" s="612"/>
    </row>
    <row r="88" spans="1:16" x14ac:dyDescent="0.2">
      <c r="A88" s="607" t="s">
        <v>306</v>
      </c>
      <c r="B88" s="611"/>
      <c r="C88" s="611"/>
      <c r="D88" s="611"/>
      <c r="E88" s="611"/>
      <c r="F88" s="611"/>
      <c r="G88" s="611"/>
      <c r="H88" s="611"/>
      <c r="I88" s="611"/>
      <c r="J88" s="611"/>
      <c r="K88" s="611"/>
      <c r="L88" s="611"/>
      <c r="M88" s="611"/>
      <c r="N88" s="612"/>
      <c r="P88" s="612"/>
    </row>
    <row r="89" spans="1:16" x14ac:dyDescent="0.2">
      <c r="A89" s="561" t="s">
        <v>56</v>
      </c>
      <c r="B89" s="615">
        <v>75000</v>
      </c>
      <c r="C89" s="615">
        <v>120833</v>
      </c>
      <c r="D89" s="615">
        <v>125000</v>
      </c>
      <c r="E89" s="615">
        <v>150000</v>
      </c>
      <c r="F89" s="615">
        <v>100000</v>
      </c>
      <c r="G89" s="615">
        <v>137193</v>
      </c>
      <c r="H89" s="615">
        <v>-1017125.9029999999</v>
      </c>
      <c r="I89" s="615">
        <v>1292125.9029999999</v>
      </c>
      <c r="J89" s="615">
        <v>97747.714000000007</v>
      </c>
      <c r="K89" s="615">
        <v>152252.28599999999</v>
      </c>
      <c r="L89" s="615">
        <v>125000</v>
      </c>
      <c r="M89" s="615">
        <v>154167</v>
      </c>
      <c r="N89" s="612">
        <f t="shared" ref="N89:N94" si="25">SUM(B89:M89)</f>
        <v>1512193</v>
      </c>
      <c r="P89" s="612"/>
    </row>
    <row r="90" spans="1:16" x14ac:dyDescent="0.2">
      <c r="A90" s="561" t="s">
        <v>57</v>
      </c>
      <c r="B90" s="615">
        <v>75000</v>
      </c>
      <c r="C90" s="615">
        <v>120834</v>
      </c>
      <c r="D90" s="615">
        <v>120886.97</v>
      </c>
      <c r="E90" s="615">
        <v>132928.747</v>
      </c>
      <c r="F90" s="615">
        <v>81115.681000000011</v>
      </c>
      <c r="G90" s="615">
        <v>125000</v>
      </c>
      <c r="H90" s="615">
        <v>138263.88800000001</v>
      </c>
      <c r="I90" s="615">
        <v>114769.96</v>
      </c>
      <c r="J90" s="615">
        <v>75002</v>
      </c>
      <c r="K90" s="615">
        <v>135048.86900000001</v>
      </c>
      <c r="L90" s="615">
        <v>125000</v>
      </c>
      <c r="M90" s="615">
        <v>154166</v>
      </c>
      <c r="N90" s="612">
        <f t="shared" si="25"/>
        <v>1398016.115</v>
      </c>
      <c r="P90" s="612"/>
    </row>
    <row r="91" spans="1:16" s="612" customFormat="1" x14ac:dyDescent="0.2">
      <c r="A91" s="561" t="s">
        <v>62</v>
      </c>
      <c r="B91" s="615">
        <v>154138.10149999999</v>
      </c>
      <c r="C91" s="615">
        <v>197476.399</v>
      </c>
      <c r="D91" s="615">
        <v>200000</v>
      </c>
      <c r="E91" s="615">
        <v>250000</v>
      </c>
      <c r="F91" s="615">
        <v>150000</v>
      </c>
      <c r="G91" s="615">
        <v>228529.04199999999</v>
      </c>
      <c r="H91" s="615">
        <v>214348.38500000001</v>
      </c>
      <c r="I91" s="615">
        <v>163083.65599999999</v>
      </c>
      <c r="J91" s="615">
        <v>107780.40999999999</v>
      </c>
      <c r="K91" s="615">
        <v>198857.35200000001</v>
      </c>
      <c r="L91" s="615">
        <v>205325.61499999999</v>
      </c>
      <c r="M91" s="615">
        <v>247351.13550000003</v>
      </c>
      <c r="N91" s="612">
        <f t="shared" si="25"/>
        <v>2316890.0959999999</v>
      </c>
    </row>
    <row r="92" spans="1:16" x14ac:dyDescent="0.2">
      <c r="A92" s="561" t="s">
        <v>63</v>
      </c>
      <c r="B92" s="615">
        <v>685530.91299999994</v>
      </c>
      <c r="C92" s="615">
        <v>336606.59600000002</v>
      </c>
      <c r="D92" s="615">
        <v>163767.62950000004</v>
      </c>
      <c r="E92" s="615">
        <v>656881.98849999998</v>
      </c>
      <c r="F92" s="615">
        <v>-9849.9674999999406</v>
      </c>
      <c r="G92" s="615">
        <v>168792.92300000001</v>
      </c>
      <c r="H92" s="615">
        <v>103073.18949999986</v>
      </c>
      <c r="I92" s="615">
        <v>3147.0750000000844</v>
      </c>
      <c r="J92" s="615">
        <v>11140.85749999994</v>
      </c>
      <c r="K92" s="615">
        <v>185283.242</v>
      </c>
      <c r="L92" s="615">
        <v>743315.86349999998</v>
      </c>
      <c r="M92" s="615">
        <v>-2433.4319999999716</v>
      </c>
      <c r="N92" s="612">
        <f t="shared" si="25"/>
        <v>3045256.878</v>
      </c>
      <c r="P92" s="612"/>
    </row>
    <row r="93" spans="1:16" x14ac:dyDescent="0.2">
      <c r="A93" s="561" t="s">
        <v>64</v>
      </c>
      <c r="B93" s="615">
        <v>83968.783500000107</v>
      </c>
      <c r="C93" s="615">
        <v>1449621.1384999999</v>
      </c>
      <c r="D93" s="615">
        <v>-762310.78599999985</v>
      </c>
      <c r="E93" s="615">
        <v>353323.82349999994</v>
      </c>
      <c r="F93" s="615">
        <v>246676.17650000006</v>
      </c>
      <c r="G93" s="615">
        <v>300000</v>
      </c>
      <c r="H93" s="615">
        <v>300000</v>
      </c>
      <c r="I93" s="615">
        <v>300000</v>
      </c>
      <c r="J93" s="615">
        <v>300000</v>
      </c>
      <c r="K93" s="615">
        <v>300000</v>
      </c>
      <c r="L93" s="615">
        <v>1132564.3785000001</v>
      </c>
      <c r="M93" s="615">
        <v>-211801.31150000013</v>
      </c>
      <c r="N93" s="612">
        <f t="shared" si="25"/>
        <v>3792042.2029999997</v>
      </c>
      <c r="P93" s="612"/>
    </row>
    <row r="94" spans="1:16" x14ac:dyDescent="0.2">
      <c r="A94" s="561" t="s">
        <v>91</v>
      </c>
      <c r="B94" s="616">
        <v>1925013.0963750002</v>
      </c>
      <c r="C94" s="616">
        <v>2395602.7268750002</v>
      </c>
      <c r="D94" s="616">
        <v>-77527.07513159755</v>
      </c>
      <c r="E94" s="616">
        <v>1179194.2217902783</v>
      </c>
      <c r="F94" s="616">
        <v>678757.63240902824</v>
      </c>
      <c r="G94" s="616">
        <v>752450.74679166637</v>
      </c>
      <c r="H94" s="616">
        <v>466226.03499999997</v>
      </c>
      <c r="I94" s="616">
        <v>442278.01499999966</v>
      </c>
      <c r="J94" s="616">
        <v>363689.65199999977</v>
      </c>
      <c r="K94" s="616">
        <v>361201.52079236228</v>
      </c>
      <c r="L94" s="616">
        <v>1748092.7404499995</v>
      </c>
      <c r="M94" s="616">
        <v>-479921.84199652972</v>
      </c>
      <c r="N94" s="612">
        <f t="shared" si="25"/>
        <v>9755057.4703552071</v>
      </c>
      <c r="P94" s="612"/>
    </row>
    <row r="95" spans="1:16" x14ac:dyDescent="0.2">
      <c r="A95" s="561" t="s">
        <v>6</v>
      </c>
      <c r="B95" s="614">
        <f>SUM(B89:B94)</f>
        <v>2998650.8943750001</v>
      </c>
      <c r="C95" s="614">
        <f t="shared" ref="C95:N95" si="26">SUM(C89:C94)</f>
        <v>4620973.8603750002</v>
      </c>
      <c r="D95" s="614">
        <f t="shared" si="26"/>
        <v>-230183.26163159739</v>
      </c>
      <c r="E95" s="614">
        <f t="shared" si="26"/>
        <v>2722328.7807902782</v>
      </c>
      <c r="F95" s="614">
        <f t="shared" si="26"/>
        <v>1246699.5224090284</v>
      </c>
      <c r="G95" s="614">
        <f t="shared" si="26"/>
        <v>1711965.7117916665</v>
      </c>
      <c r="H95" s="614">
        <f t="shared" si="26"/>
        <v>204785.59449999995</v>
      </c>
      <c r="I95" s="614">
        <f t="shared" si="26"/>
        <v>2315404.6089999997</v>
      </c>
      <c r="J95" s="614">
        <f t="shared" si="26"/>
        <v>955360.63349999976</v>
      </c>
      <c r="K95" s="614">
        <f t="shared" si="26"/>
        <v>1332643.2697923623</v>
      </c>
      <c r="L95" s="614">
        <f t="shared" si="26"/>
        <v>4079298.5974499993</v>
      </c>
      <c r="M95" s="614">
        <f t="shared" si="26"/>
        <v>-138472.44999652979</v>
      </c>
      <c r="N95" s="614">
        <f t="shared" si="26"/>
        <v>21819455.762355208</v>
      </c>
      <c r="P95" s="612"/>
    </row>
    <row r="96" spans="1:16" x14ac:dyDescent="0.2">
      <c r="A96" s="561" t="s">
        <v>42</v>
      </c>
      <c r="B96" s="605">
        <v>0</v>
      </c>
      <c r="C96" s="605">
        <v>0</v>
      </c>
      <c r="D96" s="605">
        <v>0</v>
      </c>
      <c r="E96" s="605">
        <v>0</v>
      </c>
      <c r="F96" s="605">
        <v>0</v>
      </c>
      <c r="G96" s="605">
        <v>0</v>
      </c>
      <c r="H96" s="605">
        <v>0</v>
      </c>
      <c r="I96" s="605">
        <v>0</v>
      </c>
      <c r="J96" s="605">
        <v>0</v>
      </c>
      <c r="K96" s="605">
        <v>0</v>
      </c>
      <c r="L96" s="605">
        <v>0</v>
      </c>
      <c r="M96" s="605">
        <v>0</v>
      </c>
      <c r="N96" s="605">
        <v>0</v>
      </c>
      <c r="O96" s="611"/>
      <c r="P96" s="612"/>
    </row>
    <row r="97" spans="1:16" x14ac:dyDescent="0.2">
      <c r="A97" s="561"/>
      <c r="B97" s="611"/>
      <c r="C97" s="611"/>
      <c r="D97" s="611"/>
      <c r="E97" s="611"/>
      <c r="F97" s="611"/>
      <c r="G97" s="611"/>
      <c r="H97" s="611"/>
      <c r="I97" s="611"/>
      <c r="J97" s="611"/>
      <c r="K97" s="611"/>
      <c r="L97" s="611"/>
      <c r="M97" s="611"/>
      <c r="N97" s="612"/>
      <c r="P97" s="612"/>
    </row>
    <row r="98" spans="1:16" x14ac:dyDescent="0.2">
      <c r="A98" s="607" t="s">
        <v>307</v>
      </c>
      <c r="B98" s="611"/>
      <c r="C98" s="611"/>
      <c r="D98" s="611"/>
      <c r="E98" s="611"/>
      <c r="F98" s="611"/>
      <c r="G98" s="611"/>
      <c r="H98" s="611"/>
      <c r="I98" s="611"/>
      <c r="J98" s="611"/>
      <c r="K98" s="611"/>
      <c r="L98" s="611"/>
      <c r="M98" s="611"/>
      <c r="N98" s="612"/>
      <c r="P98" s="612"/>
    </row>
    <row r="99" spans="1:16" x14ac:dyDescent="0.2">
      <c r="A99" s="561" t="s">
        <v>56</v>
      </c>
      <c r="B99" s="613">
        <v>0</v>
      </c>
      <c r="C99" s="613">
        <v>0</v>
      </c>
      <c r="D99" s="613">
        <v>0</v>
      </c>
      <c r="E99" s="613">
        <v>0</v>
      </c>
      <c r="F99" s="613">
        <v>0</v>
      </c>
      <c r="G99" s="613">
        <v>0</v>
      </c>
      <c r="H99" s="613">
        <v>0</v>
      </c>
      <c r="I99" s="613">
        <v>0</v>
      </c>
      <c r="J99" s="613">
        <v>0</v>
      </c>
      <c r="K99" s="613">
        <v>0</v>
      </c>
      <c r="L99" s="613">
        <v>0</v>
      </c>
      <c r="M99" s="613">
        <v>0</v>
      </c>
      <c r="N99" s="612">
        <f>SUM(B99:M99)</f>
        <v>0</v>
      </c>
      <c r="P99" s="612"/>
    </row>
    <row r="100" spans="1:16" x14ac:dyDescent="0.2">
      <c r="A100" s="561" t="s">
        <v>57</v>
      </c>
      <c r="B100" s="613">
        <v>0</v>
      </c>
      <c r="C100" s="613">
        <v>0</v>
      </c>
      <c r="D100" s="613">
        <v>0</v>
      </c>
      <c r="E100" s="613">
        <v>0</v>
      </c>
      <c r="F100" s="613">
        <v>0</v>
      </c>
      <c r="G100" s="613">
        <v>0</v>
      </c>
      <c r="H100" s="613">
        <v>0</v>
      </c>
      <c r="I100" s="613">
        <v>0</v>
      </c>
      <c r="J100" s="613">
        <v>0</v>
      </c>
      <c r="K100" s="613">
        <v>0</v>
      </c>
      <c r="L100" s="613">
        <v>0</v>
      </c>
      <c r="M100" s="613">
        <v>0</v>
      </c>
      <c r="N100" s="612">
        <f t="shared" ref="N100:N104" si="27">SUM(B100:M100)</f>
        <v>0</v>
      </c>
      <c r="P100" s="612"/>
    </row>
    <row r="101" spans="1:16" x14ac:dyDescent="0.2">
      <c r="A101" s="561" t="s">
        <v>62</v>
      </c>
      <c r="B101" s="613">
        <v>0</v>
      </c>
      <c r="C101" s="613">
        <v>0</v>
      </c>
      <c r="D101" s="613">
        <v>0</v>
      </c>
      <c r="E101" s="613">
        <v>0</v>
      </c>
      <c r="F101" s="613">
        <v>0</v>
      </c>
      <c r="G101" s="613">
        <v>0</v>
      </c>
      <c r="H101" s="613">
        <v>0</v>
      </c>
      <c r="I101" s="613">
        <v>0</v>
      </c>
      <c r="J101" s="613">
        <v>0</v>
      </c>
      <c r="K101" s="613">
        <v>0</v>
      </c>
      <c r="L101" s="613">
        <v>0</v>
      </c>
      <c r="M101" s="613">
        <v>0</v>
      </c>
      <c r="N101" s="612">
        <f t="shared" si="27"/>
        <v>0</v>
      </c>
      <c r="P101" s="612"/>
    </row>
    <row r="102" spans="1:16" x14ac:dyDescent="0.2">
      <c r="A102" s="561" t="s">
        <v>63</v>
      </c>
      <c r="B102" s="613">
        <v>0</v>
      </c>
      <c r="C102" s="613">
        <v>0</v>
      </c>
      <c r="D102" s="613">
        <v>0</v>
      </c>
      <c r="E102" s="613">
        <v>0</v>
      </c>
      <c r="F102" s="613">
        <v>0</v>
      </c>
      <c r="G102" s="613">
        <v>0</v>
      </c>
      <c r="H102" s="613">
        <v>0</v>
      </c>
      <c r="I102" s="613">
        <v>0</v>
      </c>
      <c r="J102" s="613">
        <v>0</v>
      </c>
      <c r="K102" s="613">
        <v>0</v>
      </c>
      <c r="L102" s="613">
        <v>0</v>
      </c>
      <c r="M102" s="613">
        <v>0</v>
      </c>
      <c r="N102" s="612">
        <f t="shared" si="27"/>
        <v>0</v>
      </c>
      <c r="P102" s="612"/>
    </row>
    <row r="103" spans="1:16" x14ac:dyDescent="0.2">
      <c r="A103" s="561" t="s">
        <v>64</v>
      </c>
      <c r="B103" s="613">
        <v>0</v>
      </c>
      <c r="C103" s="613">
        <v>0</v>
      </c>
      <c r="D103" s="613">
        <v>0</v>
      </c>
      <c r="E103" s="613">
        <v>0</v>
      </c>
      <c r="F103" s="613">
        <v>0</v>
      </c>
      <c r="G103" s="613">
        <v>0</v>
      </c>
      <c r="H103" s="613">
        <v>0</v>
      </c>
      <c r="I103" s="613">
        <v>0</v>
      </c>
      <c r="J103" s="613">
        <v>0</v>
      </c>
      <c r="K103" s="613">
        <v>0</v>
      </c>
      <c r="L103" s="613">
        <v>0</v>
      </c>
      <c r="M103" s="613">
        <v>0</v>
      </c>
      <c r="N103" s="612">
        <f t="shared" si="27"/>
        <v>0</v>
      </c>
      <c r="P103" s="612"/>
    </row>
    <row r="104" spans="1:16" x14ac:dyDescent="0.2">
      <c r="A104" s="561" t="s">
        <v>91</v>
      </c>
      <c r="B104" s="613">
        <v>0</v>
      </c>
      <c r="C104" s="613">
        <v>0</v>
      </c>
      <c r="D104" s="613">
        <v>0</v>
      </c>
      <c r="E104" s="613">
        <v>0</v>
      </c>
      <c r="F104" s="613">
        <v>0</v>
      </c>
      <c r="G104" s="613">
        <v>0</v>
      </c>
      <c r="H104" s="613">
        <v>0</v>
      </c>
      <c r="I104" s="613">
        <v>0</v>
      </c>
      <c r="J104" s="613">
        <v>0</v>
      </c>
      <c r="K104" s="613">
        <v>0</v>
      </c>
      <c r="L104" s="613">
        <v>0</v>
      </c>
      <c r="M104" s="613">
        <v>0</v>
      </c>
      <c r="N104" s="612">
        <f t="shared" si="27"/>
        <v>0</v>
      </c>
      <c r="P104" s="612"/>
    </row>
    <row r="105" spans="1:16" x14ac:dyDescent="0.2">
      <c r="A105" s="561" t="s">
        <v>6</v>
      </c>
      <c r="B105" s="614">
        <f>SUM(B99:B104)</f>
        <v>0</v>
      </c>
      <c r="C105" s="614">
        <f t="shared" ref="C105:N105" si="28">SUM(C99:C104)</f>
        <v>0</v>
      </c>
      <c r="D105" s="614">
        <f t="shared" si="28"/>
        <v>0</v>
      </c>
      <c r="E105" s="614">
        <f t="shared" si="28"/>
        <v>0</v>
      </c>
      <c r="F105" s="614">
        <f t="shared" si="28"/>
        <v>0</v>
      </c>
      <c r="G105" s="614">
        <f t="shared" si="28"/>
        <v>0</v>
      </c>
      <c r="H105" s="614">
        <f t="shared" si="28"/>
        <v>0</v>
      </c>
      <c r="I105" s="614">
        <f t="shared" si="28"/>
        <v>0</v>
      </c>
      <c r="J105" s="614">
        <f t="shared" si="28"/>
        <v>0</v>
      </c>
      <c r="K105" s="614">
        <f t="shared" si="28"/>
        <v>0</v>
      </c>
      <c r="L105" s="614">
        <f t="shared" si="28"/>
        <v>0</v>
      </c>
      <c r="M105" s="614">
        <f t="shared" si="28"/>
        <v>0</v>
      </c>
      <c r="N105" s="614">
        <f t="shared" si="28"/>
        <v>0</v>
      </c>
      <c r="P105" s="612"/>
    </row>
    <row r="106" spans="1:16" x14ac:dyDescent="0.2">
      <c r="A106" s="561" t="s">
        <v>42</v>
      </c>
      <c r="B106" s="605">
        <v>0</v>
      </c>
      <c r="C106" s="605">
        <v>0</v>
      </c>
      <c r="D106" s="605">
        <v>0</v>
      </c>
      <c r="E106" s="605">
        <v>0</v>
      </c>
      <c r="F106" s="605">
        <v>0</v>
      </c>
      <c r="G106" s="605">
        <v>0</v>
      </c>
      <c r="H106" s="605">
        <v>0</v>
      </c>
      <c r="I106" s="605">
        <v>0</v>
      </c>
      <c r="J106" s="605">
        <v>0</v>
      </c>
      <c r="K106" s="605">
        <v>0</v>
      </c>
      <c r="L106" s="605">
        <v>0</v>
      </c>
      <c r="M106" s="605">
        <v>0</v>
      </c>
      <c r="N106" s="605">
        <v>0</v>
      </c>
      <c r="P106" s="612"/>
    </row>
    <row r="107" spans="1:16" x14ac:dyDescent="0.2">
      <c r="P107" s="612"/>
    </row>
    <row r="108" spans="1:16" x14ac:dyDescent="0.2">
      <c r="A108" s="560" t="s">
        <v>90</v>
      </c>
      <c r="B108" s="611"/>
      <c r="C108" s="611"/>
      <c r="D108" s="611"/>
      <c r="E108" s="611"/>
      <c r="F108" s="611"/>
      <c r="G108" s="611"/>
      <c r="H108" s="611"/>
      <c r="I108" s="611"/>
      <c r="J108" s="611"/>
      <c r="K108" s="611"/>
      <c r="L108" s="611"/>
      <c r="M108" s="611"/>
      <c r="N108" s="612"/>
      <c r="P108" s="612"/>
    </row>
    <row r="109" spans="1:16" x14ac:dyDescent="0.2">
      <c r="A109" s="561" t="s">
        <v>56</v>
      </c>
      <c r="B109" s="615">
        <v>32799.790000000008</v>
      </c>
      <c r="C109" s="615">
        <v>25000</v>
      </c>
      <c r="D109" s="615">
        <v>125000</v>
      </c>
      <c r="E109" s="615">
        <v>71825.149999999994</v>
      </c>
      <c r="F109" s="615">
        <v>74052.44</v>
      </c>
      <c r="G109" s="615">
        <v>71234.03</v>
      </c>
      <c r="H109" s="615">
        <v>74846.930000000008</v>
      </c>
      <c r="I109" s="615">
        <v>75036.009999999995</v>
      </c>
      <c r="J109" s="615">
        <v>74865.759999999995</v>
      </c>
      <c r="K109" s="615">
        <v>78926</v>
      </c>
      <c r="L109" s="615">
        <v>3003.3500000000058</v>
      </c>
      <c r="M109" s="615">
        <v>192200.21</v>
      </c>
      <c r="N109" s="612">
        <f t="shared" ref="N109:N114" si="29">SUM(B109:M109)</f>
        <v>898789.66999999993</v>
      </c>
      <c r="P109" s="612"/>
    </row>
    <row r="110" spans="1:16" x14ac:dyDescent="0.2">
      <c r="A110" s="561" t="s">
        <v>57</v>
      </c>
      <c r="B110" s="615">
        <v>27744.739999999991</v>
      </c>
      <c r="C110" s="615">
        <v>47255.260000000009</v>
      </c>
      <c r="D110" s="615">
        <v>102133.38</v>
      </c>
      <c r="E110" s="615">
        <v>72866.62</v>
      </c>
      <c r="F110" s="615">
        <v>75000</v>
      </c>
      <c r="G110" s="615">
        <v>75000</v>
      </c>
      <c r="H110" s="615">
        <v>75000</v>
      </c>
      <c r="I110" s="615">
        <v>75000</v>
      </c>
      <c r="J110" s="615">
        <v>75000</v>
      </c>
      <c r="K110" s="615">
        <v>75000</v>
      </c>
      <c r="L110" s="615">
        <v>25000</v>
      </c>
      <c r="M110" s="615">
        <v>175000</v>
      </c>
      <c r="N110" s="612">
        <f t="shared" si="29"/>
        <v>900000</v>
      </c>
      <c r="P110" s="612"/>
    </row>
    <row r="111" spans="1:16" x14ac:dyDescent="0.2">
      <c r="A111" s="561" t="s">
        <v>62</v>
      </c>
      <c r="B111" s="615">
        <v>668.61000000000058</v>
      </c>
      <c r="C111" s="615">
        <v>149331.39000000001</v>
      </c>
      <c r="D111" s="615">
        <v>200000</v>
      </c>
      <c r="E111" s="615">
        <v>150000</v>
      </c>
      <c r="F111" s="615">
        <v>150000</v>
      </c>
      <c r="G111" s="615">
        <v>150000</v>
      </c>
      <c r="H111" s="615">
        <v>150000</v>
      </c>
      <c r="I111" s="615">
        <v>150000</v>
      </c>
      <c r="J111" s="615">
        <v>150000</v>
      </c>
      <c r="K111" s="615">
        <v>150000</v>
      </c>
      <c r="L111" s="615">
        <v>50000</v>
      </c>
      <c r="M111" s="615">
        <v>350000</v>
      </c>
      <c r="N111" s="612">
        <f t="shared" si="29"/>
        <v>1800000</v>
      </c>
      <c r="P111" s="612"/>
    </row>
    <row r="112" spans="1:16" x14ac:dyDescent="0.2">
      <c r="A112" s="561" t="s">
        <v>63</v>
      </c>
      <c r="B112" s="615">
        <v>-30954.599999999991</v>
      </c>
      <c r="C112" s="615">
        <v>300000</v>
      </c>
      <c r="D112" s="615">
        <v>347720.09</v>
      </c>
      <c r="E112" s="615">
        <v>266512.84999999998</v>
      </c>
      <c r="F112" s="615">
        <v>268671.90999999992</v>
      </c>
      <c r="G112" s="615">
        <v>234746.91999999998</v>
      </c>
      <c r="H112" s="615">
        <v>233993.21000000008</v>
      </c>
      <c r="I112" s="615">
        <v>222859.59000000003</v>
      </c>
      <c r="J112" s="615">
        <v>224288.62999999989</v>
      </c>
      <c r="K112" s="615">
        <v>275790.02</v>
      </c>
      <c r="L112" s="615">
        <v>100000.00000000006</v>
      </c>
      <c r="M112" s="615">
        <v>644400.64000000001</v>
      </c>
      <c r="N112" s="612">
        <f t="shared" si="29"/>
        <v>3088029.2600000002</v>
      </c>
      <c r="P112" s="612"/>
    </row>
    <row r="113" spans="1:16" x14ac:dyDescent="0.2">
      <c r="A113" s="561" t="s">
        <v>64</v>
      </c>
      <c r="B113" s="615">
        <v>-42635.95</v>
      </c>
      <c r="C113" s="615">
        <v>478617.5</v>
      </c>
      <c r="D113" s="615">
        <v>388489.63000000006</v>
      </c>
      <c r="E113" s="615">
        <v>316630.56999999989</v>
      </c>
      <c r="F113" s="615">
        <v>307937.07000000012</v>
      </c>
      <c r="G113" s="615">
        <v>299999.99999999994</v>
      </c>
      <c r="H113" s="615">
        <v>300000</v>
      </c>
      <c r="I113" s="615">
        <v>300000</v>
      </c>
      <c r="J113" s="615">
        <v>300000</v>
      </c>
      <c r="K113" s="615">
        <v>306597.63</v>
      </c>
      <c r="L113" s="615">
        <v>68517.88</v>
      </c>
      <c r="M113" s="615">
        <v>1023846.24</v>
      </c>
      <c r="N113" s="612">
        <f t="shared" si="29"/>
        <v>4048000.5700000003</v>
      </c>
      <c r="P113" s="612"/>
    </row>
    <row r="114" spans="1:16" x14ac:dyDescent="0.2">
      <c r="A114" s="561" t="s">
        <v>91</v>
      </c>
      <c r="B114" s="616">
        <v>1677744.488270832</v>
      </c>
      <c r="C114" s="616">
        <v>762945.57275000063</v>
      </c>
      <c r="D114" s="616">
        <v>727653.17012583325</v>
      </c>
      <c r="E114" s="616">
        <v>596936.27261875034</v>
      </c>
      <c r="F114" s="616">
        <v>399164.53478416661</v>
      </c>
      <c r="G114" s="616">
        <v>106499.62004500045</v>
      </c>
      <c r="H114" s="616">
        <v>185797.06000000006</v>
      </c>
      <c r="I114" s="616">
        <v>159830.82999999984</v>
      </c>
      <c r="J114" s="616">
        <v>173678.64000000036</v>
      </c>
      <c r="K114" s="616">
        <v>449077.9405979173</v>
      </c>
      <c r="L114" s="616">
        <v>16601.370834999281</v>
      </c>
      <c r="M114" s="616">
        <v>835617.99545208178</v>
      </c>
      <c r="N114" s="612">
        <f t="shared" si="29"/>
        <v>6091547.4954795819</v>
      </c>
      <c r="P114" s="612"/>
    </row>
    <row r="115" spans="1:16" x14ac:dyDescent="0.2">
      <c r="A115" s="561" t="s">
        <v>6</v>
      </c>
      <c r="B115" s="614">
        <f>SUM(B109:B114)</f>
        <v>1665367.0782708321</v>
      </c>
      <c r="C115" s="614">
        <f t="shared" ref="C115:N115" si="30">SUM(C109:C114)</f>
        <v>1763149.7227500007</v>
      </c>
      <c r="D115" s="614">
        <f t="shared" si="30"/>
        <v>1890996.2701258333</v>
      </c>
      <c r="E115" s="614">
        <f t="shared" si="30"/>
        <v>1474771.4626187503</v>
      </c>
      <c r="F115" s="614">
        <f t="shared" si="30"/>
        <v>1274825.9547841665</v>
      </c>
      <c r="G115" s="614">
        <f t="shared" si="30"/>
        <v>937480.57004500041</v>
      </c>
      <c r="H115" s="614">
        <f t="shared" si="30"/>
        <v>1019637.2000000002</v>
      </c>
      <c r="I115" s="614">
        <f t="shared" si="30"/>
        <v>982726.42999999993</v>
      </c>
      <c r="J115" s="614">
        <f t="shared" si="30"/>
        <v>997833.03000000026</v>
      </c>
      <c r="K115" s="614">
        <f t="shared" si="30"/>
        <v>1335391.5905979173</v>
      </c>
      <c r="L115" s="614">
        <f t="shared" si="30"/>
        <v>263122.60083499935</v>
      </c>
      <c r="M115" s="614">
        <f t="shared" si="30"/>
        <v>3221065.0854520816</v>
      </c>
      <c r="N115" s="614">
        <f t="shared" si="30"/>
        <v>16826366.995479584</v>
      </c>
      <c r="P115" s="612"/>
    </row>
    <row r="116" spans="1:16" x14ac:dyDescent="0.2">
      <c r="A116" s="561" t="s">
        <v>42</v>
      </c>
      <c r="B116" s="605">
        <v>0</v>
      </c>
      <c r="C116" s="605">
        <v>0</v>
      </c>
      <c r="D116" s="605">
        <v>0</v>
      </c>
      <c r="E116" s="605">
        <v>0</v>
      </c>
      <c r="F116" s="605">
        <v>0</v>
      </c>
      <c r="G116" s="605">
        <v>0</v>
      </c>
      <c r="H116" s="605">
        <v>0</v>
      </c>
      <c r="I116" s="605">
        <v>0</v>
      </c>
      <c r="J116" s="605">
        <v>0</v>
      </c>
      <c r="K116" s="605">
        <v>0</v>
      </c>
      <c r="L116" s="605">
        <v>0</v>
      </c>
      <c r="M116" s="605">
        <v>0</v>
      </c>
      <c r="N116" s="605">
        <v>0</v>
      </c>
      <c r="P116" s="612"/>
    </row>
    <row r="117" spans="1:16" x14ac:dyDescent="0.2">
      <c r="A117" s="561"/>
      <c r="B117" s="611"/>
      <c r="C117" s="611"/>
      <c r="D117" s="611"/>
      <c r="E117" s="611"/>
      <c r="F117" s="611"/>
      <c r="G117" s="611"/>
      <c r="H117" s="611"/>
      <c r="I117" s="611"/>
      <c r="J117" s="611"/>
      <c r="K117" s="611"/>
      <c r="L117" s="611"/>
      <c r="M117" s="611"/>
      <c r="N117" s="612"/>
      <c r="P117" s="612"/>
    </row>
    <row r="118" spans="1:16" x14ac:dyDescent="0.2">
      <c r="A118" s="560" t="s">
        <v>92</v>
      </c>
      <c r="B118" s="611"/>
      <c r="C118" s="611"/>
      <c r="D118" s="611"/>
      <c r="E118" s="611"/>
      <c r="F118" s="611"/>
      <c r="G118" s="611"/>
      <c r="H118" s="611"/>
      <c r="I118" s="611"/>
      <c r="J118" s="611"/>
      <c r="K118" s="611"/>
      <c r="L118" s="611"/>
      <c r="M118" s="611"/>
      <c r="N118" s="612"/>
      <c r="P118" s="612"/>
    </row>
    <row r="119" spans="1:16" x14ac:dyDescent="0.2">
      <c r="A119" s="561" t="s">
        <v>56</v>
      </c>
      <c r="B119" s="615">
        <v>125000</v>
      </c>
      <c r="C119" s="615">
        <v>175000</v>
      </c>
      <c r="D119" s="615">
        <v>225000</v>
      </c>
      <c r="E119" s="615">
        <v>200000</v>
      </c>
      <c r="F119" s="615">
        <v>200000</v>
      </c>
      <c r="G119" s="615">
        <v>200000</v>
      </c>
      <c r="H119" s="615">
        <v>175000</v>
      </c>
      <c r="I119" s="615">
        <v>225000</v>
      </c>
      <c r="J119" s="615">
        <v>200000</v>
      </c>
      <c r="K119" s="615">
        <v>200000</v>
      </c>
      <c r="L119" s="615">
        <v>175000</v>
      </c>
      <c r="M119" s="615">
        <v>300000</v>
      </c>
      <c r="N119" s="612">
        <f t="shared" ref="N119:N124" si="31">SUM(B119:M119)</f>
        <v>2400000</v>
      </c>
      <c r="P119" s="612"/>
    </row>
    <row r="120" spans="1:16" x14ac:dyDescent="0.2">
      <c r="A120" s="561" t="s">
        <v>57</v>
      </c>
      <c r="B120" s="615">
        <v>125000</v>
      </c>
      <c r="C120" s="615">
        <v>175000</v>
      </c>
      <c r="D120" s="615">
        <v>225000</v>
      </c>
      <c r="E120" s="615">
        <v>200000</v>
      </c>
      <c r="F120" s="615">
        <v>200000</v>
      </c>
      <c r="G120" s="615">
        <v>200000</v>
      </c>
      <c r="H120" s="615">
        <v>175000</v>
      </c>
      <c r="I120" s="615">
        <v>218093.82</v>
      </c>
      <c r="J120" s="615">
        <v>197028.95</v>
      </c>
      <c r="K120" s="615">
        <v>209877.22999999998</v>
      </c>
      <c r="L120" s="615">
        <v>175000</v>
      </c>
      <c r="M120" s="615">
        <v>300000</v>
      </c>
      <c r="N120" s="612">
        <f t="shared" si="31"/>
        <v>2400000</v>
      </c>
      <c r="P120" s="612"/>
    </row>
    <row r="121" spans="1:16" x14ac:dyDescent="0.2">
      <c r="A121" s="561" t="s">
        <v>62</v>
      </c>
      <c r="B121" s="615">
        <v>250000</v>
      </c>
      <c r="C121" s="615">
        <v>350000</v>
      </c>
      <c r="D121" s="615">
        <v>450000</v>
      </c>
      <c r="E121" s="615">
        <v>400000</v>
      </c>
      <c r="F121" s="615">
        <v>400000</v>
      </c>
      <c r="G121" s="615">
        <v>400000</v>
      </c>
      <c r="H121" s="615">
        <v>350000</v>
      </c>
      <c r="I121" s="615">
        <v>400000</v>
      </c>
      <c r="J121" s="615">
        <v>400000</v>
      </c>
      <c r="K121" s="615">
        <v>450000</v>
      </c>
      <c r="L121" s="615">
        <v>350000</v>
      </c>
      <c r="M121" s="615">
        <v>600000</v>
      </c>
      <c r="N121" s="612">
        <f t="shared" si="31"/>
        <v>4800000</v>
      </c>
      <c r="P121" s="612"/>
    </row>
    <row r="122" spans="1:16" x14ac:dyDescent="0.2">
      <c r="A122" s="561" t="s">
        <v>63</v>
      </c>
      <c r="B122" s="615">
        <v>500000</v>
      </c>
      <c r="C122" s="615">
        <v>700000</v>
      </c>
      <c r="D122" s="615">
        <v>900000</v>
      </c>
      <c r="E122" s="615">
        <v>800000</v>
      </c>
      <c r="F122" s="615">
        <v>800000</v>
      </c>
      <c r="G122" s="615">
        <v>800000</v>
      </c>
      <c r="H122" s="615">
        <v>700000</v>
      </c>
      <c r="I122" s="615">
        <v>800000</v>
      </c>
      <c r="J122" s="615">
        <v>753326.33</v>
      </c>
      <c r="K122" s="615">
        <v>922335.43</v>
      </c>
      <c r="L122" s="615">
        <v>700000</v>
      </c>
      <c r="M122" s="615">
        <v>1200000</v>
      </c>
      <c r="N122" s="612">
        <f t="shared" si="31"/>
        <v>9575661.7599999998</v>
      </c>
      <c r="P122" s="612"/>
    </row>
    <row r="123" spans="1:16" x14ac:dyDescent="0.2">
      <c r="A123" s="561" t="s">
        <v>64</v>
      </c>
      <c r="B123" s="615">
        <v>1241187.6000000001</v>
      </c>
      <c r="C123" s="615">
        <v>1822582.71</v>
      </c>
      <c r="D123" s="615">
        <v>2440431.62</v>
      </c>
      <c r="E123" s="615">
        <v>2123467.3600000003</v>
      </c>
      <c r="F123" s="615">
        <v>2123383.73</v>
      </c>
      <c r="G123" s="615">
        <v>2106355.9900000002</v>
      </c>
      <c r="H123" s="615">
        <v>1820337.45</v>
      </c>
      <c r="I123" s="615">
        <v>2112819.3200000003</v>
      </c>
      <c r="J123" s="615">
        <v>1800000</v>
      </c>
      <c r="K123" s="615">
        <v>2434138.3499999996</v>
      </c>
      <c r="L123" s="615">
        <v>2119934.13</v>
      </c>
      <c r="M123" s="615">
        <v>3151963.32</v>
      </c>
      <c r="N123" s="612">
        <f t="shared" si="31"/>
        <v>25296601.580000002</v>
      </c>
      <c r="P123" s="612"/>
    </row>
    <row r="124" spans="1:16" x14ac:dyDescent="0.2">
      <c r="A124" s="561" t="s">
        <v>91</v>
      </c>
      <c r="B124" s="615">
        <v>7185234.5999999996</v>
      </c>
      <c r="C124" s="615">
        <v>5655353.2000000002</v>
      </c>
      <c r="D124" s="615">
        <v>6548365.5700000012</v>
      </c>
      <c r="E124" s="615">
        <v>7216146.2699999996</v>
      </c>
      <c r="F124" s="615">
        <v>7189898.8300000001</v>
      </c>
      <c r="G124" s="615">
        <v>6610338.3599999985</v>
      </c>
      <c r="H124" s="615">
        <v>6170101.5599999996</v>
      </c>
      <c r="I124" s="615">
        <v>7577873.0300000012</v>
      </c>
      <c r="J124" s="615">
        <v>7015008.7999999989</v>
      </c>
      <c r="K124" s="615">
        <v>7176815.4400000013</v>
      </c>
      <c r="L124" s="615">
        <v>6528015.2599999998</v>
      </c>
      <c r="M124" s="615">
        <v>5837185.3900000006</v>
      </c>
      <c r="N124" s="612">
        <f t="shared" si="31"/>
        <v>80710336.310000002</v>
      </c>
      <c r="P124" s="612"/>
    </row>
    <row r="125" spans="1:16" x14ac:dyDescent="0.2">
      <c r="A125" s="561" t="s">
        <v>6</v>
      </c>
      <c r="B125" s="614">
        <f>SUM(B119:B124)</f>
        <v>9426422.1999999993</v>
      </c>
      <c r="C125" s="614">
        <f t="shared" ref="C125:N125" si="32">SUM(C119:C124)</f>
        <v>8877935.9100000001</v>
      </c>
      <c r="D125" s="614">
        <f t="shared" si="32"/>
        <v>10788797.190000001</v>
      </c>
      <c r="E125" s="614">
        <f t="shared" si="32"/>
        <v>10939613.629999999</v>
      </c>
      <c r="F125" s="614">
        <f t="shared" si="32"/>
        <v>10913282.560000001</v>
      </c>
      <c r="G125" s="614">
        <f t="shared" si="32"/>
        <v>10316694.349999998</v>
      </c>
      <c r="H125" s="614">
        <f t="shared" si="32"/>
        <v>9390439.0099999998</v>
      </c>
      <c r="I125" s="614">
        <f t="shared" si="32"/>
        <v>11333786.170000002</v>
      </c>
      <c r="J125" s="614">
        <f t="shared" si="32"/>
        <v>10365364.079999998</v>
      </c>
      <c r="K125" s="614">
        <f t="shared" si="32"/>
        <v>11393166.450000001</v>
      </c>
      <c r="L125" s="614">
        <f t="shared" si="32"/>
        <v>10047949.390000001</v>
      </c>
      <c r="M125" s="614">
        <f t="shared" si="32"/>
        <v>11389148.710000001</v>
      </c>
      <c r="N125" s="614">
        <f t="shared" si="32"/>
        <v>125182599.65000001</v>
      </c>
      <c r="P125" s="612"/>
    </row>
    <row r="126" spans="1:16" x14ac:dyDescent="0.2">
      <c r="A126" s="561" t="s">
        <v>42</v>
      </c>
      <c r="B126" s="605">
        <v>0</v>
      </c>
      <c r="C126" s="605">
        <v>0</v>
      </c>
      <c r="D126" s="605">
        <v>0</v>
      </c>
      <c r="E126" s="605">
        <v>0</v>
      </c>
      <c r="F126" s="605">
        <v>0</v>
      </c>
      <c r="G126" s="605">
        <v>0</v>
      </c>
      <c r="H126" s="605">
        <v>0</v>
      </c>
      <c r="I126" s="605">
        <v>0</v>
      </c>
      <c r="J126" s="605">
        <v>0</v>
      </c>
      <c r="K126" s="605">
        <v>0</v>
      </c>
      <c r="L126" s="605">
        <v>0</v>
      </c>
      <c r="M126" s="605">
        <v>0</v>
      </c>
      <c r="N126" s="605">
        <v>0</v>
      </c>
      <c r="P126" s="612"/>
    </row>
    <row r="128" spans="1:16" x14ac:dyDescent="0.2">
      <c r="A128" s="607" t="s">
        <v>6</v>
      </c>
      <c r="B128" s="612">
        <f>SUM(B12,B19,B26,B33,B40,B47,B54,B61,B67,B73,B79,B85,B95,B105,B115,B125)</f>
        <v>31321847.172645833</v>
      </c>
      <c r="C128" s="612">
        <f t="shared" ref="C128:N128" si="33">SUM(C12,C19,C26,C33,C40,C47,C54,C61,C67,C73,C79,C85,C95,C105,C115,C125)</f>
        <v>33553324.493125003</v>
      </c>
      <c r="D128" s="612">
        <f t="shared" si="33"/>
        <v>28476026.198494237</v>
      </c>
      <c r="E128" s="612">
        <f t="shared" si="33"/>
        <v>29863473.873409025</v>
      </c>
      <c r="F128" s="612">
        <f t="shared" si="33"/>
        <v>26062869.037193194</v>
      </c>
      <c r="G128" s="612">
        <f t="shared" si="33"/>
        <v>24922880.631836664</v>
      </c>
      <c r="H128" s="612">
        <f t="shared" si="33"/>
        <v>21101071.804499999</v>
      </c>
      <c r="I128" s="612">
        <f t="shared" si="33"/>
        <v>25291502.208999999</v>
      </c>
      <c r="J128" s="612">
        <f t="shared" si="33"/>
        <v>23418654.743499998</v>
      </c>
      <c r="K128" s="612">
        <f t="shared" si="33"/>
        <v>28046680.310390279</v>
      </c>
      <c r="L128" s="612">
        <f t="shared" si="33"/>
        <v>31400404.588284999</v>
      </c>
      <c r="M128" s="612">
        <f t="shared" si="33"/>
        <v>32872876.34545555</v>
      </c>
      <c r="N128" s="612">
        <f t="shared" si="33"/>
        <v>336331611.40783477</v>
      </c>
    </row>
    <row r="129" spans="1:14" x14ac:dyDescent="0.2">
      <c r="A129" s="607" t="s">
        <v>42</v>
      </c>
      <c r="B129" s="605">
        <v>0</v>
      </c>
      <c r="C129" s="605">
        <v>0</v>
      </c>
      <c r="D129" s="605">
        <v>0</v>
      </c>
      <c r="E129" s="605">
        <v>0</v>
      </c>
      <c r="F129" s="605">
        <v>0</v>
      </c>
      <c r="G129" s="605">
        <v>0</v>
      </c>
      <c r="H129" s="605">
        <v>0</v>
      </c>
      <c r="I129" s="605">
        <v>0</v>
      </c>
      <c r="J129" s="605">
        <v>0</v>
      </c>
      <c r="K129" s="605">
        <v>0</v>
      </c>
      <c r="L129" s="605">
        <v>0</v>
      </c>
      <c r="M129" s="605">
        <v>0</v>
      </c>
      <c r="N129" s="605">
        <v>0</v>
      </c>
    </row>
    <row r="131" spans="1:14" x14ac:dyDescent="0.2">
      <c r="A131" s="598"/>
    </row>
  </sheetData>
  <mergeCells count="4">
    <mergeCell ref="A1:N1"/>
    <mergeCell ref="A2:N2"/>
    <mergeCell ref="A3:N3"/>
    <mergeCell ref="A4:N4"/>
  </mergeCells>
  <printOptions horizontalCentered="1"/>
  <pageMargins left="0.5" right="0.5" top="1" bottom="1" header="0.5" footer="0.5"/>
  <pageSetup scale="66" fitToHeight="6" orientation="landscape" horizontalDpi="300" verticalDpi="300" r:id="rId1"/>
  <headerFooter alignWithMargins="0">
    <oddHeader xml:space="preserve">&amp;C
</oddHeader>
    <oddFooter>&amp;L&amp;F 
&amp;A&amp;C&amp;P&amp;R&amp;D</oddFooter>
  </headerFooter>
  <rowBreaks count="2" manualBreakCount="2">
    <brk id="49" max="13" man="1"/>
    <brk id="97" max="1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70"/>
  <sheetViews>
    <sheetView zoomScale="90" zoomScaleNormal="90" workbookViewId="0">
      <pane xSplit="4" ySplit="6" topLeftCell="Z7" activePane="bottomRight" state="frozen"/>
      <selection activeCell="N36" sqref="N36:N43"/>
      <selection pane="topRight" activeCell="N36" sqref="N36:N43"/>
      <selection pane="bottomLeft" activeCell="N36" sqref="N36:N43"/>
      <selection pane="bottomRight" activeCell="AL7" sqref="AL7"/>
    </sheetView>
  </sheetViews>
  <sheetFormatPr defaultRowHeight="12.75" x14ac:dyDescent="0.2"/>
  <cols>
    <col min="1" max="1" width="3.42578125" style="548" customWidth="1"/>
    <col min="2" max="2" width="23.140625" style="548" bestFit="1" customWidth="1"/>
    <col min="3" max="3" width="5.5703125" style="548" customWidth="1"/>
    <col min="4" max="4" width="13.28515625" style="548" bestFit="1" customWidth="1"/>
    <col min="5" max="7" width="12.28515625" style="548" bestFit="1" customWidth="1"/>
    <col min="8" max="64" width="13.85546875" style="548" bestFit="1" customWidth="1"/>
    <col min="65" max="236" width="9.140625" style="548"/>
    <col min="237" max="237" width="12.140625" style="548" customWidth="1"/>
    <col min="238" max="238" width="14.7109375" style="548" bestFit="1" customWidth="1"/>
    <col min="239" max="239" width="12.7109375" style="548" bestFit="1" customWidth="1"/>
    <col min="240" max="240" width="13.7109375" style="548" bestFit="1" customWidth="1"/>
    <col min="241" max="241" width="12.7109375" style="548" bestFit="1" customWidth="1"/>
    <col min="242" max="242" width="12.28515625" style="548" bestFit="1" customWidth="1"/>
    <col min="243" max="243" width="12.7109375" style="548" bestFit="1" customWidth="1"/>
    <col min="244" max="244" width="12.42578125" style="548" bestFit="1" customWidth="1"/>
    <col min="245" max="245" width="12.5703125" style="548" bestFit="1" customWidth="1"/>
    <col min="246" max="246" width="13.7109375" style="548" bestFit="1" customWidth="1"/>
    <col min="247" max="251" width="13.7109375" style="548" customWidth="1"/>
    <col min="252" max="252" width="16" style="548" customWidth="1"/>
    <col min="253" max="254" width="14" style="548" bestFit="1" customWidth="1"/>
    <col min="255" max="255" width="4.7109375" style="548" bestFit="1" customWidth="1"/>
    <col min="256" max="492" width="9.140625" style="548"/>
    <col min="493" max="493" width="12.140625" style="548" customWidth="1"/>
    <col min="494" max="494" width="14.7109375" style="548" bestFit="1" customWidth="1"/>
    <col min="495" max="495" width="12.7109375" style="548" bestFit="1" customWidth="1"/>
    <col min="496" max="496" width="13.7109375" style="548" bestFit="1" customWidth="1"/>
    <col min="497" max="497" width="12.7109375" style="548" bestFit="1" customWidth="1"/>
    <col min="498" max="498" width="12.28515625" style="548" bestFit="1" customWidth="1"/>
    <col min="499" max="499" width="12.7109375" style="548" bestFit="1" customWidth="1"/>
    <col min="500" max="500" width="12.42578125" style="548" bestFit="1" customWidth="1"/>
    <col min="501" max="501" width="12.5703125" style="548" bestFit="1" customWidth="1"/>
    <col min="502" max="502" width="13.7109375" style="548" bestFit="1" customWidth="1"/>
    <col min="503" max="507" width="13.7109375" style="548" customWidth="1"/>
    <col min="508" max="508" width="16" style="548" customWidth="1"/>
    <col min="509" max="510" width="14" style="548" bestFit="1" customWidth="1"/>
    <col min="511" max="511" width="4.7109375" style="548" bestFit="1" customWidth="1"/>
    <col min="512" max="748" width="9.140625" style="548"/>
    <col min="749" max="749" width="12.140625" style="548" customWidth="1"/>
    <col min="750" max="750" width="14.7109375" style="548" bestFit="1" customWidth="1"/>
    <col min="751" max="751" width="12.7109375" style="548" bestFit="1" customWidth="1"/>
    <col min="752" max="752" width="13.7109375" style="548" bestFit="1" customWidth="1"/>
    <col min="753" max="753" width="12.7109375" style="548" bestFit="1" customWidth="1"/>
    <col min="754" max="754" width="12.28515625" style="548" bestFit="1" customWidth="1"/>
    <col min="755" max="755" width="12.7109375" style="548" bestFit="1" customWidth="1"/>
    <col min="756" max="756" width="12.42578125" style="548" bestFit="1" customWidth="1"/>
    <col min="757" max="757" width="12.5703125" style="548" bestFit="1" customWidth="1"/>
    <col min="758" max="758" width="13.7109375" style="548" bestFit="1" customWidth="1"/>
    <col min="759" max="763" width="13.7109375" style="548" customWidth="1"/>
    <col min="764" max="764" width="16" style="548" customWidth="1"/>
    <col min="765" max="766" width="14" style="548" bestFit="1" customWidth="1"/>
    <col min="767" max="767" width="4.7109375" style="548" bestFit="1" customWidth="1"/>
    <col min="768" max="1004" width="9.140625" style="548"/>
    <col min="1005" max="1005" width="12.140625" style="548" customWidth="1"/>
    <col min="1006" max="1006" width="14.7109375" style="548" bestFit="1" customWidth="1"/>
    <col min="1007" max="1007" width="12.7109375" style="548" bestFit="1" customWidth="1"/>
    <col min="1008" max="1008" width="13.7109375" style="548" bestFit="1" customWidth="1"/>
    <col min="1009" max="1009" width="12.7109375" style="548" bestFit="1" customWidth="1"/>
    <col min="1010" max="1010" width="12.28515625" style="548" bestFit="1" customWidth="1"/>
    <col min="1011" max="1011" width="12.7109375" style="548" bestFit="1" customWidth="1"/>
    <col min="1012" max="1012" width="12.42578125" style="548" bestFit="1" customWidth="1"/>
    <col min="1013" max="1013" width="12.5703125" style="548" bestFit="1" customWidth="1"/>
    <col min="1014" max="1014" width="13.7109375" style="548" bestFit="1" customWidth="1"/>
    <col min="1015" max="1019" width="13.7109375" style="548" customWidth="1"/>
    <col min="1020" max="1020" width="16" style="548" customWidth="1"/>
    <col min="1021" max="1022" width="14" style="548" bestFit="1" customWidth="1"/>
    <col min="1023" max="1023" width="4.7109375" style="548" bestFit="1" customWidth="1"/>
    <col min="1024" max="1260" width="9.140625" style="548"/>
    <col min="1261" max="1261" width="12.140625" style="548" customWidth="1"/>
    <col min="1262" max="1262" width="14.7109375" style="548" bestFit="1" customWidth="1"/>
    <col min="1263" max="1263" width="12.7109375" style="548" bestFit="1" customWidth="1"/>
    <col min="1264" max="1264" width="13.7109375" style="548" bestFit="1" customWidth="1"/>
    <col min="1265" max="1265" width="12.7109375" style="548" bestFit="1" customWidth="1"/>
    <col min="1266" max="1266" width="12.28515625" style="548" bestFit="1" customWidth="1"/>
    <col min="1267" max="1267" width="12.7109375" style="548" bestFit="1" customWidth="1"/>
    <col min="1268" max="1268" width="12.42578125" style="548" bestFit="1" customWidth="1"/>
    <col min="1269" max="1269" width="12.5703125" style="548" bestFit="1" customWidth="1"/>
    <col min="1270" max="1270" width="13.7109375" style="548" bestFit="1" customWidth="1"/>
    <col min="1271" max="1275" width="13.7109375" style="548" customWidth="1"/>
    <col min="1276" max="1276" width="16" style="548" customWidth="1"/>
    <col min="1277" max="1278" width="14" style="548" bestFit="1" customWidth="1"/>
    <col min="1279" max="1279" width="4.7109375" style="548" bestFit="1" customWidth="1"/>
    <col min="1280" max="1516" width="9.140625" style="548"/>
    <col min="1517" max="1517" width="12.140625" style="548" customWidth="1"/>
    <col min="1518" max="1518" width="14.7109375" style="548" bestFit="1" customWidth="1"/>
    <col min="1519" max="1519" width="12.7109375" style="548" bestFit="1" customWidth="1"/>
    <col min="1520" max="1520" width="13.7109375" style="548" bestFit="1" customWidth="1"/>
    <col min="1521" max="1521" width="12.7109375" style="548" bestFit="1" customWidth="1"/>
    <col min="1522" max="1522" width="12.28515625" style="548" bestFit="1" customWidth="1"/>
    <col min="1523" max="1523" width="12.7109375" style="548" bestFit="1" customWidth="1"/>
    <col min="1524" max="1524" width="12.42578125" style="548" bestFit="1" customWidth="1"/>
    <col min="1525" max="1525" width="12.5703125" style="548" bestFit="1" customWidth="1"/>
    <col min="1526" max="1526" width="13.7109375" style="548" bestFit="1" customWidth="1"/>
    <col min="1527" max="1531" width="13.7109375" style="548" customWidth="1"/>
    <col min="1532" max="1532" width="16" style="548" customWidth="1"/>
    <col min="1533" max="1534" width="14" style="548" bestFit="1" customWidth="1"/>
    <col min="1535" max="1535" width="4.7109375" style="548" bestFit="1" customWidth="1"/>
    <col min="1536" max="1772" width="9.140625" style="548"/>
    <col min="1773" max="1773" width="12.140625" style="548" customWidth="1"/>
    <col min="1774" max="1774" width="14.7109375" style="548" bestFit="1" customWidth="1"/>
    <col min="1775" max="1775" width="12.7109375" style="548" bestFit="1" customWidth="1"/>
    <col min="1776" max="1776" width="13.7109375" style="548" bestFit="1" customWidth="1"/>
    <col min="1777" max="1777" width="12.7109375" style="548" bestFit="1" customWidth="1"/>
    <col min="1778" max="1778" width="12.28515625" style="548" bestFit="1" customWidth="1"/>
    <col min="1779" max="1779" width="12.7109375" style="548" bestFit="1" customWidth="1"/>
    <col min="1780" max="1780" width="12.42578125" style="548" bestFit="1" customWidth="1"/>
    <col min="1781" max="1781" width="12.5703125" style="548" bestFit="1" customWidth="1"/>
    <col min="1782" max="1782" width="13.7109375" style="548" bestFit="1" customWidth="1"/>
    <col min="1783" max="1787" width="13.7109375" style="548" customWidth="1"/>
    <col min="1788" max="1788" width="16" style="548" customWidth="1"/>
    <col min="1789" max="1790" width="14" style="548" bestFit="1" customWidth="1"/>
    <col min="1791" max="1791" width="4.7109375" style="548" bestFit="1" customWidth="1"/>
    <col min="1792" max="2028" width="9.140625" style="548"/>
    <col min="2029" max="2029" width="12.140625" style="548" customWidth="1"/>
    <col min="2030" max="2030" width="14.7109375" style="548" bestFit="1" customWidth="1"/>
    <col min="2031" max="2031" width="12.7109375" style="548" bestFit="1" customWidth="1"/>
    <col min="2032" max="2032" width="13.7109375" style="548" bestFit="1" customWidth="1"/>
    <col min="2033" max="2033" width="12.7109375" style="548" bestFit="1" customWidth="1"/>
    <col min="2034" max="2034" width="12.28515625" style="548" bestFit="1" customWidth="1"/>
    <col min="2035" max="2035" width="12.7109375" style="548" bestFit="1" customWidth="1"/>
    <col min="2036" max="2036" width="12.42578125" style="548" bestFit="1" customWidth="1"/>
    <col min="2037" max="2037" width="12.5703125" style="548" bestFit="1" customWidth="1"/>
    <col min="2038" max="2038" width="13.7109375" style="548" bestFit="1" customWidth="1"/>
    <col min="2039" max="2043" width="13.7109375" style="548" customWidth="1"/>
    <col min="2044" max="2044" width="16" style="548" customWidth="1"/>
    <col min="2045" max="2046" width="14" style="548" bestFit="1" customWidth="1"/>
    <col min="2047" max="2047" width="4.7109375" style="548" bestFit="1" customWidth="1"/>
    <col min="2048" max="2284" width="9.140625" style="548"/>
    <col min="2285" max="2285" width="12.140625" style="548" customWidth="1"/>
    <col min="2286" max="2286" width="14.7109375" style="548" bestFit="1" customWidth="1"/>
    <col min="2287" max="2287" width="12.7109375" style="548" bestFit="1" customWidth="1"/>
    <col min="2288" max="2288" width="13.7109375" style="548" bestFit="1" customWidth="1"/>
    <col min="2289" max="2289" width="12.7109375" style="548" bestFit="1" customWidth="1"/>
    <col min="2290" max="2290" width="12.28515625" style="548" bestFit="1" customWidth="1"/>
    <col min="2291" max="2291" width="12.7109375" style="548" bestFit="1" customWidth="1"/>
    <col min="2292" max="2292" width="12.42578125" style="548" bestFit="1" customWidth="1"/>
    <col min="2293" max="2293" width="12.5703125" style="548" bestFit="1" customWidth="1"/>
    <col min="2294" max="2294" width="13.7109375" style="548" bestFit="1" customWidth="1"/>
    <col min="2295" max="2299" width="13.7109375" style="548" customWidth="1"/>
    <col min="2300" max="2300" width="16" style="548" customWidth="1"/>
    <col min="2301" max="2302" width="14" style="548" bestFit="1" customWidth="1"/>
    <col min="2303" max="2303" width="4.7109375" style="548" bestFit="1" customWidth="1"/>
    <col min="2304" max="2540" width="9.140625" style="548"/>
    <col min="2541" max="2541" width="12.140625" style="548" customWidth="1"/>
    <col min="2542" max="2542" width="14.7109375" style="548" bestFit="1" customWidth="1"/>
    <col min="2543" max="2543" width="12.7109375" style="548" bestFit="1" customWidth="1"/>
    <col min="2544" max="2544" width="13.7109375" style="548" bestFit="1" customWidth="1"/>
    <col min="2545" max="2545" width="12.7109375" style="548" bestFit="1" customWidth="1"/>
    <col min="2546" max="2546" width="12.28515625" style="548" bestFit="1" customWidth="1"/>
    <col min="2547" max="2547" width="12.7109375" style="548" bestFit="1" customWidth="1"/>
    <col min="2548" max="2548" width="12.42578125" style="548" bestFit="1" customWidth="1"/>
    <col min="2549" max="2549" width="12.5703125" style="548" bestFit="1" customWidth="1"/>
    <col min="2550" max="2550" width="13.7109375" style="548" bestFit="1" customWidth="1"/>
    <col min="2551" max="2555" width="13.7109375" style="548" customWidth="1"/>
    <col min="2556" max="2556" width="16" style="548" customWidth="1"/>
    <col min="2557" max="2558" width="14" style="548" bestFit="1" customWidth="1"/>
    <col min="2559" max="2559" width="4.7109375" style="548" bestFit="1" customWidth="1"/>
    <col min="2560" max="2796" width="9.140625" style="548"/>
    <col min="2797" max="2797" width="12.140625" style="548" customWidth="1"/>
    <col min="2798" max="2798" width="14.7109375" style="548" bestFit="1" customWidth="1"/>
    <col min="2799" max="2799" width="12.7109375" style="548" bestFit="1" customWidth="1"/>
    <col min="2800" max="2800" width="13.7109375" style="548" bestFit="1" customWidth="1"/>
    <col min="2801" max="2801" width="12.7109375" style="548" bestFit="1" customWidth="1"/>
    <col min="2802" max="2802" width="12.28515625" style="548" bestFit="1" customWidth="1"/>
    <col min="2803" max="2803" width="12.7109375" style="548" bestFit="1" customWidth="1"/>
    <col min="2804" max="2804" width="12.42578125" style="548" bestFit="1" customWidth="1"/>
    <col min="2805" max="2805" width="12.5703125" style="548" bestFit="1" customWidth="1"/>
    <col min="2806" max="2806" width="13.7109375" style="548" bestFit="1" customWidth="1"/>
    <col min="2807" max="2811" width="13.7109375" style="548" customWidth="1"/>
    <col min="2812" max="2812" width="16" style="548" customWidth="1"/>
    <col min="2813" max="2814" width="14" style="548" bestFit="1" customWidth="1"/>
    <col min="2815" max="2815" width="4.7109375" style="548" bestFit="1" customWidth="1"/>
    <col min="2816" max="3052" width="9.140625" style="548"/>
    <col min="3053" max="3053" width="12.140625" style="548" customWidth="1"/>
    <col min="3054" max="3054" width="14.7109375" style="548" bestFit="1" customWidth="1"/>
    <col min="3055" max="3055" width="12.7109375" style="548" bestFit="1" customWidth="1"/>
    <col min="3056" max="3056" width="13.7109375" style="548" bestFit="1" customWidth="1"/>
    <col min="3057" max="3057" width="12.7109375" style="548" bestFit="1" customWidth="1"/>
    <col min="3058" max="3058" width="12.28515625" style="548" bestFit="1" customWidth="1"/>
    <col min="3059" max="3059" width="12.7109375" style="548" bestFit="1" customWidth="1"/>
    <col min="3060" max="3060" width="12.42578125" style="548" bestFit="1" customWidth="1"/>
    <col min="3061" max="3061" width="12.5703125" style="548" bestFit="1" customWidth="1"/>
    <col min="3062" max="3062" width="13.7109375" style="548" bestFit="1" customWidth="1"/>
    <col min="3063" max="3067" width="13.7109375" style="548" customWidth="1"/>
    <col min="3068" max="3068" width="16" style="548" customWidth="1"/>
    <col min="3069" max="3070" width="14" style="548" bestFit="1" customWidth="1"/>
    <col min="3071" max="3071" width="4.7109375" style="548" bestFit="1" customWidth="1"/>
    <col min="3072" max="3308" width="9.140625" style="548"/>
    <col min="3309" max="3309" width="12.140625" style="548" customWidth="1"/>
    <col min="3310" max="3310" width="14.7109375" style="548" bestFit="1" customWidth="1"/>
    <col min="3311" max="3311" width="12.7109375" style="548" bestFit="1" customWidth="1"/>
    <col min="3312" max="3312" width="13.7109375" style="548" bestFit="1" customWidth="1"/>
    <col min="3313" max="3313" width="12.7109375" style="548" bestFit="1" customWidth="1"/>
    <col min="3314" max="3314" width="12.28515625" style="548" bestFit="1" customWidth="1"/>
    <col min="3315" max="3315" width="12.7109375" style="548" bestFit="1" customWidth="1"/>
    <col min="3316" max="3316" width="12.42578125" style="548" bestFit="1" customWidth="1"/>
    <col min="3317" max="3317" width="12.5703125" style="548" bestFit="1" customWidth="1"/>
    <col min="3318" max="3318" width="13.7109375" style="548" bestFit="1" customWidth="1"/>
    <col min="3319" max="3323" width="13.7109375" style="548" customWidth="1"/>
    <col min="3324" max="3324" width="16" style="548" customWidth="1"/>
    <col min="3325" max="3326" width="14" style="548" bestFit="1" customWidth="1"/>
    <col min="3327" max="3327" width="4.7109375" style="548" bestFit="1" customWidth="1"/>
    <col min="3328" max="3564" width="9.140625" style="548"/>
    <col min="3565" max="3565" width="12.140625" style="548" customWidth="1"/>
    <col min="3566" max="3566" width="14.7109375" style="548" bestFit="1" customWidth="1"/>
    <col min="3567" max="3567" width="12.7109375" style="548" bestFit="1" customWidth="1"/>
    <col min="3568" max="3568" width="13.7109375" style="548" bestFit="1" customWidth="1"/>
    <col min="3569" max="3569" width="12.7109375" style="548" bestFit="1" customWidth="1"/>
    <col min="3570" max="3570" width="12.28515625" style="548" bestFit="1" customWidth="1"/>
    <col min="3571" max="3571" width="12.7109375" style="548" bestFit="1" customWidth="1"/>
    <col min="3572" max="3572" width="12.42578125" style="548" bestFit="1" customWidth="1"/>
    <col min="3573" max="3573" width="12.5703125" style="548" bestFit="1" customWidth="1"/>
    <col min="3574" max="3574" width="13.7109375" style="548" bestFit="1" customWidth="1"/>
    <col min="3575" max="3579" width="13.7109375" style="548" customWidth="1"/>
    <col min="3580" max="3580" width="16" style="548" customWidth="1"/>
    <col min="3581" max="3582" width="14" style="548" bestFit="1" customWidth="1"/>
    <col min="3583" max="3583" width="4.7109375" style="548" bestFit="1" customWidth="1"/>
    <col min="3584" max="3820" width="9.140625" style="548"/>
    <col min="3821" max="3821" width="12.140625" style="548" customWidth="1"/>
    <col min="3822" max="3822" width="14.7109375" style="548" bestFit="1" customWidth="1"/>
    <col min="3823" max="3823" width="12.7109375" style="548" bestFit="1" customWidth="1"/>
    <col min="3824" max="3824" width="13.7109375" style="548" bestFit="1" customWidth="1"/>
    <col min="3825" max="3825" width="12.7109375" style="548" bestFit="1" customWidth="1"/>
    <col min="3826" max="3826" width="12.28515625" style="548" bestFit="1" customWidth="1"/>
    <col min="3827" max="3827" width="12.7109375" style="548" bestFit="1" customWidth="1"/>
    <col min="3828" max="3828" width="12.42578125" style="548" bestFit="1" customWidth="1"/>
    <col min="3829" max="3829" width="12.5703125" style="548" bestFit="1" customWidth="1"/>
    <col min="3830" max="3830" width="13.7109375" style="548" bestFit="1" customWidth="1"/>
    <col min="3831" max="3835" width="13.7109375" style="548" customWidth="1"/>
    <col min="3836" max="3836" width="16" style="548" customWidth="1"/>
    <col min="3837" max="3838" width="14" style="548" bestFit="1" customWidth="1"/>
    <col min="3839" max="3839" width="4.7109375" style="548" bestFit="1" customWidth="1"/>
    <col min="3840" max="4076" width="9.140625" style="548"/>
    <col min="4077" max="4077" width="12.140625" style="548" customWidth="1"/>
    <col min="4078" max="4078" width="14.7109375" style="548" bestFit="1" customWidth="1"/>
    <col min="4079" max="4079" width="12.7109375" style="548" bestFit="1" customWidth="1"/>
    <col min="4080" max="4080" width="13.7109375" style="548" bestFit="1" customWidth="1"/>
    <col min="4081" max="4081" width="12.7109375" style="548" bestFit="1" customWidth="1"/>
    <col min="4082" max="4082" width="12.28515625" style="548" bestFit="1" customWidth="1"/>
    <col min="4083" max="4083" width="12.7109375" style="548" bestFit="1" customWidth="1"/>
    <col min="4084" max="4084" width="12.42578125" style="548" bestFit="1" customWidth="1"/>
    <col min="4085" max="4085" width="12.5703125" style="548" bestFit="1" customWidth="1"/>
    <col min="4086" max="4086" width="13.7109375" style="548" bestFit="1" customWidth="1"/>
    <col min="4087" max="4091" width="13.7109375" style="548" customWidth="1"/>
    <col min="4092" max="4092" width="16" style="548" customWidth="1"/>
    <col min="4093" max="4094" width="14" style="548" bestFit="1" customWidth="1"/>
    <col min="4095" max="4095" width="4.7109375" style="548" bestFit="1" customWidth="1"/>
    <col min="4096" max="4332" width="9.140625" style="548"/>
    <col min="4333" max="4333" width="12.140625" style="548" customWidth="1"/>
    <col min="4334" max="4334" width="14.7109375" style="548" bestFit="1" customWidth="1"/>
    <col min="4335" max="4335" width="12.7109375" style="548" bestFit="1" customWidth="1"/>
    <col min="4336" max="4336" width="13.7109375" style="548" bestFit="1" customWidth="1"/>
    <col min="4337" max="4337" width="12.7109375" style="548" bestFit="1" customWidth="1"/>
    <col min="4338" max="4338" width="12.28515625" style="548" bestFit="1" customWidth="1"/>
    <col min="4339" max="4339" width="12.7109375" style="548" bestFit="1" customWidth="1"/>
    <col min="4340" max="4340" width="12.42578125" style="548" bestFit="1" customWidth="1"/>
    <col min="4341" max="4341" width="12.5703125" style="548" bestFit="1" customWidth="1"/>
    <col min="4342" max="4342" width="13.7109375" style="548" bestFit="1" customWidth="1"/>
    <col min="4343" max="4347" width="13.7109375" style="548" customWidth="1"/>
    <col min="4348" max="4348" width="16" style="548" customWidth="1"/>
    <col min="4349" max="4350" width="14" style="548" bestFit="1" customWidth="1"/>
    <col min="4351" max="4351" width="4.7109375" style="548" bestFit="1" customWidth="1"/>
    <col min="4352" max="4588" width="9.140625" style="548"/>
    <col min="4589" max="4589" width="12.140625" style="548" customWidth="1"/>
    <col min="4590" max="4590" width="14.7109375" style="548" bestFit="1" customWidth="1"/>
    <col min="4591" max="4591" width="12.7109375" style="548" bestFit="1" customWidth="1"/>
    <col min="4592" max="4592" width="13.7109375" style="548" bestFit="1" customWidth="1"/>
    <col min="4593" max="4593" width="12.7109375" style="548" bestFit="1" customWidth="1"/>
    <col min="4594" max="4594" width="12.28515625" style="548" bestFit="1" customWidth="1"/>
    <col min="4595" max="4595" width="12.7109375" style="548" bestFit="1" customWidth="1"/>
    <col min="4596" max="4596" width="12.42578125" style="548" bestFit="1" customWidth="1"/>
    <col min="4597" max="4597" width="12.5703125" style="548" bestFit="1" customWidth="1"/>
    <col min="4598" max="4598" width="13.7109375" style="548" bestFit="1" customWidth="1"/>
    <col min="4599" max="4603" width="13.7109375" style="548" customWidth="1"/>
    <col min="4604" max="4604" width="16" style="548" customWidth="1"/>
    <col min="4605" max="4606" width="14" style="548" bestFit="1" customWidth="1"/>
    <col min="4607" max="4607" width="4.7109375" style="548" bestFit="1" customWidth="1"/>
    <col min="4608" max="4844" width="9.140625" style="548"/>
    <col min="4845" max="4845" width="12.140625" style="548" customWidth="1"/>
    <col min="4846" max="4846" width="14.7109375" style="548" bestFit="1" customWidth="1"/>
    <col min="4847" max="4847" width="12.7109375" style="548" bestFit="1" customWidth="1"/>
    <col min="4848" max="4848" width="13.7109375" style="548" bestFit="1" customWidth="1"/>
    <col min="4849" max="4849" width="12.7109375" style="548" bestFit="1" customWidth="1"/>
    <col min="4850" max="4850" width="12.28515625" style="548" bestFit="1" customWidth="1"/>
    <col min="4851" max="4851" width="12.7109375" style="548" bestFit="1" customWidth="1"/>
    <col min="4852" max="4852" width="12.42578125" style="548" bestFit="1" customWidth="1"/>
    <col min="4853" max="4853" width="12.5703125" style="548" bestFit="1" customWidth="1"/>
    <col min="4854" max="4854" width="13.7109375" style="548" bestFit="1" customWidth="1"/>
    <col min="4855" max="4859" width="13.7109375" style="548" customWidth="1"/>
    <col min="4860" max="4860" width="16" style="548" customWidth="1"/>
    <col min="4861" max="4862" width="14" style="548" bestFit="1" customWidth="1"/>
    <col min="4863" max="4863" width="4.7109375" style="548" bestFit="1" customWidth="1"/>
    <col min="4864" max="5100" width="9.140625" style="548"/>
    <col min="5101" max="5101" width="12.140625" style="548" customWidth="1"/>
    <col min="5102" max="5102" width="14.7109375" style="548" bestFit="1" customWidth="1"/>
    <col min="5103" max="5103" width="12.7109375" style="548" bestFit="1" customWidth="1"/>
    <col min="5104" max="5104" width="13.7109375" style="548" bestFit="1" customWidth="1"/>
    <col min="5105" max="5105" width="12.7109375" style="548" bestFit="1" customWidth="1"/>
    <col min="5106" max="5106" width="12.28515625" style="548" bestFit="1" customWidth="1"/>
    <col min="5107" max="5107" width="12.7109375" style="548" bestFit="1" customWidth="1"/>
    <col min="5108" max="5108" width="12.42578125" style="548" bestFit="1" customWidth="1"/>
    <col min="5109" max="5109" width="12.5703125" style="548" bestFit="1" customWidth="1"/>
    <col min="5110" max="5110" width="13.7109375" style="548" bestFit="1" customWidth="1"/>
    <col min="5111" max="5115" width="13.7109375" style="548" customWidth="1"/>
    <col min="5116" max="5116" width="16" style="548" customWidth="1"/>
    <col min="5117" max="5118" width="14" style="548" bestFit="1" customWidth="1"/>
    <col min="5119" max="5119" width="4.7109375" style="548" bestFit="1" customWidth="1"/>
    <col min="5120" max="5356" width="9.140625" style="548"/>
    <col min="5357" max="5357" width="12.140625" style="548" customWidth="1"/>
    <col min="5358" max="5358" width="14.7109375" style="548" bestFit="1" customWidth="1"/>
    <col min="5359" max="5359" width="12.7109375" style="548" bestFit="1" customWidth="1"/>
    <col min="5360" max="5360" width="13.7109375" style="548" bestFit="1" customWidth="1"/>
    <col min="5361" max="5361" width="12.7109375" style="548" bestFit="1" customWidth="1"/>
    <col min="5362" max="5362" width="12.28515625" style="548" bestFit="1" customWidth="1"/>
    <col min="5363" max="5363" width="12.7109375" style="548" bestFit="1" customWidth="1"/>
    <col min="5364" max="5364" width="12.42578125" style="548" bestFit="1" customWidth="1"/>
    <col min="5365" max="5365" width="12.5703125" style="548" bestFit="1" customWidth="1"/>
    <col min="5366" max="5366" width="13.7109375" style="548" bestFit="1" customWidth="1"/>
    <col min="5367" max="5371" width="13.7109375" style="548" customWidth="1"/>
    <col min="5372" max="5372" width="16" style="548" customWidth="1"/>
    <col min="5373" max="5374" width="14" style="548" bestFit="1" customWidth="1"/>
    <col min="5375" max="5375" width="4.7109375" style="548" bestFit="1" customWidth="1"/>
    <col min="5376" max="5612" width="9.140625" style="548"/>
    <col min="5613" max="5613" width="12.140625" style="548" customWidth="1"/>
    <col min="5614" max="5614" width="14.7109375" style="548" bestFit="1" customWidth="1"/>
    <col min="5615" max="5615" width="12.7109375" style="548" bestFit="1" customWidth="1"/>
    <col min="5616" max="5616" width="13.7109375" style="548" bestFit="1" customWidth="1"/>
    <col min="5617" max="5617" width="12.7109375" style="548" bestFit="1" customWidth="1"/>
    <col min="5618" max="5618" width="12.28515625" style="548" bestFit="1" customWidth="1"/>
    <col min="5619" max="5619" width="12.7109375" style="548" bestFit="1" customWidth="1"/>
    <col min="5620" max="5620" width="12.42578125" style="548" bestFit="1" customWidth="1"/>
    <col min="5621" max="5621" width="12.5703125" style="548" bestFit="1" customWidth="1"/>
    <col min="5622" max="5622" width="13.7109375" style="548" bestFit="1" customWidth="1"/>
    <col min="5623" max="5627" width="13.7109375" style="548" customWidth="1"/>
    <col min="5628" max="5628" width="16" style="548" customWidth="1"/>
    <col min="5629" max="5630" width="14" style="548" bestFit="1" customWidth="1"/>
    <col min="5631" max="5631" width="4.7109375" style="548" bestFit="1" customWidth="1"/>
    <col min="5632" max="5868" width="9.140625" style="548"/>
    <col min="5869" max="5869" width="12.140625" style="548" customWidth="1"/>
    <col min="5870" max="5870" width="14.7109375" style="548" bestFit="1" customWidth="1"/>
    <col min="5871" max="5871" width="12.7109375" style="548" bestFit="1" customWidth="1"/>
    <col min="5872" max="5872" width="13.7109375" style="548" bestFit="1" customWidth="1"/>
    <col min="5873" max="5873" width="12.7109375" style="548" bestFit="1" customWidth="1"/>
    <col min="5874" max="5874" width="12.28515625" style="548" bestFit="1" customWidth="1"/>
    <col min="5875" max="5875" width="12.7109375" style="548" bestFit="1" customWidth="1"/>
    <col min="5876" max="5876" width="12.42578125" style="548" bestFit="1" customWidth="1"/>
    <col min="5877" max="5877" width="12.5703125" style="548" bestFit="1" customWidth="1"/>
    <col min="5878" max="5878" width="13.7109375" style="548" bestFit="1" customWidth="1"/>
    <col min="5879" max="5883" width="13.7109375" style="548" customWidth="1"/>
    <col min="5884" max="5884" width="16" style="548" customWidth="1"/>
    <col min="5885" max="5886" width="14" style="548" bestFit="1" customWidth="1"/>
    <col min="5887" max="5887" width="4.7109375" style="548" bestFit="1" customWidth="1"/>
    <col min="5888" max="6124" width="9.140625" style="548"/>
    <col min="6125" max="6125" width="12.140625" style="548" customWidth="1"/>
    <col min="6126" max="6126" width="14.7109375" style="548" bestFit="1" customWidth="1"/>
    <col min="6127" max="6127" width="12.7109375" style="548" bestFit="1" customWidth="1"/>
    <col min="6128" max="6128" width="13.7109375" style="548" bestFit="1" customWidth="1"/>
    <col min="6129" max="6129" width="12.7109375" style="548" bestFit="1" customWidth="1"/>
    <col min="6130" max="6130" width="12.28515625" style="548" bestFit="1" customWidth="1"/>
    <col min="6131" max="6131" width="12.7109375" style="548" bestFit="1" customWidth="1"/>
    <col min="6132" max="6132" width="12.42578125" style="548" bestFit="1" customWidth="1"/>
    <col min="6133" max="6133" width="12.5703125" style="548" bestFit="1" customWidth="1"/>
    <col min="6134" max="6134" width="13.7109375" style="548" bestFit="1" customWidth="1"/>
    <col min="6135" max="6139" width="13.7109375" style="548" customWidth="1"/>
    <col min="6140" max="6140" width="16" style="548" customWidth="1"/>
    <col min="6141" max="6142" width="14" style="548" bestFit="1" customWidth="1"/>
    <col min="6143" max="6143" width="4.7109375" style="548" bestFit="1" customWidth="1"/>
    <col min="6144" max="6380" width="9.140625" style="548"/>
    <col min="6381" max="6381" width="12.140625" style="548" customWidth="1"/>
    <col min="6382" max="6382" width="14.7109375" style="548" bestFit="1" customWidth="1"/>
    <col min="6383" max="6383" width="12.7109375" style="548" bestFit="1" customWidth="1"/>
    <col min="6384" max="6384" width="13.7109375" style="548" bestFit="1" customWidth="1"/>
    <col min="6385" max="6385" width="12.7109375" style="548" bestFit="1" customWidth="1"/>
    <col min="6386" max="6386" width="12.28515625" style="548" bestFit="1" customWidth="1"/>
    <col min="6387" max="6387" width="12.7109375" style="548" bestFit="1" customWidth="1"/>
    <col min="6388" max="6388" width="12.42578125" style="548" bestFit="1" customWidth="1"/>
    <col min="6389" max="6389" width="12.5703125" style="548" bestFit="1" customWidth="1"/>
    <col min="6390" max="6390" width="13.7109375" style="548" bestFit="1" customWidth="1"/>
    <col min="6391" max="6395" width="13.7109375" style="548" customWidth="1"/>
    <col min="6396" max="6396" width="16" style="548" customWidth="1"/>
    <col min="6397" max="6398" width="14" style="548" bestFit="1" customWidth="1"/>
    <col min="6399" max="6399" width="4.7109375" style="548" bestFit="1" customWidth="1"/>
    <col min="6400" max="6636" width="9.140625" style="548"/>
    <col min="6637" max="6637" width="12.140625" style="548" customWidth="1"/>
    <col min="6638" max="6638" width="14.7109375" style="548" bestFit="1" customWidth="1"/>
    <col min="6639" max="6639" width="12.7109375" style="548" bestFit="1" customWidth="1"/>
    <col min="6640" max="6640" width="13.7109375" style="548" bestFit="1" customWidth="1"/>
    <col min="6641" max="6641" width="12.7109375" style="548" bestFit="1" customWidth="1"/>
    <col min="6642" max="6642" width="12.28515625" style="548" bestFit="1" customWidth="1"/>
    <col min="6643" max="6643" width="12.7109375" style="548" bestFit="1" customWidth="1"/>
    <col min="6644" max="6644" width="12.42578125" style="548" bestFit="1" customWidth="1"/>
    <col min="6645" max="6645" width="12.5703125" style="548" bestFit="1" customWidth="1"/>
    <col min="6646" max="6646" width="13.7109375" style="548" bestFit="1" customWidth="1"/>
    <col min="6647" max="6651" width="13.7109375" style="548" customWidth="1"/>
    <col min="6652" max="6652" width="16" style="548" customWidth="1"/>
    <col min="6653" max="6654" width="14" style="548" bestFit="1" customWidth="1"/>
    <col min="6655" max="6655" width="4.7109375" style="548" bestFit="1" customWidth="1"/>
    <col min="6656" max="6892" width="9.140625" style="548"/>
    <col min="6893" max="6893" width="12.140625" style="548" customWidth="1"/>
    <col min="6894" max="6894" width="14.7109375" style="548" bestFit="1" customWidth="1"/>
    <col min="6895" max="6895" width="12.7109375" style="548" bestFit="1" customWidth="1"/>
    <col min="6896" max="6896" width="13.7109375" style="548" bestFit="1" customWidth="1"/>
    <col min="6897" max="6897" width="12.7109375" style="548" bestFit="1" customWidth="1"/>
    <col min="6898" max="6898" width="12.28515625" style="548" bestFit="1" customWidth="1"/>
    <col min="6899" max="6899" width="12.7109375" style="548" bestFit="1" customWidth="1"/>
    <col min="6900" max="6900" width="12.42578125" style="548" bestFit="1" customWidth="1"/>
    <col min="6901" max="6901" width="12.5703125" style="548" bestFit="1" customWidth="1"/>
    <col min="6902" max="6902" width="13.7109375" style="548" bestFit="1" customWidth="1"/>
    <col min="6903" max="6907" width="13.7109375" style="548" customWidth="1"/>
    <col min="6908" max="6908" width="16" style="548" customWidth="1"/>
    <col min="6909" max="6910" width="14" style="548" bestFit="1" customWidth="1"/>
    <col min="6911" max="6911" width="4.7109375" style="548" bestFit="1" customWidth="1"/>
    <col min="6912" max="7148" width="9.140625" style="548"/>
    <col min="7149" max="7149" width="12.140625" style="548" customWidth="1"/>
    <col min="7150" max="7150" width="14.7109375" style="548" bestFit="1" customWidth="1"/>
    <col min="7151" max="7151" width="12.7109375" style="548" bestFit="1" customWidth="1"/>
    <col min="7152" max="7152" width="13.7109375" style="548" bestFit="1" customWidth="1"/>
    <col min="7153" max="7153" width="12.7109375" style="548" bestFit="1" customWidth="1"/>
    <col min="7154" max="7154" width="12.28515625" style="548" bestFit="1" customWidth="1"/>
    <col min="7155" max="7155" width="12.7109375" style="548" bestFit="1" customWidth="1"/>
    <col min="7156" max="7156" width="12.42578125" style="548" bestFit="1" customWidth="1"/>
    <col min="7157" max="7157" width="12.5703125" style="548" bestFit="1" customWidth="1"/>
    <col min="7158" max="7158" width="13.7109375" style="548" bestFit="1" customWidth="1"/>
    <col min="7159" max="7163" width="13.7109375" style="548" customWidth="1"/>
    <col min="7164" max="7164" width="16" style="548" customWidth="1"/>
    <col min="7165" max="7166" width="14" style="548" bestFit="1" customWidth="1"/>
    <col min="7167" max="7167" width="4.7109375" style="548" bestFit="1" customWidth="1"/>
    <col min="7168" max="7404" width="9.140625" style="548"/>
    <col min="7405" max="7405" width="12.140625" style="548" customWidth="1"/>
    <col min="7406" max="7406" width="14.7109375" style="548" bestFit="1" customWidth="1"/>
    <col min="7407" max="7407" width="12.7109375" style="548" bestFit="1" customWidth="1"/>
    <col min="7408" max="7408" width="13.7109375" style="548" bestFit="1" customWidth="1"/>
    <col min="7409" max="7409" width="12.7109375" style="548" bestFit="1" customWidth="1"/>
    <col min="7410" max="7410" width="12.28515625" style="548" bestFit="1" customWidth="1"/>
    <col min="7411" max="7411" width="12.7109375" style="548" bestFit="1" customWidth="1"/>
    <col min="7412" max="7412" width="12.42578125" style="548" bestFit="1" customWidth="1"/>
    <col min="7413" max="7413" width="12.5703125" style="548" bestFit="1" customWidth="1"/>
    <col min="7414" max="7414" width="13.7109375" style="548" bestFit="1" customWidth="1"/>
    <col min="7415" max="7419" width="13.7109375" style="548" customWidth="1"/>
    <col min="7420" max="7420" width="16" style="548" customWidth="1"/>
    <col min="7421" max="7422" width="14" style="548" bestFit="1" customWidth="1"/>
    <col min="7423" max="7423" width="4.7109375" style="548" bestFit="1" customWidth="1"/>
    <col min="7424" max="7660" width="9.140625" style="548"/>
    <col min="7661" max="7661" width="12.140625" style="548" customWidth="1"/>
    <col min="7662" max="7662" width="14.7109375" style="548" bestFit="1" customWidth="1"/>
    <col min="7663" max="7663" width="12.7109375" style="548" bestFit="1" customWidth="1"/>
    <col min="7664" max="7664" width="13.7109375" style="548" bestFit="1" customWidth="1"/>
    <col min="7665" max="7665" width="12.7109375" style="548" bestFit="1" customWidth="1"/>
    <col min="7666" max="7666" width="12.28515625" style="548" bestFit="1" customWidth="1"/>
    <col min="7667" max="7667" width="12.7109375" style="548" bestFit="1" customWidth="1"/>
    <col min="7668" max="7668" width="12.42578125" style="548" bestFit="1" customWidth="1"/>
    <col min="7669" max="7669" width="12.5703125" style="548" bestFit="1" customWidth="1"/>
    <col min="7670" max="7670" width="13.7109375" style="548" bestFit="1" customWidth="1"/>
    <col min="7671" max="7675" width="13.7109375" style="548" customWidth="1"/>
    <col min="7676" max="7676" width="16" style="548" customWidth="1"/>
    <col min="7677" max="7678" width="14" style="548" bestFit="1" customWidth="1"/>
    <col min="7679" max="7679" width="4.7109375" style="548" bestFit="1" customWidth="1"/>
    <col min="7680" max="7916" width="9.140625" style="548"/>
    <col min="7917" max="7917" width="12.140625" style="548" customWidth="1"/>
    <col min="7918" max="7918" width="14.7109375" style="548" bestFit="1" customWidth="1"/>
    <col min="7919" max="7919" width="12.7109375" style="548" bestFit="1" customWidth="1"/>
    <col min="7920" max="7920" width="13.7109375" style="548" bestFit="1" customWidth="1"/>
    <col min="7921" max="7921" width="12.7109375" style="548" bestFit="1" customWidth="1"/>
    <col min="7922" max="7922" width="12.28515625" style="548" bestFit="1" customWidth="1"/>
    <col min="7923" max="7923" width="12.7109375" style="548" bestFit="1" customWidth="1"/>
    <col min="7924" max="7924" width="12.42578125" style="548" bestFit="1" customWidth="1"/>
    <col min="7925" max="7925" width="12.5703125" style="548" bestFit="1" customWidth="1"/>
    <col min="7926" max="7926" width="13.7109375" style="548" bestFit="1" customWidth="1"/>
    <col min="7927" max="7931" width="13.7109375" style="548" customWidth="1"/>
    <col min="7932" max="7932" width="16" style="548" customWidth="1"/>
    <col min="7933" max="7934" width="14" style="548" bestFit="1" customWidth="1"/>
    <col min="7935" max="7935" width="4.7109375" style="548" bestFit="1" customWidth="1"/>
    <col min="7936" max="8172" width="9.140625" style="548"/>
    <col min="8173" max="8173" width="12.140625" style="548" customWidth="1"/>
    <col min="8174" max="8174" width="14.7109375" style="548" bestFit="1" customWidth="1"/>
    <col min="8175" max="8175" width="12.7109375" style="548" bestFit="1" customWidth="1"/>
    <col min="8176" max="8176" width="13.7109375" style="548" bestFit="1" customWidth="1"/>
    <col min="8177" max="8177" width="12.7109375" style="548" bestFit="1" customWidth="1"/>
    <col min="8178" max="8178" width="12.28515625" style="548" bestFit="1" customWidth="1"/>
    <col min="8179" max="8179" width="12.7109375" style="548" bestFit="1" customWidth="1"/>
    <col min="8180" max="8180" width="12.42578125" style="548" bestFit="1" customWidth="1"/>
    <col min="8181" max="8181" width="12.5703125" style="548" bestFit="1" customWidth="1"/>
    <col min="8182" max="8182" width="13.7109375" style="548" bestFit="1" customWidth="1"/>
    <col min="8183" max="8187" width="13.7109375" style="548" customWidth="1"/>
    <col min="8188" max="8188" width="16" style="548" customWidth="1"/>
    <col min="8189" max="8190" width="14" style="548" bestFit="1" customWidth="1"/>
    <col min="8191" max="8191" width="4.7109375" style="548" bestFit="1" customWidth="1"/>
    <col min="8192" max="8428" width="9.140625" style="548"/>
    <col min="8429" max="8429" width="12.140625" style="548" customWidth="1"/>
    <col min="8430" max="8430" width="14.7109375" style="548" bestFit="1" customWidth="1"/>
    <col min="8431" max="8431" width="12.7109375" style="548" bestFit="1" customWidth="1"/>
    <col min="8432" max="8432" width="13.7109375" style="548" bestFit="1" customWidth="1"/>
    <col min="8433" max="8433" width="12.7109375" style="548" bestFit="1" customWidth="1"/>
    <col min="8434" max="8434" width="12.28515625" style="548" bestFit="1" customWidth="1"/>
    <col min="8435" max="8435" width="12.7109375" style="548" bestFit="1" customWidth="1"/>
    <col min="8436" max="8436" width="12.42578125" style="548" bestFit="1" customWidth="1"/>
    <col min="8437" max="8437" width="12.5703125" style="548" bestFit="1" customWidth="1"/>
    <col min="8438" max="8438" width="13.7109375" style="548" bestFit="1" customWidth="1"/>
    <col min="8439" max="8443" width="13.7109375" style="548" customWidth="1"/>
    <col min="8444" max="8444" width="16" style="548" customWidth="1"/>
    <col min="8445" max="8446" width="14" style="548" bestFit="1" customWidth="1"/>
    <col min="8447" max="8447" width="4.7109375" style="548" bestFit="1" customWidth="1"/>
    <col min="8448" max="8684" width="9.140625" style="548"/>
    <col min="8685" max="8685" width="12.140625" style="548" customWidth="1"/>
    <col min="8686" max="8686" width="14.7109375" style="548" bestFit="1" customWidth="1"/>
    <col min="8687" max="8687" width="12.7109375" style="548" bestFit="1" customWidth="1"/>
    <col min="8688" max="8688" width="13.7109375" style="548" bestFit="1" customWidth="1"/>
    <col min="8689" max="8689" width="12.7109375" style="548" bestFit="1" customWidth="1"/>
    <col min="8690" max="8690" width="12.28515625" style="548" bestFit="1" customWidth="1"/>
    <col min="8691" max="8691" width="12.7109375" style="548" bestFit="1" customWidth="1"/>
    <col min="8692" max="8692" width="12.42578125" style="548" bestFit="1" customWidth="1"/>
    <col min="8693" max="8693" width="12.5703125" style="548" bestFit="1" customWidth="1"/>
    <col min="8694" max="8694" width="13.7109375" style="548" bestFit="1" customWidth="1"/>
    <col min="8695" max="8699" width="13.7109375" style="548" customWidth="1"/>
    <col min="8700" max="8700" width="16" style="548" customWidth="1"/>
    <col min="8701" max="8702" width="14" style="548" bestFit="1" customWidth="1"/>
    <col min="8703" max="8703" width="4.7109375" style="548" bestFit="1" customWidth="1"/>
    <col min="8704" max="8940" width="9.140625" style="548"/>
    <col min="8941" max="8941" width="12.140625" style="548" customWidth="1"/>
    <col min="8942" max="8942" width="14.7109375" style="548" bestFit="1" customWidth="1"/>
    <col min="8943" max="8943" width="12.7109375" style="548" bestFit="1" customWidth="1"/>
    <col min="8944" max="8944" width="13.7109375" style="548" bestFit="1" customWidth="1"/>
    <col min="8945" max="8945" width="12.7109375" style="548" bestFit="1" customWidth="1"/>
    <col min="8946" max="8946" width="12.28515625" style="548" bestFit="1" customWidth="1"/>
    <col min="8947" max="8947" width="12.7109375" style="548" bestFit="1" customWidth="1"/>
    <col min="8948" max="8948" width="12.42578125" style="548" bestFit="1" customWidth="1"/>
    <col min="8949" max="8949" width="12.5703125" style="548" bestFit="1" customWidth="1"/>
    <col min="8950" max="8950" width="13.7109375" style="548" bestFit="1" customWidth="1"/>
    <col min="8951" max="8955" width="13.7109375" style="548" customWidth="1"/>
    <col min="8956" max="8956" width="16" style="548" customWidth="1"/>
    <col min="8957" max="8958" width="14" style="548" bestFit="1" customWidth="1"/>
    <col min="8959" max="8959" width="4.7109375" style="548" bestFit="1" customWidth="1"/>
    <col min="8960" max="9196" width="9.140625" style="548"/>
    <col min="9197" max="9197" width="12.140625" style="548" customWidth="1"/>
    <col min="9198" max="9198" width="14.7109375" style="548" bestFit="1" customWidth="1"/>
    <col min="9199" max="9199" width="12.7109375" style="548" bestFit="1" customWidth="1"/>
    <col min="9200" max="9200" width="13.7109375" style="548" bestFit="1" customWidth="1"/>
    <col min="9201" max="9201" width="12.7109375" style="548" bestFit="1" customWidth="1"/>
    <col min="9202" max="9202" width="12.28515625" style="548" bestFit="1" customWidth="1"/>
    <col min="9203" max="9203" width="12.7109375" style="548" bestFit="1" customWidth="1"/>
    <col min="9204" max="9204" width="12.42578125" style="548" bestFit="1" customWidth="1"/>
    <col min="9205" max="9205" width="12.5703125" style="548" bestFit="1" customWidth="1"/>
    <col min="9206" max="9206" width="13.7109375" style="548" bestFit="1" customWidth="1"/>
    <col min="9207" max="9211" width="13.7109375" style="548" customWidth="1"/>
    <col min="9212" max="9212" width="16" style="548" customWidth="1"/>
    <col min="9213" max="9214" width="14" style="548" bestFit="1" customWidth="1"/>
    <col min="9215" max="9215" width="4.7109375" style="548" bestFit="1" customWidth="1"/>
    <col min="9216" max="9452" width="9.140625" style="548"/>
    <col min="9453" max="9453" width="12.140625" style="548" customWidth="1"/>
    <col min="9454" max="9454" width="14.7109375" style="548" bestFit="1" customWidth="1"/>
    <col min="9455" max="9455" width="12.7109375" style="548" bestFit="1" customWidth="1"/>
    <col min="9456" max="9456" width="13.7109375" style="548" bestFit="1" customWidth="1"/>
    <col min="9457" max="9457" width="12.7109375" style="548" bestFit="1" customWidth="1"/>
    <col min="9458" max="9458" width="12.28515625" style="548" bestFit="1" customWidth="1"/>
    <col min="9459" max="9459" width="12.7109375" style="548" bestFit="1" customWidth="1"/>
    <col min="9460" max="9460" width="12.42578125" style="548" bestFit="1" customWidth="1"/>
    <col min="9461" max="9461" width="12.5703125" style="548" bestFit="1" customWidth="1"/>
    <col min="9462" max="9462" width="13.7109375" style="548" bestFit="1" customWidth="1"/>
    <col min="9463" max="9467" width="13.7109375" style="548" customWidth="1"/>
    <col min="9468" max="9468" width="16" style="548" customWidth="1"/>
    <col min="9469" max="9470" width="14" style="548" bestFit="1" customWidth="1"/>
    <col min="9471" max="9471" width="4.7109375" style="548" bestFit="1" customWidth="1"/>
    <col min="9472" max="9708" width="9.140625" style="548"/>
    <col min="9709" max="9709" width="12.140625" style="548" customWidth="1"/>
    <col min="9710" max="9710" width="14.7109375" style="548" bestFit="1" customWidth="1"/>
    <col min="9711" max="9711" width="12.7109375" style="548" bestFit="1" customWidth="1"/>
    <col min="9712" max="9712" width="13.7109375" style="548" bestFit="1" customWidth="1"/>
    <col min="9713" max="9713" width="12.7109375" style="548" bestFit="1" customWidth="1"/>
    <col min="9714" max="9714" width="12.28515625" style="548" bestFit="1" customWidth="1"/>
    <col min="9715" max="9715" width="12.7109375" style="548" bestFit="1" customWidth="1"/>
    <col min="9716" max="9716" width="12.42578125" style="548" bestFit="1" customWidth="1"/>
    <col min="9717" max="9717" width="12.5703125" style="548" bestFit="1" customWidth="1"/>
    <col min="9718" max="9718" width="13.7109375" style="548" bestFit="1" customWidth="1"/>
    <col min="9719" max="9723" width="13.7109375" style="548" customWidth="1"/>
    <col min="9724" max="9724" width="16" style="548" customWidth="1"/>
    <col min="9725" max="9726" width="14" style="548" bestFit="1" customWidth="1"/>
    <col min="9727" max="9727" width="4.7109375" style="548" bestFit="1" customWidth="1"/>
    <col min="9728" max="9964" width="9.140625" style="548"/>
    <col min="9965" max="9965" width="12.140625" style="548" customWidth="1"/>
    <col min="9966" max="9966" width="14.7109375" style="548" bestFit="1" customWidth="1"/>
    <col min="9967" max="9967" width="12.7109375" style="548" bestFit="1" customWidth="1"/>
    <col min="9968" max="9968" width="13.7109375" style="548" bestFit="1" customWidth="1"/>
    <col min="9969" max="9969" width="12.7109375" style="548" bestFit="1" customWidth="1"/>
    <col min="9970" max="9970" width="12.28515625" style="548" bestFit="1" customWidth="1"/>
    <col min="9971" max="9971" width="12.7109375" style="548" bestFit="1" customWidth="1"/>
    <col min="9972" max="9972" width="12.42578125" style="548" bestFit="1" customWidth="1"/>
    <col min="9973" max="9973" width="12.5703125" style="548" bestFit="1" customWidth="1"/>
    <col min="9974" max="9974" width="13.7109375" style="548" bestFit="1" customWidth="1"/>
    <col min="9975" max="9979" width="13.7109375" style="548" customWidth="1"/>
    <col min="9980" max="9980" width="16" style="548" customWidth="1"/>
    <col min="9981" max="9982" width="14" style="548" bestFit="1" customWidth="1"/>
    <col min="9983" max="9983" width="4.7109375" style="548" bestFit="1" customWidth="1"/>
    <col min="9984" max="10220" width="9.140625" style="548"/>
    <col min="10221" max="10221" width="12.140625" style="548" customWidth="1"/>
    <col min="10222" max="10222" width="14.7109375" style="548" bestFit="1" customWidth="1"/>
    <col min="10223" max="10223" width="12.7109375" style="548" bestFit="1" customWidth="1"/>
    <col min="10224" max="10224" width="13.7109375" style="548" bestFit="1" customWidth="1"/>
    <col min="10225" max="10225" width="12.7109375" style="548" bestFit="1" customWidth="1"/>
    <col min="10226" max="10226" width="12.28515625" style="548" bestFit="1" customWidth="1"/>
    <col min="10227" max="10227" width="12.7109375" style="548" bestFit="1" customWidth="1"/>
    <col min="10228" max="10228" width="12.42578125" style="548" bestFit="1" customWidth="1"/>
    <col min="10229" max="10229" width="12.5703125" style="548" bestFit="1" customWidth="1"/>
    <col min="10230" max="10230" width="13.7109375" style="548" bestFit="1" customWidth="1"/>
    <col min="10231" max="10235" width="13.7109375" style="548" customWidth="1"/>
    <col min="10236" max="10236" width="16" style="548" customWidth="1"/>
    <col min="10237" max="10238" width="14" style="548" bestFit="1" customWidth="1"/>
    <col min="10239" max="10239" width="4.7109375" style="548" bestFit="1" customWidth="1"/>
    <col min="10240" max="10476" width="9.140625" style="548"/>
    <col min="10477" max="10477" width="12.140625" style="548" customWidth="1"/>
    <col min="10478" max="10478" width="14.7109375" style="548" bestFit="1" customWidth="1"/>
    <col min="10479" max="10479" width="12.7109375" style="548" bestFit="1" customWidth="1"/>
    <col min="10480" max="10480" width="13.7109375" style="548" bestFit="1" customWidth="1"/>
    <col min="10481" max="10481" width="12.7109375" style="548" bestFit="1" customWidth="1"/>
    <col min="10482" max="10482" width="12.28515625" style="548" bestFit="1" customWidth="1"/>
    <col min="10483" max="10483" width="12.7109375" style="548" bestFit="1" customWidth="1"/>
    <col min="10484" max="10484" width="12.42578125" style="548" bestFit="1" customWidth="1"/>
    <col min="10485" max="10485" width="12.5703125" style="548" bestFit="1" customWidth="1"/>
    <col min="10486" max="10486" width="13.7109375" style="548" bestFit="1" customWidth="1"/>
    <col min="10487" max="10491" width="13.7109375" style="548" customWidth="1"/>
    <col min="10492" max="10492" width="16" style="548" customWidth="1"/>
    <col min="10493" max="10494" width="14" style="548" bestFit="1" customWidth="1"/>
    <col min="10495" max="10495" width="4.7109375" style="548" bestFit="1" customWidth="1"/>
    <col min="10496" max="10732" width="9.140625" style="548"/>
    <col min="10733" max="10733" width="12.140625" style="548" customWidth="1"/>
    <col min="10734" max="10734" width="14.7109375" style="548" bestFit="1" customWidth="1"/>
    <col min="10735" max="10735" width="12.7109375" style="548" bestFit="1" customWidth="1"/>
    <col min="10736" max="10736" width="13.7109375" style="548" bestFit="1" customWidth="1"/>
    <col min="10737" max="10737" width="12.7109375" style="548" bestFit="1" customWidth="1"/>
    <col min="10738" max="10738" width="12.28515625" style="548" bestFit="1" customWidth="1"/>
    <col min="10739" max="10739" width="12.7109375" style="548" bestFit="1" customWidth="1"/>
    <col min="10740" max="10740" width="12.42578125" style="548" bestFit="1" customWidth="1"/>
    <col min="10741" max="10741" width="12.5703125" style="548" bestFit="1" customWidth="1"/>
    <col min="10742" max="10742" width="13.7109375" style="548" bestFit="1" customWidth="1"/>
    <col min="10743" max="10747" width="13.7109375" style="548" customWidth="1"/>
    <col min="10748" max="10748" width="16" style="548" customWidth="1"/>
    <col min="10749" max="10750" width="14" style="548" bestFit="1" customWidth="1"/>
    <col min="10751" max="10751" width="4.7109375" style="548" bestFit="1" customWidth="1"/>
    <col min="10752" max="10988" width="9.140625" style="548"/>
    <col min="10989" max="10989" width="12.140625" style="548" customWidth="1"/>
    <col min="10990" max="10990" width="14.7109375" style="548" bestFit="1" customWidth="1"/>
    <col min="10991" max="10991" width="12.7109375" style="548" bestFit="1" customWidth="1"/>
    <col min="10992" max="10992" width="13.7109375" style="548" bestFit="1" customWidth="1"/>
    <col min="10993" max="10993" width="12.7109375" style="548" bestFit="1" customWidth="1"/>
    <col min="10994" max="10994" width="12.28515625" style="548" bestFit="1" customWidth="1"/>
    <col min="10995" max="10995" width="12.7109375" style="548" bestFit="1" customWidth="1"/>
    <col min="10996" max="10996" width="12.42578125" style="548" bestFit="1" customWidth="1"/>
    <col min="10997" max="10997" width="12.5703125" style="548" bestFit="1" customWidth="1"/>
    <col min="10998" max="10998" width="13.7109375" style="548" bestFit="1" customWidth="1"/>
    <col min="10999" max="11003" width="13.7109375" style="548" customWidth="1"/>
    <col min="11004" max="11004" width="16" style="548" customWidth="1"/>
    <col min="11005" max="11006" width="14" style="548" bestFit="1" customWidth="1"/>
    <col min="11007" max="11007" width="4.7109375" style="548" bestFit="1" customWidth="1"/>
    <col min="11008" max="11244" width="9.140625" style="548"/>
    <col min="11245" max="11245" width="12.140625" style="548" customWidth="1"/>
    <col min="11246" max="11246" width="14.7109375" style="548" bestFit="1" customWidth="1"/>
    <col min="11247" max="11247" width="12.7109375" style="548" bestFit="1" customWidth="1"/>
    <col min="11248" max="11248" width="13.7109375" style="548" bestFit="1" customWidth="1"/>
    <col min="11249" max="11249" width="12.7109375" style="548" bestFit="1" customWidth="1"/>
    <col min="11250" max="11250" width="12.28515625" style="548" bestFit="1" customWidth="1"/>
    <col min="11251" max="11251" width="12.7109375" style="548" bestFit="1" customWidth="1"/>
    <col min="11252" max="11252" width="12.42578125" style="548" bestFit="1" customWidth="1"/>
    <col min="11253" max="11253" width="12.5703125" style="548" bestFit="1" customWidth="1"/>
    <col min="11254" max="11254" width="13.7109375" style="548" bestFit="1" customWidth="1"/>
    <col min="11255" max="11259" width="13.7109375" style="548" customWidth="1"/>
    <col min="11260" max="11260" width="16" style="548" customWidth="1"/>
    <col min="11261" max="11262" width="14" style="548" bestFit="1" customWidth="1"/>
    <col min="11263" max="11263" width="4.7109375" style="548" bestFit="1" customWidth="1"/>
    <col min="11264" max="11500" width="9.140625" style="548"/>
    <col min="11501" max="11501" width="12.140625" style="548" customWidth="1"/>
    <col min="11502" max="11502" width="14.7109375" style="548" bestFit="1" customWidth="1"/>
    <col min="11503" max="11503" width="12.7109375" style="548" bestFit="1" customWidth="1"/>
    <col min="11504" max="11504" width="13.7109375" style="548" bestFit="1" customWidth="1"/>
    <col min="11505" max="11505" width="12.7109375" style="548" bestFit="1" customWidth="1"/>
    <col min="11506" max="11506" width="12.28515625" style="548" bestFit="1" customWidth="1"/>
    <col min="11507" max="11507" width="12.7109375" style="548" bestFit="1" customWidth="1"/>
    <col min="11508" max="11508" width="12.42578125" style="548" bestFit="1" customWidth="1"/>
    <col min="11509" max="11509" width="12.5703125" style="548" bestFit="1" customWidth="1"/>
    <col min="11510" max="11510" width="13.7109375" style="548" bestFit="1" customWidth="1"/>
    <col min="11511" max="11515" width="13.7109375" style="548" customWidth="1"/>
    <col min="11516" max="11516" width="16" style="548" customWidth="1"/>
    <col min="11517" max="11518" width="14" style="548" bestFit="1" customWidth="1"/>
    <col min="11519" max="11519" width="4.7109375" style="548" bestFit="1" customWidth="1"/>
    <col min="11520" max="11756" width="9.140625" style="548"/>
    <col min="11757" max="11757" width="12.140625" style="548" customWidth="1"/>
    <col min="11758" max="11758" width="14.7109375" style="548" bestFit="1" customWidth="1"/>
    <col min="11759" max="11759" width="12.7109375" style="548" bestFit="1" customWidth="1"/>
    <col min="11760" max="11760" width="13.7109375" style="548" bestFit="1" customWidth="1"/>
    <col min="11761" max="11761" width="12.7109375" style="548" bestFit="1" customWidth="1"/>
    <col min="11762" max="11762" width="12.28515625" style="548" bestFit="1" customWidth="1"/>
    <col min="11763" max="11763" width="12.7109375" style="548" bestFit="1" customWidth="1"/>
    <col min="11764" max="11764" width="12.42578125" style="548" bestFit="1" customWidth="1"/>
    <col min="11765" max="11765" width="12.5703125" style="548" bestFit="1" customWidth="1"/>
    <col min="11766" max="11766" width="13.7109375" style="548" bestFit="1" customWidth="1"/>
    <col min="11767" max="11771" width="13.7109375" style="548" customWidth="1"/>
    <col min="11772" max="11772" width="16" style="548" customWidth="1"/>
    <col min="11773" max="11774" width="14" style="548" bestFit="1" customWidth="1"/>
    <col min="11775" max="11775" width="4.7109375" style="548" bestFit="1" customWidth="1"/>
    <col min="11776" max="12012" width="9.140625" style="548"/>
    <col min="12013" max="12013" width="12.140625" style="548" customWidth="1"/>
    <col min="12014" max="12014" width="14.7109375" style="548" bestFit="1" customWidth="1"/>
    <col min="12015" max="12015" width="12.7109375" style="548" bestFit="1" customWidth="1"/>
    <col min="12016" max="12016" width="13.7109375" style="548" bestFit="1" customWidth="1"/>
    <col min="12017" max="12017" width="12.7109375" style="548" bestFit="1" customWidth="1"/>
    <col min="12018" max="12018" width="12.28515625" style="548" bestFit="1" customWidth="1"/>
    <col min="12019" max="12019" width="12.7109375" style="548" bestFit="1" customWidth="1"/>
    <col min="12020" max="12020" width="12.42578125" style="548" bestFit="1" customWidth="1"/>
    <col min="12021" max="12021" width="12.5703125" style="548" bestFit="1" customWidth="1"/>
    <col min="12022" max="12022" width="13.7109375" style="548" bestFit="1" customWidth="1"/>
    <col min="12023" max="12027" width="13.7109375" style="548" customWidth="1"/>
    <col min="12028" max="12028" width="16" style="548" customWidth="1"/>
    <col min="12029" max="12030" width="14" style="548" bestFit="1" customWidth="1"/>
    <col min="12031" max="12031" width="4.7109375" style="548" bestFit="1" customWidth="1"/>
    <col min="12032" max="12268" width="9.140625" style="548"/>
    <col min="12269" max="12269" width="12.140625" style="548" customWidth="1"/>
    <col min="12270" max="12270" width="14.7109375" style="548" bestFit="1" customWidth="1"/>
    <col min="12271" max="12271" width="12.7109375" style="548" bestFit="1" customWidth="1"/>
    <col min="12272" max="12272" width="13.7109375" style="548" bestFit="1" customWidth="1"/>
    <col min="12273" max="12273" width="12.7109375" style="548" bestFit="1" customWidth="1"/>
    <col min="12274" max="12274" width="12.28515625" style="548" bestFit="1" customWidth="1"/>
    <col min="12275" max="12275" width="12.7109375" style="548" bestFit="1" customWidth="1"/>
    <col min="12276" max="12276" width="12.42578125" style="548" bestFit="1" customWidth="1"/>
    <col min="12277" max="12277" width="12.5703125" style="548" bestFit="1" customWidth="1"/>
    <col min="12278" max="12278" width="13.7109375" style="548" bestFit="1" customWidth="1"/>
    <col min="12279" max="12283" width="13.7109375" style="548" customWidth="1"/>
    <col min="12284" max="12284" width="16" style="548" customWidth="1"/>
    <col min="12285" max="12286" width="14" style="548" bestFit="1" customWidth="1"/>
    <col min="12287" max="12287" width="4.7109375" style="548" bestFit="1" customWidth="1"/>
    <col min="12288" max="12524" width="9.140625" style="548"/>
    <col min="12525" max="12525" width="12.140625" style="548" customWidth="1"/>
    <col min="12526" max="12526" width="14.7109375" style="548" bestFit="1" customWidth="1"/>
    <col min="12527" max="12527" width="12.7109375" style="548" bestFit="1" customWidth="1"/>
    <col min="12528" max="12528" width="13.7109375" style="548" bestFit="1" customWidth="1"/>
    <col min="12529" max="12529" width="12.7109375" style="548" bestFit="1" customWidth="1"/>
    <col min="12530" max="12530" width="12.28515625" style="548" bestFit="1" customWidth="1"/>
    <col min="12531" max="12531" width="12.7109375" style="548" bestFit="1" customWidth="1"/>
    <col min="12532" max="12532" width="12.42578125" style="548" bestFit="1" customWidth="1"/>
    <col min="12533" max="12533" width="12.5703125" style="548" bestFit="1" customWidth="1"/>
    <col min="12534" max="12534" width="13.7109375" style="548" bestFit="1" customWidth="1"/>
    <col min="12535" max="12539" width="13.7109375" style="548" customWidth="1"/>
    <col min="12540" max="12540" width="16" style="548" customWidth="1"/>
    <col min="12541" max="12542" width="14" style="548" bestFit="1" customWidth="1"/>
    <col min="12543" max="12543" width="4.7109375" style="548" bestFit="1" customWidth="1"/>
    <col min="12544" max="12780" width="9.140625" style="548"/>
    <col min="12781" max="12781" width="12.140625" style="548" customWidth="1"/>
    <col min="12782" max="12782" width="14.7109375" style="548" bestFit="1" customWidth="1"/>
    <col min="12783" max="12783" width="12.7109375" style="548" bestFit="1" customWidth="1"/>
    <col min="12784" max="12784" width="13.7109375" style="548" bestFit="1" customWidth="1"/>
    <col min="12785" max="12785" width="12.7109375" style="548" bestFit="1" customWidth="1"/>
    <col min="12786" max="12786" width="12.28515625" style="548" bestFit="1" customWidth="1"/>
    <col min="12787" max="12787" width="12.7109375" style="548" bestFit="1" customWidth="1"/>
    <col min="12788" max="12788" width="12.42578125" style="548" bestFit="1" customWidth="1"/>
    <col min="12789" max="12789" width="12.5703125" style="548" bestFit="1" customWidth="1"/>
    <col min="12790" max="12790" width="13.7109375" style="548" bestFit="1" customWidth="1"/>
    <col min="12791" max="12795" width="13.7109375" style="548" customWidth="1"/>
    <col min="12796" max="12796" width="16" style="548" customWidth="1"/>
    <col min="12797" max="12798" width="14" style="548" bestFit="1" customWidth="1"/>
    <col min="12799" max="12799" width="4.7109375" style="548" bestFit="1" customWidth="1"/>
    <col min="12800" max="16384" width="9.140625" style="548"/>
  </cols>
  <sheetData>
    <row r="1" spans="1:64" ht="15.75" customHeight="1" x14ac:dyDescent="0.2">
      <c r="A1" s="547" t="s">
        <v>0</v>
      </c>
      <c r="B1" s="547"/>
    </row>
    <row r="2" spans="1:64" x14ac:dyDescent="0.2">
      <c r="A2" s="547" t="s">
        <v>344</v>
      </c>
      <c r="B2" s="549"/>
    </row>
    <row r="3" spans="1:64" x14ac:dyDescent="0.2">
      <c r="A3" s="547" t="s">
        <v>345</v>
      </c>
      <c r="B3" s="549"/>
    </row>
    <row r="4" spans="1:64" x14ac:dyDescent="0.2">
      <c r="A4" s="549"/>
      <c r="B4" s="549"/>
    </row>
    <row r="5" spans="1:64" x14ac:dyDescent="0.2">
      <c r="A5" s="550" t="s">
        <v>346</v>
      </c>
      <c r="B5" s="551"/>
    </row>
    <row r="6" spans="1:64" x14ac:dyDescent="0.2">
      <c r="B6" s="552" t="s">
        <v>347</v>
      </c>
      <c r="C6" s="552"/>
      <c r="D6" s="552"/>
      <c r="E6" s="553">
        <v>44562</v>
      </c>
      <c r="F6" s="554">
        <f t="shared" ref="F6:BL6" si="0">EDATE(E6,1)</f>
        <v>44593</v>
      </c>
      <c r="G6" s="554">
        <f t="shared" si="0"/>
        <v>44621</v>
      </c>
      <c r="H6" s="554">
        <f t="shared" si="0"/>
        <v>44652</v>
      </c>
      <c r="I6" s="554">
        <f t="shared" si="0"/>
        <v>44682</v>
      </c>
      <c r="J6" s="554">
        <f t="shared" si="0"/>
        <v>44713</v>
      </c>
      <c r="K6" s="554">
        <f t="shared" si="0"/>
        <v>44743</v>
      </c>
      <c r="L6" s="554">
        <f t="shared" si="0"/>
        <v>44774</v>
      </c>
      <c r="M6" s="554">
        <f t="shared" si="0"/>
        <v>44805</v>
      </c>
      <c r="N6" s="554">
        <f t="shared" si="0"/>
        <v>44835</v>
      </c>
      <c r="O6" s="554">
        <f t="shared" si="0"/>
        <v>44866</v>
      </c>
      <c r="P6" s="554">
        <f t="shared" si="0"/>
        <v>44896</v>
      </c>
      <c r="Q6" s="554">
        <f t="shared" si="0"/>
        <v>44927</v>
      </c>
      <c r="R6" s="554">
        <f t="shared" si="0"/>
        <v>44958</v>
      </c>
      <c r="S6" s="554">
        <f t="shared" si="0"/>
        <v>44986</v>
      </c>
      <c r="T6" s="554">
        <f t="shared" si="0"/>
        <v>45017</v>
      </c>
      <c r="U6" s="554">
        <f t="shared" si="0"/>
        <v>45047</v>
      </c>
      <c r="V6" s="554">
        <f t="shared" si="0"/>
        <v>45078</v>
      </c>
      <c r="W6" s="554">
        <f t="shared" si="0"/>
        <v>45108</v>
      </c>
      <c r="X6" s="554">
        <f t="shared" si="0"/>
        <v>45139</v>
      </c>
      <c r="Y6" s="554">
        <f t="shared" si="0"/>
        <v>45170</v>
      </c>
      <c r="Z6" s="554">
        <f t="shared" si="0"/>
        <v>45200</v>
      </c>
      <c r="AA6" s="554">
        <f t="shared" si="0"/>
        <v>45231</v>
      </c>
      <c r="AB6" s="554">
        <f t="shared" si="0"/>
        <v>45261</v>
      </c>
      <c r="AC6" s="554">
        <f t="shared" si="0"/>
        <v>45292</v>
      </c>
      <c r="AD6" s="554">
        <f t="shared" si="0"/>
        <v>45323</v>
      </c>
      <c r="AE6" s="554">
        <f t="shared" si="0"/>
        <v>45352</v>
      </c>
      <c r="AF6" s="554">
        <f t="shared" si="0"/>
        <v>45383</v>
      </c>
      <c r="AG6" s="554">
        <f t="shared" si="0"/>
        <v>45413</v>
      </c>
      <c r="AH6" s="554">
        <f t="shared" si="0"/>
        <v>45444</v>
      </c>
      <c r="AI6" s="554">
        <f t="shared" si="0"/>
        <v>45474</v>
      </c>
      <c r="AJ6" s="554">
        <f t="shared" si="0"/>
        <v>45505</v>
      </c>
      <c r="AK6" s="554">
        <f t="shared" si="0"/>
        <v>45536</v>
      </c>
      <c r="AL6" s="554">
        <f t="shared" si="0"/>
        <v>45566</v>
      </c>
      <c r="AM6" s="554">
        <f t="shared" si="0"/>
        <v>45597</v>
      </c>
      <c r="AN6" s="554">
        <f t="shared" si="0"/>
        <v>45627</v>
      </c>
      <c r="AO6" s="554">
        <f t="shared" si="0"/>
        <v>45658</v>
      </c>
      <c r="AP6" s="554">
        <f t="shared" si="0"/>
        <v>45689</v>
      </c>
      <c r="AQ6" s="554">
        <f t="shared" si="0"/>
        <v>45717</v>
      </c>
      <c r="AR6" s="554">
        <f t="shared" si="0"/>
        <v>45748</v>
      </c>
      <c r="AS6" s="554">
        <f t="shared" si="0"/>
        <v>45778</v>
      </c>
      <c r="AT6" s="554">
        <f t="shared" si="0"/>
        <v>45809</v>
      </c>
      <c r="AU6" s="554">
        <f t="shared" si="0"/>
        <v>45839</v>
      </c>
      <c r="AV6" s="554">
        <f t="shared" si="0"/>
        <v>45870</v>
      </c>
      <c r="AW6" s="554">
        <f t="shared" si="0"/>
        <v>45901</v>
      </c>
      <c r="AX6" s="554">
        <f t="shared" si="0"/>
        <v>45931</v>
      </c>
      <c r="AY6" s="554">
        <f t="shared" si="0"/>
        <v>45962</v>
      </c>
      <c r="AZ6" s="554">
        <f t="shared" si="0"/>
        <v>45992</v>
      </c>
      <c r="BA6" s="554">
        <f t="shared" si="0"/>
        <v>46023</v>
      </c>
      <c r="BB6" s="554">
        <f t="shared" si="0"/>
        <v>46054</v>
      </c>
      <c r="BC6" s="554">
        <f t="shared" si="0"/>
        <v>46082</v>
      </c>
      <c r="BD6" s="554">
        <f t="shared" si="0"/>
        <v>46113</v>
      </c>
      <c r="BE6" s="554">
        <f t="shared" si="0"/>
        <v>46143</v>
      </c>
      <c r="BF6" s="554">
        <f t="shared" si="0"/>
        <v>46174</v>
      </c>
      <c r="BG6" s="554">
        <f t="shared" si="0"/>
        <v>46204</v>
      </c>
      <c r="BH6" s="554">
        <f t="shared" si="0"/>
        <v>46235</v>
      </c>
      <c r="BI6" s="554">
        <f t="shared" si="0"/>
        <v>46266</v>
      </c>
      <c r="BJ6" s="554">
        <f t="shared" si="0"/>
        <v>46296</v>
      </c>
      <c r="BK6" s="554">
        <f t="shared" si="0"/>
        <v>46327</v>
      </c>
      <c r="BL6" s="554">
        <f t="shared" si="0"/>
        <v>46357</v>
      </c>
    </row>
    <row r="7" spans="1:64" x14ac:dyDescent="0.2">
      <c r="B7" s="555" t="s">
        <v>92</v>
      </c>
      <c r="C7" s="555"/>
      <c r="D7" s="555"/>
      <c r="E7" s="556">
        <v>0</v>
      </c>
      <c r="F7" s="556">
        <v>0</v>
      </c>
      <c r="G7" s="556">
        <v>0</v>
      </c>
      <c r="H7" s="556">
        <v>1452991</v>
      </c>
      <c r="I7" s="556">
        <v>1452991</v>
      </c>
      <c r="J7" s="556">
        <v>1452991</v>
      </c>
      <c r="K7" s="556">
        <v>1452991</v>
      </c>
      <c r="L7" s="556">
        <v>1452991</v>
      </c>
      <c r="M7" s="556">
        <v>1452991</v>
      </c>
      <c r="N7" s="556">
        <v>1452991</v>
      </c>
      <c r="O7" s="556">
        <v>1452991</v>
      </c>
      <c r="P7" s="556">
        <v>1452991</v>
      </c>
      <c r="Q7" s="556">
        <v>1452991</v>
      </c>
      <c r="R7" s="556">
        <v>1452991</v>
      </c>
      <c r="S7" s="556">
        <v>1452991</v>
      </c>
      <c r="T7" s="556">
        <v>3010446</v>
      </c>
      <c r="U7" s="556">
        <v>3010446</v>
      </c>
      <c r="V7" s="556">
        <v>3010446</v>
      </c>
      <c r="W7" s="556">
        <v>3010446</v>
      </c>
      <c r="X7" s="556">
        <v>3010446</v>
      </c>
      <c r="Y7" s="556">
        <v>3010446</v>
      </c>
      <c r="Z7" s="556">
        <v>3010446</v>
      </c>
      <c r="AA7" s="556">
        <v>3010446</v>
      </c>
      <c r="AB7" s="556">
        <v>3010446</v>
      </c>
      <c r="AC7" s="556">
        <v>3010446</v>
      </c>
      <c r="AD7" s="556">
        <v>3010446</v>
      </c>
      <c r="AE7" s="556">
        <v>3010446</v>
      </c>
      <c r="AF7" s="556">
        <v>3941911</v>
      </c>
      <c r="AG7" s="556">
        <v>3941911</v>
      </c>
      <c r="AH7" s="556">
        <v>3941911</v>
      </c>
      <c r="AI7" s="556">
        <v>3941911</v>
      </c>
      <c r="AJ7" s="556">
        <v>3941911</v>
      </c>
      <c r="AK7" s="556">
        <v>3941911</v>
      </c>
      <c r="AL7" s="556">
        <v>3941911</v>
      </c>
      <c r="AM7" s="556">
        <v>3941911</v>
      </c>
      <c r="AN7" s="556">
        <v>3941915</v>
      </c>
      <c r="AO7" s="556">
        <v>4430199</v>
      </c>
      <c r="AP7" s="556">
        <v>4430199</v>
      </c>
      <c r="AQ7" s="556">
        <v>4430199</v>
      </c>
      <c r="AR7" s="556">
        <v>4430199</v>
      </c>
      <c r="AS7" s="556">
        <v>4430199</v>
      </c>
      <c r="AT7" s="556">
        <v>4430199</v>
      </c>
      <c r="AU7" s="556">
        <v>4430199</v>
      </c>
      <c r="AV7" s="556">
        <v>4430199</v>
      </c>
      <c r="AW7" s="556">
        <v>4430199</v>
      </c>
      <c r="AX7" s="556">
        <v>4430199</v>
      </c>
      <c r="AY7" s="556">
        <v>4430199</v>
      </c>
      <c r="AZ7" s="556">
        <v>4430203</v>
      </c>
      <c r="BA7" s="556">
        <v>4430199</v>
      </c>
      <c r="BB7" s="556">
        <v>4430199</v>
      </c>
      <c r="BC7" s="556">
        <v>4430199</v>
      </c>
      <c r="BD7" s="556">
        <v>4430199</v>
      </c>
      <c r="BE7" s="556">
        <v>4430199</v>
      </c>
      <c r="BF7" s="556">
        <v>4430199</v>
      </c>
      <c r="BG7" s="556">
        <v>5872507</v>
      </c>
      <c r="BH7" s="556">
        <v>5872507</v>
      </c>
      <c r="BI7" s="556">
        <v>5872507</v>
      </c>
      <c r="BJ7" s="556">
        <v>5872507</v>
      </c>
      <c r="BK7" s="556">
        <v>5872507</v>
      </c>
      <c r="BL7" s="556">
        <v>5872510</v>
      </c>
    </row>
    <row r="8" spans="1:64" x14ac:dyDescent="0.2">
      <c r="B8" s="557"/>
      <c r="C8" s="557"/>
      <c r="D8" s="557"/>
      <c r="E8" s="558"/>
      <c r="F8" s="558"/>
      <c r="G8" s="558"/>
      <c r="H8" s="558"/>
      <c r="I8" s="558"/>
      <c r="J8" s="558"/>
      <c r="K8" s="558"/>
      <c r="L8" s="558"/>
      <c r="M8" s="558"/>
      <c r="N8" s="558"/>
      <c r="O8" s="558"/>
      <c r="P8" s="558"/>
      <c r="Q8" s="558"/>
      <c r="R8" s="558"/>
      <c r="S8" s="558"/>
      <c r="T8" s="558"/>
      <c r="U8" s="558"/>
      <c r="V8" s="558"/>
      <c r="W8" s="558"/>
      <c r="X8" s="558"/>
      <c r="Y8" s="558"/>
      <c r="Z8" s="558"/>
      <c r="AA8" s="558"/>
      <c r="AB8" s="558"/>
      <c r="AC8" s="558"/>
      <c r="AD8" s="558"/>
      <c r="AE8" s="558"/>
      <c r="AF8" s="558"/>
      <c r="AG8" s="558"/>
      <c r="AH8" s="558"/>
      <c r="AI8" s="558"/>
      <c r="AJ8" s="558"/>
      <c r="AK8" s="558"/>
      <c r="AL8" s="558"/>
      <c r="AM8" s="558"/>
      <c r="AN8" s="558"/>
      <c r="AO8" s="558"/>
      <c r="AP8" s="558"/>
      <c r="AQ8" s="558"/>
      <c r="AR8" s="558"/>
      <c r="AS8" s="558"/>
      <c r="AT8" s="558"/>
      <c r="AU8" s="558"/>
      <c r="AV8" s="558"/>
      <c r="AW8" s="558"/>
      <c r="AX8" s="558"/>
      <c r="AY8" s="558"/>
      <c r="AZ8" s="558"/>
      <c r="BA8" s="558"/>
      <c r="BB8" s="558"/>
      <c r="BC8" s="558"/>
      <c r="BD8" s="558"/>
      <c r="BE8" s="558"/>
      <c r="BF8" s="558"/>
      <c r="BG8" s="558"/>
      <c r="BH8" s="558"/>
      <c r="BI8" s="558"/>
      <c r="BJ8" s="558"/>
      <c r="BK8" s="558"/>
      <c r="BL8" s="558"/>
    </row>
    <row r="9" spans="1:64" x14ac:dyDescent="0.2">
      <c r="A9" s="550" t="s">
        <v>348</v>
      </c>
      <c r="C9" s="550"/>
      <c r="D9" s="550"/>
      <c r="E9" s="558"/>
      <c r="F9" s="558"/>
      <c r="G9" s="558"/>
      <c r="H9" s="558"/>
      <c r="I9" s="558"/>
      <c r="J9" s="558"/>
      <c r="K9" s="558"/>
      <c r="L9" s="558"/>
      <c r="M9" s="558"/>
      <c r="N9" s="558"/>
      <c r="O9" s="558"/>
      <c r="P9" s="558"/>
      <c r="Q9" s="558"/>
      <c r="R9" s="558"/>
      <c r="S9" s="558"/>
      <c r="T9" s="558"/>
      <c r="U9" s="558"/>
      <c r="V9" s="558"/>
      <c r="W9" s="558"/>
      <c r="X9" s="558"/>
      <c r="Y9" s="558"/>
      <c r="Z9" s="558"/>
      <c r="AA9" s="558"/>
      <c r="AB9" s="558"/>
      <c r="AC9" s="558"/>
      <c r="AD9" s="558"/>
      <c r="AE9" s="558"/>
      <c r="AF9" s="558"/>
      <c r="AG9" s="558"/>
      <c r="AH9" s="558"/>
      <c r="AI9" s="558"/>
      <c r="AJ9" s="558"/>
      <c r="AK9" s="558"/>
      <c r="AL9" s="558"/>
      <c r="AM9" s="558"/>
      <c r="AN9" s="558"/>
      <c r="AO9" s="558"/>
      <c r="AP9" s="558"/>
      <c r="AQ9" s="558"/>
      <c r="AR9" s="558"/>
      <c r="AS9" s="558"/>
      <c r="AT9" s="558"/>
      <c r="AU9" s="558"/>
      <c r="AV9" s="558"/>
      <c r="AW9" s="558"/>
      <c r="AX9" s="558"/>
      <c r="AY9" s="558"/>
      <c r="AZ9" s="558"/>
      <c r="BA9" s="558"/>
      <c r="BB9" s="558"/>
      <c r="BC9" s="558"/>
      <c r="BD9" s="558"/>
      <c r="BE9" s="558"/>
      <c r="BF9" s="558"/>
      <c r="BG9" s="558"/>
      <c r="BH9" s="558"/>
      <c r="BI9" s="558"/>
      <c r="BJ9" s="558"/>
      <c r="BK9" s="558"/>
      <c r="BL9" s="558"/>
    </row>
    <row r="10" spans="1:64" x14ac:dyDescent="0.2">
      <c r="B10" s="552" t="s">
        <v>347</v>
      </c>
      <c r="C10" s="559"/>
      <c r="D10" s="559"/>
      <c r="E10" s="558"/>
      <c r="F10" s="558"/>
      <c r="G10" s="558"/>
      <c r="H10" s="558"/>
      <c r="I10" s="558"/>
      <c r="J10" s="558"/>
      <c r="K10" s="558"/>
      <c r="L10" s="558"/>
      <c r="M10" s="558"/>
      <c r="N10" s="558"/>
      <c r="O10" s="558"/>
      <c r="P10" s="558"/>
      <c r="Q10" s="558"/>
      <c r="R10" s="558"/>
      <c r="S10" s="558"/>
      <c r="T10" s="558"/>
      <c r="U10" s="558"/>
      <c r="V10" s="558"/>
      <c r="W10" s="558"/>
      <c r="X10" s="558"/>
      <c r="Y10" s="558"/>
      <c r="Z10" s="558"/>
      <c r="AA10" s="558"/>
      <c r="AB10" s="558"/>
      <c r="AC10" s="558"/>
      <c r="AD10" s="558"/>
      <c r="AE10" s="558"/>
      <c r="AF10" s="558"/>
      <c r="AG10" s="558"/>
      <c r="AH10" s="558"/>
      <c r="AI10" s="558"/>
      <c r="AJ10" s="558"/>
      <c r="AK10" s="558"/>
      <c r="AL10" s="558"/>
      <c r="AM10" s="558"/>
      <c r="AN10" s="558"/>
      <c r="AO10" s="558"/>
      <c r="AP10" s="558"/>
      <c r="AQ10" s="558"/>
      <c r="AR10" s="558"/>
      <c r="AS10" s="558"/>
      <c r="AT10" s="558"/>
      <c r="AU10" s="558"/>
      <c r="AV10" s="558"/>
      <c r="AW10" s="558"/>
      <c r="AX10" s="558"/>
      <c r="AY10" s="558"/>
      <c r="AZ10" s="558"/>
      <c r="BA10" s="558"/>
      <c r="BB10" s="558"/>
      <c r="BC10" s="558"/>
      <c r="BD10" s="558"/>
      <c r="BE10" s="558"/>
      <c r="BF10" s="558"/>
      <c r="BG10" s="558"/>
      <c r="BH10" s="558"/>
      <c r="BI10" s="558"/>
      <c r="BJ10" s="558"/>
      <c r="BK10" s="558"/>
      <c r="BL10" s="558"/>
    </row>
    <row r="11" spans="1:64" x14ac:dyDescent="0.2">
      <c r="B11" s="560" t="s">
        <v>92</v>
      </c>
      <c r="C11" s="560"/>
      <c r="D11" s="560"/>
      <c r="E11" s="558"/>
      <c r="F11" s="558"/>
      <c r="G11" s="558"/>
      <c r="H11" s="558"/>
      <c r="I11" s="558"/>
      <c r="J11" s="558"/>
      <c r="K11" s="558"/>
      <c r="L11" s="558"/>
      <c r="M11" s="558"/>
      <c r="N11" s="558"/>
      <c r="O11" s="558"/>
      <c r="P11" s="558"/>
      <c r="Q11" s="558"/>
      <c r="R11" s="558"/>
      <c r="S11" s="558"/>
      <c r="T11" s="558"/>
      <c r="U11" s="558"/>
      <c r="V11" s="558"/>
      <c r="W11" s="558"/>
      <c r="X11" s="558"/>
      <c r="Y11" s="558"/>
      <c r="Z11" s="558"/>
      <c r="AA11" s="558"/>
      <c r="AB11" s="558"/>
      <c r="AC11" s="558"/>
      <c r="AD11" s="558"/>
      <c r="AE11" s="558"/>
      <c r="AF11" s="558"/>
      <c r="AG11" s="558"/>
      <c r="AH11" s="558"/>
      <c r="AI11" s="558"/>
      <c r="AJ11" s="558"/>
      <c r="AK11" s="558"/>
      <c r="AL11" s="558"/>
      <c r="AM11" s="558"/>
      <c r="AN11" s="558"/>
      <c r="AO11" s="558"/>
      <c r="AP11" s="558"/>
      <c r="AQ11" s="558"/>
      <c r="AR11" s="558"/>
      <c r="AS11" s="558"/>
      <c r="AT11" s="558"/>
      <c r="AU11" s="558"/>
      <c r="AV11" s="558"/>
      <c r="AW11" s="558"/>
      <c r="AX11" s="558"/>
      <c r="AY11" s="558"/>
      <c r="AZ11" s="558"/>
      <c r="BA11" s="558"/>
      <c r="BB11" s="558"/>
      <c r="BC11" s="558"/>
      <c r="BD11" s="558"/>
      <c r="BE11" s="558"/>
      <c r="BF11" s="558"/>
      <c r="BG11" s="558"/>
      <c r="BH11" s="558"/>
      <c r="BI11" s="558"/>
      <c r="BJ11" s="558"/>
      <c r="BK11" s="558"/>
      <c r="BL11" s="558"/>
    </row>
    <row r="12" spans="1:64" x14ac:dyDescent="0.2">
      <c r="B12" s="561" t="s">
        <v>56</v>
      </c>
      <c r="C12" s="561"/>
      <c r="D12" s="561"/>
      <c r="E12" s="562">
        <f>IF(E$7&lt;25000,E$7,25000)</f>
        <v>0</v>
      </c>
      <c r="F12" s="562">
        <f t="shared" ref="F12:BL12" si="1">IF(F$7&lt;25000,F$7,25000)</f>
        <v>0</v>
      </c>
      <c r="G12" s="562">
        <f t="shared" si="1"/>
        <v>0</v>
      </c>
      <c r="H12" s="562">
        <f t="shared" si="1"/>
        <v>25000</v>
      </c>
      <c r="I12" s="562">
        <f t="shared" si="1"/>
        <v>25000</v>
      </c>
      <c r="J12" s="562">
        <f t="shared" si="1"/>
        <v>25000</v>
      </c>
      <c r="K12" s="562">
        <f t="shared" si="1"/>
        <v>25000</v>
      </c>
      <c r="L12" s="562">
        <f t="shared" si="1"/>
        <v>25000</v>
      </c>
      <c r="M12" s="562">
        <f t="shared" si="1"/>
        <v>25000</v>
      </c>
      <c r="N12" s="562">
        <f t="shared" si="1"/>
        <v>25000</v>
      </c>
      <c r="O12" s="562">
        <f t="shared" si="1"/>
        <v>25000</v>
      </c>
      <c r="P12" s="562">
        <f t="shared" si="1"/>
        <v>25000</v>
      </c>
      <c r="Q12" s="562">
        <f t="shared" si="1"/>
        <v>25000</v>
      </c>
      <c r="R12" s="562">
        <f t="shared" si="1"/>
        <v>25000</v>
      </c>
      <c r="S12" s="562">
        <f t="shared" si="1"/>
        <v>25000</v>
      </c>
      <c r="T12" s="562">
        <f t="shared" si="1"/>
        <v>25000</v>
      </c>
      <c r="U12" s="562">
        <f t="shared" si="1"/>
        <v>25000</v>
      </c>
      <c r="V12" s="562">
        <f t="shared" si="1"/>
        <v>25000</v>
      </c>
      <c r="W12" s="562">
        <f t="shared" si="1"/>
        <v>25000</v>
      </c>
      <c r="X12" s="562">
        <f t="shared" si="1"/>
        <v>25000</v>
      </c>
      <c r="Y12" s="562">
        <f t="shared" si="1"/>
        <v>25000</v>
      </c>
      <c r="Z12" s="562">
        <f t="shared" si="1"/>
        <v>25000</v>
      </c>
      <c r="AA12" s="562">
        <f t="shared" si="1"/>
        <v>25000</v>
      </c>
      <c r="AB12" s="562">
        <f t="shared" si="1"/>
        <v>25000</v>
      </c>
      <c r="AC12" s="562">
        <f t="shared" si="1"/>
        <v>25000</v>
      </c>
      <c r="AD12" s="562">
        <f t="shared" si="1"/>
        <v>25000</v>
      </c>
      <c r="AE12" s="562">
        <f t="shared" si="1"/>
        <v>25000</v>
      </c>
      <c r="AF12" s="562">
        <f t="shared" si="1"/>
        <v>25000</v>
      </c>
      <c r="AG12" s="562">
        <f t="shared" si="1"/>
        <v>25000</v>
      </c>
      <c r="AH12" s="562">
        <f t="shared" si="1"/>
        <v>25000</v>
      </c>
      <c r="AI12" s="562">
        <f t="shared" si="1"/>
        <v>25000</v>
      </c>
      <c r="AJ12" s="562">
        <f t="shared" si="1"/>
        <v>25000</v>
      </c>
      <c r="AK12" s="562">
        <f t="shared" si="1"/>
        <v>25000</v>
      </c>
      <c r="AL12" s="562">
        <f t="shared" si="1"/>
        <v>25000</v>
      </c>
      <c r="AM12" s="562">
        <f t="shared" si="1"/>
        <v>25000</v>
      </c>
      <c r="AN12" s="562">
        <f t="shared" si="1"/>
        <v>25000</v>
      </c>
      <c r="AO12" s="562">
        <f t="shared" si="1"/>
        <v>25000</v>
      </c>
      <c r="AP12" s="562">
        <f t="shared" si="1"/>
        <v>25000</v>
      </c>
      <c r="AQ12" s="562">
        <f t="shared" si="1"/>
        <v>25000</v>
      </c>
      <c r="AR12" s="562">
        <f t="shared" si="1"/>
        <v>25000</v>
      </c>
      <c r="AS12" s="562">
        <f t="shared" si="1"/>
        <v>25000</v>
      </c>
      <c r="AT12" s="562">
        <f t="shared" si="1"/>
        <v>25000</v>
      </c>
      <c r="AU12" s="562">
        <f t="shared" si="1"/>
        <v>25000</v>
      </c>
      <c r="AV12" s="562">
        <f t="shared" si="1"/>
        <v>25000</v>
      </c>
      <c r="AW12" s="562">
        <f t="shared" si="1"/>
        <v>25000</v>
      </c>
      <c r="AX12" s="562">
        <f t="shared" si="1"/>
        <v>25000</v>
      </c>
      <c r="AY12" s="562">
        <f t="shared" si="1"/>
        <v>25000</v>
      </c>
      <c r="AZ12" s="562">
        <f t="shared" si="1"/>
        <v>25000</v>
      </c>
      <c r="BA12" s="562">
        <f t="shared" si="1"/>
        <v>25000</v>
      </c>
      <c r="BB12" s="562">
        <f t="shared" si="1"/>
        <v>25000</v>
      </c>
      <c r="BC12" s="562">
        <f t="shared" si="1"/>
        <v>25000</v>
      </c>
      <c r="BD12" s="562">
        <f t="shared" si="1"/>
        <v>25000</v>
      </c>
      <c r="BE12" s="562">
        <f t="shared" si="1"/>
        <v>25000</v>
      </c>
      <c r="BF12" s="562">
        <f t="shared" si="1"/>
        <v>25000</v>
      </c>
      <c r="BG12" s="562">
        <f t="shared" si="1"/>
        <v>25000</v>
      </c>
      <c r="BH12" s="562">
        <f t="shared" si="1"/>
        <v>25000</v>
      </c>
      <c r="BI12" s="562">
        <f t="shared" si="1"/>
        <v>25000</v>
      </c>
      <c r="BJ12" s="562">
        <f t="shared" si="1"/>
        <v>25000</v>
      </c>
      <c r="BK12" s="562">
        <f t="shared" si="1"/>
        <v>25000</v>
      </c>
      <c r="BL12" s="562">
        <f t="shared" si="1"/>
        <v>25000</v>
      </c>
    </row>
    <row r="13" spans="1:64" x14ac:dyDescent="0.2">
      <c r="B13" s="561" t="s">
        <v>57</v>
      </c>
      <c r="C13" s="561"/>
      <c r="D13" s="561"/>
      <c r="E13" s="562">
        <f>IF(E$7&lt;50000,MAX(E$7-25000,0),25000)</f>
        <v>0</v>
      </c>
      <c r="F13" s="562">
        <f t="shared" ref="F13:BL13" si="2">IF(F$7&lt;50000,MAX(F$7-25000,0),25000)</f>
        <v>0</v>
      </c>
      <c r="G13" s="562">
        <f t="shared" si="2"/>
        <v>0</v>
      </c>
      <c r="H13" s="562">
        <f t="shared" si="2"/>
        <v>25000</v>
      </c>
      <c r="I13" s="562">
        <f t="shared" si="2"/>
        <v>25000</v>
      </c>
      <c r="J13" s="562">
        <f t="shared" si="2"/>
        <v>25000</v>
      </c>
      <c r="K13" s="562">
        <f t="shared" si="2"/>
        <v>25000</v>
      </c>
      <c r="L13" s="562">
        <f t="shared" si="2"/>
        <v>25000</v>
      </c>
      <c r="M13" s="562">
        <f t="shared" si="2"/>
        <v>25000</v>
      </c>
      <c r="N13" s="562">
        <f t="shared" si="2"/>
        <v>25000</v>
      </c>
      <c r="O13" s="562">
        <f t="shared" si="2"/>
        <v>25000</v>
      </c>
      <c r="P13" s="562">
        <f t="shared" si="2"/>
        <v>25000</v>
      </c>
      <c r="Q13" s="562">
        <f t="shared" si="2"/>
        <v>25000</v>
      </c>
      <c r="R13" s="562">
        <f t="shared" si="2"/>
        <v>25000</v>
      </c>
      <c r="S13" s="562">
        <f t="shared" si="2"/>
        <v>25000</v>
      </c>
      <c r="T13" s="562">
        <f t="shared" si="2"/>
        <v>25000</v>
      </c>
      <c r="U13" s="562">
        <f t="shared" si="2"/>
        <v>25000</v>
      </c>
      <c r="V13" s="562">
        <f t="shared" si="2"/>
        <v>25000</v>
      </c>
      <c r="W13" s="562">
        <f t="shared" si="2"/>
        <v>25000</v>
      </c>
      <c r="X13" s="562">
        <f t="shared" si="2"/>
        <v>25000</v>
      </c>
      <c r="Y13" s="562">
        <f t="shared" si="2"/>
        <v>25000</v>
      </c>
      <c r="Z13" s="562">
        <f t="shared" si="2"/>
        <v>25000</v>
      </c>
      <c r="AA13" s="562">
        <f t="shared" si="2"/>
        <v>25000</v>
      </c>
      <c r="AB13" s="562">
        <f t="shared" si="2"/>
        <v>25000</v>
      </c>
      <c r="AC13" s="562">
        <f t="shared" si="2"/>
        <v>25000</v>
      </c>
      <c r="AD13" s="562">
        <f t="shared" si="2"/>
        <v>25000</v>
      </c>
      <c r="AE13" s="562">
        <f t="shared" si="2"/>
        <v>25000</v>
      </c>
      <c r="AF13" s="562">
        <f t="shared" si="2"/>
        <v>25000</v>
      </c>
      <c r="AG13" s="562">
        <f t="shared" si="2"/>
        <v>25000</v>
      </c>
      <c r="AH13" s="562">
        <f t="shared" si="2"/>
        <v>25000</v>
      </c>
      <c r="AI13" s="562">
        <f t="shared" si="2"/>
        <v>25000</v>
      </c>
      <c r="AJ13" s="562">
        <f t="shared" si="2"/>
        <v>25000</v>
      </c>
      <c r="AK13" s="562">
        <f t="shared" si="2"/>
        <v>25000</v>
      </c>
      <c r="AL13" s="562">
        <f t="shared" si="2"/>
        <v>25000</v>
      </c>
      <c r="AM13" s="562">
        <f t="shared" si="2"/>
        <v>25000</v>
      </c>
      <c r="AN13" s="562">
        <f t="shared" si="2"/>
        <v>25000</v>
      </c>
      <c r="AO13" s="562">
        <f t="shared" si="2"/>
        <v>25000</v>
      </c>
      <c r="AP13" s="562">
        <f t="shared" si="2"/>
        <v>25000</v>
      </c>
      <c r="AQ13" s="562">
        <f t="shared" si="2"/>
        <v>25000</v>
      </c>
      <c r="AR13" s="562">
        <f t="shared" si="2"/>
        <v>25000</v>
      </c>
      <c r="AS13" s="562">
        <f t="shared" si="2"/>
        <v>25000</v>
      </c>
      <c r="AT13" s="562">
        <f t="shared" si="2"/>
        <v>25000</v>
      </c>
      <c r="AU13" s="562">
        <f t="shared" si="2"/>
        <v>25000</v>
      </c>
      <c r="AV13" s="562">
        <f t="shared" si="2"/>
        <v>25000</v>
      </c>
      <c r="AW13" s="562">
        <f t="shared" si="2"/>
        <v>25000</v>
      </c>
      <c r="AX13" s="562">
        <f t="shared" si="2"/>
        <v>25000</v>
      </c>
      <c r="AY13" s="562">
        <f t="shared" si="2"/>
        <v>25000</v>
      </c>
      <c r="AZ13" s="562">
        <f t="shared" si="2"/>
        <v>25000</v>
      </c>
      <c r="BA13" s="562">
        <f t="shared" si="2"/>
        <v>25000</v>
      </c>
      <c r="BB13" s="562">
        <f t="shared" si="2"/>
        <v>25000</v>
      </c>
      <c r="BC13" s="562">
        <f t="shared" si="2"/>
        <v>25000</v>
      </c>
      <c r="BD13" s="562">
        <f t="shared" si="2"/>
        <v>25000</v>
      </c>
      <c r="BE13" s="562">
        <f t="shared" si="2"/>
        <v>25000</v>
      </c>
      <c r="BF13" s="562">
        <f t="shared" si="2"/>
        <v>25000</v>
      </c>
      <c r="BG13" s="562">
        <f t="shared" si="2"/>
        <v>25000</v>
      </c>
      <c r="BH13" s="562">
        <f t="shared" si="2"/>
        <v>25000</v>
      </c>
      <c r="BI13" s="562">
        <f t="shared" si="2"/>
        <v>25000</v>
      </c>
      <c r="BJ13" s="562">
        <f t="shared" si="2"/>
        <v>25000</v>
      </c>
      <c r="BK13" s="562">
        <f t="shared" si="2"/>
        <v>25000</v>
      </c>
      <c r="BL13" s="562">
        <f t="shared" si="2"/>
        <v>25000</v>
      </c>
    </row>
    <row r="14" spans="1:64" x14ac:dyDescent="0.2">
      <c r="B14" s="561" t="s">
        <v>62</v>
      </c>
      <c r="C14" s="561"/>
      <c r="D14" s="561"/>
      <c r="E14" s="562">
        <f>IF(E$7&lt;=100000,MAX(E$7-50000,0),50000)</f>
        <v>0</v>
      </c>
      <c r="F14" s="562">
        <f t="shared" ref="F14:BL14" si="3">IF(F$7&lt;=100000,MAX(F$7-50000,0),50000)</f>
        <v>0</v>
      </c>
      <c r="G14" s="562">
        <f t="shared" si="3"/>
        <v>0</v>
      </c>
      <c r="H14" s="562">
        <f t="shared" si="3"/>
        <v>50000</v>
      </c>
      <c r="I14" s="562">
        <f t="shared" si="3"/>
        <v>50000</v>
      </c>
      <c r="J14" s="562">
        <f t="shared" si="3"/>
        <v>50000</v>
      </c>
      <c r="K14" s="562">
        <f t="shared" si="3"/>
        <v>50000</v>
      </c>
      <c r="L14" s="562">
        <f t="shared" si="3"/>
        <v>50000</v>
      </c>
      <c r="M14" s="562">
        <f t="shared" si="3"/>
        <v>50000</v>
      </c>
      <c r="N14" s="562">
        <f t="shared" si="3"/>
        <v>50000</v>
      </c>
      <c r="O14" s="562">
        <f t="shared" si="3"/>
        <v>50000</v>
      </c>
      <c r="P14" s="562">
        <f t="shared" si="3"/>
        <v>50000</v>
      </c>
      <c r="Q14" s="562">
        <f t="shared" si="3"/>
        <v>50000</v>
      </c>
      <c r="R14" s="562">
        <f t="shared" si="3"/>
        <v>50000</v>
      </c>
      <c r="S14" s="562">
        <f t="shared" si="3"/>
        <v>50000</v>
      </c>
      <c r="T14" s="562">
        <f t="shared" si="3"/>
        <v>50000</v>
      </c>
      <c r="U14" s="562">
        <f t="shared" si="3"/>
        <v>50000</v>
      </c>
      <c r="V14" s="562">
        <f t="shared" si="3"/>
        <v>50000</v>
      </c>
      <c r="W14" s="562">
        <f t="shared" si="3"/>
        <v>50000</v>
      </c>
      <c r="X14" s="562">
        <f t="shared" si="3"/>
        <v>50000</v>
      </c>
      <c r="Y14" s="562">
        <f t="shared" si="3"/>
        <v>50000</v>
      </c>
      <c r="Z14" s="562">
        <f t="shared" si="3"/>
        <v>50000</v>
      </c>
      <c r="AA14" s="562">
        <f t="shared" si="3"/>
        <v>50000</v>
      </c>
      <c r="AB14" s="562">
        <f t="shared" si="3"/>
        <v>50000</v>
      </c>
      <c r="AC14" s="562">
        <f t="shared" si="3"/>
        <v>50000</v>
      </c>
      <c r="AD14" s="562">
        <f t="shared" si="3"/>
        <v>50000</v>
      </c>
      <c r="AE14" s="562">
        <f t="shared" si="3"/>
        <v>50000</v>
      </c>
      <c r="AF14" s="562">
        <f t="shared" si="3"/>
        <v>50000</v>
      </c>
      <c r="AG14" s="562">
        <f t="shared" si="3"/>
        <v>50000</v>
      </c>
      <c r="AH14" s="562">
        <f t="shared" si="3"/>
        <v>50000</v>
      </c>
      <c r="AI14" s="562">
        <f t="shared" si="3"/>
        <v>50000</v>
      </c>
      <c r="AJ14" s="562">
        <f t="shared" si="3"/>
        <v>50000</v>
      </c>
      <c r="AK14" s="562">
        <f t="shared" si="3"/>
        <v>50000</v>
      </c>
      <c r="AL14" s="562">
        <f t="shared" si="3"/>
        <v>50000</v>
      </c>
      <c r="AM14" s="562">
        <f t="shared" si="3"/>
        <v>50000</v>
      </c>
      <c r="AN14" s="562">
        <f t="shared" si="3"/>
        <v>50000</v>
      </c>
      <c r="AO14" s="562">
        <f t="shared" si="3"/>
        <v>50000</v>
      </c>
      <c r="AP14" s="562">
        <f t="shared" si="3"/>
        <v>50000</v>
      </c>
      <c r="AQ14" s="562">
        <f t="shared" si="3"/>
        <v>50000</v>
      </c>
      <c r="AR14" s="562">
        <f t="shared" si="3"/>
        <v>50000</v>
      </c>
      <c r="AS14" s="562">
        <f t="shared" si="3"/>
        <v>50000</v>
      </c>
      <c r="AT14" s="562">
        <f t="shared" si="3"/>
        <v>50000</v>
      </c>
      <c r="AU14" s="562">
        <f t="shared" si="3"/>
        <v>50000</v>
      </c>
      <c r="AV14" s="562">
        <f t="shared" si="3"/>
        <v>50000</v>
      </c>
      <c r="AW14" s="562">
        <f t="shared" si="3"/>
        <v>50000</v>
      </c>
      <c r="AX14" s="562">
        <f t="shared" si="3"/>
        <v>50000</v>
      </c>
      <c r="AY14" s="562">
        <f t="shared" si="3"/>
        <v>50000</v>
      </c>
      <c r="AZ14" s="562">
        <f t="shared" si="3"/>
        <v>50000</v>
      </c>
      <c r="BA14" s="562">
        <f t="shared" si="3"/>
        <v>50000</v>
      </c>
      <c r="BB14" s="562">
        <f t="shared" si="3"/>
        <v>50000</v>
      </c>
      <c r="BC14" s="562">
        <f t="shared" si="3"/>
        <v>50000</v>
      </c>
      <c r="BD14" s="562">
        <f t="shared" si="3"/>
        <v>50000</v>
      </c>
      <c r="BE14" s="562">
        <f t="shared" si="3"/>
        <v>50000</v>
      </c>
      <c r="BF14" s="562">
        <f t="shared" si="3"/>
        <v>50000</v>
      </c>
      <c r="BG14" s="562">
        <f t="shared" si="3"/>
        <v>50000</v>
      </c>
      <c r="BH14" s="562">
        <f t="shared" si="3"/>
        <v>50000</v>
      </c>
      <c r="BI14" s="562">
        <f t="shared" si="3"/>
        <v>50000</v>
      </c>
      <c r="BJ14" s="562">
        <f t="shared" si="3"/>
        <v>50000</v>
      </c>
      <c r="BK14" s="562">
        <f t="shared" si="3"/>
        <v>50000</v>
      </c>
      <c r="BL14" s="562">
        <f t="shared" si="3"/>
        <v>50000</v>
      </c>
    </row>
    <row r="15" spans="1:64" x14ac:dyDescent="0.2">
      <c r="B15" s="561" t="s">
        <v>63</v>
      </c>
      <c r="C15" s="561"/>
      <c r="D15" s="561"/>
      <c r="E15" s="562">
        <f>IF(E$7&lt;=200000,MAX(E$7-100000,0),100000)</f>
        <v>0</v>
      </c>
      <c r="F15" s="562">
        <f t="shared" ref="F15:BL15" si="4">IF(F$7&lt;=200000,MAX(F$7-100000,0),100000)</f>
        <v>0</v>
      </c>
      <c r="G15" s="562">
        <f t="shared" si="4"/>
        <v>0</v>
      </c>
      <c r="H15" s="562">
        <f t="shared" si="4"/>
        <v>100000</v>
      </c>
      <c r="I15" s="562">
        <f t="shared" si="4"/>
        <v>100000</v>
      </c>
      <c r="J15" s="562">
        <f t="shared" si="4"/>
        <v>100000</v>
      </c>
      <c r="K15" s="562">
        <f t="shared" si="4"/>
        <v>100000</v>
      </c>
      <c r="L15" s="562">
        <f t="shared" si="4"/>
        <v>100000</v>
      </c>
      <c r="M15" s="562">
        <f t="shared" si="4"/>
        <v>100000</v>
      </c>
      <c r="N15" s="562">
        <f t="shared" si="4"/>
        <v>100000</v>
      </c>
      <c r="O15" s="562">
        <f t="shared" si="4"/>
        <v>100000</v>
      </c>
      <c r="P15" s="562">
        <f t="shared" si="4"/>
        <v>100000</v>
      </c>
      <c r="Q15" s="562">
        <f t="shared" si="4"/>
        <v>100000</v>
      </c>
      <c r="R15" s="562">
        <f t="shared" si="4"/>
        <v>100000</v>
      </c>
      <c r="S15" s="562">
        <f t="shared" si="4"/>
        <v>100000</v>
      </c>
      <c r="T15" s="562">
        <f t="shared" si="4"/>
        <v>100000</v>
      </c>
      <c r="U15" s="562">
        <f t="shared" si="4"/>
        <v>100000</v>
      </c>
      <c r="V15" s="562">
        <f t="shared" si="4"/>
        <v>100000</v>
      </c>
      <c r="W15" s="562">
        <f t="shared" si="4"/>
        <v>100000</v>
      </c>
      <c r="X15" s="562">
        <f t="shared" si="4"/>
        <v>100000</v>
      </c>
      <c r="Y15" s="562">
        <f t="shared" si="4"/>
        <v>100000</v>
      </c>
      <c r="Z15" s="562">
        <f t="shared" si="4"/>
        <v>100000</v>
      </c>
      <c r="AA15" s="562">
        <f t="shared" si="4"/>
        <v>100000</v>
      </c>
      <c r="AB15" s="562">
        <f t="shared" si="4"/>
        <v>100000</v>
      </c>
      <c r="AC15" s="562">
        <f t="shared" si="4"/>
        <v>100000</v>
      </c>
      <c r="AD15" s="562">
        <f t="shared" si="4"/>
        <v>100000</v>
      </c>
      <c r="AE15" s="562">
        <f t="shared" si="4"/>
        <v>100000</v>
      </c>
      <c r="AF15" s="562">
        <f t="shared" si="4"/>
        <v>100000</v>
      </c>
      <c r="AG15" s="562">
        <f t="shared" si="4"/>
        <v>100000</v>
      </c>
      <c r="AH15" s="562">
        <f t="shared" si="4"/>
        <v>100000</v>
      </c>
      <c r="AI15" s="562">
        <f t="shared" si="4"/>
        <v>100000</v>
      </c>
      <c r="AJ15" s="562">
        <f t="shared" si="4"/>
        <v>100000</v>
      </c>
      <c r="AK15" s="562">
        <f t="shared" si="4"/>
        <v>100000</v>
      </c>
      <c r="AL15" s="562">
        <f t="shared" si="4"/>
        <v>100000</v>
      </c>
      <c r="AM15" s="562">
        <f t="shared" si="4"/>
        <v>100000</v>
      </c>
      <c r="AN15" s="562">
        <f t="shared" si="4"/>
        <v>100000</v>
      </c>
      <c r="AO15" s="562">
        <f t="shared" si="4"/>
        <v>100000</v>
      </c>
      <c r="AP15" s="562">
        <f t="shared" si="4"/>
        <v>100000</v>
      </c>
      <c r="AQ15" s="562">
        <f t="shared" si="4"/>
        <v>100000</v>
      </c>
      <c r="AR15" s="562">
        <f t="shared" si="4"/>
        <v>100000</v>
      </c>
      <c r="AS15" s="562">
        <f t="shared" si="4"/>
        <v>100000</v>
      </c>
      <c r="AT15" s="562">
        <f t="shared" si="4"/>
        <v>100000</v>
      </c>
      <c r="AU15" s="562">
        <f t="shared" si="4"/>
        <v>100000</v>
      </c>
      <c r="AV15" s="562">
        <f t="shared" si="4"/>
        <v>100000</v>
      </c>
      <c r="AW15" s="562">
        <f t="shared" si="4"/>
        <v>100000</v>
      </c>
      <c r="AX15" s="562">
        <f t="shared" si="4"/>
        <v>100000</v>
      </c>
      <c r="AY15" s="562">
        <f t="shared" si="4"/>
        <v>100000</v>
      </c>
      <c r="AZ15" s="562">
        <f t="shared" si="4"/>
        <v>100000</v>
      </c>
      <c r="BA15" s="562">
        <f t="shared" si="4"/>
        <v>100000</v>
      </c>
      <c r="BB15" s="562">
        <f t="shared" si="4"/>
        <v>100000</v>
      </c>
      <c r="BC15" s="562">
        <f t="shared" si="4"/>
        <v>100000</v>
      </c>
      <c r="BD15" s="562">
        <f t="shared" si="4"/>
        <v>100000</v>
      </c>
      <c r="BE15" s="562">
        <f t="shared" si="4"/>
        <v>100000</v>
      </c>
      <c r="BF15" s="562">
        <f t="shared" si="4"/>
        <v>100000</v>
      </c>
      <c r="BG15" s="562">
        <f t="shared" si="4"/>
        <v>100000</v>
      </c>
      <c r="BH15" s="562">
        <f t="shared" si="4"/>
        <v>100000</v>
      </c>
      <c r="BI15" s="562">
        <f t="shared" si="4"/>
        <v>100000</v>
      </c>
      <c r="BJ15" s="562">
        <f t="shared" si="4"/>
        <v>100000</v>
      </c>
      <c r="BK15" s="562">
        <f t="shared" si="4"/>
        <v>100000</v>
      </c>
      <c r="BL15" s="562">
        <f t="shared" si="4"/>
        <v>100000</v>
      </c>
    </row>
    <row r="16" spans="1:64" x14ac:dyDescent="0.2">
      <c r="B16" s="561" t="s">
        <v>64</v>
      </c>
      <c r="C16" s="561"/>
      <c r="D16" s="561"/>
      <c r="E16" s="562">
        <f>IF(E$7&lt;=500000,MAX(E$7-200000,0),300000)</f>
        <v>0</v>
      </c>
      <c r="F16" s="562">
        <f t="shared" ref="F16:BL16" si="5">IF(F$7&lt;=500000,MAX(F$7-200000,0),300000)</f>
        <v>0</v>
      </c>
      <c r="G16" s="562">
        <f t="shared" si="5"/>
        <v>0</v>
      </c>
      <c r="H16" s="562">
        <f t="shared" si="5"/>
        <v>300000</v>
      </c>
      <c r="I16" s="562">
        <f t="shared" si="5"/>
        <v>300000</v>
      </c>
      <c r="J16" s="562">
        <f t="shared" si="5"/>
        <v>300000</v>
      </c>
      <c r="K16" s="562">
        <f t="shared" si="5"/>
        <v>300000</v>
      </c>
      <c r="L16" s="562">
        <f t="shared" si="5"/>
        <v>300000</v>
      </c>
      <c r="M16" s="562">
        <f t="shared" si="5"/>
        <v>300000</v>
      </c>
      <c r="N16" s="562">
        <f t="shared" si="5"/>
        <v>300000</v>
      </c>
      <c r="O16" s="562">
        <f t="shared" si="5"/>
        <v>300000</v>
      </c>
      <c r="P16" s="562">
        <f t="shared" si="5"/>
        <v>300000</v>
      </c>
      <c r="Q16" s="562">
        <f t="shared" si="5"/>
        <v>300000</v>
      </c>
      <c r="R16" s="562">
        <f t="shared" si="5"/>
        <v>300000</v>
      </c>
      <c r="S16" s="562">
        <f t="shared" si="5"/>
        <v>300000</v>
      </c>
      <c r="T16" s="562">
        <f t="shared" si="5"/>
        <v>300000</v>
      </c>
      <c r="U16" s="562">
        <f t="shared" si="5"/>
        <v>300000</v>
      </c>
      <c r="V16" s="562">
        <f t="shared" si="5"/>
        <v>300000</v>
      </c>
      <c r="W16" s="562">
        <f t="shared" si="5"/>
        <v>300000</v>
      </c>
      <c r="X16" s="562">
        <f t="shared" si="5"/>
        <v>300000</v>
      </c>
      <c r="Y16" s="562">
        <f t="shared" si="5"/>
        <v>300000</v>
      </c>
      <c r="Z16" s="562">
        <f t="shared" si="5"/>
        <v>300000</v>
      </c>
      <c r="AA16" s="562">
        <f t="shared" si="5"/>
        <v>300000</v>
      </c>
      <c r="AB16" s="562">
        <f t="shared" si="5"/>
        <v>300000</v>
      </c>
      <c r="AC16" s="562">
        <f t="shared" si="5"/>
        <v>300000</v>
      </c>
      <c r="AD16" s="562">
        <f t="shared" si="5"/>
        <v>300000</v>
      </c>
      <c r="AE16" s="562">
        <f t="shared" si="5"/>
        <v>300000</v>
      </c>
      <c r="AF16" s="562">
        <f t="shared" si="5"/>
        <v>300000</v>
      </c>
      <c r="AG16" s="562">
        <f t="shared" si="5"/>
        <v>300000</v>
      </c>
      <c r="AH16" s="562">
        <f t="shared" si="5"/>
        <v>300000</v>
      </c>
      <c r="AI16" s="562">
        <f t="shared" si="5"/>
        <v>300000</v>
      </c>
      <c r="AJ16" s="562">
        <f t="shared" si="5"/>
        <v>300000</v>
      </c>
      <c r="AK16" s="562">
        <f t="shared" si="5"/>
        <v>300000</v>
      </c>
      <c r="AL16" s="562">
        <f t="shared" si="5"/>
        <v>300000</v>
      </c>
      <c r="AM16" s="562">
        <f t="shared" si="5"/>
        <v>300000</v>
      </c>
      <c r="AN16" s="562">
        <f t="shared" si="5"/>
        <v>300000</v>
      </c>
      <c r="AO16" s="562">
        <f t="shared" si="5"/>
        <v>300000</v>
      </c>
      <c r="AP16" s="562">
        <f t="shared" si="5"/>
        <v>300000</v>
      </c>
      <c r="AQ16" s="562">
        <f t="shared" si="5"/>
        <v>300000</v>
      </c>
      <c r="AR16" s="562">
        <f t="shared" si="5"/>
        <v>300000</v>
      </c>
      <c r="AS16" s="562">
        <f t="shared" si="5"/>
        <v>300000</v>
      </c>
      <c r="AT16" s="562">
        <f t="shared" si="5"/>
        <v>300000</v>
      </c>
      <c r="AU16" s="562">
        <f t="shared" si="5"/>
        <v>300000</v>
      </c>
      <c r="AV16" s="562">
        <f t="shared" si="5"/>
        <v>300000</v>
      </c>
      <c r="AW16" s="562">
        <f t="shared" si="5"/>
        <v>300000</v>
      </c>
      <c r="AX16" s="562">
        <f t="shared" si="5"/>
        <v>300000</v>
      </c>
      <c r="AY16" s="562">
        <f t="shared" si="5"/>
        <v>300000</v>
      </c>
      <c r="AZ16" s="562">
        <f t="shared" si="5"/>
        <v>300000</v>
      </c>
      <c r="BA16" s="562">
        <f t="shared" si="5"/>
        <v>300000</v>
      </c>
      <c r="BB16" s="562">
        <f t="shared" si="5"/>
        <v>300000</v>
      </c>
      <c r="BC16" s="562">
        <f t="shared" si="5"/>
        <v>300000</v>
      </c>
      <c r="BD16" s="562">
        <f t="shared" si="5"/>
        <v>300000</v>
      </c>
      <c r="BE16" s="562">
        <f t="shared" si="5"/>
        <v>300000</v>
      </c>
      <c r="BF16" s="562">
        <f t="shared" si="5"/>
        <v>300000</v>
      </c>
      <c r="BG16" s="562">
        <f t="shared" si="5"/>
        <v>300000</v>
      </c>
      <c r="BH16" s="562">
        <f t="shared" si="5"/>
        <v>300000</v>
      </c>
      <c r="BI16" s="562">
        <f t="shared" si="5"/>
        <v>300000</v>
      </c>
      <c r="BJ16" s="562">
        <f t="shared" si="5"/>
        <v>300000</v>
      </c>
      <c r="BK16" s="562">
        <f t="shared" si="5"/>
        <v>300000</v>
      </c>
      <c r="BL16" s="562">
        <f t="shared" si="5"/>
        <v>300000</v>
      </c>
    </row>
    <row r="17" spans="1:64" x14ac:dyDescent="0.2">
      <c r="B17" s="561" t="s">
        <v>91</v>
      </c>
      <c r="C17" s="561"/>
      <c r="D17" s="561"/>
      <c r="E17" s="562">
        <f>IF(E$7&gt;500000,E$7-500000,0)</f>
        <v>0</v>
      </c>
      <c r="F17" s="562">
        <f t="shared" ref="F17:BL17" si="6">IF(F$7&gt;500000,F$7-500000,0)</f>
        <v>0</v>
      </c>
      <c r="G17" s="562">
        <f t="shared" si="6"/>
        <v>0</v>
      </c>
      <c r="H17" s="562">
        <f t="shared" si="6"/>
        <v>952991</v>
      </c>
      <c r="I17" s="562">
        <f t="shared" si="6"/>
        <v>952991</v>
      </c>
      <c r="J17" s="562">
        <f t="shared" si="6"/>
        <v>952991</v>
      </c>
      <c r="K17" s="562">
        <f t="shared" si="6"/>
        <v>952991</v>
      </c>
      <c r="L17" s="562">
        <f t="shared" si="6"/>
        <v>952991</v>
      </c>
      <c r="M17" s="562">
        <f t="shared" si="6"/>
        <v>952991</v>
      </c>
      <c r="N17" s="562">
        <f t="shared" si="6"/>
        <v>952991</v>
      </c>
      <c r="O17" s="562">
        <f t="shared" si="6"/>
        <v>952991</v>
      </c>
      <c r="P17" s="562">
        <f t="shared" si="6"/>
        <v>952991</v>
      </c>
      <c r="Q17" s="562">
        <f t="shared" si="6"/>
        <v>952991</v>
      </c>
      <c r="R17" s="562">
        <f t="shared" si="6"/>
        <v>952991</v>
      </c>
      <c r="S17" s="562">
        <f t="shared" si="6"/>
        <v>952991</v>
      </c>
      <c r="T17" s="562">
        <f t="shared" si="6"/>
        <v>2510446</v>
      </c>
      <c r="U17" s="562">
        <f t="shared" si="6"/>
        <v>2510446</v>
      </c>
      <c r="V17" s="562">
        <f t="shared" si="6"/>
        <v>2510446</v>
      </c>
      <c r="W17" s="562">
        <f t="shared" si="6"/>
        <v>2510446</v>
      </c>
      <c r="X17" s="562">
        <f t="shared" si="6"/>
        <v>2510446</v>
      </c>
      <c r="Y17" s="562">
        <f t="shared" si="6"/>
        <v>2510446</v>
      </c>
      <c r="Z17" s="562">
        <f t="shared" si="6"/>
        <v>2510446</v>
      </c>
      <c r="AA17" s="562">
        <f t="shared" si="6"/>
        <v>2510446</v>
      </c>
      <c r="AB17" s="562">
        <f t="shared" si="6"/>
        <v>2510446</v>
      </c>
      <c r="AC17" s="562">
        <f t="shared" si="6"/>
        <v>2510446</v>
      </c>
      <c r="AD17" s="562">
        <f t="shared" si="6"/>
        <v>2510446</v>
      </c>
      <c r="AE17" s="562">
        <f t="shared" si="6"/>
        <v>2510446</v>
      </c>
      <c r="AF17" s="562">
        <f t="shared" si="6"/>
        <v>3441911</v>
      </c>
      <c r="AG17" s="562">
        <f t="shared" si="6"/>
        <v>3441911</v>
      </c>
      <c r="AH17" s="562">
        <f t="shared" si="6"/>
        <v>3441911</v>
      </c>
      <c r="AI17" s="562">
        <f t="shared" si="6"/>
        <v>3441911</v>
      </c>
      <c r="AJ17" s="562">
        <f t="shared" si="6"/>
        <v>3441911</v>
      </c>
      <c r="AK17" s="562">
        <f t="shared" si="6"/>
        <v>3441911</v>
      </c>
      <c r="AL17" s="562">
        <f t="shared" si="6"/>
        <v>3441911</v>
      </c>
      <c r="AM17" s="562">
        <f t="shared" si="6"/>
        <v>3441911</v>
      </c>
      <c r="AN17" s="562">
        <f t="shared" si="6"/>
        <v>3441915</v>
      </c>
      <c r="AO17" s="562">
        <f t="shared" si="6"/>
        <v>3930199</v>
      </c>
      <c r="AP17" s="562">
        <f t="shared" si="6"/>
        <v>3930199</v>
      </c>
      <c r="AQ17" s="562">
        <f t="shared" si="6"/>
        <v>3930199</v>
      </c>
      <c r="AR17" s="562">
        <f t="shared" si="6"/>
        <v>3930199</v>
      </c>
      <c r="AS17" s="562">
        <f t="shared" si="6"/>
        <v>3930199</v>
      </c>
      <c r="AT17" s="562">
        <f t="shared" si="6"/>
        <v>3930199</v>
      </c>
      <c r="AU17" s="562">
        <f t="shared" si="6"/>
        <v>3930199</v>
      </c>
      <c r="AV17" s="562">
        <f t="shared" si="6"/>
        <v>3930199</v>
      </c>
      <c r="AW17" s="562">
        <f t="shared" si="6"/>
        <v>3930199</v>
      </c>
      <c r="AX17" s="562">
        <f t="shared" si="6"/>
        <v>3930199</v>
      </c>
      <c r="AY17" s="562">
        <f t="shared" si="6"/>
        <v>3930199</v>
      </c>
      <c r="AZ17" s="562">
        <f t="shared" si="6"/>
        <v>3930203</v>
      </c>
      <c r="BA17" s="562">
        <f t="shared" si="6"/>
        <v>3930199</v>
      </c>
      <c r="BB17" s="562">
        <f t="shared" si="6"/>
        <v>3930199</v>
      </c>
      <c r="BC17" s="562">
        <f t="shared" si="6"/>
        <v>3930199</v>
      </c>
      <c r="BD17" s="562">
        <f t="shared" si="6"/>
        <v>3930199</v>
      </c>
      <c r="BE17" s="562">
        <f t="shared" si="6"/>
        <v>3930199</v>
      </c>
      <c r="BF17" s="562">
        <f t="shared" si="6"/>
        <v>3930199</v>
      </c>
      <c r="BG17" s="562">
        <f t="shared" si="6"/>
        <v>5372507</v>
      </c>
      <c r="BH17" s="562">
        <f t="shared" si="6"/>
        <v>5372507</v>
      </c>
      <c r="BI17" s="562">
        <f t="shared" si="6"/>
        <v>5372507</v>
      </c>
      <c r="BJ17" s="562">
        <f t="shared" si="6"/>
        <v>5372507</v>
      </c>
      <c r="BK17" s="562">
        <f t="shared" si="6"/>
        <v>5372507</v>
      </c>
      <c r="BL17" s="562">
        <f t="shared" si="6"/>
        <v>5372510</v>
      </c>
    </row>
    <row r="18" spans="1:64" x14ac:dyDescent="0.2">
      <c r="B18" s="561" t="s">
        <v>6</v>
      </c>
      <c r="C18" s="561"/>
      <c r="D18" s="561"/>
      <c r="E18" s="563">
        <f>SUM(E12:E17)</f>
        <v>0</v>
      </c>
      <c r="F18" s="563">
        <f t="shared" ref="F18:BL18" si="7">SUM(F12:F17)</f>
        <v>0</v>
      </c>
      <c r="G18" s="563">
        <f t="shared" si="7"/>
        <v>0</v>
      </c>
      <c r="H18" s="563">
        <f t="shared" si="7"/>
        <v>1452991</v>
      </c>
      <c r="I18" s="563">
        <f t="shared" si="7"/>
        <v>1452991</v>
      </c>
      <c r="J18" s="563">
        <f t="shared" si="7"/>
        <v>1452991</v>
      </c>
      <c r="K18" s="563">
        <f t="shared" si="7"/>
        <v>1452991</v>
      </c>
      <c r="L18" s="563">
        <f t="shared" si="7"/>
        <v>1452991</v>
      </c>
      <c r="M18" s="563">
        <f t="shared" si="7"/>
        <v>1452991</v>
      </c>
      <c r="N18" s="563">
        <f t="shared" si="7"/>
        <v>1452991</v>
      </c>
      <c r="O18" s="563">
        <f t="shared" si="7"/>
        <v>1452991</v>
      </c>
      <c r="P18" s="563">
        <f t="shared" si="7"/>
        <v>1452991</v>
      </c>
      <c r="Q18" s="563">
        <f t="shared" si="7"/>
        <v>1452991</v>
      </c>
      <c r="R18" s="563">
        <f t="shared" si="7"/>
        <v>1452991</v>
      </c>
      <c r="S18" s="563">
        <f t="shared" si="7"/>
        <v>1452991</v>
      </c>
      <c r="T18" s="563">
        <f t="shared" si="7"/>
        <v>3010446</v>
      </c>
      <c r="U18" s="563">
        <f t="shared" si="7"/>
        <v>3010446</v>
      </c>
      <c r="V18" s="563">
        <f t="shared" si="7"/>
        <v>3010446</v>
      </c>
      <c r="W18" s="563">
        <f t="shared" si="7"/>
        <v>3010446</v>
      </c>
      <c r="X18" s="563">
        <f t="shared" si="7"/>
        <v>3010446</v>
      </c>
      <c r="Y18" s="563">
        <f t="shared" si="7"/>
        <v>3010446</v>
      </c>
      <c r="Z18" s="563">
        <f t="shared" si="7"/>
        <v>3010446</v>
      </c>
      <c r="AA18" s="563">
        <f t="shared" si="7"/>
        <v>3010446</v>
      </c>
      <c r="AB18" s="563">
        <f t="shared" si="7"/>
        <v>3010446</v>
      </c>
      <c r="AC18" s="563">
        <f t="shared" si="7"/>
        <v>3010446</v>
      </c>
      <c r="AD18" s="563">
        <f t="shared" si="7"/>
        <v>3010446</v>
      </c>
      <c r="AE18" s="563">
        <f t="shared" si="7"/>
        <v>3010446</v>
      </c>
      <c r="AF18" s="563">
        <f t="shared" si="7"/>
        <v>3941911</v>
      </c>
      <c r="AG18" s="563">
        <f t="shared" si="7"/>
        <v>3941911</v>
      </c>
      <c r="AH18" s="563">
        <f t="shared" si="7"/>
        <v>3941911</v>
      </c>
      <c r="AI18" s="563">
        <f t="shared" si="7"/>
        <v>3941911</v>
      </c>
      <c r="AJ18" s="563">
        <f t="shared" si="7"/>
        <v>3941911</v>
      </c>
      <c r="AK18" s="563">
        <f t="shared" si="7"/>
        <v>3941911</v>
      </c>
      <c r="AL18" s="563">
        <f t="shared" si="7"/>
        <v>3941911</v>
      </c>
      <c r="AM18" s="563">
        <f t="shared" si="7"/>
        <v>3941911</v>
      </c>
      <c r="AN18" s="563">
        <f t="shared" si="7"/>
        <v>3941915</v>
      </c>
      <c r="AO18" s="563">
        <f t="shared" si="7"/>
        <v>4430199</v>
      </c>
      <c r="AP18" s="563">
        <f t="shared" si="7"/>
        <v>4430199</v>
      </c>
      <c r="AQ18" s="563">
        <f t="shared" si="7"/>
        <v>4430199</v>
      </c>
      <c r="AR18" s="563">
        <f t="shared" si="7"/>
        <v>4430199</v>
      </c>
      <c r="AS18" s="563">
        <f t="shared" si="7"/>
        <v>4430199</v>
      </c>
      <c r="AT18" s="563">
        <f t="shared" si="7"/>
        <v>4430199</v>
      </c>
      <c r="AU18" s="563">
        <f t="shared" si="7"/>
        <v>4430199</v>
      </c>
      <c r="AV18" s="563">
        <f t="shared" si="7"/>
        <v>4430199</v>
      </c>
      <c r="AW18" s="563">
        <f t="shared" si="7"/>
        <v>4430199</v>
      </c>
      <c r="AX18" s="563">
        <f t="shared" si="7"/>
        <v>4430199</v>
      </c>
      <c r="AY18" s="563">
        <f t="shared" si="7"/>
        <v>4430199</v>
      </c>
      <c r="AZ18" s="563">
        <f t="shared" si="7"/>
        <v>4430203</v>
      </c>
      <c r="BA18" s="563">
        <f t="shared" si="7"/>
        <v>4430199</v>
      </c>
      <c r="BB18" s="563">
        <f t="shared" si="7"/>
        <v>4430199</v>
      </c>
      <c r="BC18" s="563">
        <f t="shared" si="7"/>
        <v>4430199</v>
      </c>
      <c r="BD18" s="563">
        <f t="shared" si="7"/>
        <v>4430199</v>
      </c>
      <c r="BE18" s="563">
        <f t="shared" si="7"/>
        <v>4430199</v>
      </c>
      <c r="BF18" s="563">
        <f t="shared" si="7"/>
        <v>4430199</v>
      </c>
      <c r="BG18" s="563">
        <f t="shared" si="7"/>
        <v>5872507</v>
      </c>
      <c r="BH18" s="563">
        <f t="shared" si="7"/>
        <v>5872507</v>
      </c>
      <c r="BI18" s="563">
        <f t="shared" si="7"/>
        <v>5872507</v>
      </c>
      <c r="BJ18" s="563">
        <f t="shared" si="7"/>
        <v>5872507</v>
      </c>
      <c r="BK18" s="563">
        <f t="shared" si="7"/>
        <v>5872507</v>
      </c>
      <c r="BL18" s="563">
        <f t="shared" si="7"/>
        <v>5872510</v>
      </c>
    </row>
    <row r="19" spans="1:64" x14ac:dyDescent="0.2">
      <c r="B19" s="564" t="s">
        <v>42</v>
      </c>
      <c r="C19" s="564"/>
      <c r="D19" s="564"/>
      <c r="E19" s="558">
        <f t="shared" ref="E19:BL19" si="8">E7-E18</f>
        <v>0</v>
      </c>
      <c r="F19" s="558">
        <f t="shared" si="8"/>
        <v>0</v>
      </c>
      <c r="G19" s="558">
        <f t="shared" si="8"/>
        <v>0</v>
      </c>
      <c r="H19" s="558">
        <f t="shared" si="8"/>
        <v>0</v>
      </c>
      <c r="I19" s="558">
        <f t="shared" si="8"/>
        <v>0</v>
      </c>
      <c r="J19" s="558">
        <f t="shared" si="8"/>
        <v>0</v>
      </c>
      <c r="K19" s="558">
        <f t="shared" si="8"/>
        <v>0</v>
      </c>
      <c r="L19" s="558">
        <f t="shared" si="8"/>
        <v>0</v>
      </c>
      <c r="M19" s="558">
        <f t="shared" si="8"/>
        <v>0</v>
      </c>
      <c r="N19" s="558">
        <f t="shared" si="8"/>
        <v>0</v>
      </c>
      <c r="O19" s="558">
        <f t="shared" si="8"/>
        <v>0</v>
      </c>
      <c r="P19" s="558">
        <f t="shared" si="8"/>
        <v>0</v>
      </c>
      <c r="Q19" s="558">
        <f t="shared" si="8"/>
        <v>0</v>
      </c>
      <c r="R19" s="558">
        <f t="shared" si="8"/>
        <v>0</v>
      </c>
      <c r="S19" s="558">
        <f t="shared" si="8"/>
        <v>0</v>
      </c>
      <c r="T19" s="558">
        <f t="shared" si="8"/>
        <v>0</v>
      </c>
      <c r="U19" s="558">
        <f t="shared" si="8"/>
        <v>0</v>
      </c>
      <c r="V19" s="558">
        <f t="shared" si="8"/>
        <v>0</v>
      </c>
      <c r="W19" s="558">
        <f t="shared" si="8"/>
        <v>0</v>
      </c>
      <c r="X19" s="558">
        <f t="shared" si="8"/>
        <v>0</v>
      </c>
      <c r="Y19" s="558">
        <f t="shared" si="8"/>
        <v>0</v>
      </c>
      <c r="Z19" s="558">
        <f t="shared" si="8"/>
        <v>0</v>
      </c>
      <c r="AA19" s="558">
        <f t="shared" si="8"/>
        <v>0</v>
      </c>
      <c r="AB19" s="558">
        <f t="shared" si="8"/>
        <v>0</v>
      </c>
      <c r="AC19" s="558">
        <f t="shared" si="8"/>
        <v>0</v>
      </c>
      <c r="AD19" s="558">
        <f t="shared" si="8"/>
        <v>0</v>
      </c>
      <c r="AE19" s="558">
        <f t="shared" si="8"/>
        <v>0</v>
      </c>
      <c r="AF19" s="558">
        <f t="shared" si="8"/>
        <v>0</v>
      </c>
      <c r="AG19" s="558">
        <f t="shared" si="8"/>
        <v>0</v>
      </c>
      <c r="AH19" s="558">
        <f t="shared" si="8"/>
        <v>0</v>
      </c>
      <c r="AI19" s="558">
        <f t="shared" si="8"/>
        <v>0</v>
      </c>
      <c r="AJ19" s="558">
        <f t="shared" si="8"/>
        <v>0</v>
      </c>
      <c r="AK19" s="558">
        <f t="shared" si="8"/>
        <v>0</v>
      </c>
      <c r="AL19" s="558">
        <f t="shared" si="8"/>
        <v>0</v>
      </c>
      <c r="AM19" s="558">
        <f t="shared" si="8"/>
        <v>0</v>
      </c>
      <c r="AN19" s="558">
        <f t="shared" si="8"/>
        <v>0</v>
      </c>
      <c r="AO19" s="558">
        <f t="shared" si="8"/>
        <v>0</v>
      </c>
      <c r="AP19" s="558">
        <f t="shared" si="8"/>
        <v>0</v>
      </c>
      <c r="AQ19" s="558">
        <f t="shared" si="8"/>
        <v>0</v>
      </c>
      <c r="AR19" s="558">
        <f t="shared" si="8"/>
        <v>0</v>
      </c>
      <c r="AS19" s="558">
        <f t="shared" si="8"/>
        <v>0</v>
      </c>
      <c r="AT19" s="558">
        <f t="shared" si="8"/>
        <v>0</v>
      </c>
      <c r="AU19" s="558">
        <f t="shared" si="8"/>
        <v>0</v>
      </c>
      <c r="AV19" s="558">
        <f t="shared" si="8"/>
        <v>0</v>
      </c>
      <c r="AW19" s="558">
        <f t="shared" si="8"/>
        <v>0</v>
      </c>
      <c r="AX19" s="558">
        <f t="shared" si="8"/>
        <v>0</v>
      </c>
      <c r="AY19" s="558">
        <f t="shared" si="8"/>
        <v>0</v>
      </c>
      <c r="AZ19" s="558">
        <f t="shared" si="8"/>
        <v>0</v>
      </c>
      <c r="BA19" s="558">
        <f t="shared" si="8"/>
        <v>0</v>
      </c>
      <c r="BB19" s="558">
        <f t="shared" si="8"/>
        <v>0</v>
      </c>
      <c r="BC19" s="558">
        <f t="shared" si="8"/>
        <v>0</v>
      </c>
      <c r="BD19" s="558">
        <f t="shared" si="8"/>
        <v>0</v>
      </c>
      <c r="BE19" s="558">
        <f t="shared" si="8"/>
        <v>0</v>
      </c>
      <c r="BF19" s="558">
        <f t="shared" si="8"/>
        <v>0</v>
      </c>
      <c r="BG19" s="558">
        <f t="shared" si="8"/>
        <v>0</v>
      </c>
      <c r="BH19" s="558">
        <f t="shared" si="8"/>
        <v>0</v>
      </c>
      <c r="BI19" s="558">
        <f t="shared" si="8"/>
        <v>0</v>
      </c>
      <c r="BJ19" s="558">
        <f t="shared" si="8"/>
        <v>0</v>
      </c>
      <c r="BK19" s="558">
        <f t="shared" si="8"/>
        <v>0</v>
      </c>
      <c r="BL19" s="558">
        <f t="shared" si="8"/>
        <v>0</v>
      </c>
    </row>
    <row r="20" spans="1:64" x14ac:dyDescent="0.2">
      <c r="B20" s="557"/>
      <c r="C20" s="557"/>
      <c r="D20" s="557"/>
      <c r="E20" s="558"/>
      <c r="F20" s="558"/>
      <c r="G20" s="558"/>
      <c r="H20" s="558"/>
      <c r="I20" s="558"/>
      <c r="J20" s="558"/>
      <c r="K20" s="558"/>
      <c r="L20" s="558"/>
      <c r="M20" s="558"/>
      <c r="N20" s="558"/>
      <c r="O20" s="558"/>
      <c r="P20" s="558"/>
      <c r="Q20" s="558"/>
      <c r="R20" s="558"/>
      <c r="S20" s="558"/>
      <c r="T20" s="558"/>
      <c r="U20" s="558"/>
      <c r="V20" s="558"/>
      <c r="W20" s="558"/>
      <c r="X20" s="558"/>
      <c r="Y20" s="558"/>
      <c r="Z20" s="558"/>
      <c r="AA20" s="558"/>
      <c r="AB20" s="558"/>
      <c r="AC20" s="558"/>
      <c r="AD20" s="558"/>
      <c r="AE20" s="558"/>
      <c r="AF20" s="558"/>
      <c r="AG20" s="558"/>
      <c r="AH20" s="558"/>
      <c r="AI20" s="558"/>
      <c r="AJ20" s="558"/>
      <c r="AK20" s="558"/>
      <c r="AL20" s="558"/>
      <c r="AM20" s="558"/>
      <c r="AN20" s="558"/>
      <c r="AO20" s="558"/>
      <c r="AP20" s="558"/>
      <c r="AQ20" s="558"/>
      <c r="AR20" s="558"/>
      <c r="AS20" s="558"/>
      <c r="AT20" s="558"/>
      <c r="AU20" s="558"/>
      <c r="AV20" s="558"/>
      <c r="AW20" s="558"/>
      <c r="AX20" s="558"/>
      <c r="AY20" s="558"/>
      <c r="AZ20" s="558"/>
      <c r="BA20" s="558"/>
      <c r="BB20" s="558"/>
      <c r="BC20" s="558"/>
      <c r="BD20" s="558"/>
      <c r="BE20" s="558"/>
      <c r="BF20" s="558"/>
      <c r="BG20" s="558"/>
      <c r="BH20" s="558"/>
      <c r="BI20" s="558"/>
      <c r="BJ20" s="558"/>
      <c r="BK20" s="558"/>
      <c r="BL20" s="558"/>
    </row>
    <row r="21" spans="1:64" x14ac:dyDescent="0.2">
      <c r="A21" s="550" t="s">
        <v>349</v>
      </c>
      <c r="C21" s="550"/>
      <c r="D21" s="550"/>
      <c r="E21" s="558"/>
      <c r="F21" s="558"/>
      <c r="G21" s="558"/>
      <c r="H21" s="558"/>
      <c r="I21" s="558"/>
      <c r="J21" s="558"/>
      <c r="K21" s="558"/>
      <c r="L21" s="558"/>
      <c r="M21" s="558"/>
      <c r="N21" s="558"/>
      <c r="O21" s="558"/>
      <c r="P21" s="558"/>
      <c r="Q21" s="558"/>
      <c r="R21" s="558"/>
      <c r="S21" s="558"/>
      <c r="T21" s="558"/>
      <c r="U21" s="558"/>
      <c r="V21" s="558"/>
      <c r="W21" s="558"/>
      <c r="X21" s="558"/>
      <c r="Y21" s="558"/>
      <c r="Z21" s="558"/>
      <c r="AA21" s="558"/>
      <c r="AB21" s="558"/>
      <c r="AC21" s="558"/>
      <c r="AD21" s="558"/>
      <c r="AE21" s="558"/>
      <c r="AF21" s="558"/>
      <c r="AG21" s="558"/>
      <c r="AH21" s="558"/>
      <c r="AI21" s="558"/>
      <c r="AJ21" s="558"/>
      <c r="AK21" s="558"/>
      <c r="AL21" s="558"/>
      <c r="AM21" s="558"/>
      <c r="AN21" s="558"/>
      <c r="AO21" s="558"/>
      <c r="AP21" s="558"/>
      <c r="AQ21" s="558"/>
      <c r="AR21" s="558"/>
      <c r="AS21" s="558"/>
      <c r="AT21" s="558"/>
      <c r="AU21" s="558"/>
      <c r="AV21" s="558"/>
      <c r="AW21" s="558"/>
      <c r="AX21" s="558"/>
      <c r="AY21" s="558"/>
      <c r="AZ21" s="558"/>
      <c r="BA21" s="558"/>
      <c r="BB21" s="558"/>
      <c r="BC21" s="558"/>
      <c r="BD21" s="558"/>
      <c r="BE21" s="558"/>
      <c r="BF21" s="558"/>
      <c r="BG21" s="558"/>
      <c r="BH21" s="558"/>
      <c r="BI21" s="558"/>
      <c r="BJ21" s="558"/>
      <c r="BK21" s="558"/>
      <c r="BL21" s="558"/>
    </row>
    <row r="22" spans="1:64" x14ac:dyDescent="0.2">
      <c r="B22" s="552" t="s">
        <v>347</v>
      </c>
      <c r="C22" s="552"/>
      <c r="D22" s="552"/>
      <c r="E22" s="565">
        <f t="shared" ref="E22:BL22" si="9">E6</f>
        <v>44562</v>
      </c>
      <c r="F22" s="565">
        <f t="shared" si="9"/>
        <v>44593</v>
      </c>
      <c r="G22" s="565">
        <f t="shared" si="9"/>
        <v>44621</v>
      </c>
      <c r="H22" s="565">
        <f t="shared" si="9"/>
        <v>44652</v>
      </c>
      <c r="I22" s="565">
        <f t="shared" si="9"/>
        <v>44682</v>
      </c>
      <c r="J22" s="565">
        <f t="shared" si="9"/>
        <v>44713</v>
      </c>
      <c r="K22" s="565">
        <f t="shared" si="9"/>
        <v>44743</v>
      </c>
      <c r="L22" s="565">
        <f t="shared" si="9"/>
        <v>44774</v>
      </c>
      <c r="M22" s="565">
        <f t="shared" si="9"/>
        <v>44805</v>
      </c>
      <c r="N22" s="565">
        <f t="shared" si="9"/>
        <v>44835</v>
      </c>
      <c r="O22" s="565">
        <f t="shared" si="9"/>
        <v>44866</v>
      </c>
      <c r="P22" s="565">
        <f t="shared" si="9"/>
        <v>44896</v>
      </c>
      <c r="Q22" s="565">
        <f t="shared" si="9"/>
        <v>44927</v>
      </c>
      <c r="R22" s="565">
        <f t="shared" si="9"/>
        <v>44958</v>
      </c>
      <c r="S22" s="565">
        <f t="shared" si="9"/>
        <v>44986</v>
      </c>
      <c r="T22" s="565">
        <f t="shared" si="9"/>
        <v>45017</v>
      </c>
      <c r="U22" s="565">
        <f t="shared" si="9"/>
        <v>45047</v>
      </c>
      <c r="V22" s="565">
        <f t="shared" si="9"/>
        <v>45078</v>
      </c>
      <c r="W22" s="565">
        <f t="shared" si="9"/>
        <v>45108</v>
      </c>
      <c r="X22" s="565">
        <f t="shared" si="9"/>
        <v>45139</v>
      </c>
      <c r="Y22" s="565">
        <f t="shared" si="9"/>
        <v>45170</v>
      </c>
      <c r="Z22" s="565">
        <f t="shared" si="9"/>
        <v>45200</v>
      </c>
      <c r="AA22" s="565">
        <f t="shared" si="9"/>
        <v>45231</v>
      </c>
      <c r="AB22" s="565">
        <f t="shared" si="9"/>
        <v>45261</v>
      </c>
      <c r="AC22" s="565">
        <f t="shared" si="9"/>
        <v>45292</v>
      </c>
      <c r="AD22" s="565">
        <f t="shared" si="9"/>
        <v>45323</v>
      </c>
      <c r="AE22" s="565">
        <f t="shared" si="9"/>
        <v>45352</v>
      </c>
      <c r="AF22" s="565">
        <f t="shared" si="9"/>
        <v>45383</v>
      </c>
      <c r="AG22" s="565">
        <f t="shared" si="9"/>
        <v>45413</v>
      </c>
      <c r="AH22" s="565">
        <f t="shared" si="9"/>
        <v>45444</v>
      </c>
      <c r="AI22" s="565">
        <f t="shared" si="9"/>
        <v>45474</v>
      </c>
      <c r="AJ22" s="565">
        <f t="shared" si="9"/>
        <v>45505</v>
      </c>
      <c r="AK22" s="565">
        <f t="shared" si="9"/>
        <v>45536</v>
      </c>
      <c r="AL22" s="565">
        <f t="shared" si="9"/>
        <v>45566</v>
      </c>
      <c r="AM22" s="565">
        <f t="shared" si="9"/>
        <v>45597</v>
      </c>
      <c r="AN22" s="565">
        <f t="shared" si="9"/>
        <v>45627</v>
      </c>
      <c r="AO22" s="565">
        <f t="shared" si="9"/>
        <v>45658</v>
      </c>
      <c r="AP22" s="565">
        <f t="shared" si="9"/>
        <v>45689</v>
      </c>
      <c r="AQ22" s="565">
        <f t="shared" si="9"/>
        <v>45717</v>
      </c>
      <c r="AR22" s="565">
        <f t="shared" si="9"/>
        <v>45748</v>
      </c>
      <c r="AS22" s="565">
        <f t="shared" si="9"/>
        <v>45778</v>
      </c>
      <c r="AT22" s="565">
        <f t="shared" si="9"/>
        <v>45809</v>
      </c>
      <c r="AU22" s="565">
        <f t="shared" si="9"/>
        <v>45839</v>
      </c>
      <c r="AV22" s="565">
        <f t="shared" si="9"/>
        <v>45870</v>
      </c>
      <c r="AW22" s="565">
        <f t="shared" si="9"/>
        <v>45901</v>
      </c>
      <c r="AX22" s="565">
        <f t="shared" si="9"/>
        <v>45931</v>
      </c>
      <c r="AY22" s="565">
        <f t="shared" si="9"/>
        <v>45962</v>
      </c>
      <c r="AZ22" s="565">
        <f t="shared" si="9"/>
        <v>45992</v>
      </c>
      <c r="BA22" s="565">
        <f t="shared" si="9"/>
        <v>46023</v>
      </c>
      <c r="BB22" s="565">
        <f t="shared" si="9"/>
        <v>46054</v>
      </c>
      <c r="BC22" s="565">
        <f t="shared" si="9"/>
        <v>46082</v>
      </c>
      <c r="BD22" s="565">
        <f t="shared" si="9"/>
        <v>46113</v>
      </c>
      <c r="BE22" s="565">
        <f t="shared" si="9"/>
        <v>46143</v>
      </c>
      <c r="BF22" s="565">
        <f t="shared" si="9"/>
        <v>46174</v>
      </c>
      <c r="BG22" s="565">
        <f t="shared" si="9"/>
        <v>46204</v>
      </c>
      <c r="BH22" s="565">
        <f t="shared" si="9"/>
        <v>46235</v>
      </c>
      <c r="BI22" s="565">
        <f t="shared" si="9"/>
        <v>46266</v>
      </c>
      <c r="BJ22" s="565">
        <f t="shared" si="9"/>
        <v>46296</v>
      </c>
      <c r="BK22" s="565">
        <f t="shared" si="9"/>
        <v>46327</v>
      </c>
      <c r="BL22" s="565">
        <f t="shared" si="9"/>
        <v>46357</v>
      </c>
    </row>
    <row r="23" spans="1:64" x14ac:dyDescent="0.2">
      <c r="B23" s="555" t="s">
        <v>350</v>
      </c>
      <c r="C23" s="555"/>
      <c r="D23" s="555"/>
      <c r="E23" s="556">
        <v>0</v>
      </c>
      <c r="F23" s="556">
        <v>0</v>
      </c>
      <c r="G23" s="556">
        <v>0</v>
      </c>
      <c r="H23" s="556">
        <v>0</v>
      </c>
      <c r="I23" s="556">
        <v>0</v>
      </c>
      <c r="J23" s="556">
        <v>0</v>
      </c>
      <c r="K23" s="556">
        <v>0</v>
      </c>
      <c r="L23" s="556">
        <v>0</v>
      </c>
      <c r="M23" s="556">
        <v>0</v>
      </c>
      <c r="N23" s="556">
        <v>0</v>
      </c>
      <c r="O23" s="556">
        <v>0</v>
      </c>
      <c r="P23" s="556">
        <v>0</v>
      </c>
      <c r="Q23" s="556">
        <v>0</v>
      </c>
      <c r="R23" s="556">
        <v>0</v>
      </c>
      <c r="S23" s="556">
        <v>0</v>
      </c>
      <c r="T23" s="556">
        <v>0</v>
      </c>
      <c r="U23" s="556">
        <v>0</v>
      </c>
      <c r="V23" s="556">
        <v>0</v>
      </c>
      <c r="W23" s="556">
        <v>0</v>
      </c>
      <c r="X23" s="556">
        <v>0</v>
      </c>
      <c r="Y23" s="556">
        <v>0</v>
      </c>
      <c r="Z23" s="556">
        <v>0</v>
      </c>
      <c r="AA23" s="556">
        <v>0</v>
      </c>
      <c r="AB23" s="556">
        <v>0</v>
      </c>
      <c r="AC23" s="556">
        <v>0</v>
      </c>
      <c r="AD23" s="556">
        <v>0</v>
      </c>
      <c r="AE23" s="556">
        <v>0</v>
      </c>
      <c r="AF23" s="556">
        <v>0</v>
      </c>
      <c r="AG23" s="556">
        <v>0</v>
      </c>
      <c r="AH23" s="556">
        <v>0</v>
      </c>
      <c r="AI23" s="556">
        <v>0</v>
      </c>
      <c r="AJ23" s="556">
        <v>0</v>
      </c>
      <c r="AK23" s="556">
        <v>0</v>
      </c>
      <c r="AL23" s="556">
        <v>0</v>
      </c>
      <c r="AM23" s="556">
        <v>0</v>
      </c>
      <c r="AN23" s="556">
        <v>0</v>
      </c>
      <c r="AO23" s="556">
        <v>0</v>
      </c>
      <c r="AP23" s="556">
        <v>0</v>
      </c>
      <c r="AQ23" s="556">
        <v>0</v>
      </c>
      <c r="AR23" s="556">
        <v>0</v>
      </c>
      <c r="AS23" s="556">
        <v>0</v>
      </c>
      <c r="AT23" s="556">
        <v>0</v>
      </c>
      <c r="AU23" s="556">
        <v>0</v>
      </c>
      <c r="AV23" s="556">
        <v>0</v>
      </c>
      <c r="AW23" s="556">
        <v>0</v>
      </c>
      <c r="AX23" s="556">
        <v>0</v>
      </c>
      <c r="AY23" s="556">
        <v>0</v>
      </c>
      <c r="AZ23" s="556">
        <v>0</v>
      </c>
      <c r="BA23" s="556">
        <v>0</v>
      </c>
      <c r="BB23" s="556">
        <v>0</v>
      </c>
      <c r="BC23" s="556">
        <v>0</v>
      </c>
      <c r="BD23" s="556">
        <v>0</v>
      </c>
      <c r="BE23" s="556">
        <v>0</v>
      </c>
      <c r="BF23" s="556">
        <v>0</v>
      </c>
      <c r="BG23" s="556">
        <v>0</v>
      </c>
      <c r="BH23" s="556">
        <v>0</v>
      </c>
      <c r="BI23" s="556">
        <v>0</v>
      </c>
      <c r="BJ23" s="556">
        <v>0</v>
      </c>
      <c r="BK23" s="556">
        <v>0</v>
      </c>
      <c r="BL23" s="556">
        <v>0</v>
      </c>
    </row>
    <row r="24" spans="1:64" x14ac:dyDescent="0.2">
      <c r="B24" s="555"/>
      <c r="C24" s="555"/>
      <c r="D24" s="555"/>
      <c r="E24" s="555"/>
      <c r="F24" s="555"/>
      <c r="G24" s="555"/>
      <c r="H24" s="555"/>
      <c r="I24" s="555"/>
      <c r="J24" s="555"/>
      <c r="K24" s="555"/>
      <c r="L24" s="555"/>
      <c r="M24" s="555"/>
      <c r="N24" s="555"/>
      <c r="O24" s="555"/>
      <c r="P24" s="555"/>
      <c r="Q24" s="555"/>
      <c r="R24" s="555"/>
      <c r="S24" s="555"/>
      <c r="T24" s="555"/>
      <c r="U24" s="555"/>
      <c r="V24" s="555"/>
      <c r="W24" s="555"/>
      <c r="X24" s="555"/>
      <c r="Y24" s="555"/>
      <c r="Z24" s="555"/>
      <c r="AA24" s="555"/>
      <c r="AB24" s="555"/>
      <c r="AC24" s="555"/>
      <c r="AD24" s="555"/>
      <c r="AE24" s="555"/>
      <c r="AF24" s="555"/>
      <c r="AG24" s="555"/>
      <c r="AH24" s="555"/>
      <c r="AI24" s="555"/>
      <c r="AJ24" s="555"/>
      <c r="AK24" s="555"/>
      <c r="AL24" s="555"/>
      <c r="AM24" s="555"/>
      <c r="AN24" s="555"/>
      <c r="AO24" s="555"/>
      <c r="AP24" s="555"/>
      <c r="AQ24" s="555"/>
      <c r="AR24" s="555"/>
      <c r="AS24" s="555"/>
      <c r="AT24" s="555"/>
      <c r="AU24" s="555"/>
      <c r="AV24" s="555"/>
      <c r="AW24" s="555"/>
      <c r="AX24" s="555"/>
      <c r="AY24" s="555"/>
      <c r="AZ24" s="555"/>
    </row>
    <row r="25" spans="1:64" x14ac:dyDescent="0.2">
      <c r="A25" s="550" t="s">
        <v>351</v>
      </c>
      <c r="C25" s="550"/>
      <c r="D25" s="550"/>
      <c r="E25" s="550"/>
      <c r="F25" s="550"/>
      <c r="G25" s="550"/>
      <c r="H25" s="550"/>
      <c r="I25" s="550"/>
      <c r="J25" s="550"/>
      <c r="K25" s="550"/>
      <c r="L25" s="550"/>
      <c r="M25" s="550"/>
      <c r="N25" s="550"/>
      <c r="O25" s="550"/>
      <c r="P25" s="550"/>
      <c r="Q25" s="550"/>
      <c r="R25" s="550"/>
      <c r="S25" s="550"/>
      <c r="T25" s="550"/>
      <c r="U25" s="550"/>
      <c r="V25" s="550"/>
      <c r="W25" s="550"/>
      <c r="X25" s="550"/>
      <c r="Y25" s="550"/>
      <c r="Z25" s="550"/>
      <c r="AA25" s="550"/>
      <c r="AB25" s="550"/>
      <c r="AC25" s="550"/>
      <c r="AD25" s="550"/>
      <c r="AE25" s="550"/>
      <c r="AF25" s="550"/>
      <c r="AG25" s="550"/>
      <c r="AH25" s="550"/>
      <c r="AI25" s="550"/>
      <c r="AJ25" s="550"/>
      <c r="AK25" s="550"/>
      <c r="AL25" s="550"/>
      <c r="AM25" s="550"/>
      <c r="AN25" s="550"/>
      <c r="AO25" s="550"/>
      <c r="AP25" s="550"/>
      <c r="AQ25" s="550"/>
      <c r="AR25" s="550"/>
      <c r="AS25" s="550"/>
      <c r="AT25" s="550"/>
      <c r="AU25" s="550"/>
      <c r="AV25" s="550"/>
      <c r="AW25" s="550"/>
      <c r="AX25" s="550"/>
      <c r="AY25" s="550"/>
      <c r="AZ25" s="550"/>
    </row>
    <row r="26" spans="1:64" x14ac:dyDescent="0.2">
      <c r="B26" s="552" t="s">
        <v>347</v>
      </c>
      <c r="C26" s="552"/>
      <c r="D26" s="552"/>
      <c r="E26" s="554">
        <f t="shared" ref="E26:BL26" si="10">E6</f>
        <v>44562</v>
      </c>
      <c r="F26" s="554">
        <f t="shared" si="10"/>
        <v>44593</v>
      </c>
      <c r="G26" s="554">
        <f t="shared" si="10"/>
        <v>44621</v>
      </c>
      <c r="H26" s="554">
        <f t="shared" si="10"/>
        <v>44652</v>
      </c>
      <c r="I26" s="554">
        <f t="shared" si="10"/>
        <v>44682</v>
      </c>
      <c r="J26" s="554">
        <f t="shared" si="10"/>
        <v>44713</v>
      </c>
      <c r="K26" s="554">
        <f t="shared" si="10"/>
        <v>44743</v>
      </c>
      <c r="L26" s="554">
        <f t="shared" si="10"/>
        <v>44774</v>
      </c>
      <c r="M26" s="554">
        <f t="shared" si="10"/>
        <v>44805</v>
      </c>
      <c r="N26" s="554">
        <f t="shared" si="10"/>
        <v>44835</v>
      </c>
      <c r="O26" s="554">
        <f t="shared" si="10"/>
        <v>44866</v>
      </c>
      <c r="P26" s="554">
        <f t="shared" si="10"/>
        <v>44896</v>
      </c>
      <c r="Q26" s="554">
        <f t="shared" si="10"/>
        <v>44927</v>
      </c>
      <c r="R26" s="554">
        <f t="shared" si="10"/>
        <v>44958</v>
      </c>
      <c r="S26" s="554">
        <f t="shared" si="10"/>
        <v>44986</v>
      </c>
      <c r="T26" s="554">
        <f t="shared" si="10"/>
        <v>45017</v>
      </c>
      <c r="U26" s="554">
        <f t="shared" si="10"/>
        <v>45047</v>
      </c>
      <c r="V26" s="554">
        <f t="shared" si="10"/>
        <v>45078</v>
      </c>
      <c r="W26" s="554">
        <f t="shared" si="10"/>
        <v>45108</v>
      </c>
      <c r="X26" s="554">
        <f t="shared" si="10"/>
        <v>45139</v>
      </c>
      <c r="Y26" s="554">
        <f t="shared" si="10"/>
        <v>45170</v>
      </c>
      <c r="Z26" s="554">
        <f t="shared" si="10"/>
        <v>45200</v>
      </c>
      <c r="AA26" s="554">
        <f t="shared" si="10"/>
        <v>45231</v>
      </c>
      <c r="AB26" s="554">
        <f t="shared" si="10"/>
        <v>45261</v>
      </c>
      <c r="AC26" s="554">
        <f t="shared" si="10"/>
        <v>45292</v>
      </c>
      <c r="AD26" s="554">
        <f t="shared" si="10"/>
        <v>45323</v>
      </c>
      <c r="AE26" s="554">
        <f t="shared" si="10"/>
        <v>45352</v>
      </c>
      <c r="AF26" s="554">
        <f t="shared" si="10"/>
        <v>45383</v>
      </c>
      <c r="AG26" s="554">
        <f t="shared" si="10"/>
        <v>45413</v>
      </c>
      <c r="AH26" s="554">
        <f t="shared" si="10"/>
        <v>45444</v>
      </c>
      <c r="AI26" s="554">
        <f t="shared" si="10"/>
        <v>45474</v>
      </c>
      <c r="AJ26" s="554">
        <f t="shared" si="10"/>
        <v>45505</v>
      </c>
      <c r="AK26" s="554">
        <f t="shared" si="10"/>
        <v>45536</v>
      </c>
      <c r="AL26" s="554">
        <f t="shared" si="10"/>
        <v>45566</v>
      </c>
      <c r="AM26" s="554">
        <f t="shared" si="10"/>
        <v>45597</v>
      </c>
      <c r="AN26" s="554">
        <f t="shared" si="10"/>
        <v>45627</v>
      </c>
      <c r="AO26" s="554">
        <f t="shared" si="10"/>
        <v>45658</v>
      </c>
      <c r="AP26" s="554">
        <f t="shared" si="10"/>
        <v>45689</v>
      </c>
      <c r="AQ26" s="554">
        <f t="shared" si="10"/>
        <v>45717</v>
      </c>
      <c r="AR26" s="554">
        <f t="shared" si="10"/>
        <v>45748</v>
      </c>
      <c r="AS26" s="554">
        <f t="shared" si="10"/>
        <v>45778</v>
      </c>
      <c r="AT26" s="554">
        <f t="shared" si="10"/>
        <v>45809</v>
      </c>
      <c r="AU26" s="554">
        <f t="shared" si="10"/>
        <v>45839</v>
      </c>
      <c r="AV26" s="554">
        <f t="shared" si="10"/>
        <v>45870</v>
      </c>
      <c r="AW26" s="554">
        <f t="shared" si="10"/>
        <v>45901</v>
      </c>
      <c r="AX26" s="554">
        <f t="shared" si="10"/>
        <v>45931</v>
      </c>
      <c r="AY26" s="554">
        <f t="shared" si="10"/>
        <v>45962</v>
      </c>
      <c r="AZ26" s="554">
        <f t="shared" si="10"/>
        <v>45992</v>
      </c>
      <c r="BA26" s="554">
        <f t="shared" si="10"/>
        <v>46023</v>
      </c>
      <c r="BB26" s="554">
        <f t="shared" si="10"/>
        <v>46054</v>
      </c>
      <c r="BC26" s="554">
        <f t="shared" si="10"/>
        <v>46082</v>
      </c>
      <c r="BD26" s="554">
        <f t="shared" si="10"/>
        <v>46113</v>
      </c>
      <c r="BE26" s="554">
        <f t="shared" si="10"/>
        <v>46143</v>
      </c>
      <c r="BF26" s="554">
        <f t="shared" si="10"/>
        <v>46174</v>
      </c>
      <c r="BG26" s="554">
        <f t="shared" si="10"/>
        <v>46204</v>
      </c>
      <c r="BH26" s="554">
        <f t="shared" si="10"/>
        <v>46235</v>
      </c>
      <c r="BI26" s="554">
        <f t="shared" si="10"/>
        <v>46266</v>
      </c>
      <c r="BJ26" s="554">
        <f t="shared" si="10"/>
        <v>46296</v>
      </c>
      <c r="BK26" s="554">
        <f t="shared" si="10"/>
        <v>46327</v>
      </c>
      <c r="BL26" s="554">
        <f t="shared" si="10"/>
        <v>46357</v>
      </c>
    </row>
    <row r="27" spans="1:64" x14ac:dyDescent="0.2">
      <c r="B27" s="555" t="s">
        <v>92</v>
      </c>
      <c r="C27" s="555"/>
      <c r="D27" s="555"/>
      <c r="E27" s="556">
        <v>0</v>
      </c>
      <c r="F27" s="556">
        <v>0</v>
      </c>
      <c r="G27" s="556">
        <v>0</v>
      </c>
      <c r="H27" s="556">
        <v>1</v>
      </c>
      <c r="I27" s="556">
        <v>1</v>
      </c>
      <c r="J27" s="556">
        <v>1</v>
      </c>
      <c r="K27" s="556">
        <v>1</v>
      </c>
      <c r="L27" s="556">
        <v>1</v>
      </c>
      <c r="M27" s="556">
        <v>1</v>
      </c>
      <c r="N27" s="556">
        <v>1</v>
      </c>
      <c r="O27" s="556">
        <v>1</v>
      </c>
      <c r="P27" s="556">
        <v>1</v>
      </c>
      <c r="Q27" s="556">
        <v>1</v>
      </c>
      <c r="R27" s="556">
        <v>1</v>
      </c>
      <c r="S27" s="556">
        <v>1</v>
      </c>
      <c r="T27" s="556">
        <v>1</v>
      </c>
      <c r="U27" s="556">
        <v>1</v>
      </c>
      <c r="V27" s="556">
        <v>1</v>
      </c>
      <c r="W27" s="556">
        <v>1</v>
      </c>
      <c r="X27" s="556">
        <v>1</v>
      </c>
      <c r="Y27" s="556">
        <v>1</v>
      </c>
      <c r="Z27" s="556">
        <v>1</v>
      </c>
      <c r="AA27" s="556">
        <v>1</v>
      </c>
      <c r="AB27" s="556">
        <v>1</v>
      </c>
      <c r="AC27" s="556">
        <v>1</v>
      </c>
      <c r="AD27" s="556">
        <v>1</v>
      </c>
      <c r="AE27" s="556">
        <v>1</v>
      </c>
      <c r="AF27" s="556">
        <v>1</v>
      </c>
      <c r="AG27" s="556">
        <v>1</v>
      </c>
      <c r="AH27" s="556">
        <v>1</v>
      </c>
      <c r="AI27" s="556">
        <v>1</v>
      </c>
      <c r="AJ27" s="556">
        <v>1</v>
      </c>
      <c r="AK27" s="556">
        <v>1</v>
      </c>
      <c r="AL27" s="556">
        <v>1</v>
      </c>
      <c r="AM27" s="556">
        <v>1</v>
      </c>
      <c r="AN27" s="556">
        <v>1</v>
      </c>
      <c r="AO27" s="556">
        <v>1</v>
      </c>
      <c r="AP27" s="556">
        <v>1</v>
      </c>
      <c r="AQ27" s="556">
        <v>1</v>
      </c>
      <c r="AR27" s="556">
        <v>1</v>
      </c>
      <c r="AS27" s="556">
        <v>1</v>
      </c>
      <c r="AT27" s="556">
        <v>1</v>
      </c>
      <c r="AU27" s="556">
        <v>1</v>
      </c>
      <c r="AV27" s="556">
        <v>1</v>
      </c>
      <c r="AW27" s="556">
        <v>1</v>
      </c>
      <c r="AX27" s="556">
        <v>1</v>
      </c>
      <c r="AY27" s="556">
        <v>1</v>
      </c>
      <c r="AZ27" s="556">
        <v>1</v>
      </c>
      <c r="BA27" s="556">
        <v>1</v>
      </c>
      <c r="BB27" s="556">
        <v>1</v>
      </c>
      <c r="BC27" s="556">
        <v>1</v>
      </c>
      <c r="BD27" s="556">
        <v>1</v>
      </c>
      <c r="BE27" s="556">
        <v>1</v>
      </c>
      <c r="BF27" s="556">
        <v>1</v>
      </c>
      <c r="BG27" s="556">
        <v>1</v>
      </c>
      <c r="BH27" s="556">
        <v>1</v>
      </c>
      <c r="BI27" s="556">
        <v>1</v>
      </c>
      <c r="BJ27" s="556">
        <v>1</v>
      </c>
      <c r="BK27" s="556">
        <v>1</v>
      </c>
      <c r="BL27" s="556">
        <v>1</v>
      </c>
    </row>
    <row r="28" spans="1:64" x14ac:dyDescent="0.2">
      <c r="A28" s="550"/>
      <c r="B28" s="566"/>
    </row>
    <row r="29" spans="1:64" x14ac:dyDescent="0.2">
      <c r="A29" s="550" t="s">
        <v>22</v>
      </c>
      <c r="B29" s="550"/>
      <c r="C29" s="567"/>
      <c r="D29" s="567"/>
      <c r="E29" s="567"/>
    </row>
    <row r="30" spans="1:64" x14ac:dyDescent="0.2">
      <c r="A30" s="567" t="s">
        <v>352</v>
      </c>
      <c r="B30" s="567"/>
      <c r="C30" s="568" t="s">
        <v>41</v>
      </c>
      <c r="D30" s="567" t="s">
        <v>353</v>
      </c>
      <c r="E30" s="569">
        <v>918.31</v>
      </c>
      <c r="F30" s="569">
        <v>918.31</v>
      </c>
      <c r="G30" s="569">
        <v>918.31</v>
      </c>
      <c r="H30" s="569">
        <v>918.31</v>
      </c>
      <c r="I30" s="569">
        <v>918.31</v>
      </c>
      <c r="J30" s="569">
        <v>918.31</v>
      </c>
      <c r="K30" s="569">
        <v>918.31</v>
      </c>
      <c r="L30" s="569">
        <v>918.31</v>
      </c>
      <c r="M30" s="569">
        <v>918.31</v>
      </c>
      <c r="N30" s="569">
        <v>918.31</v>
      </c>
      <c r="O30" s="569">
        <v>918.31</v>
      </c>
      <c r="P30" s="569">
        <v>918.31</v>
      </c>
      <c r="Q30" s="569">
        <v>918.31</v>
      </c>
      <c r="R30" s="569">
        <v>918.31</v>
      </c>
      <c r="S30" s="569">
        <v>918.31</v>
      </c>
      <c r="T30" s="569">
        <v>918.31</v>
      </c>
      <c r="U30" s="569">
        <v>918.31</v>
      </c>
      <c r="V30" s="569">
        <v>918.31</v>
      </c>
      <c r="W30" s="569">
        <v>918.31</v>
      </c>
      <c r="X30" s="569">
        <v>918.31</v>
      </c>
      <c r="Y30" s="569">
        <v>918.31</v>
      </c>
      <c r="Z30" s="569">
        <v>918.31</v>
      </c>
      <c r="AA30" s="569">
        <v>918.31</v>
      </c>
      <c r="AB30" s="569">
        <v>918.31</v>
      </c>
      <c r="AC30" s="569">
        <v>918.31</v>
      </c>
      <c r="AD30" s="569">
        <v>918.31</v>
      </c>
      <c r="AE30" s="569">
        <v>918.31</v>
      </c>
      <c r="AF30" s="569">
        <v>918.31</v>
      </c>
      <c r="AG30" s="569">
        <v>918.31</v>
      </c>
      <c r="AH30" s="569">
        <v>918.31</v>
      </c>
      <c r="AI30" s="569">
        <v>918.31</v>
      </c>
      <c r="AJ30" s="569">
        <v>918.31</v>
      </c>
      <c r="AK30" s="569">
        <v>918.31</v>
      </c>
      <c r="AL30" s="569">
        <v>918.31</v>
      </c>
      <c r="AM30" s="569">
        <v>918.31</v>
      </c>
      <c r="AN30" s="569">
        <v>918.31</v>
      </c>
      <c r="AO30" s="569">
        <v>918.31</v>
      </c>
      <c r="AP30" s="569">
        <v>918.31</v>
      </c>
      <c r="AQ30" s="569">
        <v>918.31</v>
      </c>
      <c r="AR30" s="569">
        <v>918.31</v>
      </c>
      <c r="AS30" s="569">
        <v>918.31</v>
      </c>
      <c r="AT30" s="569">
        <v>918.31</v>
      </c>
      <c r="AU30" s="569">
        <v>918.31</v>
      </c>
      <c r="AV30" s="569">
        <v>918.31</v>
      </c>
      <c r="AW30" s="569">
        <v>918.31</v>
      </c>
      <c r="AX30" s="569">
        <v>918.31</v>
      </c>
      <c r="AY30" s="569">
        <v>918.31</v>
      </c>
      <c r="AZ30" s="569">
        <v>918.31</v>
      </c>
      <c r="BA30" s="569">
        <v>918.31</v>
      </c>
      <c r="BB30" s="569">
        <v>918.31</v>
      </c>
      <c r="BC30" s="569">
        <v>918.31</v>
      </c>
      <c r="BD30" s="569">
        <v>918.31</v>
      </c>
      <c r="BE30" s="569">
        <v>918.31</v>
      </c>
      <c r="BF30" s="569">
        <v>918.31</v>
      </c>
      <c r="BG30" s="569">
        <v>918.31</v>
      </c>
      <c r="BH30" s="569">
        <v>918.31</v>
      </c>
      <c r="BI30" s="569">
        <v>918.31</v>
      </c>
      <c r="BJ30" s="569">
        <v>918.31</v>
      </c>
      <c r="BK30" s="569">
        <v>918.31</v>
      </c>
      <c r="BL30" s="569">
        <v>918.31</v>
      </c>
    </row>
    <row r="31" spans="1:64" x14ac:dyDescent="0.2">
      <c r="A31" s="567" t="s">
        <v>354</v>
      </c>
      <c r="B31" s="567"/>
      <c r="C31" s="567"/>
      <c r="D31" s="567"/>
      <c r="E31" s="570"/>
      <c r="F31" s="570"/>
      <c r="G31" s="570"/>
      <c r="H31" s="570"/>
      <c r="I31" s="570"/>
      <c r="J31" s="570"/>
      <c r="K31" s="570"/>
      <c r="L31" s="570"/>
      <c r="M31" s="570"/>
      <c r="N31" s="570"/>
      <c r="O31" s="570"/>
      <c r="P31" s="570"/>
      <c r="Q31" s="570"/>
      <c r="R31" s="570"/>
      <c r="S31" s="570"/>
      <c r="T31" s="570"/>
      <c r="U31" s="570"/>
      <c r="V31" s="570"/>
      <c r="W31" s="570"/>
      <c r="X31" s="570"/>
      <c r="Y31" s="570"/>
      <c r="Z31" s="570"/>
      <c r="AA31" s="570"/>
      <c r="AB31" s="570"/>
      <c r="AC31" s="570"/>
      <c r="AD31" s="570"/>
      <c r="AE31" s="570"/>
      <c r="AF31" s="570"/>
      <c r="AG31" s="570"/>
      <c r="AH31" s="570"/>
      <c r="AI31" s="570"/>
      <c r="AJ31" s="570"/>
      <c r="AK31" s="570"/>
      <c r="AL31" s="570"/>
      <c r="AM31" s="570"/>
      <c r="AN31" s="570"/>
      <c r="AO31" s="570"/>
      <c r="AP31" s="570"/>
      <c r="AQ31" s="570"/>
      <c r="AR31" s="570"/>
      <c r="AS31" s="570"/>
      <c r="AT31" s="570"/>
      <c r="AU31" s="570"/>
      <c r="AV31" s="570"/>
      <c r="AW31" s="570"/>
      <c r="AX31" s="570"/>
      <c r="AY31" s="570"/>
      <c r="AZ31" s="570"/>
      <c r="BA31" s="570"/>
      <c r="BB31" s="570"/>
      <c r="BC31" s="570"/>
      <c r="BD31" s="570"/>
      <c r="BE31" s="570"/>
      <c r="BF31" s="570"/>
      <c r="BG31" s="570"/>
      <c r="BH31" s="570"/>
      <c r="BI31" s="570"/>
      <c r="BJ31" s="570"/>
      <c r="BK31" s="570"/>
      <c r="BL31" s="570"/>
    </row>
    <row r="32" spans="1:64" x14ac:dyDescent="0.2">
      <c r="A32" s="567"/>
      <c r="B32" s="567" t="s">
        <v>355</v>
      </c>
      <c r="C32" s="568" t="s">
        <v>41</v>
      </c>
      <c r="D32" s="567" t="s">
        <v>356</v>
      </c>
      <c r="E32" s="570">
        <v>0.17533000000000001</v>
      </c>
      <c r="F32" s="570">
        <v>0.17533000000000001</v>
      </c>
      <c r="G32" s="570">
        <v>0.17533000000000001</v>
      </c>
      <c r="H32" s="570">
        <v>0.17533000000000001</v>
      </c>
      <c r="I32" s="570">
        <v>0.17533000000000001</v>
      </c>
      <c r="J32" s="570">
        <v>0.17533000000000001</v>
      </c>
      <c r="K32" s="570">
        <v>0.17533000000000001</v>
      </c>
      <c r="L32" s="570">
        <v>0.17533000000000001</v>
      </c>
      <c r="M32" s="570">
        <v>0.17533000000000001</v>
      </c>
      <c r="N32" s="570">
        <v>0.17533000000000001</v>
      </c>
      <c r="O32" s="570">
        <v>0.17533000000000001</v>
      </c>
      <c r="P32" s="570">
        <v>0.17533000000000001</v>
      </c>
      <c r="Q32" s="570">
        <v>0.17533000000000001</v>
      </c>
      <c r="R32" s="570">
        <v>0.17533000000000001</v>
      </c>
      <c r="S32" s="570">
        <v>0.17533000000000001</v>
      </c>
      <c r="T32" s="570">
        <v>0.17533000000000001</v>
      </c>
      <c r="U32" s="570">
        <v>0.17533000000000001</v>
      </c>
      <c r="V32" s="570">
        <v>0.17533000000000001</v>
      </c>
      <c r="W32" s="570">
        <v>0.17533000000000001</v>
      </c>
      <c r="X32" s="570">
        <v>0.17533000000000001</v>
      </c>
      <c r="Y32" s="570">
        <v>0.17533000000000001</v>
      </c>
      <c r="Z32" s="570">
        <v>0.17533000000000001</v>
      </c>
      <c r="AA32" s="570">
        <v>0.17533000000000001</v>
      </c>
      <c r="AB32" s="570">
        <v>0.17533000000000001</v>
      </c>
      <c r="AC32" s="570">
        <v>0.17533000000000001</v>
      </c>
      <c r="AD32" s="570">
        <v>0.17533000000000001</v>
      </c>
      <c r="AE32" s="570">
        <v>0.17533000000000001</v>
      </c>
      <c r="AF32" s="570">
        <v>0.17533000000000001</v>
      </c>
      <c r="AG32" s="570">
        <v>0.17533000000000001</v>
      </c>
      <c r="AH32" s="570">
        <v>0.17533000000000001</v>
      </c>
      <c r="AI32" s="570">
        <v>0.17533000000000001</v>
      </c>
      <c r="AJ32" s="570">
        <v>0.17533000000000001</v>
      </c>
      <c r="AK32" s="570">
        <v>0.17533000000000001</v>
      </c>
      <c r="AL32" s="570">
        <v>0.17533000000000001</v>
      </c>
      <c r="AM32" s="570">
        <v>0.17533000000000001</v>
      </c>
      <c r="AN32" s="570">
        <v>0.17533000000000001</v>
      </c>
      <c r="AO32" s="570">
        <v>0.17533000000000001</v>
      </c>
      <c r="AP32" s="570">
        <v>0.17533000000000001</v>
      </c>
      <c r="AQ32" s="570">
        <v>0.17533000000000001</v>
      </c>
      <c r="AR32" s="570">
        <v>0.17533000000000001</v>
      </c>
      <c r="AS32" s="570">
        <v>0.17533000000000001</v>
      </c>
      <c r="AT32" s="570">
        <v>0.17533000000000001</v>
      </c>
      <c r="AU32" s="570">
        <v>0.17533000000000001</v>
      </c>
      <c r="AV32" s="570">
        <v>0.17533000000000001</v>
      </c>
      <c r="AW32" s="570">
        <v>0.17533000000000001</v>
      </c>
      <c r="AX32" s="570">
        <v>0.17533000000000001</v>
      </c>
      <c r="AY32" s="570">
        <v>0.17533000000000001</v>
      </c>
      <c r="AZ32" s="570">
        <v>0.17533000000000001</v>
      </c>
      <c r="BA32" s="570">
        <v>0.17533000000000001</v>
      </c>
      <c r="BB32" s="570">
        <v>0.17533000000000001</v>
      </c>
      <c r="BC32" s="570">
        <v>0.17533000000000001</v>
      </c>
      <c r="BD32" s="570">
        <v>0.17533000000000001</v>
      </c>
      <c r="BE32" s="570">
        <v>0.17533000000000001</v>
      </c>
      <c r="BF32" s="570">
        <v>0.17533000000000001</v>
      </c>
      <c r="BG32" s="570">
        <v>0.17533000000000001</v>
      </c>
      <c r="BH32" s="570">
        <v>0.17533000000000001</v>
      </c>
      <c r="BI32" s="570">
        <v>0.17533000000000001</v>
      </c>
      <c r="BJ32" s="570">
        <v>0.17533000000000001</v>
      </c>
      <c r="BK32" s="570">
        <v>0.17533000000000001</v>
      </c>
      <c r="BL32" s="570">
        <v>0.17533000000000001</v>
      </c>
    </row>
    <row r="33" spans="1:64" x14ac:dyDescent="0.2">
      <c r="A33" s="567"/>
      <c r="B33" s="567" t="s">
        <v>357</v>
      </c>
      <c r="C33" s="568" t="s">
        <v>41</v>
      </c>
      <c r="D33" s="567" t="s">
        <v>356</v>
      </c>
      <c r="E33" s="570">
        <v>0.10595</v>
      </c>
      <c r="F33" s="570">
        <v>0.10595</v>
      </c>
      <c r="G33" s="570">
        <v>0.10595</v>
      </c>
      <c r="H33" s="570">
        <v>0.10595</v>
      </c>
      <c r="I33" s="570">
        <v>0.10595</v>
      </c>
      <c r="J33" s="570">
        <v>0.10595</v>
      </c>
      <c r="K33" s="570">
        <v>0.10595</v>
      </c>
      <c r="L33" s="570">
        <v>0.10595</v>
      </c>
      <c r="M33" s="570">
        <v>0.10595</v>
      </c>
      <c r="N33" s="570">
        <v>0.10595</v>
      </c>
      <c r="O33" s="570">
        <v>0.10595</v>
      </c>
      <c r="P33" s="570">
        <v>0.10595</v>
      </c>
      <c r="Q33" s="570">
        <v>0.10595</v>
      </c>
      <c r="R33" s="570">
        <v>0.10595</v>
      </c>
      <c r="S33" s="570">
        <v>0.10595</v>
      </c>
      <c r="T33" s="570">
        <v>0.10595</v>
      </c>
      <c r="U33" s="570">
        <v>0.10595</v>
      </c>
      <c r="V33" s="570">
        <v>0.10595</v>
      </c>
      <c r="W33" s="570">
        <v>0.10595</v>
      </c>
      <c r="X33" s="570">
        <v>0.10595</v>
      </c>
      <c r="Y33" s="570">
        <v>0.10595</v>
      </c>
      <c r="Z33" s="570">
        <v>0.10595</v>
      </c>
      <c r="AA33" s="570">
        <v>0.10595</v>
      </c>
      <c r="AB33" s="570">
        <v>0.10595</v>
      </c>
      <c r="AC33" s="570">
        <v>0.10595</v>
      </c>
      <c r="AD33" s="570">
        <v>0.10595</v>
      </c>
      <c r="AE33" s="570">
        <v>0.10595</v>
      </c>
      <c r="AF33" s="570">
        <v>0.10595</v>
      </c>
      <c r="AG33" s="570">
        <v>0.10595</v>
      </c>
      <c r="AH33" s="570">
        <v>0.10595</v>
      </c>
      <c r="AI33" s="570">
        <v>0.10595</v>
      </c>
      <c r="AJ33" s="570">
        <v>0.10595</v>
      </c>
      <c r="AK33" s="570">
        <v>0.10595</v>
      </c>
      <c r="AL33" s="570">
        <v>0.10595</v>
      </c>
      <c r="AM33" s="570">
        <v>0.10595</v>
      </c>
      <c r="AN33" s="570">
        <v>0.10595</v>
      </c>
      <c r="AO33" s="570">
        <v>0.10595</v>
      </c>
      <c r="AP33" s="570">
        <v>0.10595</v>
      </c>
      <c r="AQ33" s="570">
        <v>0.10595</v>
      </c>
      <c r="AR33" s="570">
        <v>0.10595</v>
      </c>
      <c r="AS33" s="570">
        <v>0.10595</v>
      </c>
      <c r="AT33" s="570">
        <v>0.10595</v>
      </c>
      <c r="AU33" s="570">
        <v>0.10595</v>
      </c>
      <c r="AV33" s="570">
        <v>0.10595</v>
      </c>
      <c r="AW33" s="570">
        <v>0.10595</v>
      </c>
      <c r="AX33" s="570">
        <v>0.10595</v>
      </c>
      <c r="AY33" s="570">
        <v>0.10595</v>
      </c>
      <c r="AZ33" s="570">
        <v>0.10595</v>
      </c>
      <c r="BA33" s="570">
        <v>0.10595</v>
      </c>
      <c r="BB33" s="570">
        <v>0.10595</v>
      </c>
      <c r="BC33" s="570">
        <v>0.10595</v>
      </c>
      <c r="BD33" s="570">
        <v>0.10595</v>
      </c>
      <c r="BE33" s="570">
        <v>0.10595</v>
      </c>
      <c r="BF33" s="570">
        <v>0.10595</v>
      </c>
      <c r="BG33" s="570">
        <v>0.10595</v>
      </c>
      <c r="BH33" s="570">
        <v>0.10595</v>
      </c>
      <c r="BI33" s="570">
        <v>0.10595</v>
      </c>
      <c r="BJ33" s="570">
        <v>0.10595</v>
      </c>
      <c r="BK33" s="570">
        <v>0.10595</v>
      </c>
      <c r="BL33" s="570">
        <v>0.10595</v>
      </c>
    </row>
    <row r="34" spans="1:64" x14ac:dyDescent="0.2">
      <c r="A34" s="567"/>
      <c r="B34" s="567" t="s">
        <v>358</v>
      </c>
      <c r="C34" s="568" t="s">
        <v>41</v>
      </c>
      <c r="D34" s="567" t="s">
        <v>356</v>
      </c>
      <c r="E34" s="570">
        <v>6.7419999999999994E-2</v>
      </c>
      <c r="F34" s="570">
        <v>6.7419999999999994E-2</v>
      </c>
      <c r="G34" s="570">
        <v>6.7419999999999994E-2</v>
      </c>
      <c r="H34" s="570">
        <v>6.7419999999999994E-2</v>
      </c>
      <c r="I34" s="570">
        <v>6.7419999999999994E-2</v>
      </c>
      <c r="J34" s="570">
        <v>6.7419999999999994E-2</v>
      </c>
      <c r="K34" s="570">
        <v>6.7419999999999994E-2</v>
      </c>
      <c r="L34" s="570">
        <v>6.7419999999999994E-2</v>
      </c>
      <c r="M34" s="570">
        <v>6.7419999999999994E-2</v>
      </c>
      <c r="N34" s="570">
        <v>6.7419999999999994E-2</v>
      </c>
      <c r="O34" s="570">
        <v>6.7419999999999994E-2</v>
      </c>
      <c r="P34" s="570">
        <v>6.7419999999999994E-2</v>
      </c>
      <c r="Q34" s="570">
        <v>6.7419999999999994E-2</v>
      </c>
      <c r="R34" s="570">
        <v>6.7419999999999994E-2</v>
      </c>
      <c r="S34" s="570">
        <v>6.7419999999999994E-2</v>
      </c>
      <c r="T34" s="570">
        <v>6.7419999999999994E-2</v>
      </c>
      <c r="U34" s="570">
        <v>6.7419999999999994E-2</v>
      </c>
      <c r="V34" s="570">
        <v>6.7419999999999994E-2</v>
      </c>
      <c r="W34" s="570">
        <v>6.7419999999999994E-2</v>
      </c>
      <c r="X34" s="570">
        <v>6.7419999999999994E-2</v>
      </c>
      <c r="Y34" s="570">
        <v>6.7419999999999994E-2</v>
      </c>
      <c r="Z34" s="570">
        <v>6.7419999999999994E-2</v>
      </c>
      <c r="AA34" s="570">
        <v>6.7419999999999994E-2</v>
      </c>
      <c r="AB34" s="570">
        <v>6.7419999999999994E-2</v>
      </c>
      <c r="AC34" s="570">
        <v>6.7419999999999994E-2</v>
      </c>
      <c r="AD34" s="570">
        <v>6.7419999999999994E-2</v>
      </c>
      <c r="AE34" s="570">
        <v>6.7419999999999994E-2</v>
      </c>
      <c r="AF34" s="570">
        <v>6.7419999999999994E-2</v>
      </c>
      <c r="AG34" s="570">
        <v>6.7419999999999994E-2</v>
      </c>
      <c r="AH34" s="570">
        <v>6.7419999999999994E-2</v>
      </c>
      <c r="AI34" s="570">
        <v>6.7419999999999994E-2</v>
      </c>
      <c r="AJ34" s="570">
        <v>6.7419999999999994E-2</v>
      </c>
      <c r="AK34" s="570">
        <v>6.7419999999999994E-2</v>
      </c>
      <c r="AL34" s="570">
        <v>6.7419999999999994E-2</v>
      </c>
      <c r="AM34" s="570">
        <v>6.7419999999999994E-2</v>
      </c>
      <c r="AN34" s="570">
        <v>6.7419999999999994E-2</v>
      </c>
      <c r="AO34" s="570">
        <v>6.7419999999999994E-2</v>
      </c>
      <c r="AP34" s="570">
        <v>6.7419999999999994E-2</v>
      </c>
      <c r="AQ34" s="570">
        <v>6.7419999999999994E-2</v>
      </c>
      <c r="AR34" s="570">
        <v>6.7419999999999994E-2</v>
      </c>
      <c r="AS34" s="570">
        <v>6.7419999999999994E-2</v>
      </c>
      <c r="AT34" s="570">
        <v>6.7419999999999994E-2</v>
      </c>
      <c r="AU34" s="570">
        <v>6.7419999999999994E-2</v>
      </c>
      <c r="AV34" s="570">
        <v>6.7419999999999994E-2</v>
      </c>
      <c r="AW34" s="570">
        <v>6.7419999999999994E-2</v>
      </c>
      <c r="AX34" s="570">
        <v>6.7419999999999994E-2</v>
      </c>
      <c r="AY34" s="570">
        <v>6.7419999999999994E-2</v>
      </c>
      <c r="AZ34" s="570">
        <v>6.7419999999999994E-2</v>
      </c>
      <c r="BA34" s="570">
        <v>6.7419999999999994E-2</v>
      </c>
      <c r="BB34" s="570">
        <v>6.7419999999999994E-2</v>
      </c>
      <c r="BC34" s="570">
        <v>6.7419999999999994E-2</v>
      </c>
      <c r="BD34" s="570">
        <v>6.7419999999999994E-2</v>
      </c>
      <c r="BE34" s="570">
        <v>6.7419999999999994E-2</v>
      </c>
      <c r="BF34" s="570">
        <v>6.7419999999999994E-2</v>
      </c>
      <c r="BG34" s="570">
        <v>6.7419999999999994E-2</v>
      </c>
      <c r="BH34" s="570">
        <v>6.7419999999999994E-2</v>
      </c>
      <c r="BI34" s="570">
        <v>6.7419999999999994E-2</v>
      </c>
      <c r="BJ34" s="570">
        <v>6.7419999999999994E-2</v>
      </c>
      <c r="BK34" s="570">
        <v>6.7419999999999994E-2</v>
      </c>
      <c r="BL34" s="570">
        <v>6.7419999999999994E-2</v>
      </c>
    </row>
    <row r="35" spans="1:64" x14ac:dyDescent="0.2">
      <c r="A35" s="567"/>
      <c r="B35" s="567" t="s">
        <v>359</v>
      </c>
      <c r="C35" s="568" t="s">
        <v>41</v>
      </c>
      <c r="D35" s="567" t="s">
        <v>356</v>
      </c>
      <c r="E35" s="570">
        <v>4.3229999999999998E-2</v>
      </c>
      <c r="F35" s="570">
        <v>4.3229999999999998E-2</v>
      </c>
      <c r="G35" s="570">
        <v>4.3229999999999998E-2</v>
      </c>
      <c r="H35" s="570">
        <v>4.3229999999999998E-2</v>
      </c>
      <c r="I35" s="570">
        <v>4.3229999999999998E-2</v>
      </c>
      <c r="J35" s="570">
        <v>4.3229999999999998E-2</v>
      </c>
      <c r="K35" s="570">
        <v>4.3229999999999998E-2</v>
      </c>
      <c r="L35" s="570">
        <v>4.3229999999999998E-2</v>
      </c>
      <c r="M35" s="570">
        <v>4.3229999999999998E-2</v>
      </c>
      <c r="N35" s="570">
        <v>4.3229999999999998E-2</v>
      </c>
      <c r="O35" s="570">
        <v>4.3229999999999998E-2</v>
      </c>
      <c r="P35" s="570">
        <v>4.3229999999999998E-2</v>
      </c>
      <c r="Q35" s="570">
        <v>4.3229999999999998E-2</v>
      </c>
      <c r="R35" s="570">
        <v>4.3229999999999998E-2</v>
      </c>
      <c r="S35" s="570">
        <v>4.3229999999999998E-2</v>
      </c>
      <c r="T35" s="570">
        <v>4.3229999999999998E-2</v>
      </c>
      <c r="U35" s="570">
        <v>4.3229999999999998E-2</v>
      </c>
      <c r="V35" s="570">
        <v>4.3229999999999998E-2</v>
      </c>
      <c r="W35" s="570">
        <v>4.3229999999999998E-2</v>
      </c>
      <c r="X35" s="570">
        <v>4.3229999999999998E-2</v>
      </c>
      <c r="Y35" s="570">
        <v>4.3229999999999998E-2</v>
      </c>
      <c r="Z35" s="570">
        <v>4.3229999999999998E-2</v>
      </c>
      <c r="AA35" s="570">
        <v>4.3229999999999998E-2</v>
      </c>
      <c r="AB35" s="570">
        <v>4.3229999999999998E-2</v>
      </c>
      <c r="AC35" s="570">
        <v>4.3229999999999998E-2</v>
      </c>
      <c r="AD35" s="570">
        <v>4.3229999999999998E-2</v>
      </c>
      <c r="AE35" s="570">
        <v>4.3229999999999998E-2</v>
      </c>
      <c r="AF35" s="570">
        <v>4.3229999999999998E-2</v>
      </c>
      <c r="AG35" s="570">
        <v>4.3229999999999998E-2</v>
      </c>
      <c r="AH35" s="570">
        <v>4.3229999999999998E-2</v>
      </c>
      <c r="AI35" s="570">
        <v>4.3229999999999998E-2</v>
      </c>
      <c r="AJ35" s="570">
        <v>4.3229999999999998E-2</v>
      </c>
      <c r="AK35" s="570">
        <v>4.3229999999999998E-2</v>
      </c>
      <c r="AL35" s="570">
        <v>4.3229999999999998E-2</v>
      </c>
      <c r="AM35" s="570">
        <v>4.3229999999999998E-2</v>
      </c>
      <c r="AN35" s="570">
        <v>4.3229999999999998E-2</v>
      </c>
      <c r="AO35" s="570">
        <v>4.3229999999999998E-2</v>
      </c>
      <c r="AP35" s="570">
        <v>4.3229999999999998E-2</v>
      </c>
      <c r="AQ35" s="570">
        <v>4.3229999999999998E-2</v>
      </c>
      <c r="AR35" s="570">
        <v>4.3229999999999998E-2</v>
      </c>
      <c r="AS35" s="570">
        <v>4.3229999999999998E-2</v>
      </c>
      <c r="AT35" s="570">
        <v>4.3229999999999998E-2</v>
      </c>
      <c r="AU35" s="570">
        <v>4.3229999999999998E-2</v>
      </c>
      <c r="AV35" s="570">
        <v>4.3229999999999998E-2</v>
      </c>
      <c r="AW35" s="570">
        <v>4.3229999999999998E-2</v>
      </c>
      <c r="AX35" s="570">
        <v>4.3229999999999998E-2</v>
      </c>
      <c r="AY35" s="570">
        <v>4.3229999999999998E-2</v>
      </c>
      <c r="AZ35" s="570">
        <v>4.3229999999999998E-2</v>
      </c>
      <c r="BA35" s="570">
        <v>4.3229999999999998E-2</v>
      </c>
      <c r="BB35" s="570">
        <v>4.3229999999999998E-2</v>
      </c>
      <c r="BC35" s="570">
        <v>4.3229999999999998E-2</v>
      </c>
      <c r="BD35" s="570">
        <v>4.3229999999999998E-2</v>
      </c>
      <c r="BE35" s="570">
        <v>4.3229999999999998E-2</v>
      </c>
      <c r="BF35" s="570">
        <v>4.3229999999999998E-2</v>
      </c>
      <c r="BG35" s="570">
        <v>4.3229999999999998E-2</v>
      </c>
      <c r="BH35" s="570">
        <v>4.3229999999999998E-2</v>
      </c>
      <c r="BI35" s="570">
        <v>4.3229999999999998E-2</v>
      </c>
      <c r="BJ35" s="570">
        <v>4.3229999999999998E-2</v>
      </c>
      <c r="BK35" s="570">
        <v>4.3229999999999998E-2</v>
      </c>
      <c r="BL35" s="570">
        <v>4.3229999999999998E-2</v>
      </c>
    </row>
    <row r="36" spans="1:64" x14ac:dyDescent="0.2">
      <c r="A36" s="567"/>
      <c r="B36" s="567" t="s">
        <v>360</v>
      </c>
      <c r="C36" s="568" t="s">
        <v>41</v>
      </c>
      <c r="D36" s="567" t="s">
        <v>356</v>
      </c>
      <c r="E36" s="570">
        <v>3.1109999999999999E-2</v>
      </c>
      <c r="F36" s="570">
        <v>3.1109999999999999E-2</v>
      </c>
      <c r="G36" s="570">
        <v>3.1109999999999999E-2</v>
      </c>
      <c r="H36" s="570">
        <v>3.1109999999999999E-2</v>
      </c>
      <c r="I36" s="570">
        <v>3.1109999999999999E-2</v>
      </c>
      <c r="J36" s="570">
        <v>3.1109999999999999E-2</v>
      </c>
      <c r="K36" s="570">
        <v>3.1109999999999999E-2</v>
      </c>
      <c r="L36" s="570">
        <v>3.1109999999999999E-2</v>
      </c>
      <c r="M36" s="570">
        <v>3.1109999999999999E-2</v>
      </c>
      <c r="N36" s="570">
        <v>3.1109999999999999E-2</v>
      </c>
      <c r="O36" s="570">
        <v>3.1109999999999999E-2</v>
      </c>
      <c r="P36" s="570">
        <v>3.1109999999999999E-2</v>
      </c>
      <c r="Q36" s="570">
        <v>3.1109999999999999E-2</v>
      </c>
      <c r="R36" s="570">
        <v>3.1109999999999999E-2</v>
      </c>
      <c r="S36" s="570">
        <v>3.1109999999999999E-2</v>
      </c>
      <c r="T36" s="570">
        <v>3.1109999999999999E-2</v>
      </c>
      <c r="U36" s="570">
        <v>3.1109999999999999E-2</v>
      </c>
      <c r="V36" s="570">
        <v>3.1109999999999999E-2</v>
      </c>
      <c r="W36" s="570">
        <v>3.1109999999999999E-2</v>
      </c>
      <c r="X36" s="570">
        <v>3.1109999999999999E-2</v>
      </c>
      <c r="Y36" s="570">
        <v>3.1109999999999999E-2</v>
      </c>
      <c r="Z36" s="570">
        <v>3.1109999999999999E-2</v>
      </c>
      <c r="AA36" s="570">
        <v>3.1109999999999999E-2</v>
      </c>
      <c r="AB36" s="570">
        <v>3.1109999999999999E-2</v>
      </c>
      <c r="AC36" s="570">
        <v>3.1109999999999999E-2</v>
      </c>
      <c r="AD36" s="570">
        <v>3.1109999999999999E-2</v>
      </c>
      <c r="AE36" s="570">
        <v>3.1109999999999999E-2</v>
      </c>
      <c r="AF36" s="570">
        <v>3.1109999999999999E-2</v>
      </c>
      <c r="AG36" s="570">
        <v>3.1109999999999999E-2</v>
      </c>
      <c r="AH36" s="570">
        <v>3.1109999999999999E-2</v>
      </c>
      <c r="AI36" s="570">
        <v>3.1109999999999999E-2</v>
      </c>
      <c r="AJ36" s="570">
        <v>3.1109999999999999E-2</v>
      </c>
      <c r="AK36" s="570">
        <v>3.1109999999999999E-2</v>
      </c>
      <c r="AL36" s="570">
        <v>3.1109999999999999E-2</v>
      </c>
      <c r="AM36" s="570">
        <v>3.1109999999999999E-2</v>
      </c>
      <c r="AN36" s="570">
        <v>3.1109999999999999E-2</v>
      </c>
      <c r="AO36" s="570">
        <v>3.1109999999999999E-2</v>
      </c>
      <c r="AP36" s="570">
        <v>3.1109999999999999E-2</v>
      </c>
      <c r="AQ36" s="570">
        <v>3.1109999999999999E-2</v>
      </c>
      <c r="AR36" s="570">
        <v>3.1109999999999999E-2</v>
      </c>
      <c r="AS36" s="570">
        <v>3.1109999999999999E-2</v>
      </c>
      <c r="AT36" s="570">
        <v>3.1109999999999999E-2</v>
      </c>
      <c r="AU36" s="570">
        <v>3.1109999999999999E-2</v>
      </c>
      <c r="AV36" s="570">
        <v>3.1109999999999999E-2</v>
      </c>
      <c r="AW36" s="570">
        <v>3.1109999999999999E-2</v>
      </c>
      <c r="AX36" s="570">
        <v>3.1109999999999999E-2</v>
      </c>
      <c r="AY36" s="570">
        <v>3.1109999999999999E-2</v>
      </c>
      <c r="AZ36" s="570">
        <v>3.1109999999999999E-2</v>
      </c>
      <c r="BA36" s="570">
        <v>3.1109999999999999E-2</v>
      </c>
      <c r="BB36" s="570">
        <v>3.1109999999999999E-2</v>
      </c>
      <c r="BC36" s="570">
        <v>3.1109999999999999E-2</v>
      </c>
      <c r="BD36" s="570">
        <v>3.1109999999999999E-2</v>
      </c>
      <c r="BE36" s="570">
        <v>3.1109999999999999E-2</v>
      </c>
      <c r="BF36" s="570">
        <v>3.1109999999999999E-2</v>
      </c>
      <c r="BG36" s="570">
        <v>3.1109999999999999E-2</v>
      </c>
      <c r="BH36" s="570">
        <v>3.1109999999999999E-2</v>
      </c>
      <c r="BI36" s="570">
        <v>3.1109999999999999E-2</v>
      </c>
      <c r="BJ36" s="570">
        <v>3.1109999999999999E-2</v>
      </c>
      <c r="BK36" s="570">
        <v>3.1109999999999999E-2</v>
      </c>
      <c r="BL36" s="570">
        <v>3.1109999999999999E-2</v>
      </c>
    </row>
    <row r="37" spans="1:64" x14ac:dyDescent="0.2">
      <c r="A37" s="567"/>
      <c r="B37" s="567" t="s">
        <v>361</v>
      </c>
      <c r="C37" s="568" t="s">
        <v>41</v>
      </c>
      <c r="D37" s="567" t="s">
        <v>356</v>
      </c>
      <c r="E37" s="570">
        <v>2.3990000000000001E-2</v>
      </c>
      <c r="F37" s="570">
        <v>2.3990000000000001E-2</v>
      </c>
      <c r="G37" s="570">
        <v>2.3990000000000001E-2</v>
      </c>
      <c r="H37" s="570">
        <v>2.3990000000000001E-2</v>
      </c>
      <c r="I37" s="570">
        <v>2.3990000000000001E-2</v>
      </c>
      <c r="J37" s="570">
        <v>2.3990000000000001E-2</v>
      </c>
      <c r="K37" s="570">
        <v>2.3990000000000001E-2</v>
      </c>
      <c r="L37" s="570">
        <v>2.3990000000000001E-2</v>
      </c>
      <c r="M37" s="570">
        <v>2.3990000000000001E-2</v>
      </c>
      <c r="N37" s="570">
        <v>2.3990000000000001E-2</v>
      </c>
      <c r="O37" s="570">
        <v>2.3990000000000001E-2</v>
      </c>
      <c r="P37" s="570">
        <v>2.3990000000000001E-2</v>
      </c>
      <c r="Q37" s="570">
        <v>2.3990000000000001E-2</v>
      </c>
      <c r="R37" s="570">
        <v>2.3990000000000001E-2</v>
      </c>
      <c r="S37" s="570">
        <v>2.3990000000000001E-2</v>
      </c>
      <c r="T37" s="570">
        <v>2.3990000000000001E-2</v>
      </c>
      <c r="U37" s="570">
        <v>2.3990000000000001E-2</v>
      </c>
      <c r="V37" s="570">
        <v>2.3990000000000001E-2</v>
      </c>
      <c r="W37" s="570">
        <v>2.3990000000000001E-2</v>
      </c>
      <c r="X37" s="570">
        <v>2.3990000000000001E-2</v>
      </c>
      <c r="Y37" s="570">
        <v>2.3990000000000001E-2</v>
      </c>
      <c r="Z37" s="570">
        <v>2.3990000000000001E-2</v>
      </c>
      <c r="AA37" s="570">
        <v>2.3990000000000001E-2</v>
      </c>
      <c r="AB37" s="570">
        <v>2.3990000000000001E-2</v>
      </c>
      <c r="AC37" s="570">
        <v>2.3990000000000001E-2</v>
      </c>
      <c r="AD37" s="570">
        <v>2.3990000000000001E-2</v>
      </c>
      <c r="AE37" s="570">
        <v>2.3990000000000001E-2</v>
      </c>
      <c r="AF37" s="570">
        <v>2.3990000000000001E-2</v>
      </c>
      <c r="AG37" s="570">
        <v>2.3990000000000001E-2</v>
      </c>
      <c r="AH37" s="570">
        <v>2.3990000000000001E-2</v>
      </c>
      <c r="AI37" s="570">
        <v>2.3990000000000001E-2</v>
      </c>
      <c r="AJ37" s="570">
        <v>2.3990000000000001E-2</v>
      </c>
      <c r="AK37" s="570">
        <v>2.3990000000000001E-2</v>
      </c>
      <c r="AL37" s="570">
        <v>2.3990000000000001E-2</v>
      </c>
      <c r="AM37" s="570">
        <v>2.3990000000000001E-2</v>
      </c>
      <c r="AN37" s="570">
        <v>2.3990000000000001E-2</v>
      </c>
      <c r="AO37" s="570">
        <v>2.3990000000000001E-2</v>
      </c>
      <c r="AP37" s="570">
        <v>2.3990000000000001E-2</v>
      </c>
      <c r="AQ37" s="570">
        <v>2.3990000000000001E-2</v>
      </c>
      <c r="AR37" s="570">
        <v>2.3990000000000001E-2</v>
      </c>
      <c r="AS37" s="570">
        <v>2.3990000000000001E-2</v>
      </c>
      <c r="AT37" s="570">
        <v>2.3990000000000001E-2</v>
      </c>
      <c r="AU37" s="570">
        <v>2.3990000000000001E-2</v>
      </c>
      <c r="AV37" s="570">
        <v>2.3990000000000001E-2</v>
      </c>
      <c r="AW37" s="570">
        <v>2.3990000000000001E-2</v>
      </c>
      <c r="AX37" s="570">
        <v>2.3990000000000001E-2</v>
      </c>
      <c r="AY37" s="570">
        <v>2.3990000000000001E-2</v>
      </c>
      <c r="AZ37" s="570">
        <v>2.3990000000000001E-2</v>
      </c>
      <c r="BA37" s="570">
        <v>2.3990000000000001E-2</v>
      </c>
      <c r="BB37" s="570">
        <v>2.3990000000000001E-2</v>
      </c>
      <c r="BC37" s="570">
        <v>2.3990000000000001E-2</v>
      </c>
      <c r="BD37" s="570">
        <v>2.3990000000000001E-2</v>
      </c>
      <c r="BE37" s="570">
        <v>2.3990000000000001E-2</v>
      </c>
      <c r="BF37" s="570">
        <v>2.3990000000000001E-2</v>
      </c>
      <c r="BG37" s="570">
        <v>2.3990000000000001E-2</v>
      </c>
      <c r="BH37" s="570">
        <v>2.3990000000000001E-2</v>
      </c>
      <c r="BI37" s="570">
        <v>2.3990000000000001E-2</v>
      </c>
      <c r="BJ37" s="570">
        <v>2.3990000000000001E-2</v>
      </c>
      <c r="BK37" s="570">
        <v>2.3990000000000001E-2</v>
      </c>
      <c r="BL37" s="570">
        <v>2.3990000000000001E-2</v>
      </c>
    </row>
    <row r="38" spans="1:64" x14ac:dyDescent="0.2">
      <c r="A38" s="567" t="s">
        <v>362</v>
      </c>
      <c r="B38" s="567"/>
      <c r="C38" s="568" t="s">
        <v>41</v>
      </c>
      <c r="D38" s="567" t="s">
        <v>356</v>
      </c>
      <c r="E38" s="569">
        <v>1.45</v>
      </c>
      <c r="F38" s="569">
        <v>1.45</v>
      </c>
      <c r="G38" s="569">
        <v>1.45</v>
      </c>
      <c r="H38" s="569">
        <v>1.45</v>
      </c>
      <c r="I38" s="569">
        <v>1.45</v>
      </c>
      <c r="J38" s="569">
        <v>1.45</v>
      </c>
      <c r="K38" s="569">
        <v>1.45</v>
      </c>
      <c r="L38" s="569">
        <v>1.45</v>
      </c>
      <c r="M38" s="569">
        <v>1.45</v>
      </c>
      <c r="N38" s="569">
        <v>1.45</v>
      </c>
      <c r="O38" s="569">
        <v>1.45</v>
      </c>
      <c r="P38" s="569">
        <v>1.45</v>
      </c>
      <c r="Q38" s="569">
        <v>1.45</v>
      </c>
      <c r="R38" s="569">
        <v>1.45</v>
      </c>
      <c r="S38" s="569">
        <v>1.45</v>
      </c>
      <c r="T38" s="569">
        <v>1.45</v>
      </c>
      <c r="U38" s="569">
        <v>1.45</v>
      </c>
      <c r="V38" s="569">
        <v>1.45</v>
      </c>
      <c r="W38" s="569">
        <v>1.45</v>
      </c>
      <c r="X38" s="569">
        <v>1.45</v>
      </c>
      <c r="Y38" s="569">
        <v>1.45</v>
      </c>
      <c r="Z38" s="569">
        <v>1.45</v>
      </c>
      <c r="AA38" s="569">
        <v>1.45</v>
      </c>
      <c r="AB38" s="569">
        <v>1.45</v>
      </c>
      <c r="AC38" s="569">
        <v>1.45</v>
      </c>
      <c r="AD38" s="569">
        <v>1.45</v>
      </c>
      <c r="AE38" s="569">
        <v>1.45</v>
      </c>
      <c r="AF38" s="569">
        <v>1.45</v>
      </c>
      <c r="AG38" s="569">
        <v>1.45</v>
      </c>
      <c r="AH38" s="569">
        <v>1.45</v>
      </c>
      <c r="AI38" s="569">
        <v>1.45</v>
      </c>
      <c r="AJ38" s="569">
        <v>1.45</v>
      </c>
      <c r="AK38" s="569">
        <v>1.45</v>
      </c>
      <c r="AL38" s="569">
        <v>1.45</v>
      </c>
      <c r="AM38" s="569">
        <v>1.45</v>
      </c>
      <c r="AN38" s="569">
        <v>1.45</v>
      </c>
      <c r="AO38" s="569">
        <v>1.45</v>
      </c>
      <c r="AP38" s="569">
        <v>1.45</v>
      </c>
      <c r="AQ38" s="569">
        <v>1.45</v>
      </c>
      <c r="AR38" s="569">
        <v>1.45</v>
      </c>
      <c r="AS38" s="569">
        <v>1.45</v>
      </c>
      <c r="AT38" s="569">
        <v>1.45</v>
      </c>
      <c r="AU38" s="569">
        <v>1.45</v>
      </c>
      <c r="AV38" s="569">
        <v>1.45</v>
      </c>
      <c r="AW38" s="569">
        <v>1.45</v>
      </c>
      <c r="AX38" s="569">
        <v>1.45</v>
      </c>
      <c r="AY38" s="569">
        <v>1.45</v>
      </c>
      <c r="AZ38" s="569">
        <v>1.45</v>
      </c>
      <c r="BA38" s="569">
        <v>1.45</v>
      </c>
      <c r="BB38" s="569">
        <v>1.45</v>
      </c>
      <c r="BC38" s="569">
        <v>1.45</v>
      </c>
      <c r="BD38" s="569">
        <v>1.45</v>
      </c>
      <c r="BE38" s="569">
        <v>1.45</v>
      </c>
      <c r="BF38" s="569">
        <v>1.45</v>
      </c>
      <c r="BG38" s="569">
        <v>1.45</v>
      </c>
      <c r="BH38" s="569">
        <v>1.45</v>
      </c>
      <c r="BI38" s="569">
        <v>1.45</v>
      </c>
      <c r="BJ38" s="569">
        <v>1.45</v>
      </c>
      <c r="BK38" s="569">
        <v>1.45</v>
      </c>
      <c r="BL38" s="569">
        <v>1.45</v>
      </c>
    </row>
    <row r="39" spans="1:64" x14ac:dyDescent="0.2">
      <c r="A39" s="567" t="s">
        <v>363</v>
      </c>
      <c r="B39" s="567"/>
      <c r="C39" s="568" t="s">
        <v>41</v>
      </c>
      <c r="D39" s="567" t="s">
        <v>356</v>
      </c>
      <c r="E39" s="570">
        <v>1E-3</v>
      </c>
      <c r="F39" s="570">
        <v>1E-3</v>
      </c>
      <c r="G39" s="570">
        <v>1E-3</v>
      </c>
      <c r="H39" s="570">
        <v>1E-3</v>
      </c>
      <c r="I39" s="570">
        <v>1E-3</v>
      </c>
      <c r="J39" s="570">
        <v>1E-3</v>
      </c>
      <c r="K39" s="570">
        <v>1E-3</v>
      </c>
      <c r="L39" s="570">
        <v>1E-3</v>
      </c>
      <c r="M39" s="570">
        <v>1E-3</v>
      </c>
      <c r="N39" s="570">
        <v>1E-3</v>
      </c>
      <c r="O39" s="570">
        <v>1E-3</v>
      </c>
      <c r="P39" s="570">
        <v>1E-3</v>
      </c>
      <c r="Q39" s="570">
        <v>1E-3</v>
      </c>
      <c r="R39" s="570">
        <v>1E-3</v>
      </c>
      <c r="S39" s="570">
        <v>1E-3</v>
      </c>
      <c r="T39" s="570">
        <v>1E-3</v>
      </c>
      <c r="U39" s="570">
        <v>1E-3</v>
      </c>
      <c r="V39" s="570">
        <v>1E-3</v>
      </c>
      <c r="W39" s="570">
        <v>1E-3</v>
      </c>
      <c r="X39" s="570">
        <v>1E-3</v>
      </c>
      <c r="Y39" s="570">
        <v>1E-3</v>
      </c>
      <c r="Z39" s="570">
        <v>1E-3</v>
      </c>
      <c r="AA39" s="570">
        <v>1E-3</v>
      </c>
      <c r="AB39" s="570">
        <v>1E-3</v>
      </c>
      <c r="AC39" s="570">
        <v>1E-3</v>
      </c>
      <c r="AD39" s="570">
        <v>1E-3</v>
      </c>
      <c r="AE39" s="570">
        <v>1E-3</v>
      </c>
      <c r="AF39" s="570">
        <v>1E-3</v>
      </c>
      <c r="AG39" s="570">
        <v>1E-3</v>
      </c>
      <c r="AH39" s="570">
        <v>1E-3</v>
      </c>
      <c r="AI39" s="570">
        <v>1E-3</v>
      </c>
      <c r="AJ39" s="570">
        <v>1E-3</v>
      </c>
      <c r="AK39" s="570">
        <v>1E-3</v>
      </c>
      <c r="AL39" s="570">
        <v>1E-3</v>
      </c>
      <c r="AM39" s="570">
        <v>1E-3</v>
      </c>
      <c r="AN39" s="570">
        <v>1E-3</v>
      </c>
      <c r="AO39" s="570">
        <v>1E-3</v>
      </c>
      <c r="AP39" s="570">
        <v>1E-3</v>
      </c>
      <c r="AQ39" s="570">
        <v>1E-3</v>
      </c>
      <c r="AR39" s="570">
        <v>1E-3</v>
      </c>
      <c r="AS39" s="570">
        <v>1E-3</v>
      </c>
      <c r="AT39" s="570">
        <v>1E-3</v>
      </c>
      <c r="AU39" s="570">
        <v>1E-3</v>
      </c>
      <c r="AV39" s="570">
        <v>1E-3</v>
      </c>
      <c r="AW39" s="570">
        <v>1E-3</v>
      </c>
      <c r="AX39" s="570">
        <v>1E-3</v>
      </c>
      <c r="AY39" s="570">
        <v>1E-3</v>
      </c>
      <c r="AZ39" s="570">
        <v>1E-3</v>
      </c>
      <c r="BA39" s="570">
        <v>1E-3</v>
      </c>
      <c r="BB39" s="570">
        <v>1E-3</v>
      </c>
      <c r="BC39" s="570">
        <v>1E-3</v>
      </c>
      <c r="BD39" s="570">
        <v>1E-3</v>
      </c>
      <c r="BE39" s="570">
        <v>1E-3</v>
      </c>
      <c r="BF39" s="570">
        <v>1E-3</v>
      </c>
      <c r="BG39" s="570">
        <v>1E-3</v>
      </c>
      <c r="BH39" s="570">
        <v>1E-3</v>
      </c>
      <c r="BI39" s="570">
        <v>1E-3</v>
      </c>
      <c r="BJ39" s="570">
        <v>1E-3</v>
      </c>
      <c r="BK39" s="570">
        <v>1E-3</v>
      </c>
      <c r="BL39" s="570">
        <v>1E-3</v>
      </c>
    </row>
    <row r="40" spans="1:64" x14ac:dyDescent="0.2">
      <c r="A40" s="567"/>
      <c r="B40" s="567"/>
      <c r="C40" s="567"/>
      <c r="D40" s="567"/>
      <c r="E40" s="567"/>
    </row>
    <row r="41" spans="1:64" x14ac:dyDescent="0.2">
      <c r="A41" s="571" t="s">
        <v>364</v>
      </c>
      <c r="B41" s="572"/>
      <c r="C41" s="572"/>
      <c r="D41" s="572"/>
      <c r="E41" s="572"/>
    </row>
    <row r="42" spans="1:64" x14ac:dyDescent="0.2">
      <c r="A42" s="572" t="s">
        <v>117</v>
      </c>
      <c r="B42" s="572"/>
      <c r="C42" s="568"/>
      <c r="D42" s="572" t="s">
        <v>117</v>
      </c>
      <c r="E42" s="573">
        <f t="shared" ref="E42:BL42" si="11">E27</f>
        <v>0</v>
      </c>
      <c r="F42" s="573">
        <f t="shared" si="11"/>
        <v>0</v>
      </c>
      <c r="G42" s="573">
        <f t="shared" si="11"/>
        <v>0</v>
      </c>
      <c r="H42" s="573">
        <f t="shared" si="11"/>
        <v>1</v>
      </c>
      <c r="I42" s="573">
        <f t="shared" si="11"/>
        <v>1</v>
      </c>
      <c r="J42" s="573">
        <f t="shared" si="11"/>
        <v>1</v>
      </c>
      <c r="K42" s="573">
        <f t="shared" si="11"/>
        <v>1</v>
      </c>
      <c r="L42" s="573">
        <f t="shared" si="11"/>
        <v>1</v>
      </c>
      <c r="M42" s="573">
        <f t="shared" si="11"/>
        <v>1</v>
      </c>
      <c r="N42" s="573">
        <f t="shared" si="11"/>
        <v>1</v>
      </c>
      <c r="O42" s="573">
        <f t="shared" si="11"/>
        <v>1</v>
      </c>
      <c r="P42" s="573">
        <f t="shared" si="11"/>
        <v>1</v>
      </c>
      <c r="Q42" s="573">
        <f t="shared" si="11"/>
        <v>1</v>
      </c>
      <c r="R42" s="573">
        <f t="shared" si="11"/>
        <v>1</v>
      </c>
      <c r="S42" s="573">
        <f t="shared" si="11"/>
        <v>1</v>
      </c>
      <c r="T42" s="573">
        <f t="shared" si="11"/>
        <v>1</v>
      </c>
      <c r="U42" s="573">
        <f t="shared" si="11"/>
        <v>1</v>
      </c>
      <c r="V42" s="573">
        <f t="shared" si="11"/>
        <v>1</v>
      </c>
      <c r="W42" s="573">
        <f t="shared" si="11"/>
        <v>1</v>
      </c>
      <c r="X42" s="573">
        <f t="shared" si="11"/>
        <v>1</v>
      </c>
      <c r="Y42" s="573">
        <f t="shared" si="11"/>
        <v>1</v>
      </c>
      <c r="Z42" s="573">
        <f t="shared" si="11"/>
        <v>1</v>
      </c>
      <c r="AA42" s="573">
        <f t="shared" si="11"/>
        <v>1</v>
      </c>
      <c r="AB42" s="573">
        <f t="shared" si="11"/>
        <v>1</v>
      </c>
      <c r="AC42" s="573">
        <f t="shared" si="11"/>
        <v>1</v>
      </c>
      <c r="AD42" s="573">
        <f t="shared" si="11"/>
        <v>1</v>
      </c>
      <c r="AE42" s="573">
        <f t="shared" si="11"/>
        <v>1</v>
      </c>
      <c r="AF42" s="573">
        <f t="shared" si="11"/>
        <v>1</v>
      </c>
      <c r="AG42" s="573">
        <f t="shared" si="11"/>
        <v>1</v>
      </c>
      <c r="AH42" s="573">
        <f t="shared" si="11"/>
        <v>1</v>
      </c>
      <c r="AI42" s="573">
        <f t="shared" si="11"/>
        <v>1</v>
      </c>
      <c r="AJ42" s="573">
        <f t="shared" si="11"/>
        <v>1</v>
      </c>
      <c r="AK42" s="573">
        <f t="shared" si="11"/>
        <v>1</v>
      </c>
      <c r="AL42" s="573">
        <f t="shared" si="11"/>
        <v>1</v>
      </c>
      <c r="AM42" s="573">
        <f t="shared" si="11"/>
        <v>1</v>
      </c>
      <c r="AN42" s="573">
        <f t="shared" si="11"/>
        <v>1</v>
      </c>
      <c r="AO42" s="573">
        <f t="shared" si="11"/>
        <v>1</v>
      </c>
      <c r="AP42" s="573">
        <f t="shared" si="11"/>
        <v>1</v>
      </c>
      <c r="AQ42" s="573">
        <f t="shared" si="11"/>
        <v>1</v>
      </c>
      <c r="AR42" s="573">
        <f t="shared" si="11"/>
        <v>1</v>
      </c>
      <c r="AS42" s="573">
        <f t="shared" si="11"/>
        <v>1</v>
      </c>
      <c r="AT42" s="573">
        <f t="shared" si="11"/>
        <v>1</v>
      </c>
      <c r="AU42" s="573">
        <f t="shared" si="11"/>
        <v>1</v>
      </c>
      <c r="AV42" s="573">
        <f t="shared" si="11"/>
        <v>1</v>
      </c>
      <c r="AW42" s="573">
        <f t="shared" si="11"/>
        <v>1</v>
      </c>
      <c r="AX42" s="573">
        <f t="shared" si="11"/>
        <v>1</v>
      </c>
      <c r="AY42" s="573">
        <f t="shared" si="11"/>
        <v>1</v>
      </c>
      <c r="AZ42" s="573">
        <f t="shared" si="11"/>
        <v>1</v>
      </c>
      <c r="BA42" s="573">
        <f t="shared" si="11"/>
        <v>1</v>
      </c>
      <c r="BB42" s="573">
        <f t="shared" si="11"/>
        <v>1</v>
      </c>
      <c r="BC42" s="573">
        <f t="shared" si="11"/>
        <v>1</v>
      </c>
      <c r="BD42" s="573">
        <f t="shared" si="11"/>
        <v>1</v>
      </c>
      <c r="BE42" s="573">
        <f t="shared" si="11"/>
        <v>1</v>
      </c>
      <c r="BF42" s="573">
        <f t="shared" si="11"/>
        <v>1</v>
      </c>
      <c r="BG42" s="573">
        <f t="shared" si="11"/>
        <v>1</v>
      </c>
      <c r="BH42" s="573">
        <f t="shared" si="11"/>
        <v>1</v>
      </c>
      <c r="BI42" s="573">
        <f t="shared" si="11"/>
        <v>1</v>
      </c>
      <c r="BJ42" s="573">
        <f t="shared" si="11"/>
        <v>1</v>
      </c>
      <c r="BK42" s="573">
        <f t="shared" si="11"/>
        <v>1</v>
      </c>
      <c r="BL42" s="573">
        <f t="shared" si="11"/>
        <v>1</v>
      </c>
    </row>
    <row r="43" spans="1:64" x14ac:dyDescent="0.2">
      <c r="A43" s="567" t="s">
        <v>185</v>
      </c>
      <c r="B43" s="567"/>
      <c r="C43" s="567"/>
      <c r="D43" s="567"/>
      <c r="E43" s="574"/>
      <c r="F43" s="574"/>
      <c r="G43" s="574"/>
      <c r="H43" s="574"/>
      <c r="I43" s="574"/>
      <c r="J43" s="574"/>
      <c r="K43" s="574"/>
      <c r="L43" s="574"/>
      <c r="M43" s="574"/>
      <c r="N43" s="574"/>
      <c r="O43" s="574"/>
      <c r="P43" s="574"/>
      <c r="Q43" s="574"/>
      <c r="R43" s="574"/>
      <c r="S43" s="574"/>
      <c r="T43" s="574"/>
      <c r="U43" s="574"/>
      <c r="V43" s="574"/>
      <c r="W43" s="574"/>
      <c r="X43" s="574"/>
      <c r="Y43" s="574"/>
      <c r="Z43" s="574"/>
      <c r="AA43" s="574"/>
      <c r="AB43" s="574"/>
      <c r="AC43" s="574"/>
      <c r="AD43" s="574"/>
      <c r="AE43" s="574"/>
      <c r="AF43" s="574"/>
      <c r="AG43" s="574"/>
      <c r="AH43" s="574"/>
      <c r="AI43" s="574"/>
      <c r="AJ43" s="574"/>
      <c r="AK43" s="574"/>
      <c r="AL43" s="574"/>
      <c r="AM43" s="574"/>
      <c r="AN43" s="574"/>
      <c r="AO43" s="574"/>
      <c r="AP43" s="574"/>
      <c r="AQ43" s="574"/>
      <c r="AR43" s="574"/>
      <c r="AS43" s="574"/>
      <c r="AT43" s="574"/>
      <c r="AU43" s="574"/>
      <c r="AV43" s="574"/>
      <c r="AW43" s="574"/>
      <c r="AX43" s="574"/>
      <c r="AY43" s="574"/>
      <c r="AZ43" s="574"/>
      <c r="BA43" s="574"/>
      <c r="BB43" s="574"/>
      <c r="BC43" s="574"/>
      <c r="BD43" s="574"/>
      <c r="BE43" s="574"/>
      <c r="BF43" s="574"/>
      <c r="BG43" s="574"/>
      <c r="BH43" s="574"/>
      <c r="BI43" s="574"/>
      <c r="BJ43" s="574"/>
      <c r="BK43" s="574"/>
      <c r="BL43" s="574"/>
    </row>
    <row r="44" spans="1:64" x14ac:dyDescent="0.2">
      <c r="A44" s="567"/>
      <c r="B44" s="567" t="s">
        <v>355</v>
      </c>
      <c r="C44" s="568"/>
      <c r="D44" s="567" t="s">
        <v>119</v>
      </c>
      <c r="E44" s="562">
        <f t="shared" ref="E44:BL48" si="12">E12</f>
        <v>0</v>
      </c>
      <c r="F44" s="562">
        <f t="shared" si="12"/>
        <v>0</v>
      </c>
      <c r="G44" s="562">
        <f t="shared" si="12"/>
        <v>0</v>
      </c>
      <c r="H44" s="562">
        <f t="shared" si="12"/>
        <v>25000</v>
      </c>
      <c r="I44" s="562">
        <f t="shared" si="12"/>
        <v>25000</v>
      </c>
      <c r="J44" s="562">
        <f t="shared" si="12"/>
        <v>25000</v>
      </c>
      <c r="K44" s="562">
        <f t="shared" si="12"/>
        <v>25000</v>
      </c>
      <c r="L44" s="562">
        <f t="shared" si="12"/>
        <v>25000</v>
      </c>
      <c r="M44" s="562">
        <f t="shared" si="12"/>
        <v>25000</v>
      </c>
      <c r="N44" s="562">
        <f t="shared" si="12"/>
        <v>25000</v>
      </c>
      <c r="O44" s="562">
        <f t="shared" si="12"/>
        <v>25000</v>
      </c>
      <c r="P44" s="562">
        <f t="shared" si="12"/>
        <v>25000</v>
      </c>
      <c r="Q44" s="562">
        <f t="shared" si="12"/>
        <v>25000</v>
      </c>
      <c r="R44" s="562">
        <f t="shared" si="12"/>
        <v>25000</v>
      </c>
      <c r="S44" s="562">
        <f t="shared" si="12"/>
        <v>25000</v>
      </c>
      <c r="T44" s="562">
        <f t="shared" si="12"/>
        <v>25000</v>
      </c>
      <c r="U44" s="562">
        <f t="shared" si="12"/>
        <v>25000</v>
      </c>
      <c r="V44" s="562">
        <f t="shared" si="12"/>
        <v>25000</v>
      </c>
      <c r="W44" s="562">
        <f t="shared" si="12"/>
        <v>25000</v>
      </c>
      <c r="X44" s="562">
        <f t="shared" si="12"/>
        <v>25000</v>
      </c>
      <c r="Y44" s="562">
        <f t="shared" si="12"/>
        <v>25000</v>
      </c>
      <c r="Z44" s="562">
        <f t="shared" si="12"/>
        <v>25000</v>
      </c>
      <c r="AA44" s="562">
        <f t="shared" si="12"/>
        <v>25000</v>
      </c>
      <c r="AB44" s="562">
        <f t="shared" si="12"/>
        <v>25000</v>
      </c>
      <c r="AC44" s="562">
        <f t="shared" si="12"/>
        <v>25000</v>
      </c>
      <c r="AD44" s="562">
        <f t="shared" si="12"/>
        <v>25000</v>
      </c>
      <c r="AE44" s="562">
        <f t="shared" si="12"/>
        <v>25000</v>
      </c>
      <c r="AF44" s="562">
        <f t="shared" si="12"/>
        <v>25000</v>
      </c>
      <c r="AG44" s="562">
        <f t="shared" si="12"/>
        <v>25000</v>
      </c>
      <c r="AH44" s="562">
        <f t="shared" si="12"/>
        <v>25000</v>
      </c>
      <c r="AI44" s="562">
        <f t="shared" si="12"/>
        <v>25000</v>
      </c>
      <c r="AJ44" s="562">
        <f t="shared" si="12"/>
        <v>25000</v>
      </c>
      <c r="AK44" s="562">
        <f t="shared" si="12"/>
        <v>25000</v>
      </c>
      <c r="AL44" s="562">
        <f t="shared" si="12"/>
        <v>25000</v>
      </c>
      <c r="AM44" s="562">
        <f t="shared" si="12"/>
        <v>25000</v>
      </c>
      <c r="AN44" s="562">
        <f t="shared" si="12"/>
        <v>25000</v>
      </c>
      <c r="AO44" s="562">
        <f t="shared" si="12"/>
        <v>25000</v>
      </c>
      <c r="AP44" s="562">
        <f t="shared" si="12"/>
        <v>25000</v>
      </c>
      <c r="AQ44" s="562">
        <f t="shared" si="12"/>
        <v>25000</v>
      </c>
      <c r="AR44" s="562">
        <f t="shared" si="12"/>
        <v>25000</v>
      </c>
      <c r="AS44" s="562">
        <f t="shared" si="12"/>
        <v>25000</v>
      </c>
      <c r="AT44" s="562">
        <f t="shared" si="12"/>
        <v>25000</v>
      </c>
      <c r="AU44" s="562">
        <f t="shared" si="12"/>
        <v>25000</v>
      </c>
      <c r="AV44" s="562">
        <f t="shared" si="12"/>
        <v>25000</v>
      </c>
      <c r="AW44" s="562">
        <f t="shared" si="12"/>
        <v>25000</v>
      </c>
      <c r="AX44" s="562">
        <f t="shared" si="12"/>
        <v>25000</v>
      </c>
      <c r="AY44" s="562">
        <f t="shared" si="12"/>
        <v>25000</v>
      </c>
      <c r="AZ44" s="562">
        <f t="shared" si="12"/>
        <v>25000</v>
      </c>
      <c r="BA44" s="562">
        <f t="shared" si="12"/>
        <v>25000</v>
      </c>
      <c r="BB44" s="562">
        <f t="shared" si="12"/>
        <v>25000</v>
      </c>
      <c r="BC44" s="562">
        <f t="shared" si="12"/>
        <v>25000</v>
      </c>
      <c r="BD44" s="562">
        <f t="shared" si="12"/>
        <v>25000</v>
      </c>
      <c r="BE44" s="562">
        <f t="shared" si="12"/>
        <v>25000</v>
      </c>
      <c r="BF44" s="562">
        <f t="shared" si="12"/>
        <v>25000</v>
      </c>
      <c r="BG44" s="562">
        <f t="shared" si="12"/>
        <v>25000</v>
      </c>
      <c r="BH44" s="562">
        <f t="shared" si="12"/>
        <v>25000</v>
      </c>
      <c r="BI44" s="562">
        <f t="shared" si="12"/>
        <v>25000</v>
      </c>
      <c r="BJ44" s="562">
        <f t="shared" si="12"/>
        <v>25000</v>
      </c>
      <c r="BK44" s="562">
        <f t="shared" si="12"/>
        <v>25000</v>
      </c>
      <c r="BL44" s="562">
        <f t="shared" si="12"/>
        <v>25000</v>
      </c>
    </row>
    <row r="45" spans="1:64" x14ac:dyDescent="0.2">
      <c r="A45" s="567"/>
      <c r="B45" s="567" t="s">
        <v>357</v>
      </c>
      <c r="C45" s="568"/>
      <c r="D45" s="567" t="s">
        <v>119</v>
      </c>
      <c r="E45" s="562">
        <f t="shared" si="12"/>
        <v>0</v>
      </c>
      <c r="F45" s="562">
        <f t="shared" si="12"/>
        <v>0</v>
      </c>
      <c r="G45" s="562">
        <f t="shared" si="12"/>
        <v>0</v>
      </c>
      <c r="H45" s="562">
        <f t="shared" si="12"/>
        <v>25000</v>
      </c>
      <c r="I45" s="562">
        <f t="shared" si="12"/>
        <v>25000</v>
      </c>
      <c r="J45" s="562">
        <f t="shared" si="12"/>
        <v>25000</v>
      </c>
      <c r="K45" s="562">
        <f t="shared" si="12"/>
        <v>25000</v>
      </c>
      <c r="L45" s="562">
        <f t="shared" si="12"/>
        <v>25000</v>
      </c>
      <c r="M45" s="562">
        <f t="shared" si="12"/>
        <v>25000</v>
      </c>
      <c r="N45" s="562">
        <f t="shared" si="12"/>
        <v>25000</v>
      </c>
      <c r="O45" s="562">
        <f t="shared" si="12"/>
        <v>25000</v>
      </c>
      <c r="P45" s="562">
        <f t="shared" si="12"/>
        <v>25000</v>
      </c>
      <c r="Q45" s="562">
        <f t="shared" si="12"/>
        <v>25000</v>
      </c>
      <c r="R45" s="562">
        <f t="shared" si="12"/>
        <v>25000</v>
      </c>
      <c r="S45" s="562">
        <f t="shared" si="12"/>
        <v>25000</v>
      </c>
      <c r="T45" s="562">
        <f t="shared" si="12"/>
        <v>25000</v>
      </c>
      <c r="U45" s="562">
        <f t="shared" si="12"/>
        <v>25000</v>
      </c>
      <c r="V45" s="562">
        <f t="shared" si="12"/>
        <v>25000</v>
      </c>
      <c r="W45" s="562">
        <f t="shared" si="12"/>
        <v>25000</v>
      </c>
      <c r="X45" s="562">
        <f t="shared" si="12"/>
        <v>25000</v>
      </c>
      <c r="Y45" s="562">
        <f t="shared" si="12"/>
        <v>25000</v>
      </c>
      <c r="Z45" s="562">
        <f t="shared" si="12"/>
        <v>25000</v>
      </c>
      <c r="AA45" s="562">
        <f t="shared" si="12"/>
        <v>25000</v>
      </c>
      <c r="AB45" s="562">
        <f t="shared" si="12"/>
        <v>25000</v>
      </c>
      <c r="AC45" s="562">
        <f t="shared" si="12"/>
        <v>25000</v>
      </c>
      <c r="AD45" s="562">
        <f t="shared" si="12"/>
        <v>25000</v>
      </c>
      <c r="AE45" s="562">
        <f t="shared" si="12"/>
        <v>25000</v>
      </c>
      <c r="AF45" s="562">
        <f t="shared" si="12"/>
        <v>25000</v>
      </c>
      <c r="AG45" s="562">
        <f t="shared" si="12"/>
        <v>25000</v>
      </c>
      <c r="AH45" s="562">
        <f t="shared" si="12"/>
        <v>25000</v>
      </c>
      <c r="AI45" s="562">
        <f t="shared" si="12"/>
        <v>25000</v>
      </c>
      <c r="AJ45" s="562">
        <f t="shared" si="12"/>
        <v>25000</v>
      </c>
      <c r="AK45" s="562">
        <f t="shared" si="12"/>
        <v>25000</v>
      </c>
      <c r="AL45" s="562">
        <f t="shared" si="12"/>
        <v>25000</v>
      </c>
      <c r="AM45" s="562">
        <f t="shared" si="12"/>
        <v>25000</v>
      </c>
      <c r="AN45" s="562">
        <f t="shared" si="12"/>
        <v>25000</v>
      </c>
      <c r="AO45" s="562">
        <f t="shared" si="12"/>
        <v>25000</v>
      </c>
      <c r="AP45" s="562">
        <f t="shared" si="12"/>
        <v>25000</v>
      </c>
      <c r="AQ45" s="562">
        <f t="shared" si="12"/>
        <v>25000</v>
      </c>
      <c r="AR45" s="562">
        <f t="shared" si="12"/>
        <v>25000</v>
      </c>
      <c r="AS45" s="562">
        <f t="shared" si="12"/>
        <v>25000</v>
      </c>
      <c r="AT45" s="562">
        <f t="shared" si="12"/>
        <v>25000</v>
      </c>
      <c r="AU45" s="562">
        <f t="shared" si="12"/>
        <v>25000</v>
      </c>
      <c r="AV45" s="562">
        <f t="shared" si="12"/>
        <v>25000</v>
      </c>
      <c r="AW45" s="562">
        <f t="shared" si="12"/>
        <v>25000</v>
      </c>
      <c r="AX45" s="562">
        <f t="shared" si="12"/>
        <v>25000</v>
      </c>
      <c r="AY45" s="562">
        <f t="shared" si="12"/>
        <v>25000</v>
      </c>
      <c r="AZ45" s="562">
        <f t="shared" si="12"/>
        <v>25000</v>
      </c>
      <c r="BA45" s="562">
        <f t="shared" si="12"/>
        <v>25000</v>
      </c>
      <c r="BB45" s="562">
        <f t="shared" si="12"/>
        <v>25000</v>
      </c>
      <c r="BC45" s="562">
        <f t="shared" si="12"/>
        <v>25000</v>
      </c>
      <c r="BD45" s="562">
        <f t="shared" si="12"/>
        <v>25000</v>
      </c>
      <c r="BE45" s="562">
        <f t="shared" si="12"/>
        <v>25000</v>
      </c>
      <c r="BF45" s="562">
        <f t="shared" si="12"/>
        <v>25000</v>
      </c>
      <c r="BG45" s="562">
        <f t="shared" si="12"/>
        <v>25000</v>
      </c>
      <c r="BH45" s="562">
        <f t="shared" si="12"/>
        <v>25000</v>
      </c>
      <c r="BI45" s="562">
        <f t="shared" si="12"/>
        <v>25000</v>
      </c>
      <c r="BJ45" s="562">
        <f t="shared" si="12"/>
        <v>25000</v>
      </c>
      <c r="BK45" s="562">
        <f t="shared" si="12"/>
        <v>25000</v>
      </c>
      <c r="BL45" s="562">
        <f t="shared" si="12"/>
        <v>25000</v>
      </c>
    </row>
    <row r="46" spans="1:64" x14ac:dyDescent="0.2">
      <c r="A46" s="567"/>
      <c r="B46" s="567" t="s">
        <v>358</v>
      </c>
      <c r="C46" s="568"/>
      <c r="D46" s="567" t="s">
        <v>119</v>
      </c>
      <c r="E46" s="562">
        <f t="shared" si="12"/>
        <v>0</v>
      </c>
      <c r="F46" s="562">
        <f t="shared" si="12"/>
        <v>0</v>
      </c>
      <c r="G46" s="562">
        <f t="shared" si="12"/>
        <v>0</v>
      </c>
      <c r="H46" s="562">
        <f t="shared" si="12"/>
        <v>50000</v>
      </c>
      <c r="I46" s="562">
        <f t="shared" si="12"/>
        <v>50000</v>
      </c>
      <c r="J46" s="562">
        <f t="shared" si="12"/>
        <v>50000</v>
      </c>
      <c r="K46" s="562">
        <f t="shared" si="12"/>
        <v>50000</v>
      </c>
      <c r="L46" s="562">
        <f t="shared" si="12"/>
        <v>50000</v>
      </c>
      <c r="M46" s="562">
        <f t="shared" si="12"/>
        <v>50000</v>
      </c>
      <c r="N46" s="562">
        <f t="shared" si="12"/>
        <v>50000</v>
      </c>
      <c r="O46" s="562">
        <f t="shared" si="12"/>
        <v>50000</v>
      </c>
      <c r="P46" s="562">
        <f t="shared" si="12"/>
        <v>50000</v>
      </c>
      <c r="Q46" s="562">
        <f t="shared" si="12"/>
        <v>50000</v>
      </c>
      <c r="R46" s="562">
        <f t="shared" si="12"/>
        <v>50000</v>
      </c>
      <c r="S46" s="562">
        <f t="shared" si="12"/>
        <v>50000</v>
      </c>
      <c r="T46" s="562">
        <f t="shared" si="12"/>
        <v>50000</v>
      </c>
      <c r="U46" s="562">
        <f t="shared" si="12"/>
        <v>50000</v>
      </c>
      <c r="V46" s="562">
        <f t="shared" si="12"/>
        <v>50000</v>
      </c>
      <c r="W46" s="562">
        <f t="shared" si="12"/>
        <v>50000</v>
      </c>
      <c r="X46" s="562">
        <f t="shared" si="12"/>
        <v>50000</v>
      </c>
      <c r="Y46" s="562">
        <f t="shared" si="12"/>
        <v>50000</v>
      </c>
      <c r="Z46" s="562">
        <f t="shared" si="12"/>
        <v>50000</v>
      </c>
      <c r="AA46" s="562">
        <f t="shared" si="12"/>
        <v>50000</v>
      </c>
      <c r="AB46" s="562">
        <f t="shared" si="12"/>
        <v>50000</v>
      </c>
      <c r="AC46" s="562">
        <f t="shared" si="12"/>
        <v>50000</v>
      </c>
      <c r="AD46" s="562">
        <f t="shared" si="12"/>
        <v>50000</v>
      </c>
      <c r="AE46" s="562">
        <f t="shared" si="12"/>
        <v>50000</v>
      </c>
      <c r="AF46" s="562">
        <f t="shared" si="12"/>
        <v>50000</v>
      </c>
      <c r="AG46" s="562">
        <f t="shared" si="12"/>
        <v>50000</v>
      </c>
      <c r="AH46" s="562">
        <f t="shared" si="12"/>
        <v>50000</v>
      </c>
      <c r="AI46" s="562">
        <f t="shared" si="12"/>
        <v>50000</v>
      </c>
      <c r="AJ46" s="562">
        <f t="shared" si="12"/>
        <v>50000</v>
      </c>
      <c r="AK46" s="562">
        <f t="shared" si="12"/>
        <v>50000</v>
      </c>
      <c r="AL46" s="562">
        <f t="shared" si="12"/>
        <v>50000</v>
      </c>
      <c r="AM46" s="562">
        <f t="shared" si="12"/>
        <v>50000</v>
      </c>
      <c r="AN46" s="562">
        <f t="shared" si="12"/>
        <v>50000</v>
      </c>
      <c r="AO46" s="562">
        <f t="shared" si="12"/>
        <v>50000</v>
      </c>
      <c r="AP46" s="562">
        <f t="shared" si="12"/>
        <v>50000</v>
      </c>
      <c r="AQ46" s="562">
        <f t="shared" si="12"/>
        <v>50000</v>
      </c>
      <c r="AR46" s="562">
        <f t="shared" si="12"/>
        <v>50000</v>
      </c>
      <c r="AS46" s="562">
        <f t="shared" si="12"/>
        <v>50000</v>
      </c>
      <c r="AT46" s="562">
        <f t="shared" si="12"/>
        <v>50000</v>
      </c>
      <c r="AU46" s="562">
        <f t="shared" si="12"/>
        <v>50000</v>
      </c>
      <c r="AV46" s="562">
        <f t="shared" si="12"/>
        <v>50000</v>
      </c>
      <c r="AW46" s="562">
        <f t="shared" si="12"/>
        <v>50000</v>
      </c>
      <c r="AX46" s="562">
        <f t="shared" si="12"/>
        <v>50000</v>
      </c>
      <c r="AY46" s="562">
        <f t="shared" si="12"/>
        <v>50000</v>
      </c>
      <c r="AZ46" s="562">
        <f t="shared" si="12"/>
        <v>50000</v>
      </c>
      <c r="BA46" s="562">
        <f t="shared" si="12"/>
        <v>50000</v>
      </c>
      <c r="BB46" s="562">
        <f t="shared" si="12"/>
        <v>50000</v>
      </c>
      <c r="BC46" s="562">
        <f t="shared" si="12"/>
        <v>50000</v>
      </c>
      <c r="BD46" s="562">
        <f t="shared" si="12"/>
        <v>50000</v>
      </c>
      <c r="BE46" s="562">
        <f t="shared" si="12"/>
        <v>50000</v>
      </c>
      <c r="BF46" s="562">
        <f t="shared" si="12"/>
        <v>50000</v>
      </c>
      <c r="BG46" s="562">
        <f t="shared" si="12"/>
        <v>50000</v>
      </c>
      <c r="BH46" s="562">
        <f t="shared" si="12"/>
        <v>50000</v>
      </c>
      <c r="BI46" s="562">
        <f t="shared" si="12"/>
        <v>50000</v>
      </c>
      <c r="BJ46" s="562">
        <f t="shared" si="12"/>
        <v>50000</v>
      </c>
      <c r="BK46" s="562">
        <f t="shared" si="12"/>
        <v>50000</v>
      </c>
      <c r="BL46" s="562">
        <f t="shared" si="12"/>
        <v>50000</v>
      </c>
    </row>
    <row r="47" spans="1:64" x14ac:dyDescent="0.2">
      <c r="A47" s="567"/>
      <c r="B47" s="567" t="s">
        <v>359</v>
      </c>
      <c r="C47" s="568"/>
      <c r="D47" s="567" t="s">
        <v>119</v>
      </c>
      <c r="E47" s="562">
        <f t="shared" si="12"/>
        <v>0</v>
      </c>
      <c r="F47" s="562">
        <f t="shared" si="12"/>
        <v>0</v>
      </c>
      <c r="G47" s="562">
        <f t="shared" si="12"/>
        <v>0</v>
      </c>
      <c r="H47" s="562">
        <f t="shared" si="12"/>
        <v>100000</v>
      </c>
      <c r="I47" s="562">
        <f t="shared" si="12"/>
        <v>100000</v>
      </c>
      <c r="J47" s="562">
        <f t="shared" si="12"/>
        <v>100000</v>
      </c>
      <c r="K47" s="562">
        <f t="shared" si="12"/>
        <v>100000</v>
      </c>
      <c r="L47" s="562">
        <f t="shared" si="12"/>
        <v>100000</v>
      </c>
      <c r="M47" s="562">
        <f t="shared" si="12"/>
        <v>100000</v>
      </c>
      <c r="N47" s="562">
        <f t="shared" si="12"/>
        <v>100000</v>
      </c>
      <c r="O47" s="562">
        <f t="shared" si="12"/>
        <v>100000</v>
      </c>
      <c r="P47" s="562">
        <f t="shared" si="12"/>
        <v>100000</v>
      </c>
      <c r="Q47" s="562">
        <f t="shared" si="12"/>
        <v>100000</v>
      </c>
      <c r="R47" s="562">
        <f t="shared" si="12"/>
        <v>100000</v>
      </c>
      <c r="S47" s="562">
        <f t="shared" si="12"/>
        <v>100000</v>
      </c>
      <c r="T47" s="562">
        <f t="shared" si="12"/>
        <v>100000</v>
      </c>
      <c r="U47" s="562">
        <f t="shared" si="12"/>
        <v>100000</v>
      </c>
      <c r="V47" s="562">
        <f t="shared" si="12"/>
        <v>100000</v>
      </c>
      <c r="W47" s="562">
        <f t="shared" si="12"/>
        <v>100000</v>
      </c>
      <c r="X47" s="562">
        <f t="shared" si="12"/>
        <v>100000</v>
      </c>
      <c r="Y47" s="562">
        <f t="shared" si="12"/>
        <v>100000</v>
      </c>
      <c r="Z47" s="562">
        <f t="shared" si="12"/>
        <v>100000</v>
      </c>
      <c r="AA47" s="562">
        <f t="shared" si="12"/>
        <v>100000</v>
      </c>
      <c r="AB47" s="562">
        <f t="shared" si="12"/>
        <v>100000</v>
      </c>
      <c r="AC47" s="562">
        <f t="shared" si="12"/>
        <v>100000</v>
      </c>
      <c r="AD47" s="562">
        <f t="shared" si="12"/>
        <v>100000</v>
      </c>
      <c r="AE47" s="562">
        <f t="shared" si="12"/>
        <v>100000</v>
      </c>
      <c r="AF47" s="562">
        <f t="shared" si="12"/>
        <v>100000</v>
      </c>
      <c r="AG47" s="562">
        <f t="shared" si="12"/>
        <v>100000</v>
      </c>
      <c r="AH47" s="562">
        <f t="shared" si="12"/>
        <v>100000</v>
      </c>
      <c r="AI47" s="562">
        <f t="shared" si="12"/>
        <v>100000</v>
      </c>
      <c r="AJ47" s="562">
        <f t="shared" si="12"/>
        <v>100000</v>
      </c>
      <c r="AK47" s="562">
        <f t="shared" si="12"/>
        <v>100000</v>
      </c>
      <c r="AL47" s="562">
        <f t="shared" si="12"/>
        <v>100000</v>
      </c>
      <c r="AM47" s="562">
        <f t="shared" si="12"/>
        <v>100000</v>
      </c>
      <c r="AN47" s="562">
        <f t="shared" si="12"/>
        <v>100000</v>
      </c>
      <c r="AO47" s="562">
        <f t="shared" si="12"/>
        <v>100000</v>
      </c>
      <c r="AP47" s="562">
        <f t="shared" si="12"/>
        <v>100000</v>
      </c>
      <c r="AQ47" s="562">
        <f t="shared" si="12"/>
        <v>100000</v>
      </c>
      <c r="AR47" s="562">
        <f t="shared" si="12"/>
        <v>100000</v>
      </c>
      <c r="AS47" s="562">
        <f t="shared" si="12"/>
        <v>100000</v>
      </c>
      <c r="AT47" s="562">
        <f t="shared" si="12"/>
        <v>100000</v>
      </c>
      <c r="AU47" s="562">
        <f t="shared" si="12"/>
        <v>100000</v>
      </c>
      <c r="AV47" s="562">
        <f t="shared" si="12"/>
        <v>100000</v>
      </c>
      <c r="AW47" s="562">
        <f t="shared" si="12"/>
        <v>100000</v>
      </c>
      <c r="AX47" s="562">
        <f t="shared" si="12"/>
        <v>100000</v>
      </c>
      <c r="AY47" s="562">
        <f t="shared" si="12"/>
        <v>100000</v>
      </c>
      <c r="AZ47" s="562">
        <f t="shared" si="12"/>
        <v>100000</v>
      </c>
      <c r="BA47" s="562">
        <f t="shared" si="12"/>
        <v>100000</v>
      </c>
      <c r="BB47" s="562">
        <f t="shared" si="12"/>
        <v>100000</v>
      </c>
      <c r="BC47" s="562">
        <f t="shared" si="12"/>
        <v>100000</v>
      </c>
      <c r="BD47" s="562">
        <f t="shared" si="12"/>
        <v>100000</v>
      </c>
      <c r="BE47" s="562">
        <f t="shared" si="12"/>
        <v>100000</v>
      </c>
      <c r="BF47" s="562">
        <f t="shared" si="12"/>
        <v>100000</v>
      </c>
      <c r="BG47" s="562">
        <f t="shared" si="12"/>
        <v>100000</v>
      </c>
      <c r="BH47" s="562">
        <f t="shared" si="12"/>
        <v>100000</v>
      </c>
      <c r="BI47" s="562">
        <f t="shared" si="12"/>
        <v>100000</v>
      </c>
      <c r="BJ47" s="562">
        <f t="shared" si="12"/>
        <v>100000</v>
      </c>
      <c r="BK47" s="562">
        <f t="shared" si="12"/>
        <v>100000</v>
      </c>
      <c r="BL47" s="562">
        <f t="shared" si="12"/>
        <v>100000</v>
      </c>
    </row>
    <row r="48" spans="1:64" x14ac:dyDescent="0.2">
      <c r="A48" s="567"/>
      <c r="B48" s="567" t="s">
        <v>360</v>
      </c>
      <c r="C48" s="568"/>
      <c r="D48" s="567" t="s">
        <v>119</v>
      </c>
      <c r="E48" s="562">
        <f t="shared" si="12"/>
        <v>0</v>
      </c>
      <c r="F48" s="562">
        <f t="shared" si="12"/>
        <v>0</v>
      </c>
      <c r="G48" s="562">
        <f t="shared" si="12"/>
        <v>0</v>
      </c>
      <c r="H48" s="562">
        <f t="shared" si="12"/>
        <v>300000</v>
      </c>
      <c r="I48" s="562">
        <f t="shared" si="12"/>
        <v>300000</v>
      </c>
      <c r="J48" s="562">
        <f t="shared" si="12"/>
        <v>300000</v>
      </c>
      <c r="K48" s="562">
        <f t="shared" si="12"/>
        <v>300000</v>
      </c>
      <c r="L48" s="562">
        <f t="shared" si="12"/>
        <v>300000</v>
      </c>
      <c r="M48" s="562">
        <f t="shared" si="12"/>
        <v>300000</v>
      </c>
      <c r="N48" s="562">
        <f t="shared" si="12"/>
        <v>300000</v>
      </c>
      <c r="O48" s="562">
        <f t="shared" si="12"/>
        <v>300000</v>
      </c>
      <c r="P48" s="562">
        <f t="shared" si="12"/>
        <v>300000</v>
      </c>
      <c r="Q48" s="562">
        <f t="shared" si="12"/>
        <v>300000</v>
      </c>
      <c r="R48" s="562">
        <f t="shared" si="12"/>
        <v>300000</v>
      </c>
      <c r="S48" s="562">
        <f t="shared" si="12"/>
        <v>300000</v>
      </c>
      <c r="T48" s="562">
        <f t="shared" ref="T48:BL49" si="13">T16</f>
        <v>300000</v>
      </c>
      <c r="U48" s="562">
        <f t="shared" si="13"/>
        <v>300000</v>
      </c>
      <c r="V48" s="562">
        <f t="shared" si="13"/>
        <v>300000</v>
      </c>
      <c r="W48" s="562">
        <f t="shared" si="13"/>
        <v>300000</v>
      </c>
      <c r="X48" s="562">
        <f t="shared" si="13"/>
        <v>300000</v>
      </c>
      <c r="Y48" s="562">
        <f t="shared" si="13"/>
        <v>300000</v>
      </c>
      <c r="Z48" s="562">
        <f t="shared" si="13"/>
        <v>300000</v>
      </c>
      <c r="AA48" s="562">
        <f t="shared" si="13"/>
        <v>300000</v>
      </c>
      <c r="AB48" s="562">
        <f t="shared" si="13"/>
        <v>300000</v>
      </c>
      <c r="AC48" s="562">
        <f t="shared" si="13"/>
        <v>300000</v>
      </c>
      <c r="AD48" s="562">
        <f t="shared" si="13"/>
        <v>300000</v>
      </c>
      <c r="AE48" s="562">
        <f t="shared" si="13"/>
        <v>300000</v>
      </c>
      <c r="AF48" s="562">
        <f t="shared" si="13"/>
        <v>300000</v>
      </c>
      <c r="AG48" s="562">
        <f t="shared" si="13"/>
        <v>300000</v>
      </c>
      <c r="AH48" s="562">
        <f t="shared" si="13"/>
        <v>300000</v>
      </c>
      <c r="AI48" s="562">
        <f t="shared" si="13"/>
        <v>300000</v>
      </c>
      <c r="AJ48" s="562">
        <f t="shared" si="13"/>
        <v>300000</v>
      </c>
      <c r="AK48" s="562">
        <f t="shared" si="13"/>
        <v>300000</v>
      </c>
      <c r="AL48" s="562">
        <f t="shared" si="13"/>
        <v>300000</v>
      </c>
      <c r="AM48" s="562">
        <f t="shared" si="13"/>
        <v>300000</v>
      </c>
      <c r="AN48" s="562">
        <f t="shared" si="13"/>
        <v>300000</v>
      </c>
      <c r="AO48" s="562">
        <f t="shared" si="13"/>
        <v>300000</v>
      </c>
      <c r="AP48" s="562">
        <f t="shared" si="13"/>
        <v>300000</v>
      </c>
      <c r="AQ48" s="562">
        <f t="shared" si="13"/>
        <v>300000</v>
      </c>
      <c r="AR48" s="562">
        <f t="shared" si="13"/>
        <v>300000</v>
      </c>
      <c r="AS48" s="562">
        <f t="shared" si="13"/>
        <v>300000</v>
      </c>
      <c r="AT48" s="562">
        <f t="shared" si="13"/>
        <v>300000</v>
      </c>
      <c r="AU48" s="562">
        <f t="shared" si="13"/>
        <v>300000</v>
      </c>
      <c r="AV48" s="562">
        <f t="shared" si="13"/>
        <v>300000</v>
      </c>
      <c r="AW48" s="562">
        <f t="shared" si="13"/>
        <v>300000</v>
      </c>
      <c r="AX48" s="562">
        <f t="shared" si="13"/>
        <v>300000</v>
      </c>
      <c r="AY48" s="562">
        <f t="shared" si="13"/>
        <v>300000</v>
      </c>
      <c r="AZ48" s="562">
        <f t="shared" si="13"/>
        <v>300000</v>
      </c>
      <c r="BA48" s="562">
        <f t="shared" si="13"/>
        <v>300000</v>
      </c>
      <c r="BB48" s="562">
        <f t="shared" si="13"/>
        <v>300000</v>
      </c>
      <c r="BC48" s="562">
        <f t="shared" si="13"/>
        <v>300000</v>
      </c>
      <c r="BD48" s="562">
        <f t="shared" si="13"/>
        <v>300000</v>
      </c>
      <c r="BE48" s="562">
        <f t="shared" si="13"/>
        <v>300000</v>
      </c>
      <c r="BF48" s="562">
        <f t="shared" si="13"/>
        <v>300000</v>
      </c>
      <c r="BG48" s="562">
        <f t="shared" si="13"/>
        <v>300000</v>
      </c>
      <c r="BH48" s="562">
        <f t="shared" si="13"/>
        <v>300000</v>
      </c>
      <c r="BI48" s="562">
        <f t="shared" si="13"/>
        <v>300000</v>
      </c>
      <c r="BJ48" s="562">
        <f t="shared" si="13"/>
        <v>300000</v>
      </c>
      <c r="BK48" s="562">
        <f t="shared" si="13"/>
        <v>300000</v>
      </c>
      <c r="BL48" s="562">
        <f t="shared" si="13"/>
        <v>300000</v>
      </c>
    </row>
    <row r="49" spans="1:64" x14ac:dyDescent="0.2">
      <c r="A49" s="567"/>
      <c r="B49" s="567" t="s">
        <v>361</v>
      </c>
      <c r="C49" s="568"/>
      <c r="D49" s="567" t="s">
        <v>119</v>
      </c>
      <c r="E49" s="562">
        <f t="shared" ref="E49:AJ49" si="14">E17</f>
        <v>0</v>
      </c>
      <c r="F49" s="562">
        <f t="shared" si="14"/>
        <v>0</v>
      </c>
      <c r="G49" s="562">
        <f t="shared" si="14"/>
        <v>0</v>
      </c>
      <c r="H49" s="562">
        <f t="shared" si="14"/>
        <v>952991</v>
      </c>
      <c r="I49" s="562">
        <f t="shared" si="14"/>
        <v>952991</v>
      </c>
      <c r="J49" s="562">
        <f t="shared" si="14"/>
        <v>952991</v>
      </c>
      <c r="K49" s="562">
        <f t="shared" si="14"/>
        <v>952991</v>
      </c>
      <c r="L49" s="562">
        <f t="shared" si="14"/>
        <v>952991</v>
      </c>
      <c r="M49" s="562">
        <f t="shared" si="14"/>
        <v>952991</v>
      </c>
      <c r="N49" s="562">
        <f t="shared" si="14"/>
        <v>952991</v>
      </c>
      <c r="O49" s="562">
        <f t="shared" si="14"/>
        <v>952991</v>
      </c>
      <c r="P49" s="562">
        <f t="shared" si="14"/>
        <v>952991</v>
      </c>
      <c r="Q49" s="562">
        <f t="shared" si="14"/>
        <v>952991</v>
      </c>
      <c r="R49" s="562">
        <f t="shared" si="14"/>
        <v>952991</v>
      </c>
      <c r="S49" s="562">
        <f t="shared" si="14"/>
        <v>952991</v>
      </c>
      <c r="T49" s="562">
        <f t="shared" si="14"/>
        <v>2510446</v>
      </c>
      <c r="U49" s="562">
        <f t="shared" si="14"/>
        <v>2510446</v>
      </c>
      <c r="V49" s="562">
        <f t="shared" si="14"/>
        <v>2510446</v>
      </c>
      <c r="W49" s="562">
        <f t="shared" si="14"/>
        <v>2510446</v>
      </c>
      <c r="X49" s="562">
        <f t="shared" si="14"/>
        <v>2510446</v>
      </c>
      <c r="Y49" s="562">
        <f t="shared" si="14"/>
        <v>2510446</v>
      </c>
      <c r="Z49" s="562">
        <f t="shared" si="14"/>
        <v>2510446</v>
      </c>
      <c r="AA49" s="562">
        <f t="shared" si="14"/>
        <v>2510446</v>
      </c>
      <c r="AB49" s="562">
        <f t="shared" si="14"/>
        <v>2510446</v>
      </c>
      <c r="AC49" s="562">
        <f t="shared" si="14"/>
        <v>2510446</v>
      </c>
      <c r="AD49" s="562">
        <f t="shared" si="14"/>
        <v>2510446</v>
      </c>
      <c r="AE49" s="562">
        <f t="shared" si="14"/>
        <v>2510446</v>
      </c>
      <c r="AF49" s="562">
        <f t="shared" si="14"/>
        <v>3441911</v>
      </c>
      <c r="AG49" s="562">
        <f t="shared" si="14"/>
        <v>3441911</v>
      </c>
      <c r="AH49" s="562">
        <f t="shared" si="14"/>
        <v>3441911</v>
      </c>
      <c r="AI49" s="562">
        <f t="shared" si="14"/>
        <v>3441911</v>
      </c>
      <c r="AJ49" s="562">
        <f t="shared" si="14"/>
        <v>3441911</v>
      </c>
      <c r="AK49" s="562">
        <f t="shared" si="13"/>
        <v>3441911</v>
      </c>
      <c r="AL49" s="562">
        <f t="shared" si="13"/>
        <v>3441911</v>
      </c>
      <c r="AM49" s="562">
        <f t="shared" si="13"/>
        <v>3441911</v>
      </c>
      <c r="AN49" s="562">
        <f t="shared" si="13"/>
        <v>3441915</v>
      </c>
      <c r="AO49" s="562">
        <f t="shared" si="13"/>
        <v>3930199</v>
      </c>
      <c r="AP49" s="562">
        <f t="shared" si="13"/>
        <v>3930199</v>
      </c>
      <c r="AQ49" s="562">
        <f t="shared" si="13"/>
        <v>3930199</v>
      </c>
      <c r="AR49" s="562">
        <f t="shared" si="13"/>
        <v>3930199</v>
      </c>
      <c r="AS49" s="562">
        <f t="shared" si="13"/>
        <v>3930199</v>
      </c>
      <c r="AT49" s="562">
        <f t="shared" si="13"/>
        <v>3930199</v>
      </c>
      <c r="AU49" s="562">
        <f t="shared" si="13"/>
        <v>3930199</v>
      </c>
      <c r="AV49" s="562">
        <f t="shared" si="13"/>
        <v>3930199</v>
      </c>
      <c r="AW49" s="562">
        <f t="shared" si="13"/>
        <v>3930199</v>
      </c>
      <c r="AX49" s="562">
        <f t="shared" si="13"/>
        <v>3930199</v>
      </c>
      <c r="AY49" s="562">
        <f t="shared" si="13"/>
        <v>3930199</v>
      </c>
      <c r="AZ49" s="562">
        <f t="shared" si="13"/>
        <v>3930203</v>
      </c>
      <c r="BA49" s="562">
        <f t="shared" si="13"/>
        <v>3930199</v>
      </c>
      <c r="BB49" s="562">
        <f t="shared" si="13"/>
        <v>3930199</v>
      </c>
      <c r="BC49" s="562">
        <f t="shared" si="13"/>
        <v>3930199</v>
      </c>
      <c r="BD49" s="562">
        <f t="shared" si="13"/>
        <v>3930199</v>
      </c>
      <c r="BE49" s="562">
        <f t="shared" si="13"/>
        <v>3930199</v>
      </c>
      <c r="BF49" s="562">
        <f t="shared" si="13"/>
        <v>3930199</v>
      </c>
      <c r="BG49" s="562">
        <f t="shared" si="13"/>
        <v>5372507</v>
      </c>
      <c r="BH49" s="562">
        <f t="shared" si="13"/>
        <v>5372507</v>
      </c>
      <c r="BI49" s="562">
        <f t="shared" si="13"/>
        <v>5372507</v>
      </c>
      <c r="BJ49" s="562">
        <f t="shared" si="13"/>
        <v>5372507</v>
      </c>
      <c r="BK49" s="562">
        <f t="shared" si="13"/>
        <v>5372507</v>
      </c>
      <c r="BL49" s="562">
        <f t="shared" si="13"/>
        <v>5372510</v>
      </c>
    </row>
    <row r="50" spans="1:64" x14ac:dyDescent="0.2">
      <c r="A50" s="567"/>
      <c r="B50" s="567" t="s">
        <v>365</v>
      </c>
      <c r="C50" s="568"/>
      <c r="D50" s="567" t="s">
        <v>119</v>
      </c>
      <c r="E50" s="575">
        <f t="shared" ref="E50:BL50" si="15">SUM(E44:E49)</f>
        <v>0</v>
      </c>
      <c r="F50" s="575">
        <f t="shared" si="15"/>
        <v>0</v>
      </c>
      <c r="G50" s="575">
        <f t="shared" si="15"/>
        <v>0</v>
      </c>
      <c r="H50" s="575">
        <f t="shared" si="15"/>
        <v>1452991</v>
      </c>
      <c r="I50" s="575">
        <f t="shared" si="15"/>
        <v>1452991</v>
      </c>
      <c r="J50" s="575">
        <f t="shared" si="15"/>
        <v>1452991</v>
      </c>
      <c r="K50" s="575">
        <f t="shared" si="15"/>
        <v>1452991</v>
      </c>
      <c r="L50" s="575">
        <f t="shared" si="15"/>
        <v>1452991</v>
      </c>
      <c r="M50" s="575">
        <f t="shared" si="15"/>
        <v>1452991</v>
      </c>
      <c r="N50" s="575">
        <f t="shared" si="15"/>
        <v>1452991</v>
      </c>
      <c r="O50" s="575">
        <f t="shared" si="15"/>
        <v>1452991</v>
      </c>
      <c r="P50" s="575">
        <f t="shared" si="15"/>
        <v>1452991</v>
      </c>
      <c r="Q50" s="575">
        <f t="shared" si="15"/>
        <v>1452991</v>
      </c>
      <c r="R50" s="575">
        <f t="shared" si="15"/>
        <v>1452991</v>
      </c>
      <c r="S50" s="575">
        <f t="shared" si="15"/>
        <v>1452991</v>
      </c>
      <c r="T50" s="575">
        <f t="shared" si="15"/>
        <v>3010446</v>
      </c>
      <c r="U50" s="575">
        <f t="shared" si="15"/>
        <v>3010446</v>
      </c>
      <c r="V50" s="575">
        <f t="shared" si="15"/>
        <v>3010446</v>
      </c>
      <c r="W50" s="575">
        <f t="shared" si="15"/>
        <v>3010446</v>
      </c>
      <c r="X50" s="575">
        <f t="shared" si="15"/>
        <v>3010446</v>
      </c>
      <c r="Y50" s="575">
        <f t="shared" si="15"/>
        <v>3010446</v>
      </c>
      <c r="Z50" s="575">
        <f t="shared" si="15"/>
        <v>3010446</v>
      </c>
      <c r="AA50" s="575">
        <f t="shared" si="15"/>
        <v>3010446</v>
      </c>
      <c r="AB50" s="575">
        <f t="shared" si="15"/>
        <v>3010446</v>
      </c>
      <c r="AC50" s="575">
        <f t="shared" si="15"/>
        <v>3010446</v>
      </c>
      <c r="AD50" s="575">
        <f t="shared" si="15"/>
        <v>3010446</v>
      </c>
      <c r="AE50" s="575">
        <f t="shared" si="15"/>
        <v>3010446</v>
      </c>
      <c r="AF50" s="575">
        <f t="shared" si="15"/>
        <v>3941911</v>
      </c>
      <c r="AG50" s="575">
        <f t="shared" si="15"/>
        <v>3941911</v>
      </c>
      <c r="AH50" s="575">
        <f t="shared" si="15"/>
        <v>3941911</v>
      </c>
      <c r="AI50" s="575">
        <f t="shared" si="15"/>
        <v>3941911</v>
      </c>
      <c r="AJ50" s="575">
        <f t="shared" si="15"/>
        <v>3941911</v>
      </c>
      <c r="AK50" s="575">
        <f t="shared" si="15"/>
        <v>3941911</v>
      </c>
      <c r="AL50" s="575">
        <f t="shared" si="15"/>
        <v>3941911</v>
      </c>
      <c r="AM50" s="575">
        <f t="shared" si="15"/>
        <v>3941911</v>
      </c>
      <c r="AN50" s="575">
        <f t="shared" si="15"/>
        <v>3941915</v>
      </c>
      <c r="AO50" s="575">
        <f t="shared" si="15"/>
        <v>4430199</v>
      </c>
      <c r="AP50" s="575">
        <f t="shared" si="15"/>
        <v>4430199</v>
      </c>
      <c r="AQ50" s="575">
        <f t="shared" si="15"/>
        <v>4430199</v>
      </c>
      <c r="AR50" s="575">
        <f t="shared" si="15"/>
        <v>4430199</v>
      </c>
      <c r="AS50" s="575">
        <f t="shared" si="15"/>
        <v>4430199</v>
      </c>
      <c r="AT50" s="575">
        <f t="shared" si="15"/>
        <v>4430199</v>
      </c>
      <c r="AU50" s="575">
        <f t="shared" si="15"/>
        <v>4430199</v>
      </c>
      <c r="AV50" s="575">
        <f t="shared" si="15"/>
        <v>4430199</v>
      </c>
      <c r="AW50" s="575">
        <f t="shared" si="15"/>
        <v>4430199</v>
      </c>
      <c r="AX50" s="575">
        <f t="shared" si="15"/>
        <v>4430199</v>
      </c>
      <c r="AY50" s="575">
        <f t="shared" si="15"/>
        <v>4430199</v>
      </c>
      <c r="AZ50" s="575">
        <f t="shared" si="15"/>
        <v>4430203</v>
      </c>
      <c r="BA50" s="575">
        <f t="shared" si="15"/>
        <v>4430199</v>
      </c>
      <c r="BB50" s="575">
        <f t="shared" si="15"/>
        <v>4430199</v>
      </c>
      <c r="BC50" s="575">
        <f t="shared" si="15"/>
        <v>4430199</v>
      </c>
      <c r="BD50" s="575">
        <f t="shared" si="15"/>
        <v>4430199</v>
      </c>
      <c r="BE50" s="575">
        <f t="shared" si="15"/>
        <v>4430199</v>
      </c>
      <c r="BF50" s="575">
        <f t="shared" si="15"/>
        <v>4430199</v>
      </c>
      <c r="BG50" s="575">
        <f t="shared" si="15"/>
        <v>5872507</v>
      </c>
      <c r="BH50" s="575">
        <f t="shared" si="15"/>
        <v>5872507</v>
      </c>
      <c r="BI50" s="575">
        <f t="shared" si="15"/>
        <v>5872507</v>
      </c>
      <c r="BJ50" s="575">
        <f t="shared" si="15"/>
        <v>5872507</v>
      </c>
      <c r="BK50" s="575">
        <f t="shared" si="15"/>
        <v>5872507</v>
      </c>
      <c r="BL50" s="575">
        <f t="shared" si="15"/>
        <v>5872510</v>
      </c>
    </row>
    <row r="51" spans="1:64" x14ac:dyDescent="0.2">
      <c r="A51" s="567" t="s">
        <v>100</v>
      </c>
      <c r="B51" s="567"/>
      <c r="C51" s="568"/>
      <c r="D51" s="567" t="s">
        <v>366</v>
      </c>
      <c r="E51" s="576">
        <f t="shared" ref="E51:BL51" si="16">E23</f>
        <v>0</v>
      </c>
      <c r="F51" s="576">
        <f t="shared" si="16"/>
        <v>0</v>
      </c>
      <c r="G51" s="576">
        <f t="shared" si="16"/>
        <v>0</v>
      </c>
      <c r="H51" s="576">
        <f t="shared" si="16"/>
        <v>0</v>
      </c>
      <c r="I51" s="576">
        <f t="shared" si="16"/>
        <v>0</v>
      </c>
      <c r="J51" s="576">
        <f t="shared" si="16"/>
        <v>0</v>
      </c>
      <c r="K51" s="576">
        <f t="shared" si="16"/>
        <v>0</v>
      </c>
      <c r="L51" s="576">
        <f t="shared" si="16"/>
        <v>0</v>
      </c>
      <c r="M51" s="576">
        <f t="shared" si="16"/>
        <v>0</v>
      </c>
      <c r="N51" s="576">
        <f t="shared" si="16"/>
        <v>0</v>
      </c>
      <c r="O51" s="576">
        <f t="shared" si="16"/>
        <v>0</v>
      </c>
      <c r="P51" s="576">
        <f t="shared" si="16"/>
        <v>0</v>
      </c>
      <c r="Q51" s="576">
        <f t="shared" si="16"/>
        <v>0</v>
      </c>
      <c r="R51" s="576">
        <f t="shared" si="16"/>
        <v>0</v>
      </c>
      <c r="S51" s="576">
        <f t="shared" si="16"/>
        <v>0</v>
      </c>
      <c r="T51" s="576">
        <f t="shared" si="16"/>
        <v>0</v>
      </c>
      <c r="U51" s="576">
        <f t="shared" si="16"/>
        <v>0</v>
      </c>
      <c r="V51" s="576">
        <f t="shared" si="16"/>
        <v>0</v>
      </c>
      <c r="W51" s="576">
        <f t="shared" si="16"/>
        <v>0</v>
      </c>
      <c r="X51" s="576">
        <f t="shared" si="16"/>
        <v>0</v>
      </c>
      <c r="Y51" s="576">
        <f t="shared" si="16"/>
        <v>0</v>
      </c>
      <c r="Z51" s="576">
        <f t="shared" si="16"/>
        <v>0</v>
      </c>
      <c r="AA51" s="576">
        <f t="shared" si="16"/>
        <v>0</v>
      </c>
      <c r="AB51" s="576">
        <f t="shared" si="16"/>
        <v>0</v>
      </c>
      <c r="AC51" s="576">
        <f t="shared" si="16"/>
        <v>0</v>
      </c>
      <c r="AD51" s="576">
        <f t="shared" si="16"/>
        <v>0</v>
      </c>
      <c r="AE51" s="576">
        <f t="shared" si="16"/>
        <v>0</v>
      </c>
      <c r="AF51" s="576">
        <f t="shared" si="16"/>
        <v>0</v>
      </c>
      <c r="AG51" s="576">
        <f t="shared" si="16"/>
        <v>0</v>
      </c>
      <c r="AH51" s="576">
        <f t="shared" si="16"/>
        <v>0</v>
      </c>
      <c r="AI51" s="576">
        <f t="shared" si="16"/>
        <v>0</v>
      </c>
      <c r="AJ51" s="576">
        <f t="shared" si="16"/>
        <v>0</v>
      </c>
      <c r="AK51" s="576">
        <f t="shared" si="16"/>
        <v>0</v>
      </c>
      <c r="AL51" s="576">
        <f t="shared" si="16"/>
        <v>0</v>
      </c>
      <c r="AM51" s="576">
        <f t="shared" si="16"/>
        <v>0</v>
      </c>
      <c r="AN51" s="576">
        <f t="shared" si="16"/>
        <v>0</v>
      </c>
      <c r="AO51" s="576">
        <f t="shared" si="16"/>
        <v>0</v>
      </c>
      <c r="AP51" s="576">
        <f t="shared" si="16"/>
        <v>0</v>
      </c>
      <c r="AQ51" s="576">
        <f t="shared" si="16"/>
        <v>0</v>
      </c>
      <c r="AR51" s="576">
        <f t="shared" si="16"/>
        <v>0</v>
      </c>
      <c r="AS51" s="576">
        <f t="shared" si="16"/>
        <v>0</v>
      </c>
      <c r="AT51" s="576">
        <f t="shared" si="16"/>
        <v>0</v>
      </c>
      <c r="AU51" s="576">
        <f t="shared" si="16"/>
        <v>0</v>
      </c>
      <c r="AV51" s="576">
        <f t="shared" si="16"/>
        <v>0</v>
      </c>
      <c r="AW51" s="576">
        <f t="shared" si="16"/>
        <v>0</v>
      </c>
      <c r="AX51" s="576">
        <f t="shared" si="16"/>
        <v>0</v>
      </c>
      <c r="AY51" s="576">
        <f t="shared" si="16"/>
        <v>0</v>
      </c>
      <c r="AZ51" s="576">
        <f t="shared" si="16"/>
        <v>0</v>
      </c>
      <c r="BA51" s="576">
        <f t="shared" si="16"/>
        <v>0</v>
      </c>
      <c r="BB51" s="576">
        <f t="shared" si="16"/>
        <v>0</v>
      </c>
      <c r="BC51" s="576">
        <f t="shared" si="16"/>
        <v>0</v>
      </c>
      <c r="BD51" s="576">
        <f t="shared" si="16"/>
        <v>0</v>
      </c>
      <c r="BE51" s="576">
        <f t="shared" si="16"/>
        <v>0</v>
      </c>
      <c r="BF51" s="576">
        <f t="shared" si="16"/>
        <v>0</v>
      </c>
      <c r="BG51" s="576">
        <f t="shared" si="16"/>
        <v>0</v>
      </c>
      <c r="BH51" s="576">
        <f t="shared" si="16"/>
        <v>0</v>
      </c>
      <c r="BI51" s="576">
        <f t="shared" si="16"/>
        <v>0</v>
      </c>
      <c r="BJ51" s="576">
        <f t="shared" si="16"/>
        <v>0</v>
      </c>
      <c r="BK51" s="576">
        <f t="shared" si="16"/>
        <v>0</v>
      </c>
      <c r="BL51" s="576">
        <f t="shared" si="16"/>
        <v>0</v>
      </c>
    </row>
    <row r="52" spans="1:64" x14ac:dyDescent="0.2">
      <c r="A52" s="567"/>
      <c r="B52" s="567"/>
      <c r="C52" s="567"/>
      <c r="D52" s="567"/>
      <c r="E52" s="567"/>
      <c r="F52" s="567"/>
      <c r="G52" s="567"/>
      <c r="H52" s="567"/>
      <c r="I52" s="567"/>
      <c r="J52" s="567"/>
      <c r="K52" s="567"/>
      <c r="L52" s="567"/>
      <c r="M52" s="567"/>
      <c r="N52" s="567"/>
      <c r="O52" s="567"/>
      <c r="P52" s="567"/>
      <c r="Q52" s="567"/>
      <c r="R52" s="567"/>
      <c r="S52" s="567"/>
      <c r="T52" s="567"/>
      <c r="U52" s="567"/>
      <c r="V52" s="567"/>
      <c r="W52" s="567"/>
      <c r="X52" s="567"/>
      <c r="Y52" s="567"/>
      <c r="Z52" s="567"/>
      <c r="AA52" s="567"/>
      <c r="AB52" s="567"/>
      <c r="AC52" s="567"/>
      <c r="AD52" s="567"/>
      <c r="AE52" s="567"/>
      <c r="AF52" s="567"/>
      <c r="AG52" s="567"/>
      <c r="AH52" s="567"/>
      <c r="AI52" s="567"/>
      <c r="AJ52" s="567"/>
      <c r="AK52" s="567"/>
      <c r="AL52" s="567"/>
      <c r="AM52" s="567"/>
      <c r="AN52" s="567"/>
      <c r="AO52" s="567"/>
      <c r="AP52" s="567"/>
      <c r="AQ52" s="567"/>
      <c r="AR52" s="567"/>
      <c r="AS52" s="567"/>
      <c r="AT52" s="567"/>
      <c r="AU52" s="567"/>
      <c r="AV52" s="567"/>
      <c r="AW52" s="567"/>
      <c r="AX52" s="567"/>
      <c r="AY52" s="567"/>
      <c r="AZ52" s="567"/>
      <c r="BA52" s="567"/>
      <c r="BB52" s="567"/>
      <c r="BC52" s="567"/>
      <c r="BD52" s="567"/>
      <c r="BE52" s="567"/>
      <c r="BF52" s="567"/>
      <c r="BG52" s="567"/>
      <c r="BH52" s="567"/>
      <c r="BI52" s="567"/>
      <c r="BJ52" s="567"/>
      <c r="BK52" s="567"/>
      <c r="BL52" s="567"/>
    </row>
    <row r="53" spans="1:64" x14ac:dyDescent="0.2">
      <c r="A53" s="550" t="s">
        <v>367</v>
      </c>
      <c r="B53" s="567"/>
      <c r="C53" s="567"/>
      <c r="D53" s="567"/>
      <c r="E53" s="567"/>
      <c r="F53" s="567"/>
      <c r="G53" s="567"/>
      <c r="H53" s="567"/>
      <c r="I53" s="567"/>
      <c r="J53" s="567"/>
      <c r="K53" s="567"/>
      <c r="L53" s="567"/>
      <c r="M53" s="567"/>
      <c r="N53" s="567"/>
      <c r="O53" s="567"/>
      <c r="P53" s="567"/>
      <c r="Q53" s="567"/>
      <c r="R53" s="567"/>
      <c r="S53" s="567"/>
      <c r="T53" s="567"/>
      <c r="U53" s="567"/>
      <c r="V53" s="567"/>
      <c r="W53" s="567"/>
      <c r="X53" s="567"/>
      <c r="Y53" s="567"/>
      <c r="Z53" s="567"/>
      <c r="AA53" s="567"/>
      <c r="AB53" s="567"/>
      <c r="AC53" s="567"/>
      <c r="AD53" s="567"/>
      <c r="AE53" s="567"/>
      <c r="AF53" s="567"/>
      <c r="AG53" s="567"/>
      <c r="AH53" s="567"/>
      <c r="AI53" s="567"/>
      <c r="AJ53" s="567"/>
      <c r="AK53" s="567"/>
      <c r="AL53" s="567"/>
      <c r="AM53" s="567"/>
      <c r="AN53" s="567"/>
      <c r="AO53" s="567"/>
      <c r="AP53" s="567"/>
      <c r="AQ53" s="567"/>
      <c r="AR53" s="567"/>
      <c r="AS53" s="567"/>
      <c r="AT53" s="567"/>
      <c r="AU53" s="567"/>
      <c r="AV53" s="567"/>
      <c r="AW53" s="567"/>
      <c r="AX53" s="567"/>
      <c r="AY53" s="567"/>
      <c r="AZ53" s="567"/>
      <c r="BA53" s="567"/>
      <c r="BB53" s="567"/>
      <c r="BC53" s="567"/>
      <c r="BD53" s="567"/>
      <c r="BE53" s="567"/>
      <c r="BF53" s="567"/>
      <c r="BG53" s="567"/>
      <c r="BH53" s="567"/>
      <c r="BI53" s="567"/>
      <c r="BJ53" s="567"/>
      <c r="BK53" s="567"/>
      <c r="BL53" s="567"/>
    </row>
    <row r="54" spans="1:64" x14ac:dyDescent="0.2">
      <c r="A54" s="567" t="s">
        <v>352</v>
      </c>
      <c r="B54" s="567"/>
      <c r="C54" s="568" t="s">
        <v>41</v>
      </c>
      <c r="D54" s="567"/>
      <c r="E54" s="577">
        <f>E30*E42</f>
        <v>0</v>
      </c>
      <c r="F54" s="577">
        <f t="shared" ref="F54:BL54" si="17">F30*F42</f>
        <v>0</v>
      </c>
      <c r="G54" s="577">
        <f t="shared" si="17"/>
        <v>0</v>
      </c>
      <c r="H54" s="577">
        <f t="shared" si="17"/>
        <v>918.31</v>
      </c>
      <c r="I54" s="577">
        <f t="shared" si="17"/>
        <v>918.31</v>
      </c>
      <c r="J54" s="577">
        <f t="shared" si="17"/>
        <v>918.31</v>
      </c>
      <c r="K54" s="577">
        <f t="shared" si="17"/>
        <v>918.31</v>
      </c>
      <c r="L54" s="577">
        <f t="shared" si="17"/>
        <v>918.31</v>
      </c>
      <c r="M54" s="577">
        <f t="shared" si="17"/>
        <v>918.31</v>
      </c>
      <c r="N54" s="577">
        <f t="shared" si="17"/>
        <v>918.31</v>
      </c>
      <c r="O54" s="577">
        <f t="shared" si="17"/>
        <v>918.31</v>
      </c>
      <c r="P54" s="577">
        <f t="shared" si="17"/>
        <v>918.31</v>
      </c>
      <c r="Q54" s="577">
        <f t="shared" si="17"/>
        <v>918.31</v>
      </c>
      <c r="R54" s="577">
        <f t="shared" si="17"/>
        <v>918.31</v>
      </c>
      <c r="S54" s="577">
        <f t="shared" si="17"/>
        <v>918.31</v>
      </c>
      <c r="T54" s="577">
        <f t="shared" si="17"/>
        <v>918.31</v>
      </c>
      <c r="U54" s="577">
        <f t="shared" si="17"/>
        <v>918.31</v>
      </c>
      <c r="V54" s="577">
        <f t="shared" si="17"/>
        <v>918.31</v>
      </c>
      <c r="W54" s="577">
        <f t="shared" si="17"/>
        <v>918.31</v>
      </c>
      <c r="X54" s="577">
        <f t="shared" si="17"/>
        <v>918.31</v>
      </c>
      <c r="Y54" s="577">
        <f t="shared" si="17"/>
        <v>918.31</v>
      </c>
      <c r="Z54" s="577">
        <f t="shared" si="17"/>
        <v>918.31</v>
      </c>
      <c r="AA54" s="577">
        <f t="shared" si="17"/>
        <v>918.31</v>
      </c>
      <c r="AB54" s="577">
        <f t="shared" si="17"/>
        <v>918.31</v>
      </c>
      <c r="AC54" s="577">
        <f t="shared" si="17"/>
        <v>918.31</v>
      </c>
      <c r="AD54" s="577">
        <f t="shared" si="17"/>
        <v>918.31</v>
      </c>
      <c r="AE54" s="577">
        <f t="shared" si="17"/>
        <v>918.31</v>
      </c>
      <c r="AF54" s="577">
        <f t="shared" si="17"/>
        <v>918.31</v>
      </c>
      <c r="AG54" s="577">
        <f t="shared" si="17"/>
        <v>918.31</v>
      </c>
      <c r="AH54" s="577">
        <f t="shared" si="17"/>
        <v>918.31</v>
      </c>
      <c r="AI54" s="577">
        <f t="shared" si="17"/>
        <v>918.31</v>
      </c>
      <c r="AJ54" s="577">
        <f t="shared" si="17"/>
        <v>918.31</v>
      </c>
      <c r="AK54" s="577">
        <f t="shared" si="17"/>
        <v>918.31</v>
      </c>
      <c r="AL54" s="577">
        <f t="shared" si="17"/>
        <v>918.31</v>
      </c>
      <c r="AM54" s="577">
        <f t="shared" si="17"/>
        <v>918.31</v>
      </c>
      <c r="AN54" s="577">
        <f t="shared" si="17"/>
        <v>918.31</v>
      </c>
      <c r="AO54" s="577">
        <f t="shared" si="17"/>
        <v>918.31</v>
      </c>
      <c r="AP54" s="577">
        <f t="shared" si="17"/>
        <v>918.31</v>
      </c>
      <c r="AQ54" s="577">
        <f t="shared" si="17"/>
        <v>918.31</v>
      </c>
      <c r="AR54" s="577">
        <f t="shared" si="17"/>
        <v>918.31</v>
      </c>
      <c r="AS54" s="577">
        <f t="shared" si="17"/>
        <v>918.31</v>
      </c>
      <c r="AT54" s="577">
        <f t="shared" si="17"/>
        <v>918.31</v>
      </c>
      <c r="AU54" s="577">
        <f t="shared" si="17"/>
        <v>918.31</v>
      </c>
      <c r="AV54" s="577">
        <f t="shared" si="17"/>
        <v>918.31</v>
      </c>
      <c r="AW54" s="577">
        <f t="shared" si="17"/>
        <v>918.31</v>
      </c>
      <c r="AX54" s="577">
        <f t="shared" si="17"/>
        <v>918.31</v>
      </c>
      <c r="AY54" s="577">
        <f t="shared" si="17"/>
        <v>918.31</v>
      </c>
      <c r="AZ54" s="577">
        <f t="shared" si="17"/>
        <v>918.31</v>
      </c>
      <c r="BA54" s="577">
        <f t="shared" si="17"/>
        <v>918.31</v>
      </c>
      <c r="BB54" s="577">
        <f t="shared" si="17"/>
        <v>918.31</v>
      </c>
      <c r="BC54" s="577">
        <f t="shared" si="17"/>
        <v>918.31</v>
      </c>
      <c r="BD54" s="577">
        <f t="shared" si="17"/>
        <v>918.31</v>
      </c>
      <c r="BE54" s="577">
        <f t="shared" si="17"/>
        <v>918.31</v>
      </c>
      <c r="BF54" s="577">
        <f t="shared" si="17"/>
        <v>918.31</v>
      </c>
      <c r="BG54" s="577">
        <f t="shared" si="17"/>
        <v>918.31</v>
      </c>
      <c r="BH54" s="577">
        <f t="shared" si="17"/>
        <v>918.31</v>
      </c>
      <c r="BI54" s="577">
        <f t="shared" si="17"/>
        <v>918.31</v>
      </c>
      <c r="BJ54" s="577">
        <f t="shared" si="17"/>
        <v>918.31</v>
      </c>
      <c r="BK54" s="577">
        <f t="shared" si="17"/>
        <v>918.31</v>
      </c>
      <c r="BL54" s="577">
        <f t="shared" si="17"/>
        <v>918.31</v>
      </c>
    </row>
    <row r="55" spans="1:64" x14ac:dyDescent="0.2">
      <c r="A55" s="567" t="s">
        <v>368</v>
      </c>
      <c r="B55" s="567"/>
      <c r="C55" s="568" t="s">
        <v>41</v>
      </c>
      <c r="D55" s="567"/>
      <c r="E55" s="578">
        <v>0</v>
      </c>
      <c r="F55" s="578">
        <v>0</v>
      </c>
      <c r="G55" s="578">
        <v>0</v>
      </c>
      <c r="H55" s="578">
        <v>0</v>
      </c>
      <c r="I55" s="578">
        <v>0</v>
      </c>
      <c r="J55" s="578">
        <v>0</v>
      </c>
      <c r="K55" s="578">
        <v>0</v>
      </c>
      <c r="L55" s="578">
        <v>0</v>
      </c>
      <c r="M55" s="578">
        <v>0</v>
      </c>
      <c r="N55" s="578">
        <v>0</v>
      </c>
      <c r="O55" s="578">
        <v>0</v>
      </c>
      <c r="P55" s="578">
        <v>0</v>
      </c>
      <c r="Q55" s="578">
        <v>0</v>
      </c>
      <c r="R55" s="578">
        <v>0</v>
      </c>
      <c r="S55" s="578">
        <v>0</v>
      </c>
      <c r="T55" s="578">
        <v>0</v>
      </c>
      <c r="U55" s="578">
        <v>0</v>
      </c>
      <c r="V55" s="578">
        <v>0</v>
      </c>
      <c r="W55" s="578">
        <v>0</v>
      </c>
      <c r="X55" s="578">
        <v>0</v>
      </c>
      <c r="Y55" s="578">
        <v>0</v>
      </c>
      <c r="Z55" s="578">
        <v>0</v>
      </c>
      <c r="AA55" s="578">
        <v>0</v>
      </c>
      <c r="AB55" s="578">
        <v>0</v>
      </c>
      <c r="AC55" s="578">
        <v>0</v>
      </c>
      <c r="AD55" s="578">
        <v>0</v>
      </c>
      <c r="AE55" s="578">
        <v>0</v>
      </c>
      <c r="AF55" s="578">
        <v>0</v>
      </c>
      <c r="AG55" s="578">
        <v>0</v>
      </c>
      <c r="AH55" s="578">
        <v>0</v>
      </c>
      <c r="AI55" s="578">
        <v>0</v>
      </c>
      <c r="AJ55" s="578">
        <v>0</v>
      </c>
      <c r="AK55" s="578">
        <v>0</v>
      </c>
      <c r="AL55" s="578">
        <v>0</v>
      </c>
      <c r="AM55" s="578">
        <v>0</v>
      </c>
      <c r="AN55" s="578">
        <v>0</v>
      </c>
      <c r="AO55" s="578">
        <v>0</v>
      </c>
      <c r="AP55" s="578">
        <v>0</v>
      </c>
      <c r="AQ55" s="578">
        <v>0</v>
      </c>
      <c r="AR55" s="578">
        <v>0</v>
      </c>
      <c r="AS55" s="578">
        <v>0</v>
      </c>
      <c r="AT55" s="578">
        <v>0</v>
      </c>
      <c r="AU55" s="578">
        <v>0</v>
      </c>
      <c r="AV55" s="578">
        <v>0</v>
      </c>
      <c r="AW55" s="578">
        <v>0</v>
      </c>
      <c r="AX55" s="578">
        <v>0</v>
      </c>
      <c r="AY55" s="578">
        <v>0</v>
      </c>
      <c r="AZ55" s="578">
        <v>0</v>
      </c>
      <c r="BA55" s="578">
        <v>0</v>
      </c>
      <c r="BB55" s="578">
        <v>0</v>
      </c>
      <c r="BC55" s="578">
        <v>0</v>
      </c>
      <c r="BD55" s="578">
        <v>0</v>
      </c>
      <c r="BE55" s="578">
        <v>0</v>
      </c>
      <c r="BF55" s="578">
        <v>0</v>
      </c>
      <c r="BG55" s="578">
        <v>0</v>
      </c>
      <c r="BH55" s="578">
        <v>0</v>
      </c>
      <c r="BI55" s="578">
        <v>0</v>
      </c>
      <c r="BJ55" s="578">
        <v>0</v>
      </c>
      <c r="BK55" s="578">
        <v>0</v>
      </c>
      <c r="BL55" s="578">
        <v>0</v>
      </c>
    </row>
    <row r="56" spans="1:64" x14ac:dyDescent="0.2">
      <c r="A56" s="567" t="s">
        <v>354</v>
      </c>
      <c r="B56" s="567"/>
      <c r="C56" s="567"/>
      <c r="D56" s="567"/>
      <c r="E56" s="577"/>
      <c r="F56" s="577"/>
      <c r="G56" s="577"/>
      <c r="H56" s="577"/>
      <c r="I56" s="577"/>
      <c r="J56" s="577"/>
      <c r="K56" s="577"/>
      <c r="L56" s="577"/>
      <c r="M56" s="577"/>
      <c r="N56" s="577"/>
      <c r="O56" s="577"/>
      <c r="P56" s="577"/>
      <c r="Q56" s="577"/>
      <c r="R56" s="577"/>
      <c r="S56" s="577"/>
      <c r="T56" s="577"/>
      <c r="U56" s="577"/>
      <c r="V56" s="577"/>
      <c r="W56" s="577"/>
      <c r="X56" s="577"/>
      <c r="Y56" s="577"/>
      <c r="Z56" s="577"/>
      <c r="AA56" s="577"/>
      <c r="AB56" s="577"/>
      <c r="AC56" s="577"/>
      <c r="AD56" s="577"/>
      <c r="AE56" s="577"/>
      <c r="AF56" s="577"/>
      <c r="AG56" s="577"/>
      <c r="AH56" s="577"/>
      <c r="AI56" s="577"/>
      <c r="AJ56" s="577"/>
      <c r="AK56" s="577"/>
      <c r="AL56" s="577"/>
      <c r="AM56" s="577"/>
      <c r="AN56" s="577"/>
      <c r="AO56" s="577"/>
      <c r="AP56" s="577"/>
      <c r="AQ56" s="577"/>
      <c r="AR56" s="577"/>
      <c r="AS56" s="577"/>
      <c r="AT56" s="577"/>
      <c r="AU56" s="577"/>
      <c r="AV56" s="577"/>
      <c r="AW56" s="577"/>
      <c r="AX56" s="577"/>
      <c r="AY56" s="577"/>
      <c r="AZ56" s="577"/>
      <c r="BA56" s="577"/>
      <c r="BB56" s="577"/>
      <c r="BC56" s="577"/>
      <c r="BD56" s="577"/>
      <c r="BE56" s="577"/>
      <c r="BF56" s="577"/>
      <c r="BG56" s="577"/>
      <c r="BH56" s="577"/>
      <c r="BI56" s="577"/>
      <c r="BJ56" s="577"/>
      <c r="BK56" s="577"/>
      <c r="BL56" s="577"/>
    </row>
    <row r="57" spans="1:64" x14ac:dyDescent="0.2">
      <c r="A57" s="567"/>
      <c r="B57" s="567" t="s">
        <v>355</v>
      </c>
      <c r="C57" s="568" t="s">
        <v>41</v>
      </c>
      <c r="D57" s="567"/>
      <c r="E57" s="577">
        <f t="shared" ref="E57:BL61" si="18">E32*E44</f>
        <v>0</v>
      </c>
      <c r="F57" s="577">
        <f t="shared" si="18"/>
        <v>0</v>
      </c>
      <c r="G57" s="577">
        <f t="shared" si="18"/>
        <v>0</v>
      </c>
      <c r="H57" s="577">
        <f t="shared" si="18"/>
        <v>4383.25</v>
      </c>
      <c r="I57" s="577">
        <f t="shared" si="18"/>
        <v>4383.25</v>
      </c>
      <c r="J57" s="577">
        <f t="shared" si="18"/>
        <v>4383.25</v>
      </c>
      <c r="K57" s="577">
        <f t="shared" si="18"/>
        <v>4383.25</v>
      </c>
      <c r="L57" s="577">
        <f t="shared" si="18"/>
        <v>4383.25</v>
      </c>
      <c r="M57" s="577">
        <f t="shared" si="18"/>
        <v>4383.25</v>
      </c>
      <c r="N57" s="577">
        <f t="shared" si="18"/>
        <v>4383.25</v>
      </c>
      <c r="O57" s="577">
        <f t="shared" si="18"/>
        <v>4383.25</v>
      </c>
      <c r="P57" s="577">
        <f t="shared" si="18"/>
        <v>4383.25</v>
      </c>
      <c r="Q57" s="577">
        <f t="shared" si="18"/>
        <v>4383.25</v>
      </c>
      <c r="R57" s="577">
        <f t="shared" si="18"/>
        <v>4383.25</v>
      </c>
      <c r="S57" s="577">
        <f t="shared" si="18"/>
        <v>4383.25</v>
      </c>
      <c r="T57" s="577">
        <f t="shared" si="18"/>
        <v>4383.25</v>
      </c>
      <c r="U57" s="577">
        <f t="shared" si="18"/>
        <v>4383.25</v>
      </c>
      <c r="V57" s="577">
        <f t="shared" si="18"/>
        <v>4383.25</v>
      </c>
      <c r="W57" s="577">
        <f t="shared" si="18"/>
        <v>4383.25</v>
      </c>
      <c r="X57" s="577">
        <f t="shared" si="18"/>
        <v>4383.25</v>
      </c>
      <c r="Y57" s="577">
        <f t="shared" si="18"/>
        <v>4383.25</v>
      </c>
      <c r="Z57" s="577">
        <f t="shared" si="18"/>
        <v>4383.25</v>
      </c>
      <c r="AA57" s="577">
        <f t="shared" si="18"/>
        <v>4383.25</v>
      </c>
      <c r="AB57" s="577">
        <f t="shared" si="18"/>
        <v>4383.25</v>
      </c>
      <c r="AC57" s="577">
        <f t="shared" si="18"/>
        <v>4383.25</v>
      </c>
      <c r="AD57" s="577">
        <f t="shared" si="18"/>
        <v>4383.25</v>
      </c>
      <c r="AE57" s="577">
        <f t="shared" si="18"/>
        <v>4383.25</v>
      </c>
      <c r="AF57" s="577">
        <f t="shared" si="18"/>
        <v>4383.25</v>
      </c>
      <c r="AG57" s="577">
        <f t="shared" si="18"/>
        <v>4383.25</v>
      </c>
      <c r="AH57" s="577">
        <f t="shared" si="18"/>
        <v>4383.25</v>
      </c>
      <c r="AI57" s="577">
        <f t="shared" si="18"/>
        <v>4383.25</v>
      </c>
      <c r="AJ57" s="577">
        <f t="shared" si="18"/>
        <v>4383.25</v>
      </c>
      <c r="AK57" s="577">
        <f t="shared" si="18"/>
        <v>4383.25</v>
      </c>
      <c r="AL57" s="577">
        <f t="shared" si="18"/>
        <v>4383.25</v>
      </c>
      <c r="AM57" s="577">
        <f t="shared" si="18"/>
        <v>4383.25</v>
      </c>
      <c r="AN57" s="577">
        <f t="shared" si="18"/>
        <v>4383.25</v>
      </c>
      <c r="AO57" s="577">
        <f t="shared" si="18"/>
        <v>4383.25</v>
      </c>
      <c r="AP57" s="577">
        <f t="shared" si="18"/>
        <v>4383.25</v>
      </c>
      <c r="AQ57" s="577">
        <f t="shared" si="18"/>
        <v>4383.25</v>
      </c>
      <c r="AR57" s="577">
        <f t="shared" si="18"/>
        <v>4383.25</v>
      </c>
      <c r="AS57" s="577">
        <f t="shared" si="18"/>
        <v>4383.25</v>
      </c>
      <c r="AT57" s="577">
        <f t="shared" si="18"/>
        <v>4383.25</v>
      </c>
      <c r="AU57" s="577">
        <f t="shared" si="18"/>
        <v>4383.25</v>
      </c>
      <c r="AV57" s="577">
        <f t="shared" si="18"/>
        <v>4383.25</v>
      </c>
      <c r="AW57" s="577">
        <f t="shared" si="18"/>
        <v>4383.25</v>
      </c>
      <c r="AX57" s="577">
        <f t="shared" si="18"/>
        <v>4383.25</v>
      </c>
      <c r="AY57" s="577">
        <f t="shared" si="18"/>
        <v>4383.25</v>
      </c>
      <c r="AZ57" s="577">
        <f t="shared" si="18"/>
        <v>4383.25</v>
      </c>
      <c r="BA57" s="577">
        <f t="shared" si="18"/>
        <v>4383.25</v>
      </c>
      <c r="BB57" s="577">
        <f t="shared" si="18"/>
        <v>4383.25</v>
      </c>
      <c r="BC57" s="577">
        <f t="shared" si="18"/>
        <v>4383.25</v>
      </c>
      <c r="BD57" s="577">
        <f t="shared" si="18"/>
        <v>4383.25</v>
      </c>
      <c r="BE57" s="577">
        <f t="shared" si="18"/>
        <v>4383.25</v>
      </c>
      <c r="BF57" s="577">
        <f t="shared" si="18"/>
        <v>4383.25</v>
      </c>
      <c r="BG57" s="577">
        <f t="shared" si="18"/>
        <v>4383.25</v>
      </c>
      <c r="BH57" s="577">
        <f t="shared" si="18"/>
        <v>4383.25</v>
      </c>
      <c r="BI57" s="577">
        <f t="shared" si="18"/>
        <v>4383.25</v>
      </c>
      <c r="BJ57" s="577">
        <f t="shared" si="18"/>
        <v>4383.25</v>
      </c>
      <c r="BK57" s="577">
        <f t="shared" si="18"/>
        <v>4383.25</v>
      </c>
      <c r="BL57" s="577">
        <f t="shared" si="18"/>
        <v>4383.25</v>
      </c>
    </row>
    <row r="58" spans="1:64" x14ac:dyDescent="0.2">
      <c r="A58" s="567"/>
      <c r="B58" s="567" t="s">
        <v>357</v>
      </c>
      <c r="C58" s="568" t="s">
        <v>41</v>
      </c>
      <c r="D58" s="567"/>
      <c r="E58" s="577">
        <f t="shared" si="18"/>
        <v>0</v>
      </c>
      <c r="F58" s="577">
        <f t="shared" si="18"/>
        <v>0</v>
      </c>
      <c r="G58" s="577">
        <f t="shared" si="18"/>
        <v>0</v>
      </c>
      <c r="H58" s="577">
        <f t="shared" si="18"/>
        <v>2648.75</v>
      </c>
      <c r="I58" s="577">
        <f t="shared" si="18"/>
        <v>2648.75</v>
      </c>
      <c r="J58" s="577">
        <f t="shared" si="18"/>
        <v>2648.75</v>
      </c>
      <c r="K58" s="577">
        <f t="shared" si="18"/>
        <v>2648.75</v>
      </c>
      <c r="L58" s="577">
        <f t="shared" si="18"/>
        <v>2648.75</v>
      </c>
      <c r="M58" s="577">
        <f t="shared" si="18"/>
        <v>2648.75</v>
      </c>
      <c r="N58" s="577">
        <f t="shared" si="18"/>
        <v>2648.75</v>
      </c>
      <c r="O58" s="577">
        <f t="shared" si="18"/>
        <v>2648.75</v>
      </c>
      <c r="P58" s="577">
        <f t="shared" si="18"/>
        <v>2648.75</v>
      </c>
      <c r="Q58" s="577">
        <f t="shared" si="18"/>
        <v>2648.75</v>
      </c>
      <c r="R58" s="577">
        <f t="shared" si="18"/>
        <v>2648.75</v>
      </c>
      <c r="S58" s="577">
        <f t="shared" si="18"/>
        <v>2648.75</v>
      </c>
      <c r="T58" s="577">
        <f t="shared" si="18"/>
        <v>2648.75</v>
      </c>
      <c r="U58" s="577">
        <f t="shared" si="18"/>
        <v>2648.75</v>
      </c>
      <c r="V58" s="577">
        <f t="shared" si="18"/>
        <v>2648.75</v>
      </c>
      <c r="W58" s="577">
        <f t="shared" si="18"/>
        <v>2648.75</v>
      </c>
      <c r="X58" s="577">
        <f t="shared" si="18"/>
        <v>2648.75</v>
      </c>
      <c r="Y58" s="577">
        <f t="shared" si="18"/>
        <v>2648.75</v>
      </c>
      <c r="Z58" s="577">
        <f t="shared" si="18"/>
        <v>2648.75</v>
      </c>
      <c r="AA58" s="577">
        <f t="shared" si="18"/>
        <v>2648.75</v>
      </c>
      <c r="AB58" s="577">
        <f t="shared" si="18"/>
        <v>2648.75</v>
      </c>
      <c r="AC58" s="577">
        <f t="shared" si="18"/>
        <v>2648.75</v>
      </c>
      <c r="AD58" s="577">
        <f t="shared" si="18"/>
        <v>2648.75</v>
      </c>
      <c r="AE58" s="577">
        <f t="shared" si="18"/>
        <v>2648.75</v>
      </c>
      <c r="AF58" s="577">
        <f t="shared" si="18"/>
        <v>2648.75</v>
      </c>
      <c r="AG58" s="577">
        <f t="shared" si="18"/>
        <v>2648.75</v>
      </c>
      <c r="AH58" s="577">
        <f t="shared" si="18"/>
        <v>2648.75</v>
      </c>
      <c r="AI58" s="577">
        <f t="shared" si="18"/>
        <v>2648.75</v>
      </c>
      <c r="AJ58" s="577">
        <f t="shared" si="18"/>
        <v>2648.75</v>
      </c>
      <c r="AK58" s="577">
        <f t="shared" si="18"/>
        <v>2648.75</v>
      </c>
      <c r="AL58" s="577">
        <f t="shared" si="18"/>
        <v>2648.75</v>
      </c>
      <c r="AM58" s="577">
        <f t="shared" si="18"/>
        <v>2648.75</v>
      </c>
      <c r="AN58" s="577">
        <f t="shared" si="18"/>
        <v>2648.75</v>
      </c>
      <c r="AO58" s="577">
        <f t="shared" si="18"/>
        <v>2648.75</v>
      </c>
      <c r="AP58" s="577">
        <f t="shared" si="18"/>
        <v>2648.75</v>
      </c>
      <c r="AQ58" s="577">
        <f t="shared" si="18"/>
        <v>2648.75</v>
      </c>
      <c r="AR58" s="577">
        <f t="shared" si="18"/>
        <v>2648.75</v>
      </c>
      <c r="AS58" s="577">
        <f t="shared" si="18"/>
        <v>2648.75</v>
      </c>
      <c r="AT58" s="577">
        <f t="shared" si="18"/>
        <v>2648.75</v>
      </c>
      <c r="AU58" s="577">
        <f t="shared" si="18"/>
        <v>2648.75</v>
      </c>
      <c r="AV58" s="577">
        <f t="shared" si="18"/>
        <v>2648.75</v>
      </c>
      <c r="AW58" s="577">
        <f t="shared" si="18"/>
        <v>2648.75</v>
      </c>
      <c r="AX58" s="577">
        <f t="shared" si="18"/>
        <v>2648.75</v>
      </c>
      <c r="AY58" s="577">
        <f t="shared" si="18"/>
        <v>2648.75</v>
      </c>
      <c r="AZ58" s="577">
        <f t="shared" si="18"/>
        <v>2648.75</v>
      </c>
      <c r="BA58" s="577">
        <f t="shared" si="18"/>
        <v>2648.75</v>
      </c>
      <c r="BB58" s="577">
        <f t="shared" si="18"/>
        <v>2648.75</v>
      </c>
      <c r="BC58" s="577">
        <f t="shared" si="18"/>
        <v>2648.75</v>
      </c>
      <c r="BD58" s="577">
        <f t="shared" si="18"/>
        <v>2648.75</v>
      </c>
      <c r="BE58" s="577">
        <f t="shared" si="18"/>
        <v>2648.75</v>
      </c>
      <c r="BF58" s="577">
        <f t="shared" si="18"/>
        <v>2648.75</v>
      </c>
      <c r="BG58" s="577">
        <f t="shared" si="18"/>
        <v>2648.75</v>
      </c>
      <c r="BH58" s="577">
        <f t="shared" si="18"/>
        <v>2648.75</v>
      </c>
      <c r="BI58" s="577">
        <f t="shared" si="18"/>
        <v>2648.75</v>
      </c>
      <c r="BJ58" s="577">
        <f t="shared" si="18"/>
        <v>2648.75</v>
      </c>
      <c r="BK58" s="577">
        <f t="shared" si="18"/>
        <v>2648.75</v>
      </c>
      <c r="BL58" s="577">
        <f t="shared" si="18"/>
        <v>2648.75</v>
      </c>
    </row>
    <row r="59" spans="1:64" x14ac:dyDescent="0.2">
      <c r="A59" s="567"/>
      <c r="B59" s="567" t="s">
        <v>358</v>
      </c>
      <c r="C59" s="568" t="s">
        <v>41</v>
      </c>
      <c r="D59" s="567"/>
      <c r="E59" s="577">
        <f t="shared" si="18"/>
        <v>0</v>
      </c>
      <c r="F59" s="577">
        <f t="shared" si="18"/>
        <v>0</v>
      </c>
      <c r="G59" s="577">
        <f t="shared" si="18"/>
        <v>0</v>
      </c>
      <c r="H59" s="577">
        <f t="shared" si="18"/>
        <v>3370.9999999999995</v>
      </c>
      <c r="I59" s="577">
        <f t="shared" si="18"/>
        <v>3370.9999999999995</v>
      </c>
      <c r="J59" s="577">
        <f t="shared" si="18"/>
        <v>3370.9999999999995</v>
      </c>
      <c r="K59" s="577">
        <f t="shared" si="18"/>
        <v>3370.9999999999995</v>
      </c>
      <c r="L59" s="577">
        <f t="shared" si="18"/>
        <v>3370.9999999999995</v>
      </c>
      <c r="M59" s="577">
        <f t="shared" si="18"/>
        <v>3370.9999999999995</v>
      </c>
      <c r="N59" s="577">
        <f t="shared" si="18"/>
        <v>3370.9999999999995</v>
      </c>
      <c r="O59" s="577">
        <f t="shared" si="18"/>
        <v>3370.9999999999995</v>
      </c>
      <c r="P59" s="577">
        <f t="shared" si="18"/>
        <v>3370.9999999999995</v>
      </c>
      <c r="Q59" s="577">
        <f t="shared" si="18"/>
        <v>3370.9999999999995</v>
      </c>
      <c r="R59" s="577">
        <f t="shared" si="18"/>
        <v>3370.9999999999995</v>
      </c>
      <c r="S59" s="577">
        <f t="shared" si="18"/>
        <v>3370.9999999999995</v>
      </c>
      <c r="T59" s="577">
        <f t="shared" si="18"/>
        <v>3370.9999999999995</v>
      </c>
      <c r="U59" s="577">
        <f t="shared" si="18"/>
        <v>3370.9999999999995</v>
      </c>
      <c r="V59" s="577">
        <f t="shared" si="18"/>
        <v>3370.9999999999995</v>
      </c>
      <c r="W59" s="577">
        <f t="shared" si="18"/>
        <v>3370.9999999999995</v>
      </c>
      <c r="X59" s="577">
        <f t="shared" si="18"/>
        <v>3370.9999999999995</v>
      </c>
      <c r="Y59" s="577">
        <f t="shared" si="18"/>
        <v>3370.9999999999995</v>
      </c>
      <c r="Z59" s="577">
        <f t="shared" si="18"/>
        <v>3370.9999999999995</v>
      </c>
      <c r="AA59" s="577">
        <f t="shared" si="18"/>
        <v>3370.9999999999995</v>
      </c>
      <c r="AB59" s="577">
        <f t="shared" si="18"/>
        <v>3370.9999999999995</v>
      </c>
      <c r="AC59" s="577">
        <f t="shared" si="18"/>
        <v>3370.9999999999995</v>
      </c>
      <c r="AD59" s="577">
        <f t="shared" si="18"/>
        <v>3370.9999999999995</v>
      </c>
      <c r="AE59" s="577">
        <f t="shared" si="18"/>
        <v>3370.9999999999995</v>
      </c>
      <c r="AF59" s="577">
        <f t="shared" si="18"/>
        <v>3370.9999999999995</v>
      </c>
      <c r="AG59" s="577">
        <f t="shared" si="18"/>
        <v>3370.9999999999995</v>
      </c>
      <c r="AH59" s="577">
        <f t="shared" si="18"/>
        <v>3370.9999999999995</v>
      </c>
      <c r="AI59" s="577">
        <f t="shared" si="18"/>
        <v>3370.9999999999995</v>
      </c>
      <c r="AJ59" s="577">
        <f t="shared" si="18"/>
        <v>3370.9999999999995</v>
      </c>
      <c r="AK59" s="577">
        <f t="shared" si="18"/>
        <v>3370.9999999999995</v>
      </c>
      <c r="AL59" s="577">
        <f t="shared" si="18"/>
        <v>3370.9999999999995</v>
      </c>
      <c r="AM59" s="577">
        <f t="shared" si="18"/>
        <v>3370.9999999999995</v>
      </c>
      <c r="AN59" s="577">
        <f t="shared" si="18"/>
        <v>3370.9999999999995</v>
      </c>
      <c r="AO59" s="577">
        <f t="shared" si="18"/>
        <v>3370.9999999999995</v>
      </c>
      <c r="AP59" s="577">
        <f t="shared" si="18"/>
        <v>3370.9999999999995</v>
      </c>
      <c r="AQ59" s="577">
        <f t="shared" si="18"/>
        <v>3370.9999999999995</v>
      </c>
      <c r="AR59" s="577">
        <f t="shared" si="18"/>
        <v>3370.9999999999995</v>
      </c>
      <c r="AS59" s="577">
        <f t="shared" si="18"/>
        <v>3370.9999999999995</v>
      </c>
      <c r="AT59" s="577">
        <f t="shared" si="18"/>
        <v>3370.9999999999995</v>
      </c>
      <c r="AU59" s="577">
        <f t="shared" si="18"/>
        <v>3370.9999999999995</v>
      </c>
      <c r="AV59" s="577">
        <f t="shared" si="18"/>
        <v>3370.9999999999995</v>
      </c>
      <c r="AW59" s="577">
        <f t="shared" si="18"/>
        <v>3370.9999999999995</v>
      </c>
      <c r="AX59" s="577">
        <f t="shared" si="18"/>
        <v>3370.9999999999995</v>
      </c>
      <c r="AY59" s="577">
        <f t="shared" si="18"/>
        <v>3370.9999999999995</v>
      </c>
      <c r="AZ59" s="577">
        <f t="shared" si="18"/>
        <v>3370.9999999999995</v>
      </c>
      <c r="BA59" s="577">
        <f t="shared" si="18"/>
        <v>3370.9999999999995</v>
      </c>
      <c r="BB59" s="577">
        <f t="shared" si="18"/>
        <v>3370.9999999999995</v>
      </c>
      <c r="BC59" s="577">
        <f t="shared" si="18"/>
        <v>3370.9999999999995</v>
      </c>
      <c r="BD59" s="577">
        <f t="shared" si="18"/>
        <v>3370.9999999999995</v>
      </c>
      <c r="BE59" s="577">
        <f t="shared" si="18"/>
        <v>3370.9999999999995</v>
      </c>
      <c r="BF59" s="577">
        <f t="shared" si="18"/>
        <v>3370.9999999999995</v>
      </c>
      <c r="BG59" s="577">
        <f t="shared" si="18"/>
        <v>3370.9999999999995</v>
      </c>
      <c r="BH59" s="577">
        <f t="shared" si="18"/>
        <v>3370.9999999999995</v>
      </c>
      <c r="BI59" s="577">
        <f t="shared" si="18"/>
        <v>3370.9999999999995</v>
      </c>
      <c r="BJ59" s="577">
        <f t="shared" si="18"/>
        <v>3370.9999999999995</v>
      </c>
      <c r="BK59" s="577">
        <f t="shared" si="18"/>
        <v>3370.9999999999995</v>
      </c>
      <c r="BL59" s="577">
        <f t="shared" si="18"/>
        <v>3370.9999999999995</v>
      </c>
    </row>
    <row r="60" spans="1:64" x14ac:dyDescent="0.2">
      <c r="A60" s="572"/>
      <c r="B60" s="572" t="s">
        <v>359</v>
      </c>
      <c r="C60" s="568" t="s">
        <v>41</v>
      </c>
      <c r="D60" s="572"/>
      <c r="E60" s="579">
        <f t="shared" si="18"/>
        <v>0</v>
      </c>
      <c r="F60" s="579">
        <f t="shared" si="18"/>
        <v>0</v>
      </c>
      <c r="G60" s="579">
        <f t="shared" si="18"/>
        <v>0</v>
      </c>
      <c r="H60" s="579">
        <f t="shared" si="18"/>
        <v>4323</v>
      </c>
      <c r="I60" s="579">
        <f t="shared" si="18"/>
        <v>4323</v>
      </c>
      <c r="J60" s="579">
        <f t="shared" si="18"/>
        <v>4323</v>
      </c>
      <c r="K60" s="579">
        <f t="shared" si="18"/>
        <v>4323</v>
      </c>
      <c r="L60" s="579">
        <f t="shared" si="18"/>
        <v>4323</v>
      </c>
      <c r="M60" s="579">
        <f t="shared" si="18"/>
        <v>4323</v>
      </c>
      <c r="N60" s="579">
        <f t="shared" si="18"/>
        <v>4323</v>
      </c>
      <c r="O60" s="579">
        <f t="shared" si="18"/>
        <v>4323</v>
      </c>
      <c r="P60" s="579">
        <f t="shared" si="18"/>
        <v>4323</v>
      </c>
      <c r="Q60" s="579">
        <f t="shared" si="18"/>
        <v>4323</v>
      </c>
      <c r="R60" s="579">
        <f t="shared" si="18"/>
        <v>4323</v>
      </c>
      <c r="S60" s="579">
        <f t="shared" si="18"/>
        <v>4323</v>
      </c>
      <c r="T60" s="579">
        <f t="shared" si="18"/>
        <v>4323</v>
      </c>
      <c r="U60" s="579">
        <f t="shared" si="18"/>
        <v>4323</v>
      </c>
      <c r="V60" s="579">
        <f t="shared" si="18"/>
        <v>4323</v>
      </c>
      <c r="W60" s="579">
        <f t="shared" si="18"/>
        <v>4323</v>
      </c>
      <c r="X60" s="579">
        <f t="shared" si="18"/>
        <v>4323</v>
      </c>
      <c r="Y60" s="579">
        <f t="shared" si="18"/>
        <v>4323</v>
      </c>
      <c r="Z60" s="579">
        <f t="shared" si="18"/>
        <v>4323</v>
      </c>
      <c r="AA60" s="579">
        <f t="shared" si="18"/>
        <v>4323</v>
      </c>
      <c r="AB60" s="579">
        <f t="shared" si="18"/>
        <v>4323</v>
      </c>
      <c r="AC60" s="579">
        <f t="shared" si="18"/>
        <v>4323</v>
      </c>
      <c r="AD60" s="579">
        <f t="shared" si="18"/>
        <v>4323</v>
      </c>
      <c r="AE60" s="579">
        <f t="shared" si="18"/>
        <v>4323</v>
      </c>
      <c r="AF60" s="579">
        <f t="shared" si="18"/>
        <v>4323</v>
      </c>
      <c r="AG60" s="579">
        <f t="shared" si="18"/>
        <v>4323</v>
      </c>
      <c r="AH60" s="579">
        <f t="shared" si="18"/>
        <v>4323</v>
      </c>
      <c r="AI60" s="579">
        <f t="shared" si="18"/>
        <v>4323</v>
      </c>
      <c r="AJ60" s="579">
        <f t="shared" si="18"/>
        <v>4323</v>
      </c>
      <c r="AK60" s="579">
        <f t="shared" si="18"/>
        <v>4323</v>
      </c>
      <c r="AL60" s="579">
        <f t="shared" si="18"/>
        <v>4323</v>
      </c>
      <c r="AM60" s="579">
        <f t="shared" si="18"/>
        <v>4323</v>
      </c>
      <c r="AN60" s="579">
        <f t="shared" si="18"/>
        <v>4323</v>
      </c>
      <c r="AO60" s="579">
        <f t="shared" si="18"/>
        <v>4323</v>
      </c>
      <c r="AP60" s="579">
        <f t="shared" si="18"/>
        <v>4323</v>
      </c>
      <c r="AQ60" s="579">
        <f t="shared" si="18"/>
        <v>4323</v>
      </c>
      <c r="AR60" s="579">
        <f t="shared" si="18"/>
        <v>4323</v>
      </c>
      <c r="AS60" s="579">
        <f t="shared" si="18"/>
        <v>4323</v>
      </c>
      <c r="AT60" s="579">
        <f t="shared" si="18"/>
        <v>4323</v>
      </c>
      <c r="AU60" s="579">
        <f t="shared" si="18"/>
        <v>4323</v>
      </c>
      <c r="AV60" s="579">
        <f t="shared" si="18"/>
        <v>4323</v>
      </c>
      <c r="AW60" s="579">
        <f t="shared" si="18"/>
        <v>4323</v>
      </c>
      <c r="AX60" s="579">
        <f t="shared" si="18"/>
        <v>4323</v>
      </c>
      <c r="AY60" s="579">
        <f t="shared" si="18"/>
        <v>4323</v>
      </c>
      <c r="AZ60" s="579">
        <f t="shared" si="18"/>
        <v>4323</v>
      </c>
      <c r="BA60" s="579">
        <f t="shared" si="18"/>
        <v>4323</v>
      </c>
      <c r="BB60" s="579">
        <f t="shared" si="18"/>
        <v>4323</v>
      </c>
      <c r="BC60" s="579">
        <f t="shared" si="18"/>
        <v>4323</v>
      </c>
      <c r="BD60" s="579">
        <f t="shared" si="18"/>
        <v>4323</v>
      </c>
      <c r="BE60" s="579">
        <f t="shared" si="18"/>
        <v>4323</v>
      </c>
      <c r="BF60" s="579">
        <f t="shared" si="18"/>
        <v>4323</v>
      </c>
      <c r="BG60" s="579">
        <f t="shared" si="18"/>
        <v>4323</v>
      </c>
      <c r="BH60" s="579">
        <f t="shared" si="18"/>
        <v>4323</v>
      </c>
      <c r="BI60" s="579">
        <f t="shared" si="18"/>
        <v>4323</v>
      </c>
      <c r="BJ60" s="579">
        <f t="shared" si="18"/>
        <v>4323</v>
      </c>
      <c r="BK60" s="579">
        <f t="shared" si="18"/>
        <v>4323</v>
      </c>
      <c r="BL60" s="579">
        <f t="shared" si="18"/>
        <v>4323</v>
      </c>
    </row>
    <row r="61" spans="1:64" x14ac:dyDescent="0.2">
      <c r="A61" s="572"/>
      <c r="B61" s="572" t="s">
        <v>360</v>
      </c>
      <c r="C61" s="568" t="s">
        <v>41</v>
      </c>
      <c r="D61" s="572"/>
      <c r="E61" s="579">
        <f t="shared" si="18"/>
        <v>0</v>
      </c>
      <c r="F61" s="579">
        <f t="shared" si="18"/>
        <v>0</v>
      </c>
      <c r="G61" s="579">
        <f t="shared" si="18"/>
        <v>0</v>
      </c>
      <c r="H61" s="579">
        <f t="shared" si="18"/>
        <v>9333</v>
      </c>
      <c r="I61" s="579">
        <f t="shared" si="18"/>
        <v>9333</v>
      </c>
      <c r="J61" s="579">
        <f t="shared" si="18"/>
        <v>9333</v>
      </c>
      <c r="K61" s="579">
        <f t="shared" si="18"/>
        <v>9333</v>
      </c>
      <c r="L61" s="579">
        <f t="shared" si="18"/>
        <v>9333</v>
      </c>
      <c r="M61" s="579">
        <f t="shared" si="18"/>
        <v>9333</v>
      </c>
      <c r="N61" s="579">
        <f t="shared" si="18"/>
        <v>9333</v>
      </c>
      <c r="O61" s="579">
        <f t="shared" si="18"/>
        <v>9333</v>
      </c>
      <c r="P61" s="579">
        <f t="shared" si="18"/>
        <v>9333</v>
      </c>
      <c r="Q61" s="579">
        <f t="shared" si="18"/>
        <v>9333</v>
      </c>
      <c r="R61" s="579">
        <f t="shared" si="18"/>
        <v>9333</v>
      </c>
      <c r="S61" s="579">
        <f t="shared" si="18"/>
        <v>9333</v>
      </c>
      <c r="T61" s="579">
        <f t="shared" ref="T61:BL61" si="19">T36*T48</f>
        <v>9333</v>
      </c>
      <c r="U61" s="579">
        <f t="shared" si="19"/>
        <v>9333</v>
      </c>
      <c r="V61" s="579">
        <f t="shared" si="19"/>
        <v>9333</v>
      </c>
      <c r="W61" s="579">
        <f t="shared" si="19"/>
        <v>9333</v>
      </c>
      <c r="X61" s="579">
        <f t="shared" si="19"/>
        <v>9333</v>
      </c>
      <c r="Y61" s="579">
        <f t="shared" si="19"/>
        <v>9333</v>
      </c>
      <c r="Z61" s="579">
        <f t="shared" si="19"/>
        <v>9333</v>
      </c>
      <c r="AA61" s="579">
        <f t="shared" si="19"/>
        <v>9333</v>
      </c>
      <c r="AB61" s="579">
        <f t="shared" si="19"/>
        <v>9333</v>
      </c>
      <c r="AC61" s="579">
        <f t="shared" si="19"/>
        <v>9333</v>
      </c>
      <c r="AD61" s="579">
        <f t="shared" si="19"/>
        <v>9333</v>
      </c>
      <c r="AE61" s="579">
        <f t="shared" si="19"/>
        <v>9333</v>
      </c>
      <c r="AF61" s="579">
        <f t="shared" si="19"/>
        <v>9333</v>
      </c>
      <c r="AG61" s="579">
        <f t="shared" si="19"/>
        <v>9333</v>
      </c>
      <c r="AH61" s="579">
        <f t="shared" si="19"/>
        <v>9333</v>
      </c>
      <c r="AI61" s="579">
        <f t="shared" si="19"/>
        <v>9333</v>
      </c>
      <c r="AJ61" s="579">
        <f t="shared" si="19"/>
        <v>9333</v>
      </c>
      <c r="AK61" s="579">
        <f t="shared" si="19"/>
        <v>9333</v>
      </c>
      <c r="AL61" s="579">
        <f t="shared" si="19"/>
        <v>9333</v>
      </c>
      <c r="AM61" s="579">
        <f t="shared" si="19"/>
        <v>9333</v>
      </c>
      <c r="AN61" s="579">
        <f t="shared" si="19"/>
        <v>9333</v>
      </c>
      <c r="AO61" s="579">
        <f t="shared" si="19"/>
        <v>9333</v>
      </c>
      <c r="AP61" s="579">
        <f t="shared" si="19"/>
        <v>9333</v>
      </c>
      <c r="AQ61" s="579">
        <f t="shared" si="19"/>
        <v>9333</v>
      </c>
      <c r="AR61" s="579">
        <f t="shared" si="19"/>
        <v>9333</v>
      </c>
      <c r="AS61" s="579">
        <f t="shared" si="19"/>
        <v>9333</v>
      </c>
      <c r="AT61" s="579">
        <f t="shared" si="19"/>
        <v>9333</v>
      </c>
      <c r="AU61" s="579">
        <f t="shared" si="19"/>
        <v>9333</v>
      </c>
      <c r="AV61" s="579">
        <f t="shared" si="19"/>
        <v>9333</v>
      </c>
      <c r="AW61" s="579">
        <f t="shared" si="19"/>
        <v>9333</v>
      </c>
      <c r="AX61" s="579">
        <f t="shared" si="19"/>
        <v>9333</v>
      </c>
      <c r="AY61" s="579">
        <f t="shared" si="19"/>
        <v>9333</v>
      </c>
      <c r="AZ61" s="579">
        <f t="shared" si="19"/>
        <v>9333</v>
      </c>
      <c r="BA61" s="579">
        <f t="shared" si="19"/>
        <v>9333</v>
      </c>
      <c r="BB61" s="579">
        <f t="shared" si="19"/>
        <v>9333</v>
      </c>
      <c r="BC61" s="579">
        <f t="shared" si="19"/>
        <v>9333</v>
      </c>
      <c r="BD61" s="579">
        <f t="shared" si="19"/>
        <v>9333</v>
      </c>
      <c r="BE61" s="579">
        <f t="shared" si="19"/>
        <v>9333</v>
      </c>
      <c r="BF61" s="579">
        <f t="shared" si="19"/>
        <v>9333</v>
      </c>
      <c r="BG61" s="579">
        <f t="shared" si="19"/>
        <v>9333</v>
      </c>
      <c r="BH61" s="579">
        <f t="shared" si="19"/>
        <v>9333</v>
      </c>
      <c r="BI61" s="579">
        <f t="shared" si="19"/>
        <v>9333</v>
      </c>
      <c r="BJ61" s="579">
        <f t="shared" si="19"/>
        <v>9333</v>
      </c>
      <c r="BK61" s="579">
        <f t="shared" si="19"/>
        <v>9333</v>
      </c>
      <c r="BL61" s="579">
        <f t="shared" si="19"/>
        <v>9333</v>
      </c>
    </row>
    <row r="62" spans="1:64" x14ac:dyDescent="0.2">
      <c r="A62" s="572"/>
      <c r="B62" s="572" t="s">
        <v>361</v>
      </c>
      <c r="C62" s="568" t="s">
        <v>41</v>
      </c>
      <c r="D62" s="572"/>
      <c r="E62" s="579">
        <f t="shared" ref="E62:BL62" si="20">E37*E49</f>
        <v>0</v>
      </c>
      <c r="F62" s="579">
        <f t="shared" si="20"/>
        <v>0</v>
      </c>
      <c r="G62" s="579">
        <f t="shared" si="20"/>
        <v>0</v>
      </c>
      <c r="H62" s="579">
        <f t="shared" si="20"/>
        <v>22862.254090000002</v>
      </c>
      <c r="I62" s="579">
        <f t="shared" si="20"/>
        <v>22862.254090000002</v>
      </c>
      <c r="J62" s="579">
        <f t="shared" si="20"/>
        <v>22862.254090000002</v>
      </c>
      <c r="K62" s="579">
        <f t="shared" si="20"/>
        <v>22862.254090000002</v>
      </c>
      <c r="L62" s="579">
        <f t="shared" si="20"/>
        <v>22862.254090000002</v>
      </c>
      <c r="M62" s="579">
        <f t="shared" si="20"/>
        <v>22862.254090000002</v>
      </c>
      <c r="N62" s="579">
        <f t="shared" si="20"/>
        <v>22862.254090000002</v>
      </c>
      <c r="O62" s="579">
        <f t="shared" si="20"/>
        <v>22862.254090000002</v>
      </c>
      <c r="P62" s="579">
        <f t="shared" si="20"/>
        <v>22862.254090000002</v>
      </c>
      <c r="Q62" s="579">
        <f t="shared" si="20"/>
        <v>22862.254090000002</v>
      </c>
      <c r="R62" s="579">
        <f t="shared" si="20"/>
        <v>22862.254090000002</v>
      </c>
      <c r="S62" s="579">
        <f t="shared" si="20"/>
        <v>22862.254090000002</v>
      </c>
      <c r="T62" s="579">
        <f t="shared" si="20"/>
        <v>60225.599540000003</v>
      </c>
      <c r="U62" s="579">
        <f t="shared" si="20"/>
        <v>60225.599540000003</v>
      </c>
      <c r="V62" s="579">
        <f t="shared" si="20"/>
        <v>60225.599540000003</v>
      </c>
      <c r="W62" s="579">
        <f t="shared" si="20"/>
        <v>60225.599540000003</v>
      </c>
      <c r="X62" s="579">
        <f t="shared" si="20"/>
        <v>60225.599540000003</v>
      </c>
      <c r="Y62" s="579">
        <f t="shared" si="20"/>
        <v>60225.599540000003</v>
      </c>
      <c r="Z62" s="579">
        <f t="shared" si="20"/>
        <v>60225.599540000003</v>
      </c>
      <c r="AA62" s="579">
        <f t="shared" si="20"/>
        <v>60225.599540000003</v>
      </c>
      <c r="AB62" s="579">
        <f t="shared" si="20"/>
        <v>60225.599540000003</v>
      </c>
      <c r="AC62" s="579">
        <f t="shared" si="20"/>
        <v>60225.599540000003</v>
      </c>
      <c r="AD62" s="579">
        <f t="shared" si="20"/>
        <v>60225.599540000003</v>
      </c>
      <c r="AE62" s="579">
        <f t="shared" si="20"/>
        <v>60225.599540000003</v>
      </c>
      <c r="AF62" s="579">
        <f t="shared" si="20"/>
        <v>82571.444889999999</v>
      </c>
      <c r="AG62" s="579">
        <f t="shared" si="20"/>
        <v>82571.444889999999</v>
      </c>
      <c r="AH62" s="579">
        <f t="shared" si="20"/>
        <v>82571.444889999999</v>
      </c>
      <c r="AI62" s="579">
        <f t="shared" si="20"/>
        <v>82571.444889999999</v>
      </c>
      <c r="AJ62" s="579">
        <f t="shared" si="20"/>
        <v>82571.444889999999</v>
      </c>
      <c r="AK62" s="579">
        <f t="shared" si="20"/>
        <v>82571.444889999999</v>
      </c>
      <c r="AL62" s="579">
        <f t="shared" si="20"/>
        <v>82571.444889999999</v>
      </c>
      <c r="AM62" s="579">
        <f t="shared" si="20"/>
        <v>82571.444889999999</v>
      </c>
      <c r="AN62" s="579">
        <f t="shared" si="20"/>
        <v>82571.540850000005</v>
      </c>
      <c r="AO62" s="579">
        <f t="shared" si="20"/>
        <v>94285.474010000005</v>
      </c>
      <c r="AP62" s="579">
        <f t="shared" si="20"/>
        <v>94285.474010000005</v>
      </c>
      <c r="AQ62" s="579">
        <f t="shared" si="20"/>
        <v>94285.474010000005</v>
      </c>
      <c r="AR62" s="579">
        <f t="shared" si="20"/>
        <v>94285.474010000005</v>
      </c>
      <c r="AS62" s="579">
        <f t="shared" si="20"/>
        <v>94285.474010000005</v>
      </c>
      <c r="AT62" s="579">
        <f t="shared" si="20"/>
        <v>94285.474010000005</v>
      </c>
      <c r="AU62" s="579">
        <f t="shared" si="20"/>
        <v>94285.474010000005</v>
      </c>
      <c r="AV62" s="579">
        <f t="shared" si="20"/>
        <v>94285.474010000005</v>
      </c>
      <c r="AW62" s="579">
        <f t="shared" si="20"/>
        <v>94285.474010000005</v>
      </c>
      <c r="AX62" s="579">
        <f t="shared" si="20"/>
        <v>94285.474010000005</v>
      </c>
      <c r="AY62" s="579">
        <f t="shared" si="20"/>
        <v>94285.474010000005</v>
      </c>
      <c r="AZ62" s="579">
        <f t="shared" si="20"/>
        <v>94285.569969999997</v>
      </c>
      <c r="BA62" s="579">
        <f t="shared" si="20"/>
        <v>94285.474010000005</v>
      </c>
      <c r="BB62" s="579">
        <f t="shared" si="20"/>
        <v>94285.474010000005</v>
      </c>
      <c r="BC62" s="579">
        <f t="shared" si="20"/>
        <v>94285.474010000005</v>
      </c>
      <c r="BD62" s="579">
        <f t="shared" si="20"/>
        <v>94285.474010000005</v>
      </c>
      <c r="BE62" s="579">
        <f t="shared" si="20"/>
        <v>94285.474010000005</v>
      </c>
      <c r="BF62" s="579">
        <f t="shared" si="20"/>
        <v>94285.474010000005</v>
      </c>
      <c r="BG62" s="579">
        <f t="shared" si="20"/>
        <v>128886.44293</v>
      </c>
      <c r="BH62" s="579">
        <f t="shared" si="20"/>
        <v>128886.44293</v>
      </c>
      <c r="BI62" s="579">
        <f t="shared" si="20"/>
        <v>128886.44293</v>
      </c>
      <c r="BJ62" s="579">
        <f t="shared" si="20"/>
        <v>128886.44293</v>
      </c>
      <c r="BK62" s="579">
        <f t="shared" si="20"/>
        <v>128886.44293</v>
      </c>
      <c r="BL62" s="579">
        <f t="shared" si="20"/>
        <v>128886.51490000001</v>
      </c>
    </row>
    <row r="63" spans="1:64" x14ac:dyDescent="0.2">
      <c r="A63" s="572"/>
      <c r="B63" s="572" t="s">
        <v>369</v>
      </c>
      <c r="C63" s="572"/>
      <c r="D63" s="572"/>
      <c r="E63" s="580">
        <f t="shared" ref="E63:BL63" si="21">SUM(E57:E62)</f>
        <v>0</v>
      </c>
      <c r="F63" s="580">
        <f t="shared" si="21"/>
        <v>0</v>
      </c>
      <c r="G63" s="580">
        <f t="shared" si="21"/>
        <v>0</v>
      </c>
      <c r="H63" s="580">
        <f t="shared" si="21"/>
        <v>46921.254090000002</v>
      </c>
      <c r="I63" s="580">
        <f t="shared" si="21"/>
        <v>46921.254090000002</v>
      </c>
      <c r="J63" s="580">
        <f t="shared" si="21"/>
        <v>46921.254090000002</v>
      </c>
      <c r="K63" s="580">
        <f t="shared" si="21"/>
        <v>46921.254090000002</v>
      </c>
      <c r="L63" s="580">
        <f t="shared" si="21"/>
        <v>46921.254090000002</v>
      </c>
      <c r="M63" s="580">
        <f t="shared" si="21"/>
        <v>46921.254090000002</v>
      </c>
      <c r="N63" s="580">
        <f t="shared" si="21"/>
        <v>46921.254090000002</v>
      </c>
      <c r="O63" s="580">
        <f t="shared" si="21"/>
        <v>46921.254090000002</v>
      </c>
      <c r="P63" s="580">
        <f t="shared" si="21"/>
        <v>46921.254090000002</v>
      </c>
      <c r="Q63" s="580">
        <f t="shared" si="21"/>
        <v>46921.254090000002</v>
      </c>
      <c r="R63" s="580">
        <f t="shared" si="21"/>
        <v>46921.254090000002</v>
      </c>
      <c r="S63" s="580">
        <f t="shared" si="21"/>
        <v>46921.254090000002</v>
      </c>
      <c r="T63" s="580">
        <f t="shared" si="21"/>
        <v>84284.599539999996</v>
      </c>
      <c r="U63" s="580">
        <f t="shared" si="21"/>
        <v>84284.599539999996</v>
      </c>
      <c r="V63" s="580">
        <f t="shared" si="21"/>
        <v>84284.599539999996</v>
      </c>
      <c r="W63" s="580">
        <f t="shared" si="21"/>
        <v>84284.599539999996</v>
      </c>
      <c r="X63" s="580">
        <f t="shared" si="21"/>
        <v>84284.599539999996</v>
      </c>
      <c r="Y63" s="580">
        <f t="shared" si="21"/>
        <v>84284.599539999996</v>
      </c>
      <c r="Z63" s="580">
        <f t="shared" si="21"/>
        <v>84284.599539999996</v>
      </c>
      <c r="AA63" s="580">
        <f t="shared" si="21"/>
        <v>84284.599539999996</v>
      </c>
      <c r="AB63" s="580">
        <f t="shared" si="21"/>
        <v>84284.599539999996</v>
      </c>
      <c r="AC63" s="580">
        <f t="shared" si="21"/>
        <v>84284.599539999996</v>
      </c>
      <c r="AD63" s="580">
        <f t="shared" si="21"/>
        <v>84284.599539999996</v>
      </c>
      <c r="AE63" s="580">
        <f t="shared" si="21"/>
        <v>84284.599539999996</v>
      </c>
      <c r="AF63" s="580">
        <f t="shared" si="21"/>
        <v>106630.44489</v>
      </c>
      <c r="AG63" s="580">
        <f t="shared" si="21"/>
        <v>106630.44489</v>
      </c>
      <c r="AH63" s="580">
        <f t="shared" si="21"/>
        <v>106630.44489</v>
      </c>
      <c r="AI63" s="580">
        <f t="shared" si="21"/>
        <v>106630.44489</v>
      </c>
      <c r="AJ63" s="580">
        <f t="shared" si="21"/>
        <v>106630.44489</v>
      </c>
      <c r="AK63" s="580">
        <f t="shared" si="21"/>
        <v>106630.44489</v>
      </c>
      <c r="AL63" s="580">
        <f t="shared" si="21"/>
        <v>106630.44489</v>
      </c>
      <c r="AM63" s="580">
        <f t="shared" si="21"/>
        <v>106630.44489</v>
      </c>
      <c r="AN63" s="580">
        <f t="shared" si="21"/>
        <v>106630.54085</v>
      </c>
      <c r="AO63" s="580">
        <f t="shared" si="21"/>
        <v>118344.47401000001</v>
      </c>
      <c r="AP63" s="580">
        <f t="shared" si="21"/>
        <v>118344.47401000001</v>
      </c>
      <c r="AQ63" s="580">
        <f t="shared" si="21"/>
        <v>118344.47401000001</v>
      </c>
      <c r="AR63" s="580">
        <f t="shared" si="21"/>
        <v>118344.47401000001</v>
      </c>
      <c r="AS63" s="580">
        <f t="shared" si="21"/>
        <v>118344.47401000001</v>
      </c>
      <c r="AT63" s="580">
        <f t="shared" si="21"/>
        <v>118344.47401000001</v>
      </c>
      <c r="AU63" s="580">
        <f t="shared" si="21"/>
        <v>118344.47401000001</v>
      </c>
      <c r="AV63" s="580">
        <f t="shared" si="21"/>
        <v>118344.47401000001</v>
      </c>
      <c r="AW63" s="580">
        <f t="shared" si="21"/>
        <v>118344.47401000001</v>
      </c>
      <c r="AX63" s="580">
        <f t="shared" si="21"/>
        <v>118344.47401000001</v>
      </c>
      <c r="AY63" s="580">
        <f t="shared" si="21"/>
        <v>118344.47401000001</v>
      </c>
      <c r="AZ63" s="580">
        <f t="shared" si="21"/>
        <v>118344.56997</v>
      </c>
      <c r="BA63" s="580">
        <f t="shared" si="21"/>
        <v>118344.47401000001</v>
      </c>
      <c r="BB63" s="580">
        <f t="shared" si="21"/>
        <v>118344.47401000001</v>
      </c>
      <c r="BC63" s="580">
        <f t="shared" si="21"/>
        <v>118344.47401000001</v>
      </c>
      <c r="BD63" s="580">
        <f t="shared" si="21"/>
        <v>118344.47401000001</v>
      </c>
      <c r="BE63" s="580">
        <f t="shared" si="21"/>
        <v>118344.47401000001</v>
      </c>
      <c r="BF63" s="580">
        <f t="shared" si="21"/>
        <v>118344.47401000001</v>
      </c>
      <c r="BG63" s="580">
        <f t="shared" si="21"/>
        <v>152945.44293000002</v>
      </c>
      <c r="BH63" s="580">
        <f t="shared" si="21"/>
        <v>152945.44293000002</v>
      </c>
      <c r="BI63" s="580">
        <f t="shared" si="21"/>
        <v>152945.44293000002</v>
      </c>
      <c r="BJ63" s="580">
        <f t="shared" si="21"/>
        <v>152945.44293000002</v>
      </c>
      <c r="BK63" s="580">
        <f t="shared" si="21"/>
        <v>152945.44293000002</v>
      </c>
      <c r="BL63" s="580">
        <f t="shared" si="21"/>
        <v>152945.51490000001</v>
      </c>
    </row>
    <row r="64" spans="1:64" x14ac:dyDescent="0.2">
      <c r="A64" s="572" t="s">
        <v>362</v>
      </c>
      <c r="B64" s="572"/>
      <c r="C64" s="568" t="s">
        <v>41</v>
      </c>
      <c r="D64" s="572"/>
      <c r="E64" s="579">
        <f t="shared" ref="E64:BL64" si="22">E38*E51</f>
        <v>0</v>
      </c>
      <c r="F64" s="579">
        <f t="shared" si="22"/>
        <v>0</v>
      </c>
      <c r="G64" s="579">
        <f t="shared" si="22"/>
        <v>0</v>
      </c>
      <c r="H64" s="579">
        <f t="shared" si="22"/>
        <v>0</v>
      </c>
      <c r="I64" s="579">
        <f t="shared" si="22"/>
        <v>0</v>
      </c>
      <c r="J64" s="579">
        <f t="shared" si="22"/>
        <v>0</v>
      </c>
      <c r="K64" s="579">
        <f t="shared" si="22"/>
        <v>0</v>
      </c>
      <c r="L64" s="579">
        <f t="shared" si="22"/>
        <v>0</v>
      </c>
      <c r="M64" s="579">
        <f t="shared" si="22"/>
        <v>0</v>
      </c>
      <c r="N64" s="579">
        <f t="shared" si="22"/>
        <v>0</v>
      </c>
      <c r="O64" s="579">
        <f t="shared" si="22"/>
        <v>0</v>
      </c>
      <c r="P64" s="579">
        <f t="shared" si="22"/>
        <v>0</v>
      </c>
      <c r="Q64" s="579">
        <f t="shared" si="22"/>
        <v>0</v>
      </c>
      <c r="R64" s="579">
        <f t="shared" si="22"/>
        <v>0</v>
      </c>
      <c r="S64" s="579">
        <f t="shared" si="22"/>
        <v>0</v>
      </c>
      <c r="T64" s="579">
        <f t="shared" si="22"/>
        <v>0</v>
      </c>
      <c r="U64" s="579">
        <f t="shared" si="22"/>
        <v>0</v>
      </c>
      <c r="V64" s="579">
        <f t="shared" si="22"/>
        <v>0</v>
      </c>
      <c r="W64" s="579">
        <f t="shared" si="22"/>
        <v>0</v>
      </c>
      <c r="X64" s="579">
        <f t="shared" si="22"/>
        <v>0</v>
      </c>
      <c r="Y64" s="579">
        <f t="shared" si="22"/>
        <v>0</v>
      </c>
      <c r="Z64" s="579">
        <f t="shared" si="22"/>
        <v>0</v>
      </c>
      <c r="AA64" s="579">
        <f t="shared" si="22"/>
        <v>0</v>
      </c>
      <c r="AB64" s="579">
        <f t="shared" si="22"/>
        <v>0</v>
      </c>
      <c r="AC64" s="579">
        <f t="shared" si="22"/>
        <v>0</v>
      </c>
      <c r="AD64" s="579">
        <f t="shared" si="22"/>
        <v>0</v>
      </c>
      <c r="AE64" s="579">
        <f t="shared" si="22"/>
        <v>0</v>
      </c>
      <c r="AF64" s="579">
        <f t="shared" si="22"/>
        <v>0</v>
      </c>
      <c r="AG64" s="579">
        <f t="shared" si="22"/>
        <v>0</v>
      </c>
      <c r="AH64" s="579">
        <f t="shared" si="22"/>
        <v>0</v>
      </c>
      <c r="AI64" s="579">
        <f t="shared" si="22"/>
        <v>0</v>
      </c>
      <c r="AJ64" s="579">
        <f t="shared" si="22"/>
        <v>0</v>
      </c>
      <c r="AK64" s="579">
        <f t="shared" si="22"/>
        <v>0</v>
      </c>
      <c r="AL64" s="579">
        <f t="shared" si="22"/>
        <v>0</v>
      </c>
      <c r="AM64" s="579">
        <f t="shared" si="22"/>
        <v>0</v>
      </c>
      <c r="AN64" s="579">
        <f t="shared" si="22"/>
        <v>0</v>
      </c>
      <c r="AO64" s="579">
        <f t="shared" si="22"/>
        <v>0</v>
      </c>
      <c r="AP64" s="579">
        <f t="shared" si="22"/>
        <v>0</v>
      </c>
      <c r="AQ64" s="579">
        <f t="shared" si="22"/>
        <v>0</v>
      </c>
      <c r="AR64" s="579">
        <f t="shared" si="22"/>
        <v>0</v>
      </c>
      <c r="AS64" s="579">
        <f t="shared" si="22"/>
        <v>0</v>
      </c>
      <c r="AT64" s="579">
        <f t="shared" si="22"/>
        <v>0</v>
      </c>
      <c r="AU64" s="579">
        <f t="shared" si="22"/>
        <v>0</v>
      </c>
      <c r="AV64" s="579">
        <f t="shared" si="22"/>
        <v>0</v>
      </c>
      <c r="AW64" s="579">
        <f t="shared" si="22"/>
        <v>0</v>
      </c>
      <c r="AX64" s="579">
        <f t="shared" si="22"/>
        <v>0</v>
      </c>
      <c r="AY64" s="579">
        <f t="shared" si="22"/>
        <v>0</v>
      </c>
      <c r="AZ64" s="579">
        <f t="shared" si="22"/>
        <v>0</v>
      </c>
      <c r="BA64" s="579">
        <f t="shared" si="22"/>
        <v>0</v>
      </c>
      <c r="BB64" s="579">
        <f t="shared" si="22"/>
        <v>0</v>
      </c>
      <c r="BC64" s="579">
        <f t="shared" si="22"/>
        <v>0</v>
      </c>
      <c r="BD64" s="579">
        <f t="shared" si="22"/>
        <v>0</v>
      </c>
      <c r="BE64" s="579">
        <f t="shared" si="22"/>
        <v>0</v>
      </c>
      <c r="BF64" s="579">
        <f t="shared" si="22"/>
        <v>0</v>
      </c>
      <c r="BG64" s="579">
        <f t="shared" si="22"/>
        <v>0</v>
      </c>
      <c r="BH64" s="579">
        <f t="shared" si="22"/>
        <v>0</v>
      </c>
      <c r="BI64" s="579">
        <f t="shared" si="22"/>
        <v>0</v>
      </c>
      <c r="BJ64" s="579">
        <f t="shared" si="22"/>
        <v>0</v>
      </c>
      <c r="BK64" s="579">
        <f t="shared" si="22"/>
        <v>0</v>
      </c>
      <c r="BL64" s="579">
        <f t="shared" si="22"/>
        <v>0</v>
      </c>
    </row>
    <row r="65" spans="1:64" x14ac:dyDescent="0.2">
      <c r="A65" s="567" t="s">
        <v>363</v>
      </c>
      <c r="B65" s="581"/>
      <c r="C65" s="582" t="s">
        <v>41</v>
      </c>
      <c r="D65" s="581"/>
      <c r="E65" s="583">
        <f t="shared" ref="E65:BL65" si="23">E39*E50</f>
        <v>0</v>
      </c>
      <c r="F65" s="583">
        <f t="shared" si="23"/>
        <v>0</v>
      </c>
      <c r="G65" s="583">
        <f t="shared" si="23"/>
        <v>0</v>
      </c>
      <c r="H65" s="583">
        <f t="shared" si="23"/>
        <v>1452.991</v>
      </c>
      <c r="I65" s="583">
        <f t="shared" si="23"/>
        <v>1452.991</v>
      </c>
      <c r="J65" s="583">
        <f t="shared" si="23"/>
        <v>1452.991</v>
      </c>
      <c r="K65" s="583">
        <f t="shared" si="23"/>
        <v>1452.991</v>
      </c>
      <c r="L65" s="583">
        <f t="shared" si="23"/>
        <v>1452.991</v>
      </c>
      <c r="M65" s="583">
        <f t="shared" si="23"/>
        <v>1452.991</v>
      </c>
      <c r="N65" s="583">
        <f t="shared" si="23"/>
        <v>1452.991</v>
      </c>
      <c r="O65" s="583">
        <f t="shared" si="23"/>
        <v>1452.991</v>
      </c>
      <c r="P65" s="583">
        <f t="shared" si="23"/>
        <v>1452.991</v>
      </c>
      <c r="Q65" s="583">
        <f t="shared" si="23"/>
        <v>1452.991</v>
      </c>
      <c r="R65" s="583">
        <f t="shared" si="23"/>
        <v>1452.991</v>
      </c>
      <c r="S65" s="583">
        <f t="shared" si="23"/>
        <v>1452.991</v>
      </c>
      <c r="T65" s="583">
        <f t="shared" si="23"/>
        <v>3010.4459999999999</v>
      </c>
      <c r="U65" s="583">
        <f t="shared" si="23"/>
        <v>3010.4459999999999</v>
      </c>
      <c r="V65" s="583">
        <f t="shared" si="23"/>
        <v>3010.4459999999999</v>
      </c>
      <c r="W65" s="583">
        <f t="shared" si="23"/>
        <v>3010.4459999999999</v>
      </c>
      <c r="X65" s="583">
        <f t="shared" si="23"/>
        <v>3010.4459999999999</v>
      </c>
      <c r="Y65" s="583">
        <f t="shared" si="23"/>
        <v>3010.4459999999999</v>
      </c>
      <c r="Z65" s="583">
        <f t="shared" si="23"/>
        <v>3010.4459999999999</v>
      </c>
      <c r="AA65" s="583">
        <f t="shared" si="23"/>
        <v>3010.4459999999999</v>
      </c>
      <c r="AB65" s="583">
        <f t="shared" si="23"/>
        <v>3010.4459999999999</v>
      </c>
      <c r="AC65" s="583">
        <f t="shared" si="23"/>
        <v>3010.4459999999999</v>
      </c>
      <c r="AD65" s="583">
        <f t="shared" si="23"/>
        <v>3010.4459999999999</v>
      </c>
      <c r="AE65" s="583">
        <f t="shared" si="23"/>
        <v>3010.4459999999999</v>
      </c>
      <c r="AF65" s="583">
        <f t="shared" si="23"/>
        <v>3941.9110000000001</v>
      </c>
      <c r="AG65" s="583">
        <f t="shared" si="23"/>
        <v>3941.9110000000001</v>
      </c>
      <c r="AH65" s="583">
        <f t="shared" si="23"/>
        <v>3941.9110000000001</v>
      </c>
      <c r="AI65" s="583">
        <f t="shared" si="23"/>
        <v>3941.9110000000001</v>
      </c>
      <c r="AJ65" s="583">
        <f t="shared" si="23"/>
        <v>3941.9110000000001</v>
      </c>
      <c r="AK65" s="583">
        <f t="shared" si="23"/>
        <v>3941.9110000000001</v>
      </c>
      <c r="AL65" s="583">
        <f t="shared" si="23"/>
        <v>3941.9110000000001</v>
      </c>
      <c r="AM65" s="583">
        <f t="shared" si="23"/>
        <v>3941.9110000000001</v>
      </c>
      <c r="AN65" s="583">
        <f t="shared" si="23"/>
        <v>3941.915</v>
      </c>
      <c r="AO65" s="583">
        <f t="shared" si="23"/>
        <v>4430.1990000000005</v>
      </c>
      <c r="AP65" s="583">
        <f t="shared" si="23"/>
        <v>4430.1990000000005</v>
      </c>
      <c r="AQ65" s="583">
        <f t="shared" si="23"/>
        <v>4430.1990000000005</v>
      </c>
      <c r="AR65" s="583">
        <f t="shared" si="23"/>
        <v>4430.1990000000005</v>
      </c>
      <c r="AS65" s="583">
        <f t="shared" si="23"/>
        <v>4430.1990000000005</v>
      </c>
      <c r="AT65" s="583">
        <f t="shared" si="23"/>
        <v>4430.1990000000005</v>
      </c>
      <c r="AU65" s="583">
        <f t="shared" si="23"/>
        <v>4430.1990000000005</v>
      </c>
      <c r="AV65" s="583">
        <f t="shared" si="23"/>
        <v>4430.1990000000005</v>
      </c>
      <c r="AW65" s="583">
        <f t="shared" si="23"/>
        <v>4430.1990000000005</v>
      </c>
      <c r="AX65" s="583">
        <f t="shared" si="23"/>
        <v>4430.1990000000005</v>
      </c>
      <c r="AY65" s="583">
        <f t="shared" si="23"/>
        <v>4430.1990000000005</v>
      </c>
      <c r="AZ65" s="583">
        <f t="shared" si="23"/>
        <v>4430.2030000000004</v>
      </c>
      <c r="BA65" s="583">
        <f t="shared" si="23"/>
        <v>4430.1990000000005</v>
      </c>
      <c r="BB65" s="583">
        <f t="shared" si="23"/>
        <v>4430.1990000000005</v>
      </c>
      <c r="BC65" s="583">
        <f t="shared" si="23"/>
        <v>4430.1990000000005</v>
      </c>
      <c r="BD65" s="583">
        <f t="shared" si="23"/>
        <v>4430.1990000000005</v>
      </c>
      <c r="BE65" s="583">
        <f t="shared" si="23"/>
        <v>4430.1990000000005</v>
      </c>
      <c r="BF65" s="583">
        <f t="shared" si="23"/>
        <v>4430.1990000000005</v>
      </c>
      <c r="BG65" s="583">
        <f t="shared" si="23"/>
        <v>5872.5070000000005</v>
      </c>
      <c r="BH65" s="583">
        <f t="shared" si="23"/>
        <v>5872.5070000000005</v>
      </c>
      <c r="BI65" s="583">
        <f t="shared" si="23"/>
        <v>5872.5070000000005</v>
      </c>
      <c r="BJ65" s="583">
        <f t="shared" si="23"/>
        <v>5872.5070000000005</v>
      </c>
      <c r="BK65" s="583">
        <f t="shared" si="23"/>
        <v>5872.5070000000005</v>
      </c>
      <c r="BL65" s="583">
        <f t="shared" si="23"/>
        <v>5872.51</v>
      </c>
    </row>
    <row r="66" spans="1:64" x14ac:dyDescent="0.2">
      <c r="A66" s="567" t="s">
        <v>370</v>
      </c>
      <c r="B66" s="567"/>
      <c r="C66" s="567"/>
      <c r="D66" s="567"/>
      <c r="E66" s="584">
        <f>SUM(E54:E55,E63:E65)</f>
        <v>0</v>
      </c>
      <c r="F66" s="584">
        <f t="shared" ref="F66:BL66" si="24">SUM(F54:F55,F63:F65)</f>
        <v>0</v>
      </c>
      <c r="G66" s="584">
        <f t="shared" si="24"/>
        <v>0</v>
      </c>
      <c r="H66" s="584">
        <f>SUM(H54:H55,H63:H65)</f>
        <v>49292.555090000002</v>
      </c>
      <c r="I66" s="584">
        <f t="shared" si="24"/>
        <v>49292.555090000002</v>
      </c>
      <c r="J66" s="584">
        <f t="shared" si="24"/>
        <v>49292.555090000002</v>
      </c>
      <c r="K66" s="584">
        <f t="shared" si="24"/>
        <v>49292.555090000002</v>
      </c>
      <c r="L66" s="584">
        <f t="shared" si="24"/>
        <v>49292.555090000002</v>
      </c>
      <c r="M66" s="584">
        <f t="shared" si="24"/>
        <v>49292.555090000002</v>
      </c>
      <c r="N66" s="584">
        <f t="shared" si="24"/>
        <v>49292.555090000002</v>
      </c>
      <c r="O66" s="584">
        <f t="shared" si="24"/>
        <v>49292.555090000002</v>
      </c>
      <c r="P66" s="584">
        <f t="shared" si="24"/>
        <v>49292.555090000002</v>
      </c>
      <c r="Q66" s="584">
        <f t="shared" si="24"/>
        <v>49292.555090000002</v>
      </c>
      <c r="R66" s="584">
        <f t="shared" si="24"/>
        <v>49292.555090000002</v>
      </c>
      <c r="S66" s="584">
        <f t="shared" si="24"/>
        <v>49292.555090000002</v>
      </c>
      <c r="T66" s="584">
        <f t="shared" si="24"/>
        <v>88213.35553999999</v>
      </c>
      <c r="U66" s="584">
        <f t="shared" si="24"/>
        <v>88213.35553999999</v>
      </c>
      <c r="V66" s="584">
        <f t="shared" si="24"/>
        <v>88213.35553999999</v>
      </c>
      <c r="W66" s="584">
        <f t="shared" si="24"/>
        <v>88213.35553999999</v>
      </c>
      <c r="X66" s="584">
        <f t="shared" si="24"/>
        <v>88213.35553999999</v>
      </c>
      <c r="Y66" s="584">
        <f t="shared" si="24"/>
        <v>88213.35553999999</v>
      </c>
      <c r="Z66" s="584">
        <f t="shared" si="24"/>
        <v>88213.35553999999</v>
      </c>
      <c r="AA66" s="584">
        <f t="shared" si="24"/>
        <v>88213.35553999999</v>
      </c>
      <c r="AB66" s="584">
        <f t="shared" si="24"/>
        <v>88213.35553999999</v>
      </c>
      <c r="AC66" s="584">
        <f t="shared" si="24"/>
        <v>88213.35553999999</v>
      </c>
      <c r="AD66" s="584">
        <f t="shared" si="24"/>
        <v>88213.35553999999</v>
      </c>
      <c r="AE66" s="584">
        <f t="shared" si="24"/>
        <v>88213.35553999999</v>
      </c>
      <c r="AF66" s="584">
        <f t="shared" si="24"/>
        <v>111490.66589</v>
      </c>
      <c r="AG66" s="584">
        <f t="shared" si="24"/>
        <v>111490.66589</v>
      </c>
      <c r="AH66" s="584">
        <f t="shared" si="24"/>
        <v>111490.66589</v>
      </c>
      <c r="AI66" s="584">
        <f t="shared" si="24"/>
        <v>111490.66589</v>
      </c>
      <c r="AJ66" s="584">
        <f t="shared" si="24"/>
        <v>111490.66589</v>
      </c>
      <c r="AK66" s="584">
        <f t="shared" si="24"/>
        <v>111490.66589</v>
      </c>
      <c r="AL66" s="584">
        <f t="shared" si="24"/>
        <v>111490.66589</v>
      </c>
      <c r="AM66" s="584">
        <f t="shared" si="24"/>
        <v>111490.66589</v>
      </c>
      <c r="AN66" s="584">
        <f t="shared" si="24"/>
        <v>111490.76585</v>
      </c>
      <c r="AO66" s="584">
        <f t="shared" si="24"/>
        <v>123692.98301</v>
      </c>
      <c r="AP66" s="584">
        <f t="shared" si="24"/>
        <v>123692.98301</v>
      </c>
      <c r="AQ66" s="584">
        <f t="shared" si="24"/>
        <v>123692.98301</v>
      </c>
      <c r="AR66" s="584">
        <f t="shared" si="24"/>
        <v>123692.98301</v>
      </c>
      <c r="AS66" s="584">
        <f t="shared" si="24"/>
        <v>123692.98301</v>
      </c>
      <c r="AT66" s="584">
        <f t="shared" si="24"/>
        <v>123692.98301</v>
      </c>
      <c r="AU66" s="584">
        <f t="shared" si="24"/>
        <v>123692.98301</v>
      </c>
      <c r="AV66" s="584">
        <f t="shared" si="24"/>
        <v>123692.98301</v>
      </c>
      <c r="AW66" s="584">
        <f t="shared" si="24"/>
        <v>123692.98301</v>
      </c>
      <c r="AX66" s="584">
        <f t="shared" si="24"/>
        <v>123692.98301</v>
      </c>
      <c r="AY66" s="584">
        <f t="shared" si="24"/>
        <v>123692.98301</v>
      </c>
      <c r="AZ66" s="584">
        <f t="shared" si="24"/>
        <v>123693.08296999999</v>
      </c>
      <c r="BA66" s="584">
        <f t="shared" si="24"/>
        <v>123692.98301</v>
      </c>
      <c r="BB66" s="584">
        <f t="shared" si="24"/>
        <v>123692.98301</v>
      </c>
      <c r="BC66" s="584">
        <f t="shared" si="24"/>
        <v>123692.98301</v>
      </c>
      <c r="BD66" s="584">
        <f t="shared" si="24"/>
        <v>123692.98301</v>
      </c>
      <c r="BE66" s="584">
        <f t="shared" si="24"/>
        <v>123692.98301</v>
      </c>
      <c r="BF66" s="584">
        <f t="shared" si="24"/>
        <v>123692.98301</v>
      </c>
      <c r="BG66" s="584">
        <f t="shared" si="24"/>
        <v>159736.25993000003</v>
      </c>
      <c r="BH66" s="584">
        <f t="shared" si="24"/>
        <v>159736.25993000003</v>
      </c>
      <c r="BI66" s="584">
        <f t="shared" si="24"/>
        <v>159736.25993000003</v>
      </c>
      <c r="BJ66" s="584">
        <f t="shared" si="24"/>
        <v>159736.25993000003</v>
      </c>
      <c r="BK66" s="584">
        <f t="shared" si="24"/>
        <v>159736.25993000003</v>
      </c>
      <c r="BL66" s="584">
        <f t="shared" si="24"/>
        <v>159736.33490000002</v>
      </c>
    </row>
    <row r="67" spans="1:64" x14ac:dyDescent="0.2">
      <c r="A67" s="572"/>
      <c r="B67" s="572"/>
      <c r="C67" s="572"/>
      <c r="D67" s="572"/>
      <c r="E67" s="581"/>
      <c r="F67" s="581"/>
      <c r="G67" s="581"/>
      <c r="H67" s="581"/>
      <c r="I67" s="581"/>
      <c r="J67" s="581"/>
      <c r="K67" s="581"/>
      <c r="L67" s="581"/>
      <c r="M67" s="581"/>
      <c r="N67" s="581"/>
      <c r="O67" s="581"/>
      <c r="P67" s="581"/>
      <c r="Q67" s="581"/>
      <c r="R67" s="581"/>
      <c r="S67" s="581"/>
      <c r="T67" s="581"/>
      <c r="U67" s="581"/>
      <c r="V67" s="581"/>
      <c r="W67" s="581"/>
      <c r="X67" s="581"/>
      <c r="Y67" s="581"/>
      <c r="Z67" s="581"/>
      <c r="AA67" s="581"/>
      <c r="AB67" s="581"/>
      <c r="AC67" s="581"/>
      <c r="AD67" s="581"/>
      <c r="AE67" s="581"/>
      <c r="AF67" s="581"/>
      <c r="AG67" s="581"/>
      <c r="AH67" s="581"/>
      <c r="AI67" s="581"/>
      <c r="AJ67" s="581"/>
      <c r="AK67" s="581"/>
      <c r="AL67" s="581"/>
      <c r="AM67" s="581"/>
      <c r="AN67" s="581"/>
      <c r="AO67" s="581"/>
      <c r="AP67" s="581"/>
      <c r="AQ67" s="581"/>
      <c r="AR67" s="581"/>
      <c r="AS67" s="581"/>
      <c r="AT67" s="581"/>
      <c r="AU67" s="581"/>
      <c r="AV67" s="581"/>
      <c r="AW67" s="581"/>
      <c r="AX67" s="581"/>
      <c r="AY67" s="581"/>
      <c r="AZ67" s="581"/>
      <c r="BA67" s="581"/>
      <c r="BB67" s="581"/>
      <c r="BC67" s="581"/>
      <c r="BD67" s="581"/>
      <c r="BE67" s="581"/>
      <c r="BF67" s="581"/>
      <c r="BG67" s="581"/>
      <c r="BH67" s="581"/>
      <c r="BI67" s="581"/>
      <c r="BJ67" s="581"/>
      <c r="BK67" s="581"/>
      <c r="BL67" s="581"/>
    </row>
    <row r="68" spans="1:64" x14ac:dyDescent="0.2">
      <c r="A68" s="572" t="s">
        <v>371</v>
      </c>
      <c r="B68" s="572"/>
      <c r="C68" s="572"/>
      <c r="D68" s="572"/>
      <c r="E68" s="583">
        <f>E65</f>
        <v>0</v>
      </c>
      <c r="F68" s="583">
        <f t="shared" ref="F68:BL68" si="25">F65</f>
        <v>0</v>
      </c>
      <c r="G68" s="583">
        <f t="shared" si="25"/>
        <v>0</v>
      </c>
      <c r="H68" s="583">
        <f t="shared" si="25"/>
        <v>1452.991</v>
      </c>
      <c r="I68" s="583">
        <f t="shared" si="25"/>
        <v>1452.991</v>
      </c>
      <c r="J68" s="583">
        <f t="shared" si="25"/>
        <v>1452.991</v>
      </c>
      <c r="K68" s="583">
        <f t="shared" si="25"/>
        <v>1452.991</v>
      </c>
      <c r="L68" s="583">
        <f t="shared" si="25"/>
        <v>1452.991</v>
      </c>
      <c r="M68" s="583">
        <f t="shared" si="25"/>
        <v>1452.991</v>
      </c>
      <c r="N68" s="583">
        <f t="shared" si="25"/>
        <v>1452.991</v>
      </c>
      <c r="O68" s="583">
        <f t="shared" si="25"/>
        <v>1452.991</v>
      </c>
      <c r="P68" s="583">
        <f t="shared" si="25"/>
        <v>1452.991</v>
      </c>
      <c r="Q68" s="583">
        <f t="shared" si="25"/>
        <v>1452.991</v>
      </c>
      <c r="R68" s="583">
        <f t="shared" si="25"/>
        <v>1452.991</v>
      </c>
      <c r="S68" s="583">
        <f t="shared" si="25"/>
        <v>1452.991</v>
      </c>
      <c r="T68" s="583">
        <f t="shared" si="25"/>
        <v>3010.4459999999999</v>
      </c>
      <c r="U68" s="583">
        <f t="shared" si="25"/>
        <v>3010.4459999999999</v>
      </c>
      <c r="V68" s="583">
        <f t="shared" si="25"/>
        <v>3010.4459999999999</v>
      </c>
      <c r="W68" s="583">
        <f t="shared" si="25"/>
        <v>3010.4459999999999</v>
      </c>
      <c r="X68" s="583">
        <f t="shared" si="25"/>
        <v>3010.4459999999999</v>
      </c>
      <c r="Y68" s="583">
        <f t="shared" si="25"/>
        <v>3010.4459999999999</v>
      </c>
      <c r="Z68" s="583">
        <f t="shared" si="25"/>
        <v>3010.4459999999999</v>
      </c>
      <c r="AA68" s="583">
        <f t="shared" si="25"/>
        <v>3010.4459999999999</v>
      </c>
      <c r="AB68" s="583">
        <f t="shared" si="25"/>
        <v>3010.4459999999999</v>
      </c>
      <c r="AC68" s="583">
        <f t="shared" si="25"/>
        <v>3010.4459999999999</v>
      </c>
      <c r="AD68" s="583">
        <f t="shared" si="25"/>
        <v>3010.4459999999999</v>
      </c>
      <c r="AE68" s="583">
        <f t="shared" si="25"/>
        <v>3010.4459999999999</v>
      </c>
      <c r="AF68" s="583">
        <f t="shared" si="25"/>
        <v>3941.9110000000001</v>
      </c>
      <c r="AG68" s="583">
        <f t="shared" si="25"/>
        <v>3941.9110000000001</v>
      </c>
      <c r="AH68" s="583">
        <f t="shared" si="25"/>
        <v>3941.9110000000001</v>
      </c>
      <c r="AI68" s="583">
        <f t="shared" si="25"/>
        <v>3941.9110000000001</v>
      </c>
      <c r="AJ68" s="583">
        <f t="shared" si="25"/>
        <v>3941.9110000000001</v>
      </c>
      <c r="AK68" s="583">
        <f t="shared" si="25"/>
        <v>3941.9110000000001</v>
      </c>
      <c r="AL68" s="583">
        <f t="shared" si="25"/>
        <v>3941.9110000000001</v>
      </c>
      <c r="AM68" s="583">
        <f t="shared" si="25"/>
        <v>3941.9110000000001</v>
      </c>
      <c r="AN68" s="583">
        <f t="shared" si="25"/>
        <v>3941.915</v>
      </c>
      <c r="AO68" s="583">
        <f t="shared" si="25"/>
        <v>4430.1990000000005</v>
      </c>
      <c r="AP68" s="583">
        <f t="shared" si="25"/>
        <v>4430.1990000000005</v>
      </c>
      <c r="AQ68" s="583">
        <f t="shared" si="25"/>
        <v>4430.1990000000005</v>
      </c>
      <c r="AR68" s="583">
        <f t="shared" si="25"/>
        <v>4430.1990000000005</v>
      </c>
      <c r="AS68" s="583">
        <f t="shared" si="25"/>
        <v>4430.1990000000005</v>
      </c>
      <c r="AT68" s="583">
        <f t="shared" si="25"/>
        <v>4430.1990000000005</v>
      </c>
      <c r="AU68" s="583">
        <f t="shared" si="25"/>
        <v>4430.1990000000005</v>
      </c>
      <c r="AV68" s="583">
        <f t="shared" si="25"/>
        <v>4430.1990000000005</v>
      </c>
      <c r="AW68" s="583">
        <f t="shared" si="25"/>
        <v>4430.1990000000005</v>
      </c>
      <c r="AX68" s="583">
        <f t="shared" si="25"/>
        <v>4430.1990000000005</v>
      </c>
      <c r="AY68" s="583">
        <f t="shared" si="25"/>
        <v>4430.1990000000005</v>
      </c>
      <c r="AZ68" s="583">
        <f t="shared" si="25"/>
        <v>4430.2030000000004</v>
      </c>
      <c r="BA68" s="583">
        <f t="shared" si="25"/>
        <v>4430.1990000000005</v>
      </c>
      <c r="BB68" s="583">
        <f t="shared" si="25"/>
        <v>4430.1990000000005</v>
      </c>
      <c r="BC68" s="583">
        <f t="shared" si="25"/>
        <v>4430.1990000000005</v>
      </c>
      <c r="BD68" s="583">
        <f t="shared" si="25"/>
        <v>4430.1990000000005</v>
      </c>
      <c r="BE68" s="583">
        <f t="shared" si="25"/>
        <v>4430.1990000000005</v>
      </c>
      <c r="BF68" s="583">
        <f t="shared" si="25"/>
        <v>4430.1990000000005</v>
      </c>
      <c r="BG68" s="583">
        <f t="shared" si="25"/>
        <v>5872.5070000000005</v>
      </c>
      <c r="BH68" s="583">
        <f t="shared" si="25"/>
        <v>5872.5070000000005</v>
      </c>
      <c r="BI68" s="583">
        <f t="shared" si="25"/>
        <v>5872.5070000000005</v>
      </c>
      <c r="BJ68" s="583">
        <f t="shared" si="25"/>
        <v>5872.5070000000005</v>
      </c>
      <c r="BK68" s="583">
        <f t="shared" si="25"/>
        <v>5872.5070000000005</v>
      </c>
      <c r="BL68" s="583">
        <f t="shared" si="25"/>
        <v>5872.51</v>
      </c>
    </row>
    <row r="70" spans="1:64" x14ac:dyDescent="0.2">
      <c r="A70" s="548" t="s">
        <v>372</v>
      </c>
      <c r="E70" s="585">
        <f t="shared" ref="E70:BL70" si="26">E66-E68</f>
        <v>0</v>
      </c>
      <c r="F70" s="585">
        <f t="shared" si="26"/>
        <v>0</v>
      </c>
      <c r="G70" s="585">
        <f t="shared" si="26"/>
        <v>0</v>
      </c>
      <c r="H70" s="585">
        <f t="shared" si="26"/>
        <v>47839.56409</v>
      </c>
      <c r="I70" s="585">
        <f t="shared" si="26"/>
        <v>47839.56409</v>
      </c>
      <c r="J70" s="585">
        <f t="shared" si="26"/>
        <v>47839.56409</v>
      </c>
      <c r="K70" s="585">
        <f t="shared" si="26"/>
        <v>47839.56409</v>
      </c>
      <c r="L70" s="585">
        <f t="shared" si="26"/>
        <v>47839.56409</v>
      </c>
      <c r="M70" s="585">
        <f t="shared" si="26"/>
        <v>47839.56409</v>
      </c>
      <c r="N70" s="585">
        <f t="shared" si="26"/>
        <v>47839.56409</v>
      </c>
      <c r="O70" s="585">
        <f t="shared" si="26"/>
        <v>47839.56409</v>
      </c>
      <c r="P70" s="585">
        <f t="shared" si="26"/>
        <v>47839.56409</v>
      </c>
      <c r="Q70" s="585">
        <f t="shared" si="26"/>
        <v>47839.56409</v>
      </c>
      <c r="R70" s="585">
        <f t="shared" si="26"/>
        <v>47839.56409</v>
      </c>
      <c r="S70" s="585">
        <f t="shared" si="26"/>
        <v>47839.56409</v>
      </c>
      <c r="T70" s="585">
        <f t="shared" si="26"/>
        <v>85202.909539999993</v>
      </c>
      <c r="U70" s="585">
        <f t="shared" si="26"/>
        <v>85202.909539999993</v>
      </c>
      <c r="V70" s="585">
        <f t="shared" si="26"/>
        <v>85202.909539999993</v>
      </c>
      <c r="W70" s="585">
        <f t="shared" si="26"/>
        <v>85202.909539999993</v>
      </c>
      <c r="X70" s="585">
        <f t="shared" si="26"/>
        <v>85202.909539999993</v>
      </c>
      <c r="Y70" s="585">
        <f t="shared" si="26"/>
        <v>85202.909539999993</v>
      </c>
      <c r="Z70" s="585">
        <f t="shared" si="26"/>
        <v>85202.909539999993</v>
      </c>
      <c r="AA70" s="585">
        <f t="shared" si="26"/>
        <v>85202.909539999993</v>
      </c>
      <c r="AB70" s="585">
        <f t="shared" si="26"/>
        <v>85202.909539999993</v>
      </c>
      <c r="AC70" s="585">
        <f t="shared" si="26"/>
        <v>85202.909539999993</v>
      </c>
      <c r="AD70" s="585">
        <f t="shared" si="26"/>
        <v>85202.909539999993</v>
      </c>
      <c r="AE70" s="585">
        <f t="shared" si="26"/>
        <v>85202.909539999993</v>
      </c>
      <c r="AF70" s="585">
        <f t="shared" si="26"/>
        <v>107548.75489000001</v>
      </c>
      <c r="AG70" s="585">
        <f t="shared" si="26"/>
        <v>107548.75489000001</v>
      </c>
      <c r="AH70" s="585">
        <f t="shared" si="26"/>
        <v>107548.75489000001</v>
      </c>
      <c r="AI70" s="585">
        <f t="shared" si="26"/>
        <v>107548.75489000001</v>
      </c>
      <c r="AJ70" s="585">
        <f t="shared" si="26"/>
        <v>107548.75489000001</v>
      </c>
      <c r="AK70" s="585">
        <f t="shared" si="26"/>
        <v>107548.75489000001</v>
      </c>
      <c r="AL70" s="585">
        <f t="shared" si="26"/>
        <v>107548.75489000001</v>
      </c>
      <c r="AM70" s="585">
        <f t="shared" si="26"/>
        <v>107548.75489000001</v>
      </c>
      <c r="AN70" s="585">
        <f t="shared" si="26"/>
        <v>107548.85085</v>
      </c>
      <c r="AO70" s="585">
        <f t="shared" si="26"/>
        <v>119262.78401</v>
      </c>
      <c r="AP70" s="585">
        <f t="shared" si="26"/>
        <v>119262.78401</v>
      </c>
      <c r="AQ70" s="585">
        <f t="shared" si="26"/>
        <v>119262.78401</v>
      </c>
      <c r="AR70" s="585">
        <f t="shared" si="26"/>
        <v>119262.78401</v>
      </c>
      <c r="AS70" s="585">
        <f t="shared" si="26"/>
        <v>119262.78401</v>
      </c>
      <c r="AT70" s="585">
        <f t="shared" si="26"/>
        <v>119262.78401</v>
      </c>
      <c r="AU70" s="585">
        <f t="shared" si="26"/>
        <v>119262.78401</v>
      </c>
      <c r="AV70" s="585">
        <f t="shared" si="26"/>
        <v>119262.78401</v>
      </c>
      <c r="AW70" s="585">
        <f t="shared" si="26"/>
        <v>119262.78401</v>
      </c>
      <c r="AX70" s="585">
        <f t="shared" si="26"/>
        <v>119262.78401</v>
      </c>
      <c r="AY70" s="585">
        <f t="shared" si="26"/>
        <v>119262.78401</v>
      </c>
      <c r="AZ70" s="585">
        <f t="shared" si="26"/>
        <v>119262.87996999999</v>
      </c>
      <c r="BA70" s="585">
        <f t="shared" si="26"/>
        <v>119262.78401</v>
      </c>
      <c r="BB70" s="585">
        <f t="shared" si="26"/>
        <v>119262.78401</v>
      </c>
      <c r="BC70" s="585">
        <f t="shared" si="26"/>
        <v>119262.78401</v>
      </c>
      <c r="BD70" s="585">
        <f t="shared" si="26"/>
        <v>119262.78401</v>
      </c>
      <c r="BE70" s="585">
        <f t="shared" si="26"/>
        <v>119262.78401</v>
      </c>
      <c r="BF70" s="585">
        <f t="shared" si="26"/>
        <v>119262.78401</v>
      </c>
      <c r="BG70" s="585">
        <f t="shared" si="26"/>
        <v>153863.75293000002</v>
      </c>
      <c r="BH70" s="585">
        <f t="shared" si="26"/>
        <v>153863.75293000002</v>
      </c>
      <c r="BI70" s="585">
        <f t="shared" si="26"/>
        <v>153863.75293000002</v>
      </c>
      <c r="BJ70" s="585">
        <f t="shared" si="26"/>
        <v>153863.75293000002</v>
      </c>
      <c r="BK70" s="585">
        <f t="shared" si="26"/>
        <v>153863.75293000002</v>
      </c>
      <c r="BL70" s="585">
        <f t="shared" si="26"/>
        <v>153863.82490000001</v>
      </c>
    </row>
  </sheetData>
  <pageMargins left="0.7" right="0.7" top="0.75" bottom="0.75" header="0.3" footer="0.3"/>
  <pageSetup scale="57" orientation="landscape" r:id="rId1"/>
  <headerFooter>
    <oddFooter>&amp;L&amp;F
&amp;A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6"/>
  <sheetViews>
    <sheetView zoomScale="90" zoomScaleNormal="90" workbookViewId="0">
      <pane ySplit="3" topLeftCell="A4" activePane="bottomLeft" state="frozen"/>
      <selection activeCell="P14" sqref="P14"/>
      <selection pane="bottomLeft" activeCell="P14" sqref="P14"/>
    </sheetView>
  </sheetViews>
  <sheetFormatPr defaultColWidth="9.140625" defaultRowHeight="12.75" x14ac:dyDescent="0.2"/>
  <cols>
    <col min="1" max="1" width="32.7109375" style="35" bestFit="1" customWidth="1"/>
    <col min="2" max="13" width="10.42578125" style="35" customWidth="1"/>
    <col min="14" max="14" width="12.28515625" style="35" customWidth="1"/>
    <col min="15" max="16384" width="9.140625" style="35"/>
  </cols>
  <sheetData>
    <row r="1" spans="1:42" x14ac:dyDescent="0.2">
      <c r="A1" s="35" t="s">
        <v>78</v>
      </c>
    </row>
    <row r="3" spans="1:42" x14ac:dyDescent="0.2">
      <c r="A3" s="66" t="s">
        <v>79</v>
      </c>
      <c r="B3" s="71">
        <v>44013</v>
      </c>
      <c r="C3" s="71">
        <f>EDATE(B3,1)</f>
        <v>44044</v>
      </c>
      <c r="D3" s="71">
        <f t="shared" ref="D3:M3" si="0">EDATE(C3,1)</f>
        <v>44075</v>
      </c>
      <c r="E3" s="71">
        <f t="shared" si="0"/>
        <v>44105</v>
      </c>
      <c r="F3" s="71">
        <f t="shared" si="0"/>
        <v>44136</v>
      </c>
      <c r="G3" s="71">
        <f t="shared" si="0"/>
        <v>44166</v>
      </c>
      <c r="H3" s="71">
        <f t="shared" si="0"/>
        <v>44197</v>
      </c>
      <c r="I3" s="71">
        <f t="shared" si="0"/>
        <v>44228</v>
      </c>
      <c r="J3" s="71">
        <f t="shared" si="0"/>
        <v>44256</v>
      </c>
      <c r="K3" s="71">
        <f t="shared" si="0"/>
        <v>44287</v>
      </c>
      <c r="L3" s="71">
        <f t="shared" si="0"/>
        <v>44317</v>
      </c>
      <c r="M3" s="71">
        <f t="shared" si="0"/>
        <v>44348</v>
      </c>
      <c r="N3" s="251" t="s">
        <v>6</v>
      </c>
    </row>
    <row r="4" spans="1:42" s="183" customFormat="1" x14ac:dyDescent="0.2">
      <c r="A4" s="66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251"/>
    </row>
    <row r="5" spans="1:42" x14ac:dyDescent="0.2">
      <c r="A5" s="40" t="s">
        <v>95</v>
      </c>
      <c r="B5" s="505"/>
      <c r="C5" s="505"/>
      <c r="D5" s="505"/>
      <c r="E5" s="505"/>
      <c r="F5" s="505"/>
      <c r="G5" s="505"/>
      <c r="H5" s="505"/>
      <c r="I5" s="505"/>
      <c r="J5" s="505"/>
      <c r="K5" s="505"/>
      <c r="L5" s="505"/>
      <c r="M5" s="505"/>
      <c r="N5" s="505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</row>
    <row r="6" spans="1:42" x14ac:dyDescent="0.2">
      <c r="A6" s="37" t="s">
        <v>93</v>
      </c>
      <c r="B6" s="502">
        <f>'12ME Jun21 WN Therms'!B6/'12ME Jun21 WN Therms'!B$9</f>
        <v>0.30906495148744767</v>
      </c>
      <c r="C6" s="502">
        <f>'12ME Jun21 WN Therms'!C6/'12ME Jun21 WN Therms'!C$9</f>
        <v>0.36692336355837651</v>
      </c>
      <c r="D6" s="502">
        <f>'12ME Jun21 WN Therms'!D6/'12ME Jun21 WN Therms'!D$9</f>
        <v>0.28008516243734</v>
      </c>
      <c r="E6" s="502">
        <f>'12ME Jun21 WN Therms'!E6/'12ME Jun21 WN Therms'!E$9</f>
        <v>0.20436861732422062</v>
      </c>
      <c r="F6" s="502">
        <f>'12ME Jun21 WN Therms'!F6/'12ME Jun21 WN Therms'!F$9</f>
        <v>0.17403943272427227</v>
      </c>
      <c r="G6" s="502">
        <f>'12ME Jun21 WN Therms'!G6/'12ME Jun21 WN Therms'!G$9</f>
        <v>0.14345813404571434</v>
      </c>
      <c r="H6" s="502">
        <f>'12ME Jun21 WN Therms'!H6/'12ME Jun21 WN Therms'!H$9</f>
        <v>0.14249319960726792</v>
      </c>
      <c r="I6" s="502">
        <f>'12ME Jun21 WN Therms'!I6/'12ME Jun21 WN Therms'!I$9</f>
        <v>0.14321417045713877</v>
      </c>
      <c r="J6" s="502">
        <f>'12ME Jun21 WN Therms'!J6/'12ME Jun21 WN Therms'!J$9</f>
        <v>0.15697029850269897</v>
      </c>
      <c r="K6" s="502">
        <f>'12ME Jun21 WN Therms'!K6/'12ME Jun21 WN Therms'!K$9</f>
        <v>0.18561546995330305</v>
      </c>
      <c r="L6" s="502">
        <f>'12ME Jun21 WN Therms'!L6/'12ME Jun21 WN Therms'!L$9</f>
        <v>0.26279419641321655</v>
      </c>
      <c r="M6" s="502">
        <f>'12ME Jun21 WN Therms'!M6/'12ME Jun21 WN Therms'!M$9</f>
        <v>0.30489091245434552</v>
      </c>
      <c r="N6" s="502">
        <f>'12ME Jun21 WN Therms'!N6/'12ME Jun21 WN Therms'!N$9</f>
        <v>0.19535834802079399</v>
      </c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</row>
    <row r="7" spans="1:42" x14ac:dyDescent="0.2">
      <c r="A7" s="37" t="s">
        <v>82</v>
      </c>
      <c r="B7" s="502">
        <f>'12ME Jun21 WN Therms'!B7/'12ME Jun21 WN Therms'!B$9</f>
        <v>0.35528849132059692</v>
      </c>
      <c r="C7" s="502">
        <f>'12ME Jun21 WN Therms'!C7/'12ME Jun21 WN Therms'!C$9</f>
        <v>0.45856395455962812</v>
      </c>
      <c r="D7" s="502">
        <f>'12ME Jun21 WN Therms'!D7/'12ME Jun21 WN Therms'!D$9</f>
        <v>0.36018507053718607</v>
      </c>
      <c r="E7" s="502">
        <f>'12ME Jun21 WN Therms'!E7/'12ME Jun21 WN Therms'!E$9</f>
        <v>0.49117021153205975</v>
      </c>
      <c r="F7" s="502">
        <f>'12ME Jun21 WN Therms'!F7/'12ME Jun21 WN Therms'!F$9</f>
        <v>0.47283478450172506</v>
      </c>
      <c r="G7" s="502">
        <f>'12ME Jun21 WN Therms'!G7/'12ME Jun21 WN Therms'!G$9</f>
        <v>0.42393486061509117</v>
      </c>
      <c r="H7" s="502">
        <f>'12ME Jun21 WN Therms'!H7/'12ME Jun21 WN Therms'!H$9</f>
        <v>0.42927540673408221</v>
      </c>
      <c r="I7" s="502">
        <f>'12ME Jun21 WN Therms'!I7/'12ME Jun21 WN Therms'!I$9</f>
        <v>0.4293500462227221</v>
      </c>
      <c r="J7" s="502">
        <f>'12ME Jun21 WN Therms'!J7/'12ME Jun21 WN Therms'!J$9</f>
        <v>0.48477674978051388</v>
      </c>
      <c r="K7" s="502">
        <f>'12ME Jun21 WN Therms'!K7/'12ME Jun21 WN Therms'!K$9</f>
        <v>0.41558584669004373</v>
      </c>
      <c r="L7" s="502">
        <f>'12ME Jun21 WN Therms'!L7/'12ME Jun21 WN Therms'!L$9</f>
        <v>0.5090818657078342</v>
      </c>
      <c r="M7" s="502">
        <f>'12ME Jun21 WN Therms'!M7/'12ME Jun21 WN Therms'!M$9</f>
        <v>0.38233200552024987</v>
      </c>
      <c r="N7" s="502">
        <f>'12ME Jun21 WN Therms'!N7/'12ME Jun21 WN Therms'!N$9</f>
        <v>0.43938212795001325</v>
      </c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</row>
    <row r="8" spans="1:42" x14ac:dyDescent="0.2">
      <c r="A8" s="37" t="s">
        <v>83</v>
      </c>
      <c r="B8" s="502">
        <f>'12ME Jun21 WN Therms'!B8/'12ME Jun21 WN Therms'!B$9</f>
        <v>0.33564655719195535</v>
      </c>
      <c r="C8" s="502">
        <f>'12ME Jun21 WN Therms'!C8/'12ME Jun21 WN Therms'!C$9</f>
        <v>0.17451268188199542</v>
      </c>
      <c r="D8" s="502">
        <f>'12ME Jun21 WN Therms'!D8/'12ME Jun21 WN Therms'!D$9</f>
        <v>0.35972976702547399</v>
      </c>
      <c r="E8" s="502">
        <f>'12ME Jun21 WN Therms'!E8/'12ME Jun21 WN Therms'!E$9</f>
        <v>0.30446117114371962</v>
      </c>
      <c r="F8" s="502">
        <f>'12ME Jun21 WN Therms'!F8/'12ME Jun21 WN Therms'!F$9</f>
        <v>0.35312578277400281</v>
      </c>
      <c r="G8" s="502">
        <f>'12ME Jun21 WN Therms'!G8/'12ME Jun21 WN Therms'!G$9</f>
        <v>0.43260700533919444</v>
      </c>
      <c r="H8" s="502">
        <f>'12ME Jun21 WN Therms'!H8/'12ME Jun21 WN Therms'!H$9</f>
        <v>0.42823139365864982</v>
      </c>
      <c r="I8" s="502">
        <f>'12ME Jun21 WN Therms'!I8/'12ME Jun21 WN Therms'!I$9</f>
        <v>0.42743578332013915</v>
      </c>
      <c r="J8" s="502">
        <f>'12ME Jun21 WN Therms'!J8/'12ME Jun21 WN Therms'!J$9</f>
        <v>0.35825295171678706</v>
      </c>
      <c r="K8" s="502">
        <f>'12ME Jun21 WN Therms'!K8/'12ME Jun21 WN Therms'!K$9</f>
        <v>0.39879868335665325</v>
      </c>
      <c r="L8" s="502">
        <f>'12ME Jun21 WN Therms'!L8/'12ME Jun21 WN Therms'!L$9</f>
        <v>0.2281239378789493</v>
      </c>
      <c r="M8" s="502">
        <f>'12ME Jun21 WN Therms'!M8/'12ME Jun21 WN Therms'!M$9</f>
        <v>0.31277708202540455</v>
      </c>
      <c r="N8" s="502">
        <f>'12ME Jun21 WN Therms'!N8/'12ME Jun21 WN Therms'!N$9</f>
        <v>0.36525952402919271</v>
      </c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</row>
    <row r="9" spans="1:42" s="38" customFormat="1" ht="15" x14ac:dyDescent="0.25">
      <c r="A9" s="37" t="s">
        <v>6</v>
      </c>
      <c r="B9" s="507">
        <f>SUM(B6:B8)</f>
        <v>1</v>
      </c>
      <c r="C9" s="507">
        <f t="shared" ref="C9:N9" si="1">SUM(C6:C8)</f>
        <v>1</v>
      </c>
      <c r="D9" s="507">
        <f t="shared" si="1"/>
        <v>1</v>
      </c>
      <c r="E9" s="507">
        <f t="shared" si="1"/>
        <v>1</v>
      </c>
      <c r="F9" s="507">
        <f t="shared" si="1"/>
        <v>1.0000000000000002</v>
      </c>
      <c r="G9" s="507">
        <f t="shared" si="1"/>
        <v>1</v>
      </c>
      <c r="H9" s="507">
        <f t="shared" si="1"/>
        <v>0.99999999999999989</v>
      </c>
      <c r="I9" s="507">
        <f t="shared" si="1"/>
        <v>1</v>
      </c>
      <c r="J9" s="507">
        <f t="shared" si="1"/>
        <v>0.99999999999999989</v>
      </c>
      <c r="K9" s="507">
        <f t="shared" si="1"/>
        <v>1</v>
      </c>
      <c r="L9" s="507">
        <f t="shared" si="1"/>
        <v>1</v>
      </c>
      <c r="M9" s="507">
        <f t="shared" si="1"/>
        <v>1</v>
      </c>
      <c r="N9" s="507">
        <f t="shared" si="1"/>
        <v>1</v>
      </c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</row>
    <row r="10" spans="1:42" x14ac:dyDescent="0.2"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</row>
    <row r="11" spans="1:42" x14ac:dyDescent="0.2">
      <c r="A11" s="37" t="s">
        <v>35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</row>
    <row r="12" spans="1:42" x14ac:dyDescent="0.2">
      <c r="A12" s="37" t="s">
        <v>81</v>
      </c>
      <c r="B12" s="502">
        <f>'12ME Jun21 WN Therms'!B12/'12ME Jun21 WN Therms'!B$15</f>
        <v>6.0446806043060457E-2</v>
      </c>
      <c r="C12" s="502">
        <f>'12ME Jun21 WN Therms'!C12/'12ME Jun21 WN Therms'!C$15</f>
        <v>5.5907279532216601E-2</v>
      </c>
      <c r="D12" s="502">
        <f>'12ME Jun21 WN Therms'!D12/'12ME Jun21 WN Therms'!D$15</f>
        <v>6.2224846408359506E-2</v>
      </c>
      <c r="E12" s="502">
        <f>'12ME Jun21 WN Therms'!E12/'12ME Jun21 WN Therms'!E$15</f>
        <v>5.2937906920503527E-2</v>
      </c>
      <c r="F12" s="502">
        <f>'12ME Jun21 WN Therms'!F12/'12ME Jun21 WN Therms'!F$15</f>
        <v>0.10306465861604952</v>
      </c>
      <c r="G12" s="502">
        <f>'12ME Jun21 WN Therms'!G12/'12ME Jun21 WN Therms'!G$15</f>
        <v>4.6035111592115652E-2</v>
      </c>
      <c r="H12" s="502">
        <f>'12ME Jun21 WN Therms'!H12/'12ME Jun21 WN Therms'!H$15</f>
        <v>1.069661281019612E-2</v>
      </c>
      <c r="I12" s="502">
        <f>'12ME Jun21 WN Therms'!I12/'12ME Jun21 WN Therms'!I$15</f>
        <v>9.2391233746525803E-2</v>
      </c>
      <c r="J12" s="502">
        <f>'12ME Jun21 WN Therms'!J12/'12ME Jun21 WN Therms'!J$15</f>
        <v>1.2216618671506946E-2</v>
      </c>
      <c r="K12" s="502">
        <f>'12ME Jun21 WN Therms'!K12/'12ME Jun21 WN Therms'!K$15</f>
        <v>5.3045901169795802E-2</v>
      </c>
      <c r="L12" s="502">
        <f>'12ME Jun21 WN Therms'!L12/'12ME Jun21 WN Therms'!L$15</f>
        <v>5.6893139215752314E-2</v>
      </c>
      <c r="M12" s="502">
        <f>'12ME Jun21 WN Therms'!M12/'12ME Jun21 WN Therms'!M$15</f>
        <v>5.9398070695168982E-2</v>
      </c>
      <c r="N12" s="502">
        <f>'12ME Jun21 WN Therms'!N12/'12ME Jun21 WN Therms'!N$15</f>
        <v>5.4228011792468549E-2</v>
      </c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</row>
    <row r="13" spans="1:42" x14ac:dyDescent="0.2">
      <c r="A13" s="37" t="s">
        <v>82</v>
      </c>
      <c r="B13" s="502">
        <f>'12ME Jun21 WN Therms'!B13/'12ME Jun21 WN Therms'!B$15</f>
        <v>0.19442989200917549</v>
      </c>
      <c r="C13" s="502">
        <f>'12ME Jun21 WN Therms'!C13/'12ME Jun21 WN Therms'!C$15</f>
        <v>0.18829490173008442</v>
      </c>
      <c r="D13" s="502">
        <f>'12ME Jun21 WN Therms'!D13/'12ME Jun21 WN Therms'!D$15</f>
        <v>0.19642167420850881</v>
      </c>
      <c r="E13" s="502">
        <f>'12ME Jun21 WN Therms'!E13/'12ME Jun21 WN Therms'!E$15</f>
        <v>0.19759676145399097</v>
      </c>
      <c r="F13" s="502">
        <f>'12ME Jun21 WN Therms'!F13/'12ME Jun21 WN Therms'!F$15</f>
        <v>0.15117826285468816</v>
      </c>
      <c r="G13" s="502">
        <f>'12ME Jun21 WN Therms'!G13/'12ME Jun21 WN Therms'!G$15</f>
        <v>0.3578657165206906</v>
      </c>
      <c r="H13" s="502">
        <f>'12ME Jun21 WN Therms'!H13/'12ME Jun21 WN Therms'!H$15</f>
        <v>4.8744561817998369E-2</v>
      </c>
      <c r="I13" s="502">
        <f>'12ME Jun21 WN Therms'!I13/'12ME Jun21 WN Therms'!I$15</f>
        <v>0.15013434032115366</v>
      </c>
      <c r="J13" s="502">
        <f>'12ME Jun21 WN Therms'!J13/'12ME Jun21 WN Therms'!J$15</f>
        <v>0.26106356854332924</v>
      </c>
      <c r="K13" s="502">
        <f>'12ME Jun21 WN Therms'!K13/'12ME Jun21 WN Therms'!K$15</f>
        <v>0.21192410920868338</v>
      </c>
      <c r="L13" s="502">
        <f>'12ME Jun21 WN Therms'!L13/'12ME Jun21 WN Therms'!L$15</f>
        <v>0.20386493748898118</v>
      </c>
      <c r="M13" s="502">
        <f>'12ME Jun21 WN Therms'!M13/'12ME Jun21 WN Therms'!M$15</f>
        <v>0.21226077686087996</v>
      </c>
      <c r="N13" s="502">
        <f>'12ME Jun21 WN Therms'!N13/'12ME Jun21 WN Therms'!N$15</f>
        <v>0.2001551949281006</v>
      </c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</row>
    <row r="14" spans="1:42" x14ac:dyDescent="0.2">
      <c r="A14" s="37" t="s">
        <v>83</v>
      </c>
      <c r="B14" s="502">
        <f>'12ME Jun21 WN Therms'!B14/'12ME Jun21 WN Therms'!B$15</f>
        <v>0.74512330194776399</v>
      </c>
      <c r="C14" s="502">
        <f>'12ME Jun21 WN Therms'!C14/'12ME Jun21 WN Therms'!C$15</f>
        <v>0.75579781873769902</v>
      </c>
      <c r="D14" s="502">
        <f>'12ME Jun21 WN Therms'!D14/'12ME Jun21 WN Therms'!D$15</f>
        <v>0.74135347938313167</v>
      </c>
      <c r="E14" s="502">
        <f>'12ME Jun21 WN Therms'!E14/'12ME Jun21 WN Therms'!E$15</f>
        <v>0.74946533162550555</v>
      </c>
      <c r="F14" s="502">
        <f>'12ME Jun21 WN Therms'!F14/'12ME Jun21 WN Therms'!F$15</f>
        <v>0.74575707852926232</v>
      </c>
      <c r="G14" s="502">
        <f>'12ME Jun21 WN Therms'!G14/'12ME Jun21 WN Therms'!G$15</f>
        <v>0.59609917188719386</v>
      </c>
      <c r="H14" s="502">
        <f>'12ME Jun21 WN Therms'!H14/'12ME Jun21 WN Therms'!H$15</f>
        <v>0.94055882537180546</v>
      </c>
      <c r="I14" s="502">
        <f>'12ME Jun21 WN Therms'!I14/'12ME Jun21 WN Therms'!I$15</f>
        <v>0.75747442593232062</v>
      </c>
      <c r="J14" s="502">
        <f>'12ME Jun21 WN Therms'!J14/'12ME Jun21 WN Therms'!J$15</f>
        <v>0.72671981278516373</v>
      </c>
      <c r="K14" s="502">
        <f>'12ME Jun21 WN Therms'!K14/'12ME Jun21 WN Therms'!K$15</f>
        <v>0.73502998962152077</v>
      </c>
      <c r="L14" s="502">
        <f>'12ME Jun21 WN Therms'!L14/'12ME Jun21 WN Therms'!L$15</f>
        <v>0.7392419232952665</v>
      </c>
      <c r="M14" s="502">
        <f>'12ME Jun21 WN Therms'!M14/'12ME Jun21 WN Therms'!M$15</f>
        <v>0.72834115244395103</v>
      </c>
      <c r="N14" s="502">
        <f>'12ME Jun21 WN Therms'!N14/'12ME Jun21 WN Therms'!N$15</f>
        <v>0.74561679327943076</v>
      </c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</row>
    <row r="15" spans="1:42" s="38" customFormat="1" x14ac:dyDescent="0.2">
      <c r="A15" s="37" t="s">
        <v>6</v>
      </c>
      <c r="B15" s="508">
        <f>SUM(B12:B14)</f>
        <v>1</v>
      </c>
      <c r="C15" s="508">
        <f t="shared" ref="C15:N15" si="2">SUM(C12:C14)</f>
        <v>1</v>
      </c>
      <c r="D15" s="508">
        <f t="shared" si="2"/>
        <v>1</v>
      </c>
      <c r="E15" s="508">
        <f t="shared" si="2"/>
        <v>1</v>
      </c>
      <c r="F15" s="508">
        <f t="shared" si="2"/>
        <v>1</v>
      </c>
      <c r="G15" s="508">
        <f t="shared" si="2"/>
        <v>1</v>
      </c>
      <c r="H15" s="508">
        <f t="shared" si="2"/>
        <v>1</v>
      </c>
      <c r="I15" s="508">
        <f t="shared" si="2"/>
        <v>1</v>
      </c>
      <c r="J15" s="508">
        <f t="shared" si="2"/>
        <v>0.99999999999999989</v>
      </c>
      <c r="K15" s="508">
        <f t="shared" si="2"/>
        <v>1</v>
      </c>
      <c r="L15" s="508">
        <f t="shared" si="2"/>
        <v>1</v>
      </c>
      <c r="M15" s="508">
        <f t="shared" si="2"/>
        <v>1</v>
      </c>
      <c r="N15" s="508">
        <f t="shared" si="2"/>
        <v>0.99999999999999989</v>
      </c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</row>
    <row r="16" spans="1:42" x14ac:dyDescent="0.2"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</row>
    <row r="17" spans="1:42" ht="15" x14ac:dyDescent="0.25">
      <c r="A17" s="35" t="s">
        <v>96</v>
      </c>
      <c r="B17" s="504"/>
      <c r="C17" s="504"/>
      <c r="D17" s="504"/>
      <c r="E17" s="504"/>
      <c r="F17" s="504"/>
      <c r="G17" s="504"/>
      <c r="H17" s="504"/>
      <c r="I17" s="504"/>
      <c r="J17" s="504"/>
      <c r="K17" s="504"/>
      <c r="L17" s="504"/>
      <c r="M17" s="504"/>
      <c r="N17" s="504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</row>
    <row r="18" spans="1:42" x14ac:dyDescent="0.2">
      <c r="A18" s="37" t="s">
        <v>56</v>
      </c>
      <c r="B18" s="502">
        <f>'12ME Jun21 WN Therms'!B18/'12ME Jun21 WN Therms'!B$21</f>
        <v>0.65941164239742278</v>
      </c>
      <c r="C18" s="502">
        <f>'12ME Jun21 WN Therms'!C18/'12ME Jun21 WN Therms'!C$21</f>
        <v>0.70231755694832865</v>
      </c>
      <c r="D18" s="502">
        <f>'12ME Jun21 WN Therms'!D18/'12ME Jun21 WN Therms'!D$21</f>
        <v>0.26911315051130585</v>
      </c>
      <c r="E18" s="502">
        <f>'12ME Jun21 WN Therms'!E18/'12ME Jun21 WN Therms'!E$21</f>
        <v>-4.5481305428999939</v>
      </c>
      <c r="F18" s="502">
        <f>'12ME Jun21 WN Therms'!F18/'12ME Jun21 WN Therms'!F$21</f>
        <v>0.52161668077621737</v>
      </c>
      <c r="G18" s="502">
        <f>'12ME Jun21 WN Therms'!G18/'12ME Jun21 WN Therms'!G$21</f>
        <v>0.33198409710993726</v>
      </c>
      <c r="H18" s="502">
        <f>'12ME Jun21 WN Therms'!H18/'12ME Jun21 WN Therms'!H$21</f>
        <v>0.4155975924494269</v>
      </c>
      <c r="I18" s="502">
        <f>'12ME Jun21 WN Therms'!I18/'12ME Jun21 WN Therms'!I$21</f>
        <v>0.27630021285605849</v>
      </c>
      <c r="J18" s="502">
        <f>'12ME Jun21 WN Therms'!J18/'12ME Jun21 WN Therms'!J$21</f>
        <v>0.44944042966387943</v>
      </c>
      <c r="K18" s="502">
        <f>'12ME Jun21 WN Therms'!K18/'12ME Jun21 WN Therms'!K$21</f>
        <v>0.215032721676474</v>
      </c>
      <c r="L18" s="502">
        <f>'12ME Jun21 WN Therms'!L18/'12ME Jun21 WN Therms'!L$21</f>
        <v>0.36072109053298312</v>
      </c>
      <c r="M18" s="502">
        <f>'12ME Jun21 WN Therms'!M18/'12ME Jun21 WN Therms'!M$21</f>
        <v>0.4147894455604037</v>
      </c>
      <c r="N18" s="502">
        <f>'12ME Jun21 WN Therms'!N18/'12ME Jun21 WN Therms'!N$21</f>
        <v>0.41312367903803343</v>
      </c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</row>
    <row r="19" spans="1:42" x14ac:dyDescent="0.2">
      <c r="A19" s="37" t="s">
        <v>57</v>
      </c>
      <c r="B19" s="502">
        <f>'12ME Jun21 WN Therms'!B19/'12ME Jun21 WN Therms'!B$21</f>
        <v>0.39796679786988509</v>
      </c>
      <c r="C19" s="502">
        <f>'12ME Jun21 WN Therms'!C19/'12ME Jun21 WN Therms'!C$21</f>
        <v>0.22285577963028458</v>
      </c>
      <c r="D19" s="502">
        <f>'12ME Jun21 WN Therms'!D19/'12ME Jun21 WN Therms'!D$21</f>
        <v>0.15328880720586768</v>
      </c>
      <c r="E19" s="502">
        <f>'12ME Jun21 WN Therms'!E19/'12ME Jun21 WN Therms'!E$21</f>
        <v>-2.133276372439703</v>
      </c>
      <c r="F19" s="502">
        <f>'12ME Jun21 WN Therms'!F19/'12ME Jun21 WN Therms'!F$21</f>
        <v>0.19748623856322048</v>
      </c>
      <c r="G19" s="502">
        <f>'12ME Jun21 WN Therms'!G19/'12ME Jun21 WN Therms'!G$21</f>
        <v>0.16314611445263724</v>
      </c>
      <c r="H19" s="502">
        <f>'12ME Jun21 WN Therms'!H19/'12ME Jun21 WN Therms'!H$21</f>
        <v>0.18844115272269588</v>
      </c>
      <c r="I19" s="502">
        <f>'12ME Jun21 WN Therms'!I19/'12ME Jun21 WN Therms'!I$21</f>
        <v>0.22593101594647305</v>
      </c>
      <c r="J19" s="502">
        <f>'12ME Jun21 WN Therms'!J19/'12ME Jun21 WN Therms'!J$21</f>
        <v>0.23186647280998252</v>
      </c>
      <c r="K19" s="502">
        <f>'12ME Jun21 WN Therms'!K19/'12ME Jun21 WN Therms'!K$21</f>
        <v>0.20298083278505313</v>
      </c>
      <c r="L19" s="502">
        <f>'12ME Jun21 WN Therms'!L19/'12ME Jun21 WN Therms'!L$21</f>
        <v>0.20848324510242203</v>
      </c>
      <c r="M19" s="502">
        <f>'12ME Jun21 WN Therms'!M19/'12ME Jun21 WN Therms'!M$21</f>
        <v>0.24060843778747465</v>
      </c>
      <c r="N19" s="502">
        <f>'12ME Jun21 WN Therms'!N19/'12ME Jun21 WN Therms'!N$21</f>
        <v>0.21745475328448458</v>
      </c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</row>
    <row r="20" spans="1:42" x14ac:dyDescent="0.2">
      <c r="A20" s="37" t="s">
        <v>86</v>
      </c>
      <c r="B20" s="502">
        <f>'12ME Jun21 WN Therms'!B20/'12ME Jun21 WN Therms'!B$21</f>
        <v>-5.7378440267307845E-2</v>
      </c>
      <c r="C20" s="502">
        <f>'12ME Jun21 WN Therms'!C20/'12ME Jun21 WN Therms'!C$21</f>
        <v>7.482666342138676E-2</v>
      </c>
      <c r="D20" s="502">
        <f>'12ME Jun21 WN Therms'!D20/'12ME Jun21 WN Therms'!D$21</f>
        <v>0.5775980422828263</v>
      </c>
      <c r="E20" s="502">
        <f>'12ME Jun21 WN Therms'!E20/'12ME Jun21 WN Therms'!E$21</f>
        <v>7.6814069153396973</v>
      </c>
      <c r="F20" s="502">
        <f>'12ME Jun21 WN Therms'!F20/'12ME Jun21 WN Therms'!F$21</f>
        <v>0.28089708066056213</v>
      </c>
      <c r="G20" s="502">
        <f>'12ME Jun21 WN Therms'!G20/'12ME Jun21 WN Therms'!G$21</f>
        <v>0.50486978843742558</v>
      </c>
      <c r="H20" s="502">
        <f>'12ME Jun21 WN Therms'!H20/'12ME Jun21 WN Therms'!H$21</f>
        <v>0.39596125482787714</v>
      </c>
      <c r="I20" s="502">
        <f>'12ME Jun21 WN Therms'!I20/'12ME Jun21 WN Therms'!I$21</f>
        <v>0.49776877119746837</v>
      </c>
      <c r="J20" s="502">
        <f>'12ME Jun21 WN Therms'!J20/'12ME Jun21 WN Therms'!J$21</f>
        <v>0.31869309752613806</v>
      </c>
      <c r="K20" s="502">
        <f>'12ME Jun21 WN Therms'!K20/'12ME Jun21 WN Therms'!K$21</f>
        <v>0.58198644553847279</v>
      </c>
      <c r="L20" s="502">
        <f>'12ME Jun21 WN Therms'!L20/'12ME Jun21 WN Therms'!L$21</f>
        <v>0.43079566436459488</v>
      </c>
      <c r="M20" s="502">
        <f>'12ME Jun21 WN Therms'!M20/'12ME Jun21 WN Therms'!M$21</f>
        <v>0.34460211665212165</v>
      </c>
      <c r="N20" s="502">
        <f>'12ME Jun21 WN Therms'!N20/'12ME Jun21 WN Therms'!N$21</f>
        <v>0.36942156767748208</v>
      </c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</row>
    <row r="21" spans="1:42" s="38" customFormat="1" x14ac:dyDescent="0.2">
      <c r="A21" s="37" t="s">
        <v>6</v>
      </c>
      <c r="B21" s="508">
        <f>SUM(B18:B20)</f>
        <v>1</v>
      </c>
      <c r="C21" s="508">
        <f t="shared" ref="C21:N21" si="3">SUM(C18:C20)</f>
        <v>1</v>
      </c>
      <c r="D21" s="508">
        <f t="shared" si="3"/>
        <v>0.99999999999999978</v>
      </c>
      <c r="E21" s="508">
        <f t="shared" si="3"/>
        <v>1.0000000000000009</v>
      </c>
      <c r="F21" s="508">
        <f t="shared" si="3"/>
        <v>1</v>
      </c>
      <c r="G21" s="508">
        <f t="shared" si="3"/>
        <v>1</v>
      </c>
      <c r="H21" s="508">
        <f t="shared" si="3"/>
        <v>0.99999999999999989</v>
      </c>
      <c r="I21" s="508">
        <f t="shared" si="3"/>
        <v>1</v>
      </c>
      <c r="J21" s="508">
        <f t="shared" si="3"/>
        <v>1</v>
      </c>
      <c r="K21" s="508">
        <f t="shared" si="3"/>
        <v>0.99999999999999989</v>
      </c>
      <c r="L21" s="508">
        <f t="shared" si="3"/>
        <v>1</v>
      </c>
      <c r="M21" s="508">
        <f t="shared" si="3"/>
        <v>1</v>
      </c>
      <c r="N21" s="508">
        <f t="shared" si="3"/>
        <v>1</v>
      </c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</row>
    <row r="22" spans="1:42" x14ac:dyDescent="0.2"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</row>
    <row r="23" spans="1:42" ht="15" x14ac:dyDescent="0.25">
      <c r="A23" s="37" t="s">
        <v>37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</row>
    <row r="24" spans="1:42" x14ac:dyDescent="0.2">
      <c r="A24" s="37" t="s">
        <v>56</v>
      </c>
      <c r="B24" s="502">
        <f>'12ME Jun21 WN Therms'!B24/'12ME Jun21 WN Therms'!B$27</f>
        <v>0.39912783421509468</v>
      </c>
      <c r="C24" s="502">
        <f>'12ME Jun21 WN Therms'!C24/'12ME Jun21 WN Therms'!C$27</f>
        <v>0.39851395238913556</v>
      </c>
      <c r="D24" s="502">
        <f>'12ME Jun21 WN Therms'!D24/'12ME Jun21 WN Therms'!D$27</f>
        <v>0.38936695489726225</v>
      </c>
      <c r="E24" s="502">
        <f>'12ME Jun21 WN Therms'!E24/'12ME Jun21 WN Therms'!E$27</f>
        <v>0.31274781092592258</v>
      </c>
      <c r="F24" s="502">
        <f>'12ME Jun21 WN Therms'!F24/'12ME Jun21 WN Therms'!F$27</f>
        <v>0.35342186693655564</v>
      </c>
      <c r="G24" s="502">
        <f>'12ME Jun21 WN Therms'!G24/'12ME Jun21 WN Therms'!G$27</f>
        <v>0.46496629093269887</v>
      </c>
      <c r="H24" s="502">
        <f>'12ME Jun21 WN Therms'!H24/'12ME Jun21 WN Therms'!H$27</f>
        <v>0.16223223584076671</v>
      </c>
      <c r="I24" s="502">
        <f>'12ME Jun21 WN Therms'!I24/'12ME Jun21 WN Therms'!I$27</f>
        <v>0.37682028522058064</v>
      </c>
      <c r="J24" s="502">
        <f>'12ME Jun21 WN Therms'!J24/'12ME Jun21 WN Therms'!J$27</f>
        <v>0.29239560194955871</v>
      </c>
      <c r="K24" s="502">
        <f>'12ME Jun21 WN Therms'!K24/'12ME Jun21 WN Therms'!K$27</f>
        <v>0.3490787596577174</v>
      </c>
      <c r="L24" s="502">
        <f>'12ME Jun21 WN Therms'!L24/'12ME Jun21 WN Therms'!L$27</f>
        <v>0.39898811611544827</v>
      </c>
      <c r="M24" s="502">
        <f>'12ME Jun21 WN Therms'!M24/'12ME Jun21 WN Therms'!M$27</f>
        <v>0.36376228720589582</v>
      </c>
      <c r="N24" s="502">
        <f>'12ME Jun21 WN Therms'!N24/'12ME Jun21 WN Therms'!N$27</f>
        <v>0.35354551328924094</v>
      </c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</row>
    <row r="25" spans="1:42" x14ac:dyDescent="0.2">
      <c r="A25" s="37" t="s">
        <v>57</v>
      </c>
      <c r="B25" s="502">
        <f>'12ME Jun21 WN Therms'!B25/'12ME Jun21 WN Therms'!B$27</f>
        <v>0.26493062107930104</v>
      </c>
      <c r="C25" s="502">
        <f>'12ME Jun21 WN Therms'!C25/'12ME Jun21 WN Therms'!C$27</f>
        <v>0.26688470803829584</v>
      </c>
      <c r="D25" s="502">
        <f>'12ME Jun21 WN Therms'!D25/'12ME Jun21 WN Therms'!D$27</f>
        <v>0.27036185211466668</v>
      </c>
      <c r="E25" s="502">
        <f>'12ME Jun21 WN Therms'!E25/'12ME Jun21 WN Therms'!E$27</f>
        <v>0.27530960466176646</v>
      </c>
      <c r="F25" s="502">
        <f>'12ME Jun21 WN Therms'!F25/'12ME Jun21 WN Therms'!F$27</f>
        <v>0.25739366663385088</v>
      </c>
      <c r="G25" s="502">
        <f>'12ME Jun21 WN Therms'!G25/'12ME Jun21 WN Therms'!G$27</f>
        <v>0.33270439687004799</v>
      </c>
      <c r="H25" s="502">
        <f>'12ME Jun21 WN Therms'!H25/'12ME Jun21 WN Therms'!H$27</f>
        <v>0.10797660235735344</v>
      </c>
      <c r="I25" s="502">
        <f>'12ME Jun21 WN Therms'!I25/'12ME Jun21 WN Therms'!I$27</f>
        <v>0.2725823586615051</v>
      </c>
      <c r="J25" s="502">
        <f>'12ME Jun21 WN Therms'!J25/'12ME Jun21 WN Therms'!J$27</f>
        <v>0.21502723043956404</v>
      </c>
      <c r="K25" s="502">
        <f>'12ME Jun21 WN Therms'!K25/'12ME Jun21 WN Therms'!K$27</f>
        <v>0.24309477501934407</v>
      </c>
      <c r="L25" s="502">
        <f>'12ME Jun21 WN Therms'!L25/'12ME Jun21 WN Therms'!L$27</f>
        <v>0.25589288522782999</v>
      </c>
      <c r="M25" s="502">
        <f>'12ME Jun21 WN Therms'!M25/'12ME Jun21 WN Therms'!M$27</f>
        <v>0.26569070903051872</v>
      </c>
      <c r="N25" s="502">
        <f>'12ME Jun21 WN Therms'!N25/'12ME Jun21 WN Therms'!N$27</f>
        <v>0.25155938117336868</v>
      </c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</row>
    <row r="26" spans="1:42" x14ac:dyDescent="0.2">
      <c r="A26" s="37" t="s">
        <v>86</v>
      </c>
      <c r="B26" s="502">
        <f>'12ME Jun21 WN Therms'!B26/'12ME Jun21 WN Therms'!B$27</f>
        <v>0.33594154470560439</v>
      </c>
      <c r="C26" s="502">
        <f>'12ME Jun21 WN Therms'!C26/'12ME Jun21 WN Therms'!C$27</f>
        <v>0.3346013395725686</v>
      </c>
      <c r="D26" s="502">
        <f>'12ME Jun21 WN Therms'!D26/'12ME Jun21 WN Therms'!D$27</f>
        <v>0.34027119298807107</v>
      </c>
      <c r="E26" s="502">
        <f>'12ME Jun21 WN Therms'!E26/'12ME Jun21 WN Therms'!E$27</f>
        <v>0.41194258441231091</v>
      </c>
      <c r="F26" s="502">
        <f>'12ME Jun21 WN Therms'!F26/'12ME Jun21 WN Therms'!F$27</f>
        <v>0.38918446642959348</v>
      </c>
      <c r="G26" s="502">
        <f>'12ME Jun21 WN Therms'!G26/'12ME Jun21 WN Therms'!G$27</f>
        <v>0.202329312197253</v>
      </c>
      <c r="H26" s="502">
        <f>'12ME Jun21 WN Therms'!H26/'12ME Jun21 WN Therms'!H$27</f>
        <v>0.72979116180187986</v>
      </c>
      <c r="I26" s="502">
        <f>'12ME Jun21 WN Therms'!I26/'12ME Jun21 WN Therms'!I$27</f>
        <v>0.35059735611791426</v>
      </c>
      <c r="J26" s="502">
        <f>'12ME Jun21 WN Therms'!J26/'12ME Jun21 WN Therms'!J$27</f>
        <v>0.49257716761087722</v>
      </c>
      <c r="K26" s="502">
        <f>'12ME Jun21 WN Therms'!K26/'12ME Jun21 WN Therms'!K$27</f>
        <v>0.40782646532293848</v>
      </c>
      <c r="L26" s="502">
        <f>'12ME Jun21 WN Therms'!L26/'12ME Jun21 WN Therms'!L$27</f>
        <v>0.34511899865672174</v>
      </c>
      <c r="M26" s="502">
        <f>'12ME Jun21 WN Therms'!M26/'12ME Jun21 WN Therms'!M$27</f>
        <v>0.3705470037635854</v>
      </c>
      <c r="N26" s="502">
        <f>'12ME Jun21 WN Therms'!N26/'12ME Jun21 WN Therms'!N$27</f>
        <v>0.39489510553739043</v>
      </c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</row>
    <row r="27" spans="1:42" s="38" customFormat="1" x14ac:dyDescent="0.2">
      <c r="A27" s="37" t="s">
        <v>6</v>
      </c>
      <c r="B27" s="508">
        <f>SUM(B24:B26)</f>
        <v>1.0000000000000002</v>
      </c>
      <c r="C27" s="508">
        <f t="shared" ref="C27:N27" si="4">SUM(C24:C26)</f>
        <v>1</v>
      </c>
      <c r="D27" s="508">
        <f t="shared" si="4"/>
        <v>1</v>
      </c>
      <c r="E27" s="508">
        <f t="shared" si="4"/>
        <v>0.99999999999999989</v>
      </c>
      <c r="F27" s="508">
        <f t="shared" si="4"/>
        <v>1</v>
      </c>
      <c r="G27" s="508">
        <f t="shared" si="4"/>
        <v>0.99999999999999989</v>
      </c>
      <c r="H27" s="508">
        <f t="shared" si="4"/>
        <v>1</v>
      </c>
      <c r="I27" s="508">
        <f t="shared" si="4"/>
        <v>1</v>
      </c>
      <c r="J27" s="508">
        <f t="shared" si="4"/>
        <v>1</v>
      </c>
      <c r="K27" s="508">
        <f t="shared" si="4"/>
        <v>1</v>
      </c>
      <c r="L27" s="508">
        <f t="shared" si="4"/>
        <v>1</v>
      </c>
      <c r="M27" s="508">
        <f t="shared" si="4"/>
        <v>1</v>
      </c>
      <c r="N27" s="508">
        <f t="shared" si="4"/>
        <v>1</v>
      </c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</row>
    <row r="28" spans="1:42" x14ac:dyDescent="0.2"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</row>
    <row r="29" spans="1:42" x14ac:dyDescent="0.2">
      <c r="A29" s="37" t="s">
        <v>97</v>
      </c>
      <c r="B29" s="503"/>
      <c r="C29" s="503"/>
      <c r="D29" s="503"/>
      <c r="E29" s="503"/>
      <c r="F29" s="503"/>
      <c r="G29" s="503"/>
      <c r="H29" s="503"/>
      <c r="I29" s="503"/>
      <c r="J29" s="503"/>
      <c r="K29" s="503"/>
      <c r="L29" s="503"/>
      <c r="M29" s="503"/>
      <c r="N29" s="503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</row>
    <row r="30" spans="1:42" ht="15" x14ac:dyDescent="0.25">
      <c r="A30" s="37" t="s">
        <v>59</v>
      </c>
      <c r="B30" s="506">
        <f>'12ME Jun21 WN Therms'!B30/'12ME Jun21 WN Therms'!B$32</f>
        <v>0.29370782201658258</v>
      </c>
      <c r="C30" s="506">
        <f>'12ME Jun21 WN Therms'!C30/'12ME Jun21 WN Therms'!C$32</f>
        <v>0.38940391694445775</v>
      </c>
      <c r="D30" s="506">
        <f>'12ME Jun21 WN Therms'!D30/'12ME Jun21 WN Therms'!D$32</f>
        <v>0.34478878167591775</v>
      </c>
      <c r="E30" s="506">
        <f>'12ME Jun21 WN Therms'!E30/'12ME Jun21 WN Therms'!E$32</f>
        <v>0.30509230800818504</v>
      </c>
      <c r="F30" s="506">
        <f>'12ME Jun21 WN Therms'!F30/'12ME Jun21 WN Therms'!F$32</f>
        <v>0.16086098383632583</v>
      </c>
      <c r="G30" s="506">
        <f>'12ME Jun21 WN Therms'!G30/'12ME Jun21 WN Therms'!G$32</f>
        <v>0.14331945621243503</v>
      </c>
      <c r="H30" s="506">
        <f>'12ME Jun21 WN Therms'!H30/'12ME Jun21 WN Therms'!H$32</f>
        <v>0.13475482925183307</v>
      </c>
      <c r="I30" s="506">
        <f>'12ME Jun21 WN Therms'!I30/'12ME Jun21 WN Therms'!I$32</f>
        <v>0.11819616963628685</v>
      </c>
      <c r="J30" s="506">
        <f>'12ME Jun21 WN Therms'!J30/'12ME Jun21 WN Therms'!J$32</f>
        <v>0.18056258404494027</v>
      </c>
      <c r="K30" s="506">
        <f>'12ME Jun21 WN Therms'!K30/'12ME Jun21 WN Therms'!K$32</f>
        <v>0.15476556993912222</v>
      </c>
      <c r="L30" s="506">
        <f>'12ME Jun21 WN Therms'!L30/'12ME Jun21 WN Therms'!L$32</f>
        <v>6.7559068588145699E-2</v>
      </c>
      <c r="M30" s="506">
        <f>'12ME Jun21 WN Therms'!M30/'12ME Jun21 WN Therms'!M$32</f>
        <v>-7.8642399313040526E-2</v>
      </c>
      <c r="N30" s="506">
        <f>'12ME Jun21 WN Therms'!N30/'12ME Jun21 WN Therms'!N$32</f>
        <v>0.1842976195088302</v>
      </c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</row>
    <row r="31" spans="1:42" ht="15" x14ac:dyDescent="0.25">
      <c r="A31" s="37" t="s">
        <v>89</v>
      </c>
      <c r="B31" s="506">
        <f>'12ME Jun21 WN Therms'!B31/'12ME Jun21 WN Therms'!B$32</f>
        <v>0.70629217798341737</v>
      </c>
      <c r="C31" s="506">
        <f>'12ME Jun21 WN Therms'!C31/'12ME Jun21 WN Therms'!C$32</f>
        <v>0.61059608305554225</v>
      </c>
      <c r="D31" s="506">
        <f>'12ME Jun21 WN Therms'!D31/'12ME Jun21 WN Therms'!D$32</f>
        <v>0.65521121832408213</v>
      </c>
      <c r="E31" s="506">
        <f>'12ME Jun21 WN Therms'!E31/'12ME Jun21 WN Therms'!E$32</f>
        <v>0.6949076919918149</v>
      </c>
      <c r="F31" s="506">
        <f>'12ME Jun21 WN Therms'!F31/'12ME Jun21 WN Therms'!F$32</f>
        <v>0.83913901616367403</v>
      </c>
      <c r="G31" s="506">
        <f>'12ME Jun21 WN Therms'!G31/'12ME Jun21 WN Therms'!G$32</f>
        <v>0.85668054378756486</v>
      </c>
      <c r="H31" s="506">
        <f>'12ME Jun21 WN Therms'!H31/'12ME Jun21 WN Therms'!H$32</f>
        <v>0.86524517074816698</v>
      </c>
      <c r="I31" s="506">
        <f>'12ME Jun21 WN Therms'!I31/'12ME Jun21 WN Therms'!I$32</f>
        <v>0.88180383036371313</v>
      </c>
      <c r="J31" s="506">
        <f>'12ME Jun21 WN Therms'!J31/'12ME Jun21 WN Therms'!J$32</f>
        <v>0.8194374159550597</v>
      </c>
      <c r="K31" s="506">
        <f>'12ME Jun21 WN Therms'!K31/'12ME Jun21 WN Therms'!K$32</f>
        <v>0.84523443006087784</v>
      </c>
      <c r="L31" s="506">
        <f>'12ME Jun21 WN Therms'!L31/'12ME Jun21 WN Therms'!L$32</f>
        <v>0.93244093141185436</v>
      </c>
      <c r="M31" s="506">
        <f>'12ME Jun21 WN Therms'!M31/'12ME Jun21 WN Therms'!M$32</f>
        <v>1.0786423993130405</v>
      </c>
      <c r="N31" s="506">
        <f>'12ME Jun21 WN Therms'!N31/'12ME Jun21 WN Therms'!N$32</f>
        <v>0.81570238049116983</v>
      </c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</row>
    <row r="32" spans="1:42" ht="15" x14ac:dyDescent="0.25">
      <c r="A32" s="37" t="s">
        <v>6</v>
      </c>
      <c r="B32" s="507">
        <f>SUM(B30:B31)</f>
        <v>1</v>
      </c>
      <c r="C32" s="507">
        <f t="shared" ref="C32:N32" si="5">SUM(C30:C31)</f>
        <v>1</v>
      </c>
      <c r="D32" s="507">
        <f t="shared" si="5"/>
        <v>0.99999999999999989</v>
      </c>
      <c r="E32" s="507">
        <f t="shared" si="5"/>
        <v>1</v>
      </c>
      <c r="F32" s="507">
        <f t="shared" si="5"/>
        <v>0.99999999999999989</v>
      </c>
      <c r="G32" s="507">
        <f t="shared" si="5"/>
        <v>0.99999999999999989</v>
      </c>
      <c r="H32" s="507">
        <f t="shared" si="5"/>
        <v>1</v>
      </c>
      <c r="I32" s="507">
        <f t="shared" si="5"/>
        <v>1</v>
      </c>
      <c r="J32" s="507">
        <f t="shared" si="5"/>
        <v>1</v>
      </c>
      <c r="K32" s="507">
        <f t="shared" si="5"/>
        <v>1</v>
      </c>
      <c r="L32" s="507">
        <f t="shared" si="5"/>
        <v>1</v>
      </c>
      <c r="M32" s="507">
        <f t="shared" si="5"/>
        <v>1</v>
      </c>
      <c r="N32" s="507">
        <f t="shared" si="5"/>
        <v>1</v>
      </c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</row>
    <row r="33" spans="1:42" x14ac:dyDescent="0.2"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</row>
    <row r="34" spans="1:42" ht="15" x14ac:dyDescent="0.25">
      <c r="A34" s="36" t="s">
        <v>39</v>
      </c>
      <c r="B34" s="504"/>
      <c r="C34" s="504"/>
      <c r="D34" s="504"/>
      <c r="E34" s="504"/>
      <c r="F34" s="504"/>
      <c r="G34" s="504"/>
      <c r="H34" s="504"/>
      <c r="I34" s="504"/>
      <c r="J34" s="504"/>
      <c r="K34" s="504"/>
      <c r="L34" s="504"/>
      <c r="M34" s="504"/>
      <c r="N34" s="504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</row>
    <row r="35" spans="1:42" x14ac:dyDescent="0.2">
      <c r="A35" s="37" t="s">
        <v>59</v>
      </c>
      <c r="B35" s="502">
        <f>'12ME Jun21 WN Therms'!B35/'12ME Jun21 WN Therms'!B$37</f>
        <v>8.883823135518723E-2</v>
      </c>
      <c r="C35" s="502">
        <f>'12ME Jun21 WN Therms'!C35/'12ME Jun21 WN Therms'!C$37</f>
        <v>7.934680126264565E-2</v>
      </c>
      <c r="D35" s="502">
        <f>'12ME Jun21 WN Therms'!D35/'12ME Jun21 WN Therms'!D$37</f>
        <v>7.6676635268223506E-2</v>
      </c>
      <c r="E35" s="502">
        <f>'12ME Jun21 WN Therms'!E35/'12ME Jun21 WN Therms'!E$37</f>
        <v>0.13006436057139384</v>
      </c>
      <c r="F35" s="502">
        <f>'12ME Jun21 WN Therms'!F35/'12ME Jun21 WN Therms'!F$37</f>
        <v>9.9940704411298126E-2</v>
      </c>
      <c r="G35" s="502">
        <f>'12ME Jun21 WN Therms'!G35/'12ME Jun21 WN Therms'!G$37</f>
        <v>0.11488890399954824</v>
      </c>
      <c r="H35" s="502">
        <f>'12ME Jun21 WN Therms'!H35/'12ME Jun21 WN Therms'!H$37</f>
        <v>4.1543486549383793E-2</v>
      </c>
      <c r="I35" s="502">
        <f>'12ME Jun21 WN Therms'!I35/'12ME Jun21 WN Therms'!I$37</f>
        <v>7.1049421266939056E-2</v>
      </c>
      <c r="J35" s="502">
        <f>'12ME Jun21 WN Therms'!J35/'12ME Jun21 WN Therms'!J$37</f>
        <v>3.4826277819666053E-2</v>
      </c>
      <c r="K35" s="502">
        <f>'12ME Jun21 WN Therms'!K35/'12ME Jun21 WN Therms'!K$37</f>
        <v>7.7034761818344788E-2</v>
      </c>
      <c r="L35" s="502">
        <f>'12ME Jun21 WN Therms'!L35/'12ME Jun21 WN Therms'!L$37</f>
        <v>7.6975288537592682E-2</v>
      </c>
      <c r="M35" s="502">
        <f>'12ME Jun21 WN Therms'!M35/'12ME Jun21 WN Therms'!M$37</f>
        <v>9.1854608850926403E-2</v>
      </c>
      <c r="N35" s="502">
        <f>'12ME Jun21 WN Therms'!N35/'12ME Jun21 WN Therms'!N$37</f>
        <v>9.3135338085187327E-2</v>
      </c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</row>
    <row r="36" spans="1:42" x14ac:dyDescent="0.2">
      <c r="A36" s="37" t="s">
        <v>89</v>
      </c>
      <c r="B36" s="502">
        <f>'12ME Jun21 WN Therms'!B36/'12ME Jun21 WN Therms'!B$37</f>
        <v>0.9111617686448128</v>
      </c>
      <c r="C36" s="502">
        <f>'12ME Jun21 WN Therms'!C36/'12ME Jun21 WN Therms'!C$37</f>
        <v>0.92065319873735441</v>
      </c>
      <c r="D36" s="502">
        <f>'12ME Jun21 WN Therms'!D36/'12ME Jun21 WN Therms'!D$37</f>
        <v>0.92332336473177645</v>
      </c>
      <c r="E36" s="502">
        <f>'12ME Jun21 WN Therms'!E36/'12ME Jun21 WN Therms'!E$37</f>
        <v>0.86993563942860619</v>
      </c>
      <c r="F36" s="502">
        <f>'12ME Jun21 WN Therms'!F36/'12ME Jun21 WN Therms'!F$37</f>
        <v>0.9000592955887019</v>
      </c>
      <c r="G36" s="502">
        <f>'12ME Jun21 WN Therms'!G36/'12ME Jun21 WN Therms'!G$37</f>
        <v>0.88511109600045168</v>
      </c>
      <c r="H36" s="502">
        <f>'12ME Jun21 WN Therms'!H36/'12ME Jun21 WN Therms'!H$37</f>
        <v>0.95845651345061611</v>
      </c>
      <c r="I36" s="502">
        <f>'12ME Jun21 WN Therms'!I36/'12ME Jun21 WN Therms'!I$37</f>
        <v>0.92895057873306097</v>
      </c>
      <c r="J36" s="502">
        <f>'12ME Jun21 WN Therms'!J36/'12ME Jun21 WN Therms'!J$37</f>
        <v>0.96517372218033393</v>
      </c>
      <c r="K36" s="502">
        <f>'12ME Jun21 WN Therms'!K36/'12ME Jun21 WN Therms'!K$37</f>
        <v>0.92296523818165521</v>
      </c>
      <c r="L36" s="502">
        <f>'12ME Jun21 WN Therms'!L36/'12ME Jun21 WN Therms'!L$37</f>
        <v>0.92302471146240728</v>
      </c>
      <c r="M36" s="502">
        <f>'12ME Jun21 WN Therms'!M36/'12ME Jun21 WN Therms'!M$37</f>
        <v>0.90814539114907356</v>
      </c>
      <c r="N36" s="502">
        <f>'12ME Jun21 WN Therms'!N36/'12ME Jun21 WN Therms'!N$37</f>
        <v>0.90686466191481274</v>
      </c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</row>
    <row r="37" spans="1:42" x14ac:dyDescent="0.2">
      <c r="A37" s="37" t="s">
        <v>6</v>
      </c>
      <c r="B37" s="508">
        <f>SUM(B35:B36)</f>
        <v>1</v>
      </c>
      <c r="C37" s="508">
        <f t="shared" ref="C37:M37" si="6">SUM(C35:C36)</f>
        <v>1</v>
      </c>
      <c r="D37" s="508">
        <f t="shared" si="6"/>
        <v>1</v>
      </c>
      <c r="E37" s="508">
        <f t="shared" si="6"/>
        <v>1</v>
      </c>
      <c r="F37" s="508">
        <f t="shared" si="6"/>
        <v>1</v>
      </c>
      <c r="G37" s="508">
        <f t="shared" si="6"/>
        <v>0.99999999999999989</v>
      </c>
      <c r="H37" s="508">
        <f t="shared" si="6"/>
        <v>0.99999999999999989</v>
      </c>
      <c r="I37" s="508">
        <f t="shared" si="6"/>
        <v>1</v>
      </c>
      <c r="J37" s="508">
        <f t="shared" si="6"/>
        <v>1</v>
      </c>
      <c r="K37" s="508">
        <f t="shared" si="6"/>
        <v>1</v>
      </c>
      <c r="L37" s="508">
        <f t="shared" si="6"/>
        <v>1</v>
      </c>
      <c r="M37" s="508">
        <f t="shared" si="6"/>
        <v>1</v>
      </c>
      <c r="N37" s="508">
        <f>SUM(N35:N36)</f>
        <v>1</v>
      </c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</row>
    <row r="38" spans="1:42" x14ac:dyDescent="0.2"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</row>
    <row r="39" spans="1:42" x14ac:dyDescent="0.2">
      <c r="A39" s="35" t="s">
        <v>98</v>
      </c>
      <c r="B39" s="505"/>
      <c r="C39" s="505"/>
      <c r="D39" s="505"/>
      <c r="E39" s="505"/>
      <c r="F39" s="505"/>
      <c r="G39" s="505"/>
      <c r="H39" s="505"/>
      <c r="I39" s="505"/>
      <c r="J39" s="505"/>
      <c r="K39" s="505"/>
      <c r="L39" s="505"/>
      <c r="M39" s="505"/>
      <c r="N39" s="505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</row>
    <row r="40" spans="1:42" s="38" customFormat="1" x14ac:dyDescent="0.2">
      <c r="A40" s="37" t="s">
        <v>56</v>
      </c>
      <c r="B40" s="502">
        <f>'12ME Jun21 WN Therms'!B40/'12ME Jun21 WN Therms'!B$46</f>
        <v>-4.9667844336580043</v>
      </c>
      <c r="C40" s="502">
        <f>'12ME Jun21 WN Therms'!C40/'12ME Jun21 WN Therms'!C$46</f>
        <v>0.55805620234903841</v>
      </c>
      <c r="D40" s="502">
        <f>'12ME Jun21 WN Therms'!D40/'12ME Jun21 WN Therms'!D$46</f>
        <v>0.10231499035280275</v>
      </c>
      <c r="E40" s="502">
        <f>'12ME Jun21 WN Therms'!E40/'12ME Jun21 WN Therms'!E$46</f>
        <v>0.11424834346232976</v>
      </c>
      <c r="F40" s="502">
        <f>'12ME Jun21 WN Therms'!F40/'12ME Jun21 WN Therms'!F$46</f>
        <v>3.064252273127014E-2</v>
      </c>
      <c r="G40" s="502">
        <f>'12ME Jun21 WN Therms'!G40/'12ME Jun21 WN Therms'!G$46</f>
        <v>-1.1133405959370513</v>
      </c>
      <c r="H40" s="502">
        <f>'12ME Jun21 WN Therms'!H40/'12ME Jun21 WN Therms'!H$46</f>
        <v>2.5011247604944033E-2</v>
      </c>
      <c r="I40" s="502">
        <f>'12ME Jun21 WN Therms'!I40/'12ME Jun21 WN Therms'!I$46</f>
        <v>2.6148817035332502E-2</v>
      </c>
      <c r="J40" s="502">
        <f>'12ME Jun21 WN Therms'!J40/'12ME Jun21 WN Therms'!J$46</f>
        <v>-0.54304556775313839</v>
      </c>
      <c r="K40" s="502">
        <f>'12ME Jun21 WN Therms'!K40/'12ME Jun21 WN Therms'!K$46</f>
        <v>5.509988398846364E-2</v>
      </c>
      <c r="L40" s="502">
        <f>'12ME Jun21 WN Therms'!L40/'12ME Jun21 WN Therms'!L$46</f>
        <v>8.0211789771738679E-2</v>
      </c>
      <c r="M40" s="502">
        <f>'12ME Jun21 WN Therms'!M40/'12ME Jun21 WN Therms'!M$46</f>
        <v>8.0137703141507408E-2</v>
      </c>
      <c r="N40" s="502">
        <f>'12ME Jun21 WN Therms'!N40/'12ME Jun21 WN Therms'!N$46</f>
        <v>6.9304799187932295E-2</v>
      </c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</row>
    <row r="41" spans="1:42" x14ac:dyDescent="0.2">
      <c r="A41" s="37" t="s">
        <v>57</v>
      </c>
      <c r="B41" s="502">
        <f>'12ME Jun21 WN Therms'!B41/'12ME Jun21 WN Therms'!B$46</f>
        <v>0.67516413123482688</v>
      </c>
      <c r="C41" s="502">
        <f>'12ME Jun21 WN Therms'!C41/'12ME Jun21 WN Therms'!C$46</f>
        <v>4.9567993237073157E-2</v>
      </c>
      <c r="D41" s="502">
        <f>'12ME Jun21 WN Therms'!D41/'12ME Jun21 WN Therms'!D$46</f>
        <v>7.8506479511540411E-2</v>
      </c>
      <c r="E41" s="502">
        <f>'12ME Jun21 WN Therms'!E41/'12ME Jun21 WN Therms'!E$46</f>
        <v>0.10133909956341267</v>
      </c>
      <c r="F41" s="502">
        <f>'12ME Jun21 WN Therms'!F41/'12ME Jun21 WN Therms'!F$46</f>
        <v>3.064252273127014E-2</v>
      </c>
      <c r="G41" s="502">
        <f>'12ME Jun21 WN Therms'!G41/'12ME Jun21 WN Therms'!G$46</f>
        <v>-1.1133333742839353</v>
      </c>
      <c r="H41" s="502">
        <f>'12ME Jun21 WN Therms'!H41/'12ME Jun21 WN Therms'!H$46</f>
        <v>2.5011247604944033E-2</v>
      </c>
      <c r="I41" s="502">
        <f>'12ME Jun21 WN Therms'!I41/'12ME Jun21 WN Therms'!I$46</f>
        <v>2.614903343993253E-2</v>
      </c>
      <c r="J41" s="502">
        <f>'12ME Jun21 WN Therms'!J41/'12ME Jun21 WN Therms'!J$46</f>
        <v>-0.5251770660608529</v>
      </c>
      <c r="K41" s="502">
        <f>'12ME Jun21 WN Therms'!K41/'12ME Jun21 WN Therms'!K$46</f>
        <v>4.8829056922878894E-2</v>
      </c>
      <c r="L41" s="502">
        <f>'12ME Jun21 WN Therms'!L41/'12ME Jun21 WN Therms'!L$46</f>
        <v>6.5064339515634187E-2</v>
      </c>
      <c r="M41" s="502">
        <f>'12ME Jun21 WN Therms'!M41/'12ME Jun21 WN Therms'!M$46</f>
        <v>7.3015481057258219E-2</v>
      </c>
      <c r="N41" s="502">
        <f>'12ME Jun21 WN Therms'!N41/'12ME Jun21 WN Therms'!N$46</f>
        <v>6.4071997497388414E-2</v>
      </c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</row>
    <row r="42" spans="1:42" x14ac:dyDescent="0.2">
      <c r="A42" s="37" t="s">
        <v>62</v>
      </c>
      <c r="B42" s="502">
        <f>'12ME Jun21 WN Therms'!B42/'12ME Jun21 WN Therms'!B$46</f>
        <v>1.0466965975968592</v>
      </c>
      <c r="C42" s="502">
        <f>'12ME Jun21 WN Therms'!C42/'12ME Jun21 WN Therms'!C$46</f>
        <v>7.0434193387234473E-2</v>
      </c>
      <c r="D42" s="502">
        <f>'12ME Jun21 WN Therms'!D42/'12ME Jun21 WN Therms'!D$46</f>
        <v>0.11281646555305758</v>
      </c>
      <c r="E42" s="502">
        <f>'12ME Jun21 WN Therms'!E42/'12ME Jun21 WN Therms'!E$46</f>
        <v>0.14922024258673797</v>
      </c>
      <c r="F42" s="502">
        <f>'12ME Jun21 WN Therms'!F42/'12ME Jun21 WN Therms'!F$46</f>
        <v>5.0333558599596165E-2</v>
      </c>
      <c r="G42" s="502">
        <f>'12ME Jun21 WN Therms'!G42/'12ME Jun21 WN Therms'!G$46</f>
        <v>-1.786284098434012</v>
      </c>
      <c r="H42" s="502">
        <f>'12ME Jun21 WN Therms'!H42/'12ME Jun21 WN Therms'!H$46</f>
        <v>5.1402482959633261E-2</v>
      </c>
      <c r="I42" s="502">
        <f>'12ME Jun21 WN Therms'!I42/'12ME Jun21 WN Therms'!I$46</f>
        <v>4.2734801140808541E-2</v>
      </c>
      <c r="J42" s="502">
        <f>'12ME Jun21 WN Therms'!J42/'12ME Jun21 WN Therms'!J$46</f>
        <v>-0.8688729084050214</v>
      </c>
      <c r="K42" s="502">
        <f>'12ME Jun21 WN Therms'!K42/'12ME Jun21 WN Therms'!K$46</f>
        <v>9.1833139980772735E-2</v>
      </c>
      <c r="L42" s="502">
        <f>'12ME Jun21 WN Therms'!L42/'12ME Jun21 WN Therms'!L$46</f>
        <v>0.12031768465760802</v>
      </c>
      <c r="M42" s="502">
        <f>'12ME Jun21 WN Therms'!M42/'12ME Jun21 WN Therms'!M$46</f>
        <v>0.13348926349747492</v>
      </c>
      <c r="N42" s="502">
        <f>'12ME Jun21 WN Therms'!N42/'12ME Jun21 WN Therms'!N$46</f>
        <v>0.106184596042826</v>
      </c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</row>
    <row r="43" spans="1:42" x14ac:dyDescent="0.2">
      <c r="A43" s="37" t="s">
        <v>63</v>
      </c>
      <c r="B43" s="502">
        <f>'12ME Jun21 WN Therms'!B43/'12ME Jun21 WN Therms'!B$46</f>
        <v>0.50332246148300186</v>
      </c>
      <c r="C43" s="502">
        <f>'12ME Jun21 WN Therms'!C43/'12ME Jun21 WN Therms'!C$46</f>
        <v>1.3591900904780848E-3</v>
      </c>
      <c r="D43" s="502">
        <f>'12ME Jun21 WN Therms'!D43/'12ME Jun21 WN Therms'!D$46</f>
        <v>1.1661415709777561E-2</v>
      </c>
      <c r="E43" s="502">
        <f>'12ME Jun21 WN Therms'!E43/'12ME Jun21 WN Therms'!E$46</f>
        <v>0.1390343884217933</v>
      </c>
      <c r="F43" s="502">
        <f>'12ME Jun21 WN Therms'!F43/'12ME Jun21 WN Therms'!F$46</f>
        <v>0.18221658595049953</v>
      </c>
      <c r="G43" s="502">
        <f>'12ME Jun21 WN Therms'!G43/'12ME Jun21 WN Therms'!G$46</f>
        <v>1.7573401785416196E-2</v>
      </c>
      <c r="H43" s="502">
        <f>'12ME Jun21 WN Therms'!H43/'12ME Jun21 WN Therms'!H$46</f>
        <v>0.22861311207848459</v>
      </c>
      <c r="I43" s="502">
        <f>'12ME Jun21 WN Therms'!I43/'12ME Jun21 WN Therms'!I$46</f>
        <v>7.2843215774582151E-2</v>
      </c>
      <c r="J43" s="502">
        <f>'12ME Jun21 WN Therms'!J43/'12ME Jun21 WN Therms'!J$46</f>
        <v>-0.71146628273130508</v>
      </c>
      <c r="K43" s="502">
        <f>'12ME Jun21 WN Therms'!K43/'12ME Jun21 WN Therms'!K$46</f>
        <v>0.24129414240307537</v>
      </c>
      <c r="L43" s="502">
        <f>'12ME Jun21 WN Therms'!L43/'12ME Jun21 WN Therms'!L$46</f>
        <v>-7.9008352236845363E-3</v>
      </c>
      <c r="M43" s="502">
        <f>'12ME Jun21 WN Therms'!M43/'12ME Jun21 WN Therms'!M$46</f>
        <v>9.8595971775245969E-2</v>
      </c>
      <c r="N43" s="502">
        <f>'12ME Jun21 WN Therms'!N43/'12ME Jun21 WN Therms'!N$46</f>
        <v>0.13956612443349467</v>
      </c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</row>
    <row r="44" spans="1:42" x14ac:dyDescent="0.2">
      <c r="A44" s="37" t="s">
        <v>64</v>
      </c>
      <c r="B44" s="502">
        <f>'12ME Jun21 WN Therms'!B44/'12ME Jun21 WN Therms'!B$46</f>
        <v>1.464946793413245</v>
      </c>
      <c r="C44" s="502">
        <f>'12ME Jun21 WN Therms'!C44/'12ME Jun21 WN Therms'!C$46</f>
        <v>0.1295669874862895</v>
      </c>
      <c r="D44" s="502">
        <f>'12ME Jun21 WN Therms'!D44/'12ME Jun21 WN Therms'!D$46</f>
        <v>0.31401754424498179</v>
      </c>
      <c r="E44" s="502">
        <f>'12ME Jun21 WN Therms'!E44/'12ME Jun21 WN Therms'!E$46</f>
        <v>0.2251165085212509</v>
      </c>
      <c r="F44" s="502">
        <f>'12ME Jun21 WN Therms'!F44/'12ME Jun21 WN Therms'!F$46</f>
        <v>0.27763703770250475</v>
      </c>
      <c r="G44" s="502">
        <f>'12ME Jun21 WN Therms'!G44/'12ME Jun21 WN Therms'!G$46</f>
        <v>1.5295556011705433</v>
      </c>
      <c r="H44" s="502">
        <f>'12ME Jun21 WN Therms'!H44/'12ME Jun21 WN Therms'!H$46</f>
        <v>2.8002187136059221E-2</v>
      </c>
      <c r="I44" s="502">
        <f>'12ME Jun21 WN Therms'!I44/'12ME Jun21 WN Therms'!I$46</f>
        <v>0.31370468267101614</v>
      </c>
      <c r="J44" s="502">
        <f>'12ME Jun21 WN Therms'!J44/'12ME Jun21 WN Therms'!J$46</f>
        <v>3.311755948701689</v>
      </c>
      <c r="K44" s="502">
        <f>'12ME Jun21 WN Therms'!K44/'12ME Jun21 WN Therms'!K$46</f>
        <v>0.12978734456806934</v>
      </c>
      <c r="L44" s="502">
        <f>'12ME Jun21 WN Therms'!L44/'12ME Jun21 WN Therms'!L$46</f>
        <v>0.1978633761111431</v>
      </c>
      <c r="M44" s="502">
        <f>'12ME Jun21 WN Therms'!M44/'12ME Jun21 WN Therms'!M$46</f>
        <v>0.17523715453741973</v>
      </c>
      <c r="N44" s="502">
        <f>'12ME Jun21 WN Therms'!N44/'12ME Jun21 WN Therms'!N$46</f>
        <v>0.1737917867567694</v>
      </c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</row>
    <row r="45" spans="1:42" x14ac:dyDescent="0.2">
      <c r="A45" s="37" t="s">
        <v>91</v>
      </c>
      <c r="B45" s="502">
        <f>'12ME Jun21 WN Therms'!B45/'12ME Jun21 WN Therms'!B$46</f>
        <v>2.2766544499300712</v>
      </c>
      <c r="C45" s="502">
        <f>'12ME Jun21 WN Therms'!C45/'12ME Jun21 WN Therms'!C$46</f>
        <v>0.19101543344988639</v>
      </c>
      <c r="D45" s="502">
        <f>'12ME Jun21 WN Therms'!D45/'12ME Jun21 WN Therms'!D$46</f>
        <v>0.38068310462783983</v>
      </c>
      <c r="E45" s="502">
        <f>'12ME Jun21 WN Therms'!E45/'12ME Jun21 WN Therms'!E$46</f>
        <v>0.27104141744447535</v>
      </c>
      <c r="F45" s="502">
        <f>'12ME Jun21 WN Therms'!F45/'12ME Jun21 WN Therms'!F$46</f>
        <v>0.42852777228485933</v>
      </c>
      <c r="G45" s="502">
        <f>'12ME Jun21 WN Therms'!G45/'12ME Jun21 WN Therms'!G$46</f>
        <v>3.4658290656990389</v>
      </c>
      <c r="H45" s="502">
        <f>'12ME Jun21 WN Therms'!H45/'12ME Jun21 WN Therms'!H$46</f>
        <v>0.64195972261593492</v>
      </c>
      <c r="I45" s="502">
        <f>'12ME Jun21 WN Therms'!I45/'12ME Jun21 WN Therms'!I$46</f>
        <v>0.51841944993832811</v>
      </c>
      <c r="J45" s="502">
        <f>'12ME Jun21 WN Therms'!J45/'12ME Jun21 WN Therms'!J$46</f>
        <v>0.33680587624862884</v>
      </c>
      <c r="K45" s="502">
        <f>'12ME Jun21 WN Therms'!K45/'12ME Jun21 WN Therms'!K$46</f>
        <v>0.43315643213673999</v>
      </c>
      <c r="L45" s="502">
        <f>'12ME Jun21 WN Therms'!L45/'12ME Jun21 WN Therms'!L$46</f>
        <v>0.5444436451675605</v>
      </c>
      <c r="M45" s="502">
        <f>'12ME Jun21 WN Therms'!M45/'12ME Jun21 WN Therms'!M$46</f>
        <v>0.4395244259910937</v>
      </c>
      <c r="N45" s="502">
        <f>'12ME Jun21 WN Therms'!N45/'12ME Jun21 WN Therms'!N$46</f>
        <v>0.44708069608158912</v>
      </c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</row>
    <row r="46" spans="1:42" ht="15" x14ac:dyDescent="0.25">
      <c r="A46" s="37" t="s">
        <v>6</v>
      </c>
      <c r="B46" s="507">
        <f>SUM(B40:B45)</f>
        <v>0.99999999999999978</v>
      </c>
      <c r="C46" s="507">
        <f t="shared" ref="C46:N46" si="7">SUM(C40:C45)</f>
        <v>1</v>
      </c>
      <c r="D46" s="507">
        <f t="shared" si="7"/>
        <v>1</v>
      </c>
      <c r="E46" s="507">
        <f t="shared" si="7"/>
        <v>1</v>
      </c>
      <c r="F46" s="507">
        <f t="shared" si="7"/>
        <v>1</v>
      </c>
      <c r="G46" s="507">
        <f t="shared" si="7"/>
        <v>1</v>
      </c>
      <c r="H46" s="507">
        <f t="shared" si="7"/>
        <v>1</v>
      </c>
      <c r="I46" s="507">
        <f t="shared" si="7"/>
        <v>1</v>
      </c>
      <c r="J46" s="507">
        <f t="shared" si="7"/>
        <v>1</v>
      </c>
      <c r="K46" s="507">
        <f t="shared" si="7"/>
        <v>1</v>
      </c>
      <c r="L46" s="507">
        <f t="shared" si="7"/>
        <v>1</v>
      </c>
      <c r="M46" s="507">
        <f t="shared" si="7"/>
        <v>1</v>
      </c>
      <c r="N46" s="507">
        <f t="shared" si="7"/>
        <v>1</v>
      </c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</row>
    <row r="47" spans="1:42" x14ac:dyDescent="0.2">
      <c r="A47" s="37"/>
      <c r="B47" s="505"/>
      <c r="C47" s="505"/>
      <c r="D47" s="505"/>
      <c r="E47" s="505"/>
      <c r="F47" s="505"/>
      <c r="G47" s="505"/>
      <c r="H47" s="505"/>
      <c r="I47" s="505"/>
      <c r="J47" s="505"/>
      <c r="K47" s="505"/>
      <c r="L47" s="505"/>
      <c r="M47" s="505"/>
      <c r="N47" s="505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</row>
    <row r="48" spans="1:42" ht="15" x14ac:dyDescent="0.25">
      <c r="A48" s="37" t="s">
        <v>41</v>
      </c>
      <c r="B48" s="504"/>
      <c r="C48" s="504"/>
      <c r="D48" s="504"/>
      <c r="E48" s="504"/>
      <c r="F48" s="504"/>
      <c r="G48" s="504"/>
      <c r="H48" s="504"/>
      <c r="I48" s="504"/>
      <c r="J48" s="504"/>
      <c r="K48" s="504"/>
      <c r="L48" s="504"/>
      <c r="M48" s="504"/>
      <c r="N48" s="504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</row>
    <row r="49" spans="1:42" x14ac:dyDescent="0.2">
      <c r="A49" s="37" t="s">
        <v>56</v>
      </c>
      <c r="B49" s="502">
        <f>'12ME Jun21 WN Therms'!B49/'12ME Jun21 WN Therms'!B$55</f>
        <v>3.4762088273870798E-2</v>
      </c>
      <c r="C49" s="502">
        <f>'12ME Jun21 WN Therms'!C49/'12ME Jun21 WN Therms'!C$55</f>
        <v>3.2841682880771307E-2</v>
      </c>
      <c r="D49" s="502">
        <f>'12ME Jun21 WN Therms'!D49/'12ME Jun21 WN Therms'!D$55</f>
        <v>3.3668794909188594E-2</v>
      </c>
      <c r="E49" s="502">
        <f>'12ME Jun21 WN Therms'!E49/'12ME Jun21 WN Therms'!E$55</f>
        <v>2.8899078206596616E-2</v>
      </c>
      <c r="F49" s="502">
        <f>'12ME Jun21 WN Therms'!F49/'12ME Jun21 WN Therms'!F$55</f>
        <v>2.4022528276513418E-2</v>
      </c>
      <c r="G49" s="502">
        <f>'12ME Jun21 WN Therms'!G49/'12ME Jun21 WN Therms'!G$55</f>
        <v>4.3793318780982061E-2</v>
      </c>
      <c r="H49" s="502">
        <f>'12ME Jun21 WN Therms'!H49/'12ME Jun21 WN Therms'!H$55</f>
        <v>1.6432885651210108E-2</v>
      </c>
      <c r="I49" s="502">
        <f>'12ME Jun21 WN Therms'!I49/'12ME Jun21 WN Therms'!I$55</f>
        <v>2.2933857241654573E-2</v>
      </c>
      <c r="J49" s="502">
        <f>'12ME Jun21 WN Therms'!J49/'12ME Jun21 WN Therms'!J$55</f>
        <v>3.3611368434139456E-2</v>
      </c>
      <c r="K49" s="502">
        <f>'12ME Jun21 WN Therms'!K49/'12ME Jun21 WN Therms'!K$55</f>
        <v>2.9132594245998927E-2</v>
      </c>
      <c r="L49" s="502">
        <f>'12ME Jun21 WN Therms'!L49/'12ME Jun21 WN Therms'!L$55</f>
        <v>3.0202094911440963E-2</v>
      </c>
      <c r="M49" s="502">
        <f>'12ME Jun21 WN Therms'!M49/'12ME Jun21 WN Therms'!M$55</f>
        <v>3.3674116893538587E-2</v>
      </c>
      <c r="N49" s="502">
        <f>'12ME Jun21 WN Therms'!N49/'12ME Jun21 WN Therms'!N$55</f>
        <v>3.0756682856994608E-2</v>
      </c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</row>
    <row r="50" spans="1:42" x14ac:dyDescent="0.2">
      <c r="A50" s="37" t="s">
        <v>57</v>
      </c>
      <c r="B50" s="502">
        <f>'12ME Jun21 WN Therms'!B50/'12ME Jun21 WN Therms'!B$55</f>
        <v>3.4785753408422916E-2</v>
      </c>
      <c r="C50" s="502">
        <f>'12ME Jun21 WN Therms'!C50/'12ME Jun21 WN Therms'!C$55</f>
        <v>3.2012725238177296E-2</v>
      </c>
      <c r="D50" s="502">
        <f>'12ME Jun21 WN Therms'!D50/'12ME Jun21 WN Therms'!D$55</f>
        <v>3.3286541758191297E-2</v>
      </c>
      <c r="E50" s="502">
        <f>'12ME Jun21 WN Therms'!E50/'12ME Jun21 WN Therms'!E$55</f>
        <v>2.9576382071484199E-2</v>
      </c>
      <c r="F50" s="502">
        <f>'12ME Jun21 WN Therms'!F50/'12ME Jun21 WN Therms'!F$55</f>
        <v>2.7476146426792931E-2</v>
      </c>
      <c r="G50" s="502">
        <f>'12ME Jun21 WN Therms'!G50/'12ME Jun21 WN Therms'!G$55</f>
        <v>4.2181045790715563E-2</v>
      </c>
      <c r="H50" s="502">
        <f>'12ME Jun21 WN Therms'!H50/'12ME Jun21 WN Therms'!H$55</f>
        <v>1.5807364642395638E-2</v>
      </c>
      <c r="I50" s="502">
        <f>'12ME Jun21 WN Therms'!I50/'12ME Jun21 WN Therms'!I$55</f>
        <v>2.5850422702888318E-2</v>
      </c>
      <c r="J50" s="502">
        <f>'12ME Jun21 WN Therms'!J50/'12ME Jun21 WN Therms'!J$55</f>
        <v>3.1246511850559575E-2</v>
      </c>
      <c r="K50" s="502">
        <f>'12ME Jun21 WN Therms'!K50/'12ME Jun21 WN Therms'!K$55</f>
        <v>2.9255518198154452E-2</v>
      </c>
      <c r="L50" s="502">
        <f>'12ME Jun21 WN Therms'!L50/'12ME Jun21 WN Therms'!L$55</f>
        <v>3.0317003631284402E-2</v>
      </c>
      <c r="M50" s="502">
        <f>'12ME Jun21 WN Therms'!M50/'12ME Jun21 WN Therms'!M$55</f>
        <v>3.4189137965149038E-2</v>
      </c>
      <c r="N50" s="502">
        <f>'12ME Jun21 WN Therms'!N50/'12ME Jun21 WN Therms'!N$55</f>
        <v>3.0769096443827564E-2</v>
      </c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</row>
    <row r="51" spans="1:42" x14ac:dyDescent="0.2">
      <c r="A51" s="37" t="s">
        <v>62</v>
      </c>
      <c r="B51" s="502">
        <f>'12ME Jun21 WN Therms'!B51/'12ME Jun21 WN Therms'!B$55</f>
        <v>6.9571506816845832E-2</v>
      </c>
      <c r="C51" s="502">
        <f>'12ME Jun21 WN Therms'!C51/'12ME Jun21 WN Therms'!C$55</f>
        <v>5.9704332681330172E-2</v>
      </c>
      <c r="D51" s="502">
        <f>'12ME Jun21 WN Therms'!D51/'12ME Jun21 WN Therms'!D$55</f>
        <v>6.7373766836217569E-2</v>
      </c>
      <c r="E51" s="502">
        <f>'12ME Jun21 WN Therms'!E51/'12ME Jun21 WN Therms'!E$55</f>
        <v>6.2594980481038329E-2</v>
      </c>
      <c r="F51" s="502">
        <f>'12ME Jun21 WN Therms'!F51/'12ME Jun21 WN Therms'!F$55</f>
        <v>5.4952292853585862E-2</v>
      </c>
      <c r="G51" s="502">
        <f>'12ME Jun21 WN Therms'!G51/'12ME Jun21 WN Therms'!G$55</f>
        <v>8.4362091581431126E-2</v>
      </c>
      <c r="H51" s="502">
        <f>'12ME Jun21 WN Therms'!H51/'12ME Jun21 WN Therms'!H$55</f>
        <v>2.4831095906983562E-2</v>
      </c>
      <c r="I51" s="502">
        <f>'12ME Jun21 WN Therms'!I51/'12ME Jun21 WN Therms'!I$55</f>
        <v>5.8885154014024089E-2</v>
      </c>
      <c r="J51" s="502">
        <f>'12ME Jun21 WN Therms'!J51/'12ME Jun21 WN Therms'!J$55</f>
        <v>6.2051757109180539E-2</v>
      </c>
      <c r="K51" s="502">
        <f>'12ME Jun21 WN Therms'!K51/'12ME Jun21 WN Therms'!K$55</f>
        <v>5.901463899849535E-2</v>
      </c>
      <c r="L51" s="502">
        <f>'12ME Jun21 WN Therms'!L51/'12ME Jun21 WN Therms'!L$55</f>
        <v>6.0634007262568804E-2</v>
      </c>
      <c r="M51" s="502">
        <f>'12ME Jun21 WN Therms'!M51/'12ME Jun21 WN Therms'!M$55</f>
        <v>6.8378275930298077E-2</v>
      </c>
      <c r="N51" s="502">
        <f>'12ME Jun21 WN Therms'!N51/'12ME Jun21 WN Therms'!N$55</f>
        <v>6.1538192887655128E-2</v>
      </c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</row>
    <row r="52" spans="1:42" x14ac:dyDescent="0.2">
      <c r="A52" s="37" t="s">
        <v>63</v>
      </c>
      <c r="B52" s="502">
        <f>'12ME Jun21 WN Therms'!B52/'12ME Jun21 WN Therms'!B$55</f>
        <v>0.12893814287715144</v>
      </c>
      <c r="C52" s="502">
        <f>'12ME Jun21 WN Therms'!C52/'12ME Jun21 WN Therms'!C$55</f>
        <v>0.11019743195903194</v>
      </c>
      <c r="D52" s="502">
        <f>'12ME Jun21 WN Therms'!D52/'12ME Jun21 WN Therms'!D$55</f>
        <v>0.11825645137403279</v>
      </c>
      <c r="E52" s="502">
        <f>'12ME Jun21 WN Therms'!E52/'12ME Jun21 WN Therms'!E$55</f>
        <v>0.124976620197239</v>
      </c>
      <c r="F52" s="502">
        <f>'12ME Jun21 WN Therms'!F52/'12ME Jun21 WN Therms'!F$55</f>
        <v>0.10990458570717172</v>
      </c>
      <c r="G52" s="502">
        <f>'12ME Jun21 WN Therms'!G52/'12ME Jun21 WN Therms'!G$55</f>
        <v>0.16351254060709677</v>
      </c>
      <c r="H52" s="502">
        <f>'12ME Jun21 WN Therms'!H52/'12ME Jun21 WN Therms'!H$55</f>
        <v>4.5666343736726497E-2</v>
      </c>
      <c r="I52" s="502">
        <f>'12ME Jun21 WN Therms'!I52/'12ME Jun21 WN Therms'!I$55</f>
        <v>0.11794555152850923</v>
      </c>
      <c r="J52" s="502">
        <f>'12ME Jun21 WN Therms'!J52/'12ME Jun21 WN Therms'!J$55</f>
        <v>0.11869674709001139</v>
      </c>
      <c r="K52" s="502">
        <f>'12ME Jun21 WN Therms'!K52/'12ME Jun21 WN Therms'!K$55</f>
        <v>0.11407681386031376</v>
      </c>
      <c r="L52" s="502">
        <f>'12ME Jun21 WN Therms'!L52/'12ME Jun21 WN Therms'!L$55</f>
        <v>0.11746891925197278</v>
      </c>
      <c r="M52" s="502">
        <f>'12ME Jun21 WN Therms'!M52/'12ME Jun21 WN Therms'!M$55</f>
        <v>0.12783276564151252</v>
      </c>
      <c r="N52" s="502">
        <f>'12ME Jun21 WN Therms'!N52/'12ME Jun21 WN Therms'!N$55</f>
        <v>0.11757580486554001</v>
      </c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</row>
    <row r="53" spans="1:42" x14ac:dyDescent="0.2">
      <c r="A53" s="37" t="s">
        <v>64</v>
      </c>
      <c r="B53" s="502">
        <f>'12ME Jun21 WN Therms'!B53/'12ME Jun21 WN Therms'!B$55</f>
        <v>0.28143026513696612</v>
      </c>
      <c r="C53" s="502">
        <f>'12ME Jun21 WN Therms'!C53/'12ME Jun21 WN Therms'!C$55</f>
        <v>0.25228893515364365</v>
      </c>
      <c r="D53" s="502">
        <f>'12ME Jun21 WN Therms'!D53/'12ME Jun21 WN Therms'!D$55</f>
        <v>0.24254556061038324</v>
      </c>
      <c r="E53" s="502">
        <f>'12ME Jun21 WN Therms'!E53/'12ME Jun21 WN Therms'!E$55</f>
        <v>0.27777785641357805</v>
      </c>
      <c r="F53" s="502">
        <f>'12ME Jun21 WN Therms'!F53/'12ME Jun21 WN Therms'!F$55</f>
        <v>0.29649933683846535</v>
      </c>
      <c r="G53" s="502">
        <f>'12ME Jun21 WN Therms'!G53/'12ME Jun21 WN Therms'!G$55</f>
        <v>0.36330155672545139</v>
      </c>
      <c r="H53" s="502">
        <f>'12ME Jun21 WN Therms'!H53/'12ME Jun21 WN Therms'!H$55</f>
        <v>0.11118840260331864</v>
      </c>
      <c r="I53" s="502">
        <f>'12ME Jun21 WN Therms'!I53/'12ME Jun21 WN Therms'!I$55</f>
        <v>0.26225851387490945</v>
      </c>
      <c r="J53" s="502">
        <f>'12ME Jun21 WN Therms'!J53/'12ME Jun21 WN Therms'!J$55</f>
        <v>0.26154001192207538</v>
      </c>
      <c r="K53" s="502">
        <f>'12ME Jun21 WN Therms'!K53/'12ME Jun21 WN Therms'!K$55</f>
        <v>0.25259421352075434</v>
      </c>
      <c r="L53" s="502">
        <f>'12ME Jun21 WN Therms'!L53/'12ME Jun21 WN Therms'!L$55</f>
        <v>0.25846104173212797</v>
      </c>
      <c r="M53" s="502">
        <f>'12ME Jun21 WN Therms'!M53/'12ME Jun21 WN Therms'!M$55</f>
        <v>0.2880579821833123</v>
      </c>
      <c r="N53" s="502">
        <f>'12ME Jun21 WN Therms'!N53/'12ME Jun21 WN Therms'!N$55</f>
        <v>0.26404604882044014</v>
      </c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</row>
    <row r="54" spans="1:42" x14ac:dyDescent="0.2">
      <c r="A54" s="37" t="s">
        <v>91</v>
      </c>
      <c r="B54" s="502">
        <f>'12ME Jun21 WN Therms'!B54/'12ME Jun21 WN Therms'!B$55</f>
        <v>0.45051224348674301</v>
      </c>
      <c r="C54" s="502">
        <f>'12ME Jun21 WN Therms'!C54/'12ME Jun21 WN Therms'!C$55</f>
        <v>0.5129548920870457</v>
      </c>
      <c r="D54" s="502">
        <f>'12ME Jun21 WN Therms'!D54/'12ME Jun21 WN Therms'!D$55</f>
        <v>0.50486888451198653</v>
      </c>
      <c r="E54" s="502">
        <f>'12ME Jun21 WN Therms'!E54/'12ME Jun21 WN Therms'!E$55</f>
        <v>0.4761750826300637</v>
      </c>
      <c r="F54" s="502">
        <f>'12ME Jun21 WN Therms'!F54/'12ME Jun21 WN Therms'!F$55</f>
        <v>0.48714510989747067</v>
      </c>
      <c r="G54" s="502">
        <f>'12ME Jun21 WN Therms'!G54/'12ME Jun21 WN Therms'!G$55</f>
        <v>0.30284944651432305</v>
      </c>
      <c r="H54" s="502">
        <f>'12ME Jun21 WN Therms'!H54/'12ME Jun21 WN Therms'!H$55</f>
        <v>0.78607390745936556</v>
      </c>
      <c r="I54" s="502">
        <f>'12ME Jun21 WN Therms'!I54/'12ME Jun21 WN Therms'!I$55</f>
        <v>0.51212650063801435</v>
      </c>
      <c r="J54" s="502">
        <f>'12ME Jun21 WN Therms'!J54/'12ME Jun21 WN Therms'!J$55</f>
        <v>0.4928536035940338</v>
      </c>
      <c r="K54" s="502">
        <f>'12ME Jun21 WN Therms'!K54/'12ME Jun21 WN Therms'!K$55</f>
        <v>0.51592622117628306</v>
      </c>
      <c r="L54" s="502">
        <f>'12ME Jun21 WN Therms'!L54/'12ME Jun21 WN Therms'!L$55</f>
        <v>0.50291693321060504</v>
      </c>
      <c r="M54" s="502">
        <f>'12ME Jun21 WN Therms'!M54/'12ME Jun21 WN Therms'!M$55</f>
        <v>0.44786772138618947</v>
      </c>
      <c r="N54" s="502">
        <f>'12ME Jun21 WN Therms'!N54/'12ME Jun21 WN Therms'!N$55</f>
        <v>0.49531417412554252</v>
      </c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</row>
    <row r="55" spans="1:42" x14ac:dyDescent="0.2">
      <c r="A55" s="37" t="s">
        <v>6</v>
      </c>
      <c r="B55" s="508">
        <f>SUM(B49:B54)</f>
        <v>1</v>
      </c>
      <c r="C55" s="508">
        <f t="shared" ref="C55:N55" si="8">SUM(C49:C54)</f>
        <v>1</v>
      </c>
      <c r="D55" s="508">
        <f t="shared" si="8"/>
        <v>1</v>
      </c>
      <c r="E55" s="508">
        <f t="shared" si="8"/>
        <v>0.99999999999999989</v>
      </c>
      <c r="F55" s="508">
        <f t="shared" si="8"/>
        <v>1</v>
      </c>
      <c r="G55" s="508">
        <f t="shared" si="8"/>
        <v>1</v>
      </c>
      <c r="H55" s="508">
        <f t="shared" si="8"/>
        <v>1</v>
      </c>
      <c r="I55" s="508">
        <f t="shared" si="8"/>
        <v>1</v>
      </c>
      <c r="J55" s="508">
        <f t="shared" si="8"/>
        <v>1.0000000000000002</v>
      </c>
      <c r="K55" s="508">
        <f t="shared" si="8"/>
        <v>0.99999999999999989</v>
      </c>
      <c r="L55" s="508">
        <f t="shared" si="8"/>
        <v>1</v>
      </c>
      <c r="M55" s="508">
        <f t="shared" si="8"/>
        <v>1</v>
      </c>
      <c r="N55" s="508">
        <f t="shared" si="8"/>
        <v>1</v>
      </c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</row>
    <row r="63" spans="1:42" ht="15" x14ac:dyDescent="0.25">
      <c r="A63" s="37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</row>
    <row r="70" spans="1:14" ht="15" x14ac:dyDescent="0.25">
      <c r="A70" s="37"/>
      <c r="B70" s="504"/>
      <c r="C70" s="504"/>
      <c r="D70" s="504"/>
      <c r="E70" s="504"/>
      <c r="F70" s="504"/>
      <c r="G70" s="504"/>
      <c r="H70" s="504"/>
      <c r="I70" s="504"/>
      <c r="J70" s="504"/>
      <c r="K70" s="504"/>
      <c r="L70" s="504"/>
      <c r="M70" s="504"/>
      <c r="N70" s="504"/>
    </row>
    <row r="76" spans="1:14" ht="15" x14ac:dyDescent="0.25">
      <c r="A76" s="37"/>
      <c r="B76" s="504"/>
      <c r="C76" s="504"/>
      <c r="D76" s="504"/>
      <c r="E76" s="504"/>
      <c r="F76" s="504"/>
      <c r="G76" s="504"/>
      <c r="H76" s="504"/>
      <c r="I76" s="504"/>
      <c r="J76" s="504"/>
      <c r="K76" s="504"/>
      <c r="L76" s="504"/>
      <c r="M76" s="504"/>
      <c r="N76" s="504"/>
    </row>
  </sheetData>
  <printOptions horizontalCentered="1"/>
  <pageMargins left="0.5" right="0.5" top="1" bottom="1" header="0.5" footer="0.5"/>
  <pageSetup scale="74" fitToHeight="2" orientation="landscape" blackAndWhite="1" horizontalDpi="300" verticalDpi="300" r:id="rId1"/>
  <headerFooter alignWithMargins="0">
    <oddHeader xml:space="preserve">&amp;C
</oddHeader>
    <oddFooter>&amp;L&amp;F 
&amp;A&amp;C&amp;P&amp;R&amp;D</oddFooter>
  </headerFooter>
  <rowBreaks count="1" manualBreakCount="1">
    <brk id="47" max="13" man="1"/>
  </rowBreaks>
  <customProperties>
    <customPr name="_pios_id" r:id="rId2"/>
    <customPr name="EpmWorksheetKeyString_GUID" r:id="rId3"/>
  </customPropertie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zoomScale="90" zoomScaleNormal="90" workbookViewId="0">
      <pane ySplit="3" topLeftCell="A13" activePane="bottomLeft" state="frozen"/>
      <selection activeCell="P14" sqref="P14"/>
      <selection pane="bottomLeft" activeCell="P14" sqref="P14"/>
    </sheetView>
  </sheetViews>
  <sheetFormatPr defaultColWidth="9.140625" defaultRowHeight="12.75" x14ac:dyDescent="0.2"/>
  <cols>
    <col min="1" max="1" width="34.140625" style="67" bestFit="1" customWidth="1"/>
    <col min="2" max="13" width="12.140625" style="67" bestFit="1" customWidth="1"/>
    <col min="14" max="14" width="13.28515625" style="67" bestFit="1" customWidth="1"/>
    <col min="15" max="16384" width="9.140625" style="67"/>
  </cols>
  <sheetData>
    <row r="1" spans="1:14" x14ac:dyDescent="0.2">
      <c r="A1" s="67" t="s">
        <v>94</v>
      </c>
    </row>
    <row r="3" spans="1:14" x14ac:dyDescent="0.2">
      <c r="A3" s="66" t="s">
        <v>79</v>
      </c>
      <c r="B3" s="499">
        <v>44013</v>
      </c>
      <c r="C3" s="499">
        <f>EDATE(B3,1)</f>
        <v>44044</v>
      </c>
      <c r="D3" s="499">
        <f t="shared" ref="D3:M3" si="0">EDATE(C3,1)</f>
        <v>44075</v>
      </c>
      <c r="E3" s="499">
        <f t="shared" si="0"/>
        <v>44105</v>
      </c>
      <c r="F3" s="499">
        <f t="shared" si="0"/>
        <v>44136</v>
      </c>
      <c r="G3" s="499">
        <f t="shared" si="0"/>
        <v>44166</v>
      </c>
      <c r="H3" s="499">
        <f t="shared" si="0"/>
        <v>44197</v>
      </c>
      <c r="I3" s="499">
        <f t="shared" si="0"/>
        <v>44228</v>
      </c>
      <c r="J3" s="499">
        <f t="shared" si="0"/>
        <v>44256</v>
      </c>
      <c r="K3" s="499">
        <f t="shared" si="0"/>
        <v>44287</v>
      </c>
      <c r="L3" s="499">
        <f t="shared" si="0"/>
        <v>44317</v>
      </c>
      <c r="M3" s="499">
        <f t="shared" si="0"/>
        <v>44348</v>
      </c>
      <c r="N3" s="251" t="s">
        <v>99</v>
      </c>
    </row>
    <row r="4" spans="1:14" x14ac:dyDescent="0.2">
      <c r="A4" s="37"/>
      <c r="N4" s="62"/>
    </row>
    <row r="5" spans="1:14" x14ac:dyDescent="0.2">
      <c r="A5" s="40" t="s">
        <v>95</v>
      </c>
      <c r="N5" s="62"/>
    </row>
    <row r="6" spans="1:14" x14ac:dyDescent="0.2">
      <c r="A6" s="37" t="s">
        <v>93</v>
      </c>
      <c r="B6" s="73">
        <f>'12ME Jun21 WN Therms C&amp;I'!B9+'12ME Jun21 WN Therms C&amp;I'!B16</f>
        <v>923881.96199999994</v>
      </c>
      <c r="C6" s="73">
        <f>'12ME Jun21 WN Therms C&amp;I'!C9+'12ME Jun21 WN Therms C&amp;I'!C16</f>
        <v>817795.12900000007</v>
      </c>
      <c r="D6" s="73">
        <f>'12ME Jun21 WN Therms C&amp;I'!D9+'12ME Jun21 WN Therms C&amp;I'!D16</f>
        <v>827102.50900000008</v>
      </c>
      <c r="E6" s="73">
        <f>'12ME Jun21 WN Therms C&amp;I'!E9+'12ME Jun21 WN Therms C&amp;I'!E16</f>
        <v>985614.25200000009</v>
      </c>
      <c r="F6" s="73">
        <f>'12ME Jun21 WN Therms C&amp;I'!F9+'12ME Jun21 WN Therms C&amp;I'!F16</f>
        <v>1090593.4979999999</v>
      </c>
      <c r="G6" s="73">
        <f>'12ME Jun21 WN Therms C&amp;I'!G9+'12ME Jun21 WN Therms C&amp;I'!G16</f>
        <v>1134502.1750000003</v>
      </c>
      <c r="H6" s="73">
        <f>'12ME Jun21 WN Therms C&amp;I'!H9+'12ME Jun21 WN Therms C&amp;I'!H16</f>
        <v>1053653.9110000001</v>
      </c>
      <c r="I6" s="73">
        <f>'12ME Jun21 WN Therms C&amp;I'!I9+'12ME Jun21 WN Therms C&amp;I'!I16</f>
        <v>1077236.253</v>
      </c>
      <c r="J6" s="73">
        <f>'12ME Jun21 WN Therms C&amp;I'!J9+'12ME Jun21 WN Therms C&amp;I'!J16</f>
        <v>1129905.2790000001</v>
      </c>
      <c r="K6" s="73">
        <f>'12ME Jun21 WN Therms C&amp;I'!K9+'12ME Jun21 WN Therms C&amp;I'!K16</f>
        <v>1089070.027</v>
      </c>
      <c r="L6" s="73">
        <f>'12ME Jun21 WN Therms C&amp;I'!L9+'12ME Jun21 WN Therms C&amp;I'!L16</f>
        <v>1013147.7429999999</v>
      </c>
      <c r="M6" s="73">
        <f>'12ME Jun21 WN Therms C&amp;I'!M9+'12ME Jun21 WN Therms C&amp;I'!M16</f>
        <v>1070908.736</v>
      </c>
      <c r="N6" s="62">
        <f>SUM(B6:M6)</f>
        <v>12213411.474000003</v>
      </c>
    </row>
    <row r="7" spans="1:14" x14ac:dyDescent="0.2">
      <c r="A7" s="37" t="s">
        <v>82</v>
      </c>
      <c r="B7" s="73">
        <f>'12ME Jun21 WN Therms C&amp;I'!B10+'12ME Jun21 WN Therms C&amp;I'!B17</f>
        <v>1062057.1076</v>
      </c>
      <c r="C7" s="73">
        <f>'12ME Jun21 WN Therms C&amp;I'!C10+'12ME Jun21 WN Therms C&amp;I'!C17</f>
        <v>1022042.7631999998</v>
      </c>
      <c r="D7" s="73">
        <f>'12ME Jun21 WN Therms C&amp;I'!D10+'12ME Jun21 WN Therms C&amp;I'!D17</f>
        <v>1063640.6904000004</v>
      </c>
      <c r="E7" s="73">
        <f>'12ME Jun21 WN Therms C&amp;I'!E10+'12ME Jun21 WN Therms C&amp;I'!E17</f>
        <v>2368780.3292999994</v>
      </c>
      <c r="F7" s="73">
        <f>'12ME Jun21 WN Therms C&amp;I'!F10+'12ME Jun21 WN Therms C&amp;I'!F17</f>
        <v>2962952.3237000005</v>
      </c>
      <c r="G7" s="73">
        <f>'12ME Jun21 WN Therms C&amp;I'!G10+'12ME Jun21 WN Therms C&amp;I'!G17</f>
        <v>3352581.0482999999</v>
      </c>
      <c r="H7" s="73">
        <f>'12ME Jun21 WN Therms C&amp;I'!H10+'12ME Jun21 WN Therms C&amp;I'!H17</f>
        <v>3174240.6826999998</v>
      </c>
      <c r="I7" s="73">
        <f>'12ME Jun21 WN Therms C&amp;I'!I10+'12ME Jun21 WN Therms C&amp;I'!I17</f>
        <v>3229508.8784999992</v>
      </c>
      <c r="J7" s="73">
        <f>'12ME Jun21 WN Therms C&amp;I'!J10+'12ME Jun21 WN Therms C&amp;I'!J17</f>
        <v>3489525.177300001</v>
      </c>
      <c r="K7" s="73">
        <f>'12ME Jun21 WN Therms C&amp;I'!K10+'12ME Jun21 WN Therms C&amp;I'!K17</f>
        <v>2438385.6010999996</v>
      </c>
      <c r="L7" s="73">
        <f>'12ME Jun21 WN Therms C&amp;I'!L10+'12ME Jun21 WN Therms C&amp;I'!L17</f>
        <v>1962658.0430000003</v>
      </c>
      <c r="M7" s="73">
        <f>'12ME Jun21 WN Therms C&amp;I'!M10+'12ME Jun21 WN Therms C&amp;I'!M17</f>
        <v>1342915.3446</v>
      </c>
      <c r="N7" s="62">
        <f t="shared" ref="N7:N8" si="1">SUM(B7:M7)</f>
        <v>27469287.989700001</v>
      </c>
    </row>
    <row r="8" spans="1:14" x14ac:dyDescent="0.2">
      <c r="A8" s="37" t="s">
        <v>83</v>
      </c>
      <c r="B8" s="73">
        <f>'12ME Jun21 WN Therms C&amp;I'!B11+'12ME Jun21 WN Therms C&amp;I'!B18</f>
        <v>1003341.8487105393</v>
      </c>
      <c r="C8" s="73">
        <f>'12ME Jun21 WN Therms C&amp;I'!C11+'12ME Jun21 WN Therms C&amp;I'!C18</f>
        <v>388952.12288414763</v>
      </c>
      <c r="D8" s="73">
        <f>'12ME Jun21 WN Therms C&amp;I'!D11+'12ME Jun21 WN Therms C&amp;I'!D18</f>
        <v>1062296.1612088913</v>
      </c>
      <c r="E8" s="73">
        <f>'12ME Jun21 WN Therms C&amp;I'!E11+'12ME Jun21 WN Therms C&amp;I'!E18</f>
        <v>1468333.4133625675</v>
      </c>
      <c r="F8" s="73">
        <f>'12ME Jun21 WN Therms C&amp;I'!F11+'12ME Jun21 WN Therms C&amp;I'!F18</f>
        <v>2212812.7898441362</v>
      </c>
      <c r="G8" s="73">
        <f>'12ME Jun21 WN Therms C&amp;I'!G11+'12ME Jun21 WN Therms C&amp;I'!G18</f>
        <v>3421162.4997238331</v>
      </c>
      <c r="H8" s="73">
        <f>'12ME Jun21 WN Therms C&amp;I'!H11+'12ME Jun21 WN Therms C&amp;I'!H18</f>
        <v>3166520.8163267532</v>
      </c>
      <c r="I8" s="73">
        <f>'12ME Jun21 WN Therms C&amp;I'!I11+'12ME Jun21 WN Therms C&amp;I'!I18</f>
        <v>3215110.0701289205</v>
      </c>
      <c r="J8" s="73">
        <f>'12ME Jun21 WN Therms C&amp;I'!J11+'12ME Jun21 WN Therms C&amp;I'!J18</f>
        <v>2578780.2229042063</v>
      </c>
      <c r="K8" s="73">
        <f>'12ME Jun21 WN Therms C&amp;I'!K11+'12ME Jun21 WN Therms C&amp;I'!K18</f>
        <v>2339889.5197693408</v>
      </c>
      <c r="L8" s="73">
        <f>'12ME Jun21 WN Therms C&amp;I'!L11+'12ME Jun21 WN Therms C&amp;I'!L18</f>
        <v>879483.85444141389</v>
      </c>
      <c r="M8" s="73">
        <f>'12ME Jun21 WN Therms C&amp;I'!M11+'12ME Jun21 WN Therms C&amp;I'!M18</f>
        <v>1098608.3739434206</v>
      </c>
      <c r="N8" s="62">
        <f t="shared" si="1"/>
        <v>22835291.693248171</v>
      </c>
    </row>
    <row r="9" spans="1:14" s="62" customFormat="1" x14ac:dyDescent="0.2">
      <c r="A9" s="37" t="s">
        <v>6</v>
      </c>
      <c r="B9" s="464">
        <f>SUM(B6:B8)</f>
        <v>2989280.9183105393</v>
      </c>
      <c r="C9" s="464">
        <f t="shared" ref="C9:N9" si="2">SUM(C6:C8)</f>
        <v>2228790.0150841475</v>
      </c>
      <c r="D9" s="464">
        <f t="shared" si="2"/>
        <v>2953039.3606088916</v>
      </c>
      <c r="E9" s="464">
        <f t="shared" si="2"/>
        <v>4822727.994662567</v>
      </c>
      <c r="F9" s="464">
        <f t="shared" si="2"/>
        <v>6266358.611544136</v>
      </c>
      <c r="G9" s="464">
        <f t="shared" si="2"/>
        <v>7908245.7230238337</v>
      </c>
      <c r="H9" s="464">
        <f t="shared" si="2"/>
        <v>7394415.4100267533</v>
      </c>
      <c r="I9" s="464">
        <f t="shared" si="2"/>
        <v>7521855.2016289197</v>
      </c>
      <c r="J9" s="464">
        <f t="shared" si="2"/>
        <v>7198210.6792042078</v>
      </c>
      <c r="K9" s="464">
        <f t="shared" si="2"/>
        <v>5867345.1478693401</v>
      </c>
      <c r="L9" s="464">
        <f t="shared" si="2"/>
        <v>3855289.640441414</v>
      </c>
      <c r="M9" s="464">
        <f t="shared" si="2"/>
        <v>3512432.4545434206</v>
      </c>
      <c r="N9" s="464">
        <f t="shared" si="2"/>
        <v>62517991.156948179</v>
      </c>
    </row>
    <row r="11" spans="1:14" x14ac:dyDescent="0.2">
      <c r="A11" s="40" t="s">
        <v>35</v>
      </c>
      <c r="N11" s="62"/>
    </row>
    <row r="12" spans="1:14" x14ac:dyDescent="0.2">
      <c r="A12" s="37" t="s">
        <v>81</v>
      </c>
      <c r="B12" s="73">
        <f>'12ME Jun21 WN Therms C&amp;I'!B23+'12ME Jun21 WN Therms C&amp;I'!B30</f>
        <v>89990.44</v>
      </c>
      <c r="C12" s="73">
        <f>'12ME Jun21 WN Therms C&amp;I'!C23+'12ME Jun21 WN Therms C&amp;I'!C30</f>
        <v>87583.69</v>
      </c>
      <c r="D12" s="73">
        <f>'12ME Jun21 WN Therms C&amp;I'!D23+'12ME Jun21 WN Therms C&amp;I'!D30</f>
        <v>88572.430000000008</v>
      </c>
      <c r="E12" s="73">
        <f>'12ME Jun21 WN Therms C&amp;I'!E23+'12ME Jun21 WN Therms C&amp;I'!E30</f>
        <v>86582.85</v>
      </c>
      <c r="F12" s="73">
        <f>'12ME Jun21 WN Therms C&amp;I'!F23+'12ME Jun21 WN Therms C&amp;I'!F30</f>
        <v>149535.06</v>
      </c>
      <c r="G12" s="73">
        <f>'12ME Jun21 WN Therms C&amp;I'!G23+'12ME Jun21 WN Therms C&amp;I'!G30</f>
        <v>96245.48</v>
      </c>
      <c r="H12" s="73">
        <f>'12ME Jun21 WN Therms C&amp;I'!H23+'12ME Jun21 WN Therms C&amp;I'!H30</f>
        <v>19800</v>
      </c>
      <c r="I12" s="73">
        <f>'12ME Jun21 WN Therms C&amp;I'!I23+'12ME Jun21 WN Therms C&amp;I'!I30</f>
        <v>154800</v>
      </c>
      <c r="J12" s="73">
        <f>'12ME Jun21 WN Therms C&amp;I'!J23+'12ME Jun21 WN Therms C&amp;I'!J30</f>
        <v>19819.650000000001</v>
      </c>
      <c r="K12" s="73">
        <f>'12ME Jun21 WN Therms C&amp;I'!K23+'12ME Jun21 WN Therms C&amp;I'!K30</f>
        <v>87330</v>
      </c>
      <c r="L12" s="73">
        <f>'12ME Jun21 WN Therms C&amp;I'!L23+'12ME Jun21 WN Therms C&amp;I'!L30</f>
        <v>88203.3</v>
      </c>
      <c r="M12" s="73">
        <f>'12ME Jun21 WN Therms C&amp;I'!M23+'12ME Jun21 WN Therms C&amp;I'!M30</f>
        <v>88685.38</v>
      </c>
      <c r="N12" s="62">
        <f>SUM(B12:M12)</f>
        <v>1057148.2800000003</v>
      </c>
    </row>
    <row r="13" spans="1:14" x14ac:dyDescent="0.2">
      <c r="A13" s="37" t="s">
        <v>82</v>
      </c>
      <c r="B13" s="73">
        <f>'12ME Jun21 WN Therms C&amp;I'!B24+'12ME Jun21 WN Therms C&amp;I'!B31</f>
        <v>289458.32999999996</v>
      </c>
      <c r="C13" s="73">
        <f>'12ME Jun21 WN Therms C&amp;I'!C24+'12ME Jun21 WN Therms C&amp;I'!C31</f>
        <v>294980.59000000003</v>
      </c>
      <c r="D13" s="73">
        <f>'12ME Jun21 WN Therms C&amp;I'!D24+'12ME Jun21 WN Therms C&amp;I'!D31</f>
        <v>279591.61000000004</v>
      </c>
      <c r="E13" s="73">
        <f>'12ME Jun21 WN Therms C&amp;I'!E24+'12ME Jun21 WN Therms C&amp;I'!E31</f>
        <v>323180.33999999997</v>
      </c>
      <c r="F13" s="73">
        <f>'12ME Jun21 WN Therms C&amp;I'!F24+'12ME Jun21 WN Therms C&amp;I'!F31</f>
        <v>219342.40999999997</v>
      </c>
      <c r="G13" s="73">
        <f>'12ME Jun21 WN Therms C&amp;I'!G24+'12ME Jun21 WN Therms C&amp;I'!G31</f>
        <v>748188.86</v>
      </c>
      <c r="H13" s="73">
        <f>'12ME Jun21 WN Therms C&amp;I'!H24+'12ME Jun21 WN Therms C&amp;I'!H31</f>
        <v>90228.780000000028</v>
      </c>
      <c r="I13" s="73">
        <f>'12ME Jun21 WN Therms C&amp;I'!I24+'12ME Jun21 WN Therms C&amp;I'!I31</f>
        <v>251547.62999999998</v>
      </c>
      <c r="J13" s="73">
        <f>'12ME Jun21 WN Therms C&amp;I'!J24+'12ME Jun21 WN Therms C&amp;I'!J31</f>
        <v>423536.87999999995</v>
      </c>
      <c r="K13" s="73">
        <f>'12ME Jun21 WN Therms C&amp;I'!K24+'12ME Jun21 WN Therms C&amp;I'!K31</f>
        <v>348892.79</v>
      </c>
      <c r="L13" s="73">
        <f>'12ME Jun21 WN Therms C&amp;I'!L24+'12ME Jun21 WN Therms C&amp;I'!L31</f>
        <v>316058.50000000006</v>
      </c>
      <c r="M13" s="73">
        <f>'12ME Jun21 WN Therms C&amp;I'!M24+'12ME Jun21 WN Therms C&amp;I'!M31</f>
        <v>316919.84999999998</v>
      </c>
      <c r="N13" s="62">
        <f>SUM(B13:M13)</f>
        <v>3901926.57</v>
      </c>
    </row>
    <row r="14" spans="1:14" x14ac:dyDescent="0.2">
      <c r="A14" s="37" t="s">
        <v>83</v>
      </c>
      <c r="B14" s="73">
        <f>'12ME Jun21 WN Therms C&amp;I'!B25+'12ME Jun21 WN Therms C&amp;I'!B32</f>
        <v>1109305.49</v>
      </c>
      <c r="C14" s="73">
        <f>'12ME Jun21 WN Therms C&amp;I'!C25+'12ME Jun21 WN Therms C&amp;I'!C32</f>
        <v>1184024.02</v>
      </c>
      <c r="D14" s="73">
        <f>'12ME Jun21 WN Therms C&amp;I'!D25+'12ME Jun21 WN Therms C&amp;I'!D32</f>
        <v>1055261.4099999999</v>
      </c>
      <c r="E14" s="73">
        <f>'12ME Jun21 WN Therms C&amp;I'!E25+'12ME Jun21 WN Therms C&amp;I'!E32</f>
        <v>1225791.6522044877</v>
      </c>
      <c r="F14" s="73">
        <f>'12ME Jun21 WN Therms C&amp;I'!F25+'12ME Jun21 WN Therms C&amp;I'!F32</f>
        <v>1082008.4302489723</v>
      </c>
      <c r="G14" s="73">
        <f>'12ME Jun21 WN Therms C&amp;I'!G25+'12ME Jun21 WN Therms C&amp;I'!G32</f>
        <v>1246262.8837357145</v>
      </c>
      <c r="H14" s="73">
        <f>'12ME Jun21 WN Therms C&amp;I'!H25+'12ME Jun21 WN Therms C&amp;I'!H32</f>
        <v>1741024.4787593</v>
      </c>
      <c r="I14" s="73">
        <f>'12ME Jun21 WN Therms C&amp;I'!I25+'12ME Jun21 WN Therms C&amp;I'!I32</f>
        <v>1269136.0032707914</v>
      </c>
      <c r="J14" s="73">
        <f>'12ME Jun21 WN Therms C&amp;I'!J25+'12ME Jun21 WN Therms C&amp;I'!J32</f>
        <v>1178995.0005610506</v>
      </c>
      <c r="K14" s="73">
        <f>'12ME Jun21 WN Therms C&amp;I'!K25+'12ME Jun21 WN Therms C&amp;I'!K32</f>
        <v>1210087.2560950501</v>
      </c>
      <c r="L14" s="73">
        <f>'12ME Jun21 WN Therms C&amp;I'!L25+'12ME Jun21 WN Therms C&amp;I'!L32</f>
        <v>1146071.003143664</v>
      </c>
      <c r="M14" s="73">
        <f>'12ME Jun21 WN Therms C&amp;I'!M25+'12ME Jun21 WN Therms C&amp;I'!M32</f>
        <v>1087463.1299999999</v>
      </c>
      <c r="N14" s="62">
        <f>SUM(B14:M14)</f>
        <v>14535430.75801903</v>
      </c>
    </row>
    <row r="15" spans="1:14" s="62" customFormat="1" x14ac:dyDescent="0.2">
      <c r="A15" s="37" t="s">
        <v>6</v>
      </c>
      <c r="B15" s="464">
        <f>SUM(B12:B14)</f>
        <v>1488754.26</v>
      </c>
      <c r="C15" s="464">
        <f t="shared" ref="C15:N15" si="3">SUM(C12:C14)</f>
        <v>1566588.3</v>
      </c>
      <c r="D15" s="464">
        <f t="shared" si="3"/>
        <v>1423425.45</v>
      </c>
      <c r="E15" s="464">
        <f t="shared" si="3"/>
        <v>1635554.8422044876</v>
      </c>
      <c r="F15" s="464">
        <f t="shared" si="3"/>
        <v>1450885.9002489722</v>
      </c>
      <c r="G15" s="464">
        <f t="shared" si="3"/>
        <v>2090697.2237357143</v>
      </c>
      <c r="H15" s="464">
        <f t="shared" si="3"/>
        <v>1851053.2587593</v>
      </c>
      <c r="I15" s="464">
        <f t="shared" si="3"/>
        <v>1675483.6332707913</v>
      </c>
      <c r="J15" s="464">
        <f t="shared" si="3"/>
        <v>1622351.5305610506</v>
      </c>
      <c r="K15" s="464">
        <f t="shared" si="3"/>
        <v>1646310.0460950502</v>
      </c>
      <c r="L15" s="464">
        <f t="shared" si="3"/>
        <v>1550332.803143664</v>
      </c>
      <c r="M15" s="464">
        <f t="shared" si="3"/>
        <v>1493068.3599999999</v>
      </c>
      <c r="N15" s="464">
        <f t="shared" si="3"/>
        <v>19494505.608019032</v>
      </c>
    </row>
    <row r="17" spans="1:14" x14ac:dyDescent="0.2">
      <c r="A17" s="67" t="s">
        <v>96</v>
      </c>
      <c r="N17" s="62"/>
    </row>
    <row r="18" spans="1:14" x14ac:dyDescent="0.2">
      <c r="A18" s="37" t="s">
        <v>56</v>
      </c>
      <c r="B18" s="73">
        <f>'12ME Jun21 WN Therms C&amp;I'!B37+'12ME Jun21 WN Therms C&amp;I'!B44</f>
        <v>554192.73010795005</v>
      </c>
      <c r="C18" s="73">
        <f>'12ME Jun21 WN Therms C&amp;I'!C37+'12ME Jun21 WN Therms C&amp;I'!C44</f>
        <v>660814.27004892007</v>
      </c>
      <c r="D18" s="73">
        <f>'12ME Jun21 WN Therms C&amp;I'!D37+'12ME Jun21 WN Therms C&amp;I'!D44</f>
        <v>711020.93449999997</v>
      </c>
      <c r="E18" s="73">
        <f>'12ME Jun21 WN Therms C&amp;I'!E37+'12ME Jun21 WN Therms C&amp;I'!E44</f>
        <v>388397.87150000018</v>
      </c>
      <c r="F18" s="73">
        <f>'12ME Jun21 WN Therms C&amp;I'!F37+'12ME Jun21 WN Therms C&amp;I'!F44</f>
        <v>923766.8409999999</v>
      </c>
      <c r="G18" s="73">
        <f>'12ME Jun21 WN Therms C&amp;I'!G37+'12ME Jun21 WN Therms C&amp;I'!G44</f>
        <v>985137.47149999999</v>
      </c>
      <c r="H18" s="73">
        <f>'12ME Jun21 WN Therms C&amp;I'!H37+'12ME Jun21 WN Therms C&amp;I'!H44</f>
        <v>649654.93050000002</v>
      </c>
      <c r="I18" s="73">
        <f>'12ME Jun21 WN Therms C&amp;I'!I37+'12ME Jun21 WN Therms C&amp;I'!I44</f>
        <v>450301.88099999999</v>
      </c>
      <c r="J18" s="73">
        <f>'12ME Jun21 WN Therms C&amp;I'!J37+'12ME Jun21 WN Therms C&amp;I'!J44</f>
        <v>1488534.727</v>
      </c>
      <c r="K18" s="73">
        <f>'12ME Jun21 WN Therms C&amp;I'!K37+'12ME Jun21 WN Therms C&amp;I'!K44</f>
        <v>311005.17249999999</v>
      </c>
      <c r="L18" s="73">
        <f>'12ME Jun21 WN Therms C&amp;I'!L37+'12ME Jun21 WN Therms C&amp;I'!L44</f>
        <v>622057.88500000001</v>
      </c>
      <c r="M18" s="73">
        <f>'12ME Jun21 WN Therms C&amp;I'!M37+'12ME Jun21 WN Therms C&amp;I'!M44</f>
        <v>514672.00750000007</v>
      </c>
      <c r="N18" s="62">
        <f>SUM(B18:M18)</f>
        <v>8259556.7221568702</v>
      </c>
    </row>
    <row r="19" spans="1:14" x14ac:dyDescent="0.2">
      <c r="A19" s="37" t="s">
        <v>57</v>
      </c>
      <c r="B19" s="73">
        <f>'12ME Jun21 WN Therms C&amp;I'!B38+'12ME Jun21 WN Therms C&amp;I'!B45</f>
        <v>334465.29000000004</v>
      </c>
      <c r="C19" s="73">
        <f>'12ME Jun21 WN Therms C&amp;I'!C38+'12ME Jun21 WN Therms C&amp;I'!C45</f>
        <v>209686.171</v>
      </c>
      <c r="D19" s="73">
        <f>'12ME Jun21 WN Therms C&amp;I'!D38+'12ME Jun21 WN Therms C&amp;I'!D45</f>
        <v>405002.69400000002</v>
      </c>
      <c r="E19" s="73">
        <f>'12ME Jun21 WN Therms C&amp;I'!E38+'12ME Jun21 WN Therms C&amp;I'!E45</f>
        <v>182175.95</v>
      </c>
      <c r="F19" s="73">
        <f>'12ME Jun21 WN Therms C&amp;I'!F38+'12ME Jun21 WN Therms C&amp;I'!F45</f>
        <v>349741.95699999999</v>
      </c>
      <c r="G19" s="73">
        <f>'12ME Jun21 WN Therms C&amp;I'!G38+'12ME Jun21 WN Therms C&amp;I'!G45</f>
        <v>484123.64350000001</v>
      </c>
      <c r="H19" s="73">
        <f>'12ME Jun21 WN Therms C&amp;I'!H38+'12ME Jun21 WN Therms C&amp;I'!H45</f>
        <v>294567.93349999998</v>
      </c>
      <c r="I19" s="73">
        <f>'12ME Jun21 WN Therms C&amp;I'!I38+'12ME Jun21 WN Therms C&amp;I'!I45</f>
        <v>368212.38899999997</v>
      </c>
      <c r="J19" s="73">
        <f>'12ME Jun21 WN Therms C&amp;I'!J38+'12ME Jun21 WN Therms C&amp;I'!J45</f>
        <v>767935.57949999999</v>
      </c>
      <c r="K19" s="73">
        <f>'12ME Jun21 WN Therms C&amp;I'!K38+'12ME Jun21 WN Therms C&amp;I'!K45</f>
        <v>293574.33799999999</v>
      </c>
      <c r="L19" s="73">
        <f>'12ME Jun21 WN Therms C&amp;I'!L38+'12ME Jun21 WN Therms C&amp;I'!L45</f>
        <v>359526.09899999999</v>
      </c>
      <c r="M19" s="73">
        <f>'12ME Jun21 WN Therms C&amp;I'!M38+'12ME Jun21 WN Therms C&amp;I'!M45</f>
        <v>298547.6825</v>
      </c>
      <c r="N19" s="62">
        <f>SUM(B19:M19)</f>
        <v>4347559.727</v>
      </c>
    </row>
    <row r="20" spans="1:14" x14ac:dyDescent="0.2">
      <c r="A20" s="37" t="s">
        <v>86</v>
      </c>
      <c r="B20" s="73">
        <f>'12ME Jun21 WN Therms C&amp;I'!B39+'12ME Jun21 WN Therms C&amp;I'!B46</f>
        <v>-48222.858706990199</v>
      </c>
      <c r="C20" s="73">
        <f>'12ME Jun21 WN Therms C&amp;I'!C39+'12ME Jun21 WN Therms C&amp;I'!C46</f>
        <v>70404.799765866919</v>
      </c>
      <c r="D20" s="73">
        <f>'12ME Jun21 WN Therms C&amp;I'!D39+'12ME Jun21 WN Therms C&amp;I'!D46</f>
        <v>1526065.5193141599</v>
      </c>
      <c r="E20" s="73">
        <f>'12ME Jun21 WN Therms C&amp;I'!E39+'12ME Jun21 WN Therms C&amp;I'!E46</f>
        <v>-655971.07820502622</v>
      </c>
      <c r="F20" s="73">
        <f>'12ME Jun21 WN Therms C&amp;I'!F39+'12ME Jun21 WN Therms C&amp;I'!F46</f>
        <v>497459.95174424368</v>
      </c>
      <c r="G20" s="73">
        <f>'12ME Jun21 WN Therms C&amp;I'!G39+'12ME Jun21 WN Therms C&amp;I'!G46</f>
        <v>1498162.5660619563</v>
      </c>
      <c r="H20" s="73">
        <f>'12ME Jun21 WN Therms C&amp;I'!H39+'12ME Jun21 WN Therms C&amp;I'!H46</f>
        <v>618959.74894801644</v>
      </c>
      <c r="I20" s="73">
        <f>'12ME Jun21 WN Therms C&amp;I'!I39+'12ME Jun21 WN Therms C&amp;I'!I46</f>
        <v>811241.55373000004</v>
      </c>
      <c r="J20" s="73">
        <f>'12ME Jun21 WN Therms C&amp;I'!J39+'12ME Jun21 WN Therms C&amp;I'!J46</f>
        <v>1055503.0469280002</v>
      </c>
      <c r="K20" s="73">
        <f>'12ME Jun21 WN Therms C&amp;I'!K39+'12ME Jun21 WN Therms C&amp;I'!K46</f>
        <v>841736.05522083328</v>
      </c>
      <c r="L20" s="73">
        <f>'12ME Jun21 WN Therms C&amp;I'!L39+'12ME Jun21 WN Therms C&amp;I'!L46</f>
        <v>742900.39278229163</v>
      </c>
      <c r="M20" s="73">
        <f>'12ME Jun21 WN Therms C&amp;I'!M39+'12ME Jun21 WN Therms C&amp;I'!M46</f>
        <v>427583.3559999998</v>
      </c>
      <c r="N20" s="62">
        <f>SUM(B20:M20)</f>
        <v>7385823.053583351</v>
      </c>
    </row>
    <row r="21" spans="1:14" s="62" customFormat="1" x14ac:dyDescent="0.2">
      <c r="A21" s="37" t="s">
        <v>6</v>
      </c>
      <c r="B21" s="464">
        <f>SUM(B18:B20)</f>
        <v>840435.16140095983</v>
      </c>
      <c r="C21" s="464">
        <f t="shared" ref="C21:N21" si="4">SUM(C18:C20)</f>
        <v>940905.24081478699</v>
      </c>
      <c r="D21" s="464">
        <f t="shared" si="4"/>
        <v>2642089.1478141602</v>
      </c>
      <c r="E21" s="464">
        <f t="shared" si="4"/>
        <v>-85397.256705026026</v>
      </c>
      <c r="F21" s="464">
        <f t="shared" si="4"/>
        <v>1770968.7497442437</v>
      </c>
      <c r="G21" s="464">
        <f t="shared" si="4"/>
        <v>2967423.6810619561</v>
      </c>
      <c r="H21" s="464">
        <f t="shared" si="4"/>
        <v>1563182.6129480165</v>
      </c>
      <c r="I21" s="464">
        <f t="shared" si="4"/>
        <v>1629755.8237300001</v>
      </c>
      <c r="J21" s="464">
        <f t="shared" si="4"/>
        <v>3311973.3534280001</v>
      </c>
      <c r="K21" s="464">
        <f t="shared" si="4"/>
        <v>1446315.5657208334</v>
      </c>
      <c r="L21" s="464">
        <f t="shared" si="4"/>
        <v>1724484.3767822916</v>
      </c>
      <c r="M21" s="464">
        <f t="shared" si="4"/>
        <v>1240803.0459999999</v>
      </c>
      <c r="N21" s="464">
        <f t="shared" si="4"/>
        <v>19992939.502740219</v>
      </c>
    </row>
    <row r="23" spans="1:14" x14ac:dyDescent="0.2">
      <c r="A23" s="40" t="s">
        <v>37</v>
      </c>
      <c r="N23" s="62"/>
    </row>
    <row r="24" spans="1:14" x14ac:dyDescent="0.2">
      <c r="A24" s="37" t="s">
        <v>56</v>
      </c>
      <c r="B24" s="73">
        <f>'12ME Jun21 WN Therms C&amp;I'!B51+'12ME Jun21 WN Therms C&amp;I'!B58</f>
        <v>2189796.75</v>
      </c>
      <c r="C24" s="73">
        <f>'12ME Jun21 WN Therms C&amp;I'!C51+'12ME Jun21 WN Therms C&amp;I'!C58</f>
        <v>2180963.73</v>
      </c>
      <c r="D24" s="73">
        <f>'12ME Jun21 WN Therms C&amp;I'!D51+'12ME Jun21 WN Therms C&amp;I'!D58</f>
        <v>2036702.5599999998</v>
      </c>
      <c r="E24" s="73">
        <f>'12ME Jun21 WN Therms C&amp;I'!E51+'12ME Jun21 WN Therms C&amp;I'!E58</f>
        <v>1767657.8800000004</v>
      </c>
      <c r="F24" s="73">
        <f>'12ME Jun21 WN Therms C&amp;I'!F51+'12ME Jun21 WN Therms C&amp;I'!F58</f>
        <v>1693931.34</v>
      </c>
      <c r="G24" s="73">
        <f>'12ME Jun21 WN Therms C&amp;I'!G51+'12ME Jun21 WN Therms C&amp;I'!G58</f>
        <v>3443639.1100000003</v>
      </c>
      <c r="H24" s="73">
        <f>'12ME Jun21 WN Therms C&amp;I'!H51+'12ME Jun21 WN Therms C&amp;I'!H58</f>
        <v>975211.65999999968</v>
      </c>
      <c r="I24" s="73">
        <f>'12ME Jun21 WN Therms C&amp;I'!I51+'12ME Jun21 WN Therms C&amp;I'!I58</f>
        <v>1577786.63</v>
      </c>
      <c r="J24" s="73">
        <f>'12ME Jun21 WN Therms C&amp;I'!J51+'12ME Jun21 WN Therms C&amp;I'!J58</f>
        <v>2375713.44</v>
      </c>
      <c r="K24" s="73">
        <f>'12ME Jun21 WN Therms C&amp;I'!K51+'12ME Jun21 WN Therms C&amp;I'!K58</f>
        <v>1984621.3</v>
      </c>
      <c r="L24" s="73">
        <f>'12ME Jun21 WN Therms C&amp;I'!L51+'12ME Jun21 WN Therms C&amp;I'!L58</f>
        <v>2112450.8899999997</v>
      </c>
      <c r="M24" s="73">
        <f>'12ME Jun21 WN Therms C&amp;I'!M51+'12ME Jun21 WN Therms C&amp;I'!M58</f>
        <v>2016140.6</v>
      </c>
      <c r="N24" s="62">
        <f>SUM(B24:M24)</f>
        <v>24354615.890000004</v>
      </c>
    </row>
    <row r="25" spans="1:14" x14ac:dyDescent="0.2">
      <c r="A25" s="37" t="s">
        <v>57</v>
      </c>
      <c r="B25" s="73">
        <f>'12ME Jun21 WN Therms C&amp;I'!B52+'12ME Jun21 WN Therms C&amp;I'!B59</f>
        <v>1453529.8300000003</v>
      </c>
      <c r="C25" s="73">
        <f>'12ME Jun21 WN Therms C&amp;I'!C52+'12ME Jun21 WN Therms C&amp;I'!C59</f>
        <v>1460590.94</v>
      </c>
      <c r="D25" s="73">
        <f>'12ME Jun21 WN Therms C&amp;I'!D52+'12ME Jun21 WN Therms C&amp;I'!D59</f>
        <v>1414210.0899999996</v>
      </c>
      <c r="E25" s="73">
        <f>'12ME Jun21 WN Therms C&amp;I'!E52+'12ME Jun21 WN Therms C&amp;I'!E59</f>
        <v>1556056.27</v>
      </c>
      <c r="F25" s="73">
        <f>'12ME Jun21 WN Therms C&amp;I'!F52+'12ME Jun21 WN Therms C&amp;I'!F59</f>
        <v>1233673.5200000003</v>
      </c>
      <c r="G25" s="73">
        <f>'12ME Jun21 WN Therms C&amp;I'!G52+'12ME Jun21 WN Therms C&amp;I'!G59</f>
        <v>2464079.4300000002</v>
      </c>
      <c r="H25" s="73">
        <f>'12ME Jun21 WN Therms C&amp;I'!H52+'12ME Jun21 WN Therms C&amp;I'!H59</f>
        <v>649069.7799999998</v>
      </c>
      <c r="I25" s="73">
        <f>'12ME Jun21 WN Therms C&amp;I'!I52+'12ME Jun21 WN Therms C&amp;I'!I59</f>
        <v>1141331.3399999999</v>
      </c>
      <c r="J25" s="73">
        <f>'12ME Jun21 WN Therms C&amp;I'!J52+'12ME Jun21 WN Therms C&amp;I'!J59</f>
        <v>1747095.6399999997</v>
      </c>
      <c r="K25" s="73">
        <f>'12ME Jun21 WN Therms C&amp;I'!K52+'12ME Jun21 WN Therms C&amp;I'!K59</f>
        <v>1382069.3900000001</v>
      </c>
      <c r="L25" s="73">
        <f>'12ME Jun21 WN Therms C&amp;I'!L52+'12ME Jun21 WN Therms C&amp;I'!L59</f>
        <v>1354830.2100000002</v>
      </c>
      <c r="M25" s="73">
        <f>'12ME Jun21 WN Therms C&amp;I'!M52+'12ME Jun21 WN Therms C&amp;I'!M59</f>
        <v>1472582.08</v>
      </c>
      <c r="N25" s="62">
        <f>SUM(B25:M25)</f>
        <v>17329118.520000003</v>
      </c>
    </row>
    <row r="26" spans="1:14" x14ac:dyDescent="0.2">
      <c r="A26" s="37" t="s">
        <v>86</v>
      </c>
      <c r="B26" s="73">
        <f>'12ME Jun21 WN Therms C&amp;I'!B53+'12ME Jun21 WN Therms C&amp;I'!B60</f>
        <v>1843128.0399999996</v>
      </c>
      <c r="C26" s="73">
        <f>'12ME Jun21 WN Therms C&amp;I'!C53+'12ME Jun21 WN Therms C&amp;I'!C60</f>
        <v>1831186.54</v>
      </c>
      <c r="D26" s="73">
        <f>'12ME Jun21 WN Therms C&amp;I'!D53+'12ME Jun21 WN Therms C&amp;I'!D60</f>
        <v>1779892.21</v>
      </c>
      <c r="E26" s="73">
        <f>'12ME Jun21 WN Therms C&amp;I'!E53+'12ME Jun21 WN Therms C&amp;I'!E60</f>
        <v>2328309.0400797781</v>
      </c>
      <c r="F26" s="73">
        <f>'12ME Jun21 WN Therms C&amp;I'!F53+'12ME Jun21 WN Therms C&amp;I'!F60</f>
        <v>1865339.4891511099</v>
      </c>
      <c r="G26" s="73">
        <f>'12ME Jun21 WN Therms C&amp;I'!G53+'12ME Jun21 WN Therms C&amp;I'!G60</f>
        <v>1498493.861101666</v>
      </c>
      <c r="H26" s="73">
        <f>'12ME Jun21 WN Therms C&amp;I'!H53+'12ME Jun21 WN Therms C&amp;I'!H60</f>
        <v>4386926.2274896111</v>
      </c>
      <c r="I26" s="73">
        <f>'12ME Jun21 WN Therms C&amp;I'!I53+'12ME Jun21 WN Therms C&amp;I'!I60</f>
        <v>1467988.4355811258</v>
      </c>
      <c r="J26" s="73">
        <f>'12ME Jun21 WN Therms C&amp;I'!J53+'12ME Jun21 WN Therms C&amp;I'!J60</f>
        <v>4002188.0956067499</v>
      </c>
      <c r="K26" s="73">
        <f>'12ME Jun21 WN Therms C&amp;I'!K53+'12ME Jun21 WN Therms C&amp;I'!K60</f>
        <v>2318620.2751987502</v>
      </c>
      <c r="L26" s="73">
        <f>'12ME Jun21 WN Therms C&amp;I'!L53+'12ME Jun21 WN Therms C&amp;I'!L60</f>
        <v>1827239.7257499993</v>
      </c>
      <c r="M26" s="73">
        <f>'12ME Jun21 WN Therms C&amp;I'!M53+'12ME Jun21 WN Therms C&amp;I'!M60</f>
        <v>2053744.669999999</v>
      </c>
      <c r="N26" s="62">
        <f>SUM(B26:M26)</f>
        <v>27203056.609958787</v>
      </c>
    </row>
    <row r="27" spans="1:14" s="62" customFormat="1" x14ac:dyDescent="0.2">
      <c r="A27" s="37" t="s">
        <v>6</v>
      </c>
      <c r="B27" s="464">
        <f>SUM(B24:B26)</f>
        <v>5486454.6199999992</v>
      </c>
      <c r="C27" s="464">
        <f t="shared" ref="C27:N27" si="5">SUM(C24:C26)</f>
        <v>5472741.21</v>
      </c>
      <c r="D27" s="464">
        <f t="shared" si="5"/>
        <v>5230804.8599999994</v>
      </c>
      <c r="E27" s="464">
        <f t="shared" si="5"/>
        <v>5652023.1900797784</v>
      </c>
      <c r="F27" s="464">
        <f t="shared" si="5"/>
        <v>4792944.3491511103</v>
      </c>
      <c r="G27" s="464">
        <f t="shared" si="5"/>
        <v>7406212.4011016674</v>
      </c>
      <c r="H27" s="464">
        <f t="shared" si="5"/>
        <v>6011207.6674896106</v>
      </c>
      <c r="I27" s="464">
        <f t="shared" si="5"/>
        <v>4187106.4055811255</v>
      </c>
      <c r="J27" s="464">
        <f t="shared" si="5"/>
        <v>8124997.17560675</v>
      </c>
      <c r="K27" s="464">
        <f t="shared" si="5"/>
        <v>5685310.9651987506</v>
      </c>
      <c r="L27" s="464">
        <f t="shared" si="5"/>
        <v>5294520.8257499989</v>
      </c>
      <c r="M27" s="464">
        <f t="shared" si="5"/>
        <v>5542467.3499999996</v>
      </c>
      <c r="N27" s="464">
        <f t="shared" si="5"/>
        <v>68886791.019958794</v>
      </c>
    </row>
    <row r="29" spans="1:14" x14ac:dyDescent="0.2">
      <c r="A29" s="40" t="s">
        <v>97</v>
      </c>
      <c r="N29" s="62"/>
    </row>
    <row r="30" spans="1:14" x14ac:dyDescent="0.2">
      <c r="A30" s="37" t="s">
        <v>59</v>
      </c>
      <c r="B30" s="73">
        <f>'12ME Jun21 WN Therms C&amp;I'!B65+'12ME Jun21 WN Therms C&amp;I'!B71</f>
        <v>59603.693200000002</v>
      </c>
      <c r="C30" s="73">
        <f>'12ME Jun21 WN Therms C&amp;I'!C65+'12ME Jun21 WN Therms C&amp;I'!C71</f>
        <v>49626.939100000003</v>
      </c>
      <c r="D30" s="73">
        <f>'12ME Jun21 WN Therms C&amp;I'!D65+'12ME Jun21 WN Therms C&amp;I'!D71</f>
        <v>57866.238000000012</v>
      </c>
      <c r="E30" s="73">
        <f>'12ME Jun21 WN Therms C&amp;I'!E65+'12ME Jun21 WN Therms C&amp;I'!E71</f>
        <v>123785.3358</v>
      </c>
      <c r="F30" s="73">
        <f>'12ME Jun21 WN Therms C&amp;I'!F65+'12ME Jun21 WN Therms C&amp;I'!F71</f>
        <v>103334.73709999997</v>
      </c>
      <c r="G30" s="73">
        <f>'12ME Jun21 WN Therms C&amp;I'!G65+'12ME Jun21 WN Therms C&amp;I'!G71</f>
        <v>105587.30210000003</v>
      </c>
      <c r="H30" s="73">
        <f>'12ME Jun21 WN Therms C&amp;I'!H65+'12ME Jun21 WN Therms C&amp;I'!H71</f>
        <v>110699.5125</v>
      </c>
      <c r="I30" s="73">
        <f>'12ME Jun21 WN Therms C&amp;I'!I65+'12ME Jun21 WN Therms C&amp;I'!I71</f>
        <v>98190.213400000008</v>
      </c>
      <c r="J30" s="73">
        <f>'12ME Jun21 WN Therms C&amp;I'!J65+'12ME Jun21 WN Therms C&amp;I'!J71</f>
        <v>115491.65949999998</v>
      </c>
      <c r="K30" s="73">
        <f>'12ME Jun21 WN Therms C&amp;I'!K65+'12ME Jun21 WN Therms C&amp;I'!K71</f>
        <v>86812.914900000018</v>
      </c>
      <c r="L30" s="73">
        <f>'12ME Jun21 WN Therms C&amp;I'!L65+'12ME Jun21 WN Therms C&amp;I'!L71</f>
        <v>93853.835199999972</v>
      </c>
      <c r="M30" s="73">
        <f>'12ME Jun21 WN Therms C&amp;I'!M65+'12ME Jun21 WN Therms C&amp;I'!M71</f>
        <v>59129.197100000005</v>
      </c>
      <c r="N30" s="62">
        <f>SUM(B30:M30)</f>
        <v>1063981.5778999999</v>
      </c>
    </row>
    <row r="31" spans="1:14" x14ac:dyDescent="0.2">
      <c r="A31" s="37" t="s">
        <v>89</v>
      </c>
      <c r="B31" s="73">
        <f>'12ME Jun21 WN Therms C&amp;I'!B66+'12ME Jun21 WN Therms C&amp;I'!B72</f>
        <v>143331.634809871</v>
      </c>
      <c r="C31" s="73">
        <f>'12ME Jun21 WN Therms C&amp;I'!C66+'12ME Jun21 WN Therms C&amp;I'!C72</f>
        <v>77816.409414335794</v>
      </c>
      <c r="D31" s="73">
        <f>'12ME Jun21 WN Therms C&amp;I'!D66+'12ME Jun21 WN Therms C&amp;I'!D72</f>
        <v>109964.73874677547</v>
      </c>
      <c r="E31" s="73">
        <f>'12ME Jun21 WN Therms C&amp;I'!E66+'12ME Jun21 WN Therms C&amp;I'!E72</f>
        <v>281945.43010537664</v>
      </c>
      <c r="F31" s="73">
        <f>'12ME Jun21 WN Therms C&amp;I'!F66+'12ME Jun21 WN Therms C&amp;I'!F72</f>
        <v>539050.59858302586</v>
      </c>
      <c r="G31" s="73">
        <f>'12ME Jun21 WN Therms C&amp;I'!G66+'12ME Jun21 WN Therms C&amp;I'!G72</f>
        <v>631139.62172737916</v>
      </c>
      <c r="H31" s="73">
        <f>'12ME Jun21 WN Therms C&amp;I'!H66+'12ME Jun21 WN Therms C&amp;I'!H72</f>
        <v>710788.76450358017</v>
      </c>
      <c r="I31" s="73">
        <f>'12ME Jun21 WN Therms C&amp;I'!I66+'12ME Jun21 WN Therms C&amp;I'!I72</f>
        <v>732549.17267444602</v>
      </c>
      <c r="J31" s="73">
        <f>'12ME Jun21 WN Therms C&amp;I'!J66+'12ME Jun21 WN Therms C&amp;I'!J72</f>
        <v>524129.55610718933</v>
      </c>
      <c r="K31" s="73">
        <f>'12ME Jun21 WN Therms C&amp;I'!K66+'12ME Jun21 WN Therms C&amp;I'!K72</f>
        <v>474118.78931656643</v>
      </c>
      <c r="L31" s="73">
        <f>'12ME Jun21 WN Therms C&amp;I'!L66+'12ME Jun21 WN Therms C&amp;I'!L72</f>
        <v>1295357.6675836265</v>
      </c>
      <c r="M31" s="73">
        <f>'12ME Jun21 WN Therms C&amp;I'!M66+'12ME Jun21 WN Therms C&amp;I'!M72</f>
        <v>-811003.47378162679</v>
      </c>
      <c r="N31" s="62">
        <f>SUM(B31:M31)</f>
        <v>4709188.9097905457</v>
      </c>
    </row>
    <row r="32" spans="1:14" x14ac:dyDescent="0.2">
      <c r="A32" s="37" t="s">
        <v>6</v>
      </c>
      <c r="B32" s="464">
        <f>SUM(B30:B31)</f>
        <v>202935.32800987101</v>
      </c>
      <c r="C32" s="464">
        <f t="shared" ref="C32:N32" si="6">SUM(C30:C31)</f>
        <v>127443.3485143358</v>
      </c>
      <c r="D32" s="464">
        <f t="shared" si="6"/>
        <v>167830.9767467755</v>
      </c>
      <c r="E32" s="464">
        <f t="shared" si="6"/>
        <v>405730.76590537664</v>
      </c>
      <c r="F32" s="464">
        <f t="shared" si="6"/>
        <v>642385.33568302589</v>
      </c>
      <c r="G32" s="464">
        <f t="shared" si="6"/>
        <v>736726.92382737924</v>
      </c>
      <c r="H32" s="464">
        <f t="shared" si="6"/>
        <v>821488.27700358012</v>
      </c>
      <c r="I32" s="464">
        <f t="shared" si="6"/>
        <v>830739.38607444603</v>
      </c>
      <c r="J32" s="464">
        <f t="shared" si="6"/>
        <v>639621.21560718934</v>
      </c>
      <c r="K32" s="464">
        <f t="shared" si="6"/>
        <v>560931.7042165664</v>
      </c>
      <c r="L32" s="464">
        <f t="shared" si="6"/>
        <v>1389211.5027836263</v>
      </c>
      <c r="M32" s="464">
        <f t="shared" si="6"/>
        <v>-751874.2766816268</v>
      </c>
      <c r="N32" s="464">
        <f t="shared" si="6"/>
        <v>5773170.4876905456</v>
      </c>
    </row>
    <row r="34" spans="1:14" x14ac:dyDescent="0.2">
      <c r="A34" s="40" t="s">
        <v>39</v>
      </c>
      <c r="N34" s="62"/>
    </row>
    <row r="35" spans="1:14" x14ac:dyDescent="0.2">
      <c r="A35" s="37" t="s">
        <v>59</v>
      </c>
      <c r="B35" s="73">
        <f>'12ME Jun21 WN Therms C&amp;I'!B77+'12ME Jun21 WN Therms C&amp;I'!B83</f>
        <v>4000</v>
      </c>
      <c r="C35" s="73">
        <f>'12ME Jun21 WN Therms C&amp;I'!C77+'12ME Jun21 WN Therms C&amp;I'!C83</f>
        <v>4000</v>
      </c>
      <c r="D35" s="73">
        <f>'12ME Jun21 WN Therms C&amp;I'!D77+'12ME Jun21 WN Therms C&amp;I'!D83</f>
        <v>4000</v>
      </c>
      <c r="E35" s="73">
        <f>'12ME Jun21 WN Therms C&amp;I'!E77+'12ME Jun21 WN Therms C&amp;I'!E83</f>
        <v>79033</v>
      </c>
      <c r="F35" s="73">
        <f>'12ME Jun21 WN Therms C&amp;I'!F77+'12ME Jun21 WN Therms C&amp;I'!F83</f>
        <v>13000</v>
      </c>
      <c r="G35" s="73">
        <f>'12ME Jun21 WN Therms C&amp;I'!G77+'12ME Jun21 WN Therms C&amp;I'!G83</f>
        <v>4984.3</v>
      </c>
      <c r="H35" s="73">
        <f>'12ME Jun21 WN Therms C&amp;I'!H77+'12ME Jun21 WN Therms C&amp;I'!H83</f>
        <v>6015.7</v>
      </c>
      <c r="I35" s="73">
        <f>'12ME Jun21 WN Therms C&amp;I'!I77+'12ME Jun21 WN Therms C&amp;I'!I83</f>
        <v>15000</v>
      </c>
      <c r="J35" s="73">
        <f>'12ME Jun21 WN Therms C&amp;I'!J77+'12ME Jun21 WN Therms C&amp;I'!J83</f>
        <v>4000</v>
      </c>
      <c r="K35" s="73">
        <f>'12ME Jun21 WN Therms C&amp;I'!K77+'12ME Jun21 WN Therms C&amp;I'!K83</f>
        <v>8018.62</v>
      </c>
      <c r="L35" s="73">
        <f>'12ME Jun21 WN Therms C&amp;I'!L77+'12ME Jun21 WN Therms C&amp;I'!L83</f>
        <v>9000</v>
      </c>
      <c r="M35" s="73">
        <f>'12ME Jun21 WN Therms C&amp;I'!M77+'12ME Jun21 WN Therms C&amp;I'!M83</f>
        <v>9000</v>
      </c>
      <c r="N35" s="62">
        <f>SUM(B35:M35)</f>
        <v>160051.62</v>
      </c>
    </row>
    <row r="36" spans="1:14" x14ac:dyDescent="0.2">
      <c r="A36" s="37" t="s">
        <v>89</v>
      </c>
      <c r="B36" s="73">
        <f>'12ME Jun21 WN Therms C&amp;I'!B78+'12ME Jun21 WN Therms C&amp;I'!B84</f>
        <v>41025.660000000003</v>
      </c>
      <c r="C36" s="73">
        <f>'12ME Jun21 WN Therms C&amp;I'!C78+'12ME Jun21 WN Therms C&amp;I'!C84</f>
        <v>46411.61</v>
      </c>
      <c r="D36" s="73">
        <f>'12ME Jun21 WN Therms C&amp;I'!D78+'12ME Jun21 WN Therms C&amp;I'!D84</f>
        <v>48167.13</v>
      </c>
      <c r="E36" s="73">
        <f>'12ME Jun21 WN Therms C&amp;I'!E78+'12ME Jun21 WN Therms C&amp;I'!E84</f>
        <v>528612.32000000007</v>
      </c>
      <c r="F36" s="73">
        <f>'12ME Jun21 WN Therms C&amp;I'!F78+'12ME Jun21 WN Therms C&amp;I'!F84</f>
        <v>117077.13</v>
      </c>
      <c r="G36" s="73">
        <f>'12ME Jun21 WN Therms C&amp;I'!G78+'12ME Jun21 WN Therms C&amp;I'!G84</f>
        <v>38399.349999999991</v>
      </c>
      <c r="H36" s="73">
        <f>'12ME Jun21 WN Therms C&amp;I'!H78+'12ME Jun21 WN Therms C&amp;I'!H84</f>
        <v>138789.19</v>
      </c>
      <c r="I36" s="73">
        <f>'12ME Jun21 WN Therms C&amp;I'!I78+'12ME Jun21 WN Therms C&amp;I'!I84</f>
        <v>196120.65000000002</v>
      </c>
      <c r="J36" s="73">
        <f>'12ME Jun21 WN Therms C&amp;I'!J78+'12ME Jun21 WN Therms C&amp;I'!J84</f>
        <v>110855.8</v>
      </c>
      <c r="K36" s="73">
        <f>'12ME Jun21 WN Therms C&amp;I'!K78+'12ME Jun21 WN Therms C&amp;I'!K84</f>
        <v>96072.31</v>
      </c>
      <c r="L36" s="73">
        <f>'12ME Jun21 WN Therms C&amp;I'!L78+'12ME Jun21 WN Therms C&amp;I'!L84</f>
        <v>107920.63999999998</v>
      </c>
      <c r="M36" s="73">
        <f>'12ME Jun21 WN Therms C&amp;I'!M78+'12ME Jun21 WN Therms C&amp;I'!M84</f>
        <v>88980.93</v>
      </c>
      <c r="N36" s="62">
        <f>SUM(B36:M36)</f>
        <v>1558432.72</v>
      </c>
    </row>
    <row r="37" spans="1:14" x14ac:dyDescent="0.2">
      <c r="A37" s="37" t="s">
        <v>6</v>
      </c>
      <c r="B37" s="464">
        <f>SUM(B35:B36)</f>
        <v>45025.66</v>
      </c>
      <c r="C37" s="464">
        <f t="shared" ref="C37:N37" si="7">SUM(C35:C36)</f>
        <v>50411.61</v>
      </c>
      <c r="D37" s="464">
        <f t="shared" si="7"/>
        <v>52167.13</v>
      </c>
      <c r="E37" s="464">
        <f t="shared" si="7"/>
        <v>607645.32000000007</v>
      </c>
      <c r="F37" s="464">
        <f t="shared" si="7"/>
        <v>130077.13</v>
      </c>
      <c r="G37" s="464">
        <f t="shared" si="7"/>
        <v>43383.649999999994</v>
      </c>
      <c r="H37" s="464">
        <f t="shared" si="7"/>
        <v>144804.89000000001</v>
      </c>
      <c r="I37" s="464">
        <f t="shared" si="7"/>
        <v>211120.65000000002</v>
      </c>
      <c r="J37" s="464">
        <f t="shared" si="7"/>
        <v>114855.8</v>
      </c>
      <c r="K37" s="464">
        <f t="shared" si="7"/>
        <v>104090.93</v>
      </c>
      <c r="L37" s="464">
        <f t="shared" si="7"/>
        <v>116920.63999999998</v>
      </c>
      <c r="M37" s="464">
        <f t="shared" si="7"/>
        <v>97980.93</v>
      </c>
      <c r="N37" s="464">
        <f t="shared" si="7"/>
        <v>1718484.3399999999</v>
      </c>
    </row>
    <row r="39" spans="1:14" x14ac:dyDescent="0.2">
      <c r="A39" s="67" t="s">
        <v>98</v>
      </c>
      <c r="N39" s="62"/>
    </row>
    <row r="40" spans="1:14" s="62" customFormat="1" x14ac:dyDescent="0.2">
      <c r="A40" s="37" t="s">
        <v>56</v>
      </c>
      <c r="B40" s="73">
        <f>'12ME Jun21 WN Therms C&amp;I'!B89+'12ME Jun21 WN Therms C&amp;I'!B99</f>
        <v>-1017125.9029999999</v>
      </c>
      <c r="C40" s="73">
        <f>'12ME Jun21 WN Therms C&amp;I'!C89+'12ME Jun21 WN Therms C&amp;I'!C99</f>
        <v>1292125.9029999999</v>
      </c>
      <c r="D40" s="73">
        <f>'12ME Jun21 WN Therms C&amp;I'!D89+'12ME Jun21 WN Therms C&amp;I'!D99</f>
        <v>97747.714000000007</v>
      </c>
      <c r="E40" s="73">
        <f>'12ME Jun21 WN Therms C&amp;I'!E89+'12ME Jun21 WN Therms C&amp;I'!E99</f>
        <v>152252.28599999999</v>
      </c>
      <c r="F40" s="73">
        <f>'12ME Jun21 WN Therms C&amp;I'!F89+'12ME Jun21 WN Therms C&amp;I'!F99</f>
        <v>125000</v>
      </c>
      <c r="G40" s="73">
        <f>'12ME Jun21 WN Therms C&amp;I'!G89+'12ME Jun21 WN Therms C&amp;I'!G99</f>
        <v>154167</v>
      </c>
      <c r="H40" s="73">
        <f>'12ME Jun21 WN Therms C&amp;I'!H89+'12ME Jun21 WN Therms C&amp;I'!H99</f>
        <v>75000</v>
      </c>
      <c r="I40" s="73">
        <f>'12ME Jun21 WN Therms C&amp;I'!I89+'12ME Jun21 WN Therms C&amp;I'!I99</f>
        <v>120833</v>
      </c>
      <c r="J40" s="73">
        <f>'12ME Jun21 WN Therms C&amp;I'!J89+'12ME Jun21 WN Therms C&amp;I'!J99</f>
        <v>125000</v>
      </c>
      <c r="K40" s="73">
        <f>'12ME Jun21 WN Therms C&amp;I'!K89+'12ME Jun21 WN Therms C&amp;I'!K99</f>
        <v>150000</v>
      </c>
      <c r="L40" s="73">
        <f>'12ME Jun21 WN Therms C&amp;I'!L89+'12ME Jun21 WN Therms C&amp;I'!L99</f>
        <v>100000</v>
      </c>
      <c r="M40" s="73">
        <f>'12ME Jun21 WN Therms C&amp;I'!M89+'12ME Jun21 WN Therms C&amp;I'!M99</f>
        <v>137193</v>
      </c>
      <c r="N40" s="62">
        <f>SUM(B40:M40)</f>
        <v>1512193</v>
      </c>
    </row>
    <row r="41" spans="1:14" x14ac:dyDescent="0.2">
      <c r="A41" s="37" t="s">
        <v>57</v>
      </c>
      <c r="B41" s="73">
        <f>'12ME Jun21 WN Therms C&amp;I'!B90+'12ME Jun21 WN Therms C&amp;I'!B100</f>
        <v>138263.88800000001</v>
      </c>
      <c r="C41" s="73">
        <f>'12ME Jun21 WN Therms C&amp;I'!C90+'12ME Jun21 WN Therms C&amp;I'!C100</f>
        <v>114769.96</v>
      </c>
      <c r="D41" s="73">
        <f>'12ME Jun21 WN Therms C&amp;I'!D90+'12ME Jun21 WN Therms C&amp;I'!D100</f>
        <v>75002</v>
      </c>
      <c r="E41" s="73">
        <f>'12ME Jun21 WN Therms C&amp;I'!E90+'12ME Jun21 WN Therms C&amp;I'!E100</f>
        <v>135048.86900000001</v>
      </c>
      <c r="F41" s="73">
        <f>'12ME Jun21 WN Therms C&amp;I'!F90+'12ME Jun21 WN Therms C&amp;I'!F100</f>
        <v>125000</v>
      </c>
      <c r="G41" s="73">
        <f>'12ME Jun21 WN Therms C&amp;I'!G90+'12ME Jun21 WN Therms C&amp;I'!G100</f>
        <v>154166</v>
      </c>
      <c r="H41" s="73">
        <f>'12ME Jun21 WN Therms C&amp;I'!H90+'12ME Jun21 WN Therms C&amp;I'!H100</f>
        <v>75000</v>
      </c>
      <c r="I41" s="73">
        <f>'12ME Jun21 WN Therms C&amp;I'!I90+'12ME Jun21 WN Therms C&amp;I'!I100</f>
        <v>120834</v>
      </c>
      <c r="J41" s="73">
        <f>'12ME Jun21 WN Therms C&amp;I'!J90+'12ME Jun21 WN Therms C&amp;I'!J100</f>
        <v>120886.97</v>
      </c>
      <c r="K41" s="73">
        <f>'12ME Jun21 WN Therms C&amp;I'!K90+'12ME Jun21 WN Therms C&amp;I'!K100</f>
        <v>132928.747</v>
      </c>
      <c r="L41" s="73">
        <f>'12ME Jun21 WN Therms C&amp;I'!L90+'12ME Jun21 WN Therms C&amp;I'!L100</f>
        <v>81115.681000000011</v>
      </c>
      <c r="M41" s="73">
        <f>'12ME Jun21 WN Therms C&amp;I'!M90+'12ME Jun21 WN Therms C&amp;I'!M100</f>
        <v>125000</v>
      </c>
      <c r="N41" s="62">
        <f>SUM(B41:M41)</f>
        <v>1398016.115</v>
      </c>
    </row>
    <row r="42" spans="1:14" x14ac:dyDescent="0.2">
      <c r="A42" s="37" t="s">
        <v>62</v>
      </c>
      <c r="B42" s="73">
        <f>'12ME Jun21 WN Therms C&amp;I'!B91+'12ME Jun21 WN Therms C&amp;I'!B101</f>
        <v>214348.38500000001</v>
      </c>
      <c r="C42" s="73">
        <f>'12ME Jun21 WN Therms C&amp;I'!C91+'12ME Jun21 WN Therms C&amp;I'!C101</f>
        <v>163083.65599999999</v>
      </c>
      <c r="D42" s="73">
        <f>'12ME Jun21 WN Therms C&amp;I'!D91+'12ME Jun21 WN Therms C&amp;I'!D101</f>
        <v>107780.40999999999</v>
      </c>
      <c r="E42" s="73">
        <f>'12ME Jun21 WN Therms C&amp;I'!E91+'12ME Jun21 WN Therms C&amp;I'!E101</f>
        <v>198857.35200000001</v>
      </c>
      <c r="F42" s="73">
        <f>'12ME Jun21 WN Therms C&amp;I'!F91+'12ME Jun21 WN Therms C&amp;I'!F101</f>
        <v>205325.61499999999</v>
      </c>
      <c r="G42" s="73">
        <f>'12ME Jun21 WN Therms C&amp;I'!G91+'12ME Jun21 WN Therms C&amp;I'!G101</f>
        <v>247351.13550000003</v>
      </c>
      <c r="H42" s="73">
        <f>'12ME Jun21 WN Therms C&amp;I'!H91+'12ME Jun21 WN Therms C&amp;I'!H101</f>
        <v>154138.10149999999</v>
      </c>
      <c r="I42" s="73">
        <f>'12ME Jun21 WN Therms C&amp;I'!I91+'12ME Jun21 WN Therms C&amp;I'!I101</f>
        <v>197476.399</v>
      </c>
      <c r="J42" s="73">
        <f>'12ME Jun21 WN Therms C&amp;I'!J91+'12ME Jun21 WN Therms C&amp;I'!J101</f>
        <v>200000</v>
      </c>
      <c r="K42" s="73">
        <f>'12ME Jun21 WN Therms C&amp;I'!K91+'12ME Jun21 WN Therms C&amp;I'!K101</f>
        <v>250000</v>
      </c>
      <c r="L42" s="73">
        <f>'12ME Jun21 WN Therms C&amp;I'!L91+'12ME Jun21 WN Therms C&amp;I'!L101</f>
        <v>150000</v>
      </c>
      <c r="M42" s="73">
        <f>'12ME Jun21 WN Therms C&amp;I'!M91+'12ME Jun21 WN Therms C&amp;I'!M101</f>
        <v>228529.04199999999</v>
      </c>
      <c r="N42" s="62">
        <f>SUM(B42:M42)</f>
        <v>2316890.0959999999</v>
      </c>
    </row>
    <row r="43" spans="1:14" x14ac:dyDescent="0.2">
      <c r="A43" s="37" t="s">
        <v>63</v>
      </c>
      <c r="B43" s="73">
        <f>'12ME Jun21 WN Therms C&amp;I'!B92+'12ME Jun21 WN Therms C&amp;I'!B102</f>
        <v>103073.18949999986</v>
      </c>
      <c r="C43" s="73">
        <f>'12ME Jun21 WN Therms C&amp;I'!C92+'12ME Jun21 WN Therms C&amp;I'!C102</f>
        <v>3147.0750000000844</v>
      </c>
      <c r="D43" s="73">
        <f>'12ME Jun21 WN Therms C&amp;I'!D92+'12ME Jun21 WN Therms C&amp;I'!D102</f>
        <v>11140.85749999994</v>
      </c>
      <c r="E43" s="73">
        <f>'12ME Jun21 WN Therms C&amp;I'!E92+'12ME Jun21 WN Therms C&amp;I'!E102</f>
        <v>185283.242</v>
      </c>
      <c r="F43" s="73">
        <f>'12ME Jun21 WN Therms C&amp;I'!F92+'12ME Jun21 WN Therms C&amp;I'!F102</f>
        <v>743315.86349999998</v>
      </c>
      <c r="G43" s="73">
        <f>'12ME Jun21 WN Therms C&amp;I'!G92+'12ME Jun21 WN Therms C&amp;I'!G102</f>
        <v>-2433.4319999999716</v>
      </c>
      <c r="H43" s="73">
        <f>'12ME Jun21 WN Therms C&amp;I'!H92+'12ME Jun21 WN Therms C&amp;I'!H102</f>
        <v>685530.91299999994</v>
      </c>
      <c r="I43" s="73">
        <f>'12ME Jun21 WN Therms C&amp;I'!I92+'12ME Jun21 WN Therms C&amp;I'!I102</f>
        <v>336606.59600000002</v>
      </c>
      <c r="J43" s="73">
        <f>'12ME Jun21 WN Therms C&amp;I'!J92+'12ME Jun21 WN Therms C&amp;I'!J102</f>
        <v>163767.62950000004</v>
      </c>
      <c r="K43" s="73">
        <f>'12ME Jun21 WN Therms C&amp;I'!K92+'12ME Jun21 WN Therms C&amp;I'!K102</f>
        <v>656881.98849999998</v>
      </c>
      <c r="L43" s="73">
        <f>'12ME Jun21 WN Therms C&amp;I'!L92+'12ME Jun21 WN Therms C&amp;I'!L102</f>
        <v>-9849.9674999999406</v>
      </c>
      <c r="M43" s="73">
        <f>'12ME Jun21 WN Therms C&amp;I'!M92+'12ME Jun21 WN Therms C&amp;I'!M102</f>
        <v>168792.92300000001</v>
      </c>
      <c r="N43" s="62">
        <f>SUM(B43:M43)</f>
        <v>3045256.8779999996</v>
      </c>
    </row>
    <row r="44" spans="1:14" x14ac:dyDescent="0.2">
      <c r="A44" s="37" t="s">
        <v>64</v>
      </c>
      <c r="B44" s="73">
        <f>'12ME Jun21 WN Therms C&amp;I'!B93+'12ME Jun21 WN Therms C&amp;I'!B103</f>
        <v>300000</v>
      </c>
      <c r="C44" s="73">
        <f>'12ME Jun21 WN Therms C&amp;I'!C93+'12ME Jun21 WN Therms C&amp;I'!C103</f>
        <v>300000</v>
      </c>
      <c r="D44" s="73">
        <f>'12ME Jun21 WN Therms C&amp;I'!D93+'12ME Jun21 WN Therms C&amp;I'!D103</f>
        <v>300000</v>
      </c>
      <c r="E44" s="73">
        <f>'12ME Jun21 WN Therms C&amp;I'!E93+'12ME Jun21 WN Therms C&amp;I'!E103</f>
        <v>300000</v>
      </c>
      <c r="F44" s="73">
        <f>'12ME Jun21 WN Therms C&amp;I'!F93+'12ME Jun21 WN Therms C&amp;I'!F103</f>
        <v>1132564.3785000001</v>
      </c>
      <c r="G44" s="73">
        <f>'12ME Jun21 WN Therms C&amp;I'!G93+'12ME Jun21 WN Therms C&amp;I'!G103</f>
        <v>-211801.31150000013</v>
      </c>
      <c r="H44" s="73">
        <f>'12ME Jun21 WN Therms C&amp;I'!H93+'12ME Jun21 WN Therms C&amp;I'!H103</f>
        <v>83968.783500000107</v>
      </c>
      <c r="I44" s="73">
        <f>'12ME Jun21 WN Therms C&amp;I'!I93+'12ME Jun21 WN Therms C&amp;I'!I103</f>
        <v>1449621.1384999999</v>
      </c>
      <c r="J44" s="73">
        <f>'12ME Jun21 WN Therms C&amp;I'!J93+'12ME Jun21 WN Therms C&amp;I'!J103</f>
        <v>-762310.78599999985</v>
      </c>
      <c r="K44" s="73">
        <f>'12ME Jun21 WN Therms C&amp;I'!K93+'12ME Jun21 WN Therms C&amp;I'!K103</f>
        <v>353323.82349999994</v>
      </c>
      <c r="L44" s="73">
        <f>'12ME Jun21 WN Therms C&amp;I'!L93+'12ME Jun21 WN Therms C&amp;I'!L103</f>
        <v>246676.17650000006</v>
      </c>
      <c r="M44" s="73">
        <f>'12ME Jun21 WN Therms C&amp;I'!M93+'12ME Jun21 WN Therms C&amp;I'!M103</f>
        <v>300000</v>
      </c>
      <c r="N44" s="62">
        <f>SUM(B44:M44)</f>
        <v>3792042.2029999997</v>
      </c>
    </row>
    <row r="45" spans="1:14" x14ac:dyDescent="0.2">
      <c r="A45" s="37" t="s">
        <v>91</v>
      </c>
      <c r="B45" s="73">
        <f>'12ME Jun21 WN Therms C&amp;I'!B94+'12ME Jun21 WN Therms C&amp;I'!B104</f>
        <v>466226.03499999997</v>
      </c>
      <c r="C45" s="73">
        <f>'12ME Jun21 WN Therms C&amp;I'!C94+'12ME Jun21 WN Therms C&amp;I'!C104</f>
        <v>442278.01499999966</v>
      </c>
      <c r="D45" s="73">
        <f>'12ME Jun21 WN Therms C&amp;I'!D94+'12ME Jun21 WN Therms C&amp;I'!D104</f>
        <v>363689.65199999977</v>
      </c>
      <c r="E45" s="73">
        <f>'12ME Jun21 WN Therms C&amp;I'!E94+'12ME Jun21 WN Therms C&amp;I'!E104</f>
        <v>361201.52079236228</v>
      </c>
      <c r="F45" s="73">
        <f>'12ME Jun21 WN Therms C&amp;I'!F94+'12ME Jun21 WN Therms C&amp;I'!F104</f>
        <v>1748092.7404499995</v>
      </c>
      <c r="G45" s="73">
        <f>'12ME Jun21 WN Therms C&amp;I'!G94+'12ME Jun21 WN Therms C&amp;I'!G104</f>
        <v>-479921.84199652972</v>
      </c>
      <c r="H45" s="73">
        <f>'12ME Jun21 WN Therms C&amp;I'!H94+'12ME Jun21 WN Therms C&amp;I'!H104</f>
        <v>1925013.0963750002</v>
      </c>
      <c r="I45" s="73">
        <f>'12ME Jun21 WN Therms C&amp;I'!I94+'12ME Jun21 WN Therms C&amp;I'!I104</f>
        <v>2395602.7268750002</v>
      </c>
      <c r="J45" s="73">
        <f>'12ME Jun21 WN Therms C&amp;I'!J94+'12ME Jun21 WN Therms C&amp;I'!J104</f>
        <v>-77527.07513159755</v>
      </c>
      <c r="K45" s="73">
        <f>'12ME Jun21 WN Therms C&amp;I'!K94+'12ME Jun21 WN Therms C&amp;I'!K104</f>
        <v>1179194.2217902783</v>
      </c>
      <c r="L45" s="73">
        <f>'12ME Jun21 WN Therms C&amp;I'!L94+'12ME Jun21 WN Therms C&amp;I'!L104</f>
        <v>678757.63240902824</v>
      </c>
      <c r="M45" s="73">
        <f>'12ME Jun21 WN Therms C&amp;I'!M94+'12ME Jun21 WN Therms C&amp;I'!M104</f>
        <v>752450.74679166637</v>
      </c>
      <c r="N45" s="62">
        <f t="shared" ref="N45" si="8">SUM(B45:M45)</f>
        <v>9755057.4703552071</v>
      </c>
    </row>
    <row r="46" spans="1:14" x14ac:dyDescent="0.2">
      <c r="A46" s="37" t="s">
        <v>6</v>
      </c>
      <c r="B46" s="464">
        <f>SUM(B40:B45)</f>
        <v>204785.59449999995</v>
      </c>
      <c r="C46" s="464">
        <f t="shared" ref="C46:N46" si="9">SUM(C40:C45)</f>
        <v>2315404.6089999997</v>
      </c>
      <c r="D46" s="464">
        <f t="shared" si="9"/>
        <v>955360.63349999976</v>
      </c>
      <c r="E46" s="464">
        <f t="shared" si="9"/>
        <v>1332643.2697923623</v>
      </c>
      <c r="F46" s="464">
        <f t="shared" si="9"/>
        <v>4079298.5974499993</v>
      </c>
      <c r="G46" s="464">
        <f t="shared" si="9"/>
        <v>-138472.44999652979</v>
      </c>
      <c r="H46" s="464">
        <f t="shared" si="9"/>
        <v>2998650.8943750001</v>
      </c>
      <c r="I46" s="464">
        <f t="shared" si="9"/>
        <v>4620973.8603750002</v>
      </c>
      <c r="J46" s="464">
        <f t="shared" si="9"/>
        <v>-230183.26163159739</v>
      </c>
      <c r="K46" s="464">
        <f t="shared" si="9"/>
        <v>2722328.7807902782</v>
      </c>
      <c r="L46" s="464">
        <f t="shared" si="9"/>
        <v>1246699.5224090284</v>
      </c>
      <c r="M46" s="464">
        <f t="shared" si="9"/>
        <v>1711965.7117916665</v>
      </c>
      <c r="N46" s="464">
        <f t="shared" si="9"/>
        <v>21819455.762355208</v>
      </c>
    </row>
    <row r="47" spans="1:14" x14ac:dyDescent="0.2">
      <c r="A47" s="37"/>
      <c r="N47" s="62"/>
    </row>
    <row r="48" spans="1:14" x14ac:dyDescent="0.2">
      <c r="A48" s="40" t="s">
        <v>41</v>
      </c>
      <c r="N48" s="62"/>
    </row>
    <row r="49" spans="1:14" x14ac:dyDescent="0.2">
      <c r="A49" s="37" t="s">
        <v>56</v>
      </c>
      <c r="B49" s="73">
        <f>'12ME Jun21 WN Therms C&amp;I'!B109+'12ME Jun21 WN Therms C&amp;I'!B119</f>
        <v>224846.93</v>
      </c>
      <c r="C49" s="73">
        <f>'12ME Jun21 WN Therms C&amp;I'!C109+'12ME Jun21 WN Therms C&amp;I'!C119</f>
        <v>275036.01</v>
      </c>
      <c r="D49" s="73">
        <f>'12ME Jun21 WN Therms C&amp;I'!D109+'12ME Jun21 WN Therms C&amp;I'!D119</f>
        <v>249865.76</v>
      </c>
      <c r="E49" s="73">
        <f>'12ME Jun21 WN Therms C&amp;I'!E109+'12ME Jun21 WN Therms C&amp;I'!E119</f>
        <v>253926</v>
      </c>
      <c r="F49" s="73">
        <f>'12ME Jun21 WN Therms C&amp;I'!F109+'12ME Jun21 WN Therms C&amp;I'!F119</f>
        <v>153003.35</v>
      </c>
      <c r="G49" s="73">
        <f>'12ME Jun21 WN Therms C&amp;I'!G109+'12ME Jun21 WN Therms C&amp;I'!G119</f>
        <v>467200.20999999996</v>
      </c>
      <c r="H49" s="73">
        <f>'12ME Jun21 WN Therms C&amp;I'!H109+'12ME Jun21 WN Therms C&amp;I'!H119</f>
        <v>132799.79</v>
      </c>
      <c r="I49" s="73">
        <f>'12ME Jun21 WN Therms C&amp;I'!I109+'12ME Jun21 WN Therms C&amp;I'!I119</f>
        <v>175000</v>
      </c>
      <c r="J49" s="73">
        <f>'12ME Jun21 WN Therms C&amp;I'!J109+'12ME Jun21 WN Therms C&amp;I'!J119</f>
        <v>325000</v>
      </c>
      <c r="K49" s="73">
        <f>'12ME Jun21 WN Therms C&amp;I'!K109+'12ME Jun21 WN Therms C&amp;I'!K119</f>
        <v>246825.15</v>
      </c>
      <c r="L49" s="73">
        <f>'12ME Jun21 WN Therms C&amp;I'!L109+'12ME Jun21 WN Therms C&amp;I'!L119</f>
        <v>249052.44</v>
      </c>
      <c r="M49" s="73">
        <f>'12ME Jun21 WN Therms C&amp;I'!M109+'12ME Jun21 WN Therms C&amp;I'!M119</f>
        <v>246234.03</v>
      </c>
      <c r="N49" s="62">
        <f t="shared" ref="N49:N54" si="10">SUM(B49:M49)</f>
        <v>2998789.6699999995</v>
      </c>
    </row>
    <row r="50" spans="1:14" x14ac:dyDescent="0.2">
      <c r="A50" s="37" t="s">
        <v>57</v>
      </c>
      <c r="B50" s="73">
        <f>'12ME Jun21 WN Therms C&amp;I'!B110+'12ME Jun21 WN Therms C&amp;I'!B120</f>
        <v>225000</v>
      </c>
      <c r="C50" s="73">
        <f>'12ME Jun21 WN Therms C&amp;I'!C110+'12ME Jun21 WN Therms C&amp;I'!C120</f>
        <v>268093.82</v>
      </c>
      <c r="D50" s="73">
        <f>'12ME Jun21 WN Therms C&amp;I'!D110+'12ME Jun21 WN Therms C&amp;I'!D120</f>
        <v>247028.95</v>
      </c>
      <c r="E50" s="73">
        <f>'12ME Jun21 WN Therms C&amp;I'!E110+'12ME Jun21 WN Therms C&amp;I'!E120</f>
        <v>259877.22999999998</v>
      </c>
      <c r="F50" s="73">
        <f>'12ME Jun21 WN Therms C&amp;I'!F110+'12ME Jun21 WN Therms C&amp;I'!F120</f>
        <v>175000</v>
      </c>
      <c r="G50" s="73">
        <f>'12ME Jun21 WN Therms C&amp;I'!G110+'12ME Jun21 WN Therms C&amp;I'!G120</f>
        <v>450000</v>
      </c>
      <c r="H50" s="73">
        <f>'12ME Jun21 WN Therms C&amp;I'!H110+'12ME Jun21 WN Therms C&amp;I'!H120</f>
        <v>127744.73999999999</v>
      </c>
      <c r="I50" s="73">
        <f>'12ME Jun21 WN Therms C&amp;I'!I110+'12ME Jun21 WN Therms C&amp;I'!I120</f>
        <v>197255.26</v>
      </c>
      <c r="J50" s="73">
        <f>'12ME Jun21 WN Therms C&amp;I'!J110+'12ME Jun21 WN Therms C&amp;I'!J120</f>
        <v>302133.38</v>
      </c>
      <c r="K50" s="73">
        <f>'12ME Jun21 WN Therms C&amp;I'!K110+'12ME Jun21 WN Therms C&amp;I'!K120</f>
        <v>247866.62</v>
      </c>
      <c r="L50" s="73">
        <f>'12ME Jun21 WN Therms C&amp;I'!L110+'12ME Jun21 WN Therms C&amp;I'!L120</f>
        <v>250000</v>
      </c>
      <c r="M50" s="73">
        <f>'12ME Jun21 WN Therms C&amp;I'!M110+'12ME Jun21 WN Therms C&amp;I'!M120</f>
        <v>250000</v>
      </c>
      <c r="N50" s="62">
        <f t="shared" si="10"/>
        <v>3000000</v>
      </c>
    </row>
    <row r="51" spans="1:14" x14ac:dyDescent="0.2">
      <c r="A51" s="37" t="s">
        <v>62</v>
      </c>
      <c r="B51" s="73">
        <f>'12ME Jun21 WN Therms C&amp;I'!B111+'12ME Jun21 WN Therms C&amp;I'!B121</f>
        <v>450000</v>
      </c>
      <c r="C51" s="73">
        <f>'12ME Jun21 WN Therms C&amp;I'!C111+'12ME Jun21 WN Therms C&amp;I'!C121</f>
        <v>500000</v>
      </c>
      <c r="D51" s="73">
        <f>'12ME Jun21 WN Therms C&amp;I'!D111+'12ME Jun21 WN Therms C&amp;I'!D121</f>
        <v>500000</v>
      </c>
      <c r="E51" s="73">
        <f>'12ME Jun21 WN Therms C&amp;I'!E111+'12ME Jun21 WN Therms C&amp;I'!E121</f>
        <v>550000</v>
      </c>
      <c r="F51" s="73">
        <f>'12ME Jun21 WN Therms C&amp;I'!F111+'12ME Jun21 WN Therms C&amp;I'!F121</f>
        <v>350000</v>
      </c>
      <c r="G51" s="73">
        <f>'12ME Jun21 WN Therms C&amp;I'!G111+'12ME Jun21 WN Therms C&amp;I'!G121</f>
        <v>900000</v>
      </c>
      <c r="H51" s="73">
        <f>'12ME Jun21 WN Therms C&amp;I'!H111+'12ME Jun21 WN Therms C&amp;I'!H121</f>
        <v>200668.61</v>
      </c>
      <c r="I51" s="73">
        <f>'12ME Jun21 WN Therms C&amp;I'!I111+'12ME Jun21 WN Therms C&amp;I'!I121</f>
        <v>449331.39</v>
      </c>
      <c r="J51" s="73">
        <f>'12ME Jun21 WN Therms C&amp;I'!J111+'12ME Jun21 WN Therms C&amp;I'!J121</f>
        <v>600000</v>
      </c>
      <c r="K51" s="73">
        <f>'12ME Jun21 WN Therms C&amp;I'!K111+'12ME Jun21 WN Therms C&amp;I'!K121</f>
        <v>500000</v>
      </c>
      <c r="L51" s="73">
        <f>'12ME Jun21 WN Therms C&amp;I'!L111+'12ME Jun21 WN Therms C&amp;I'!L121</f>
        <v>500000</v>
      </c>
      <c r="M51" s="73">
        <f>'12ME Jun21 WN Therms C&amp;I'!M111+'12ME Jun21 WN Therms C&amp;I'!M121</f>
        <v>500000</v>
      </c>
      <c r="N51" s="62">
        <f t="shared" si="10"/>
        <v>6000000</v>
      </c>
    </row>
    <row r="52" spans="1:14" x14ac:dyDescent="0.2">
      <c r="A52" s="37" t="s">
        <v>63</v>
      </c>
      <c r="B52" s="73">
        <f>'12ME Jun21 WN Therms C&amp;I'!B112+'12ME Jun21 WN Therms C&amp;I'!B122</f>
        <v>833993.21000000008</v>
      </c>
      <c r="C52" s="73">
        <f>'12ME Jun21 WN Therms C&amp;I'!C112+'12ME Jun21 WN Therms C&amp;I'!C122</f>
        <v>922859.59000000008</v>
      </c>
      <c r="D52" s="73">
        <f>'12ME Jun21 WN Therms C&amp;I'!D112+'12ME Jun21 WN Therms C&amp;I'!D122</f>
        <v>877614.95999999985</v>
      </c>
      <c r="E52" s="73">
        <f>'12ME Jun21 WN Therms C&amp;I'!E112+'12ME Jun21 WN Therms C&amp;I'!E122</f>
        <v>1098125.4500000002</v>
      </c>
      <c r="F52" s="73">
        <f>'12ME Jun21 WN Therms C&amp;I'!F112+'12ME Jun21 WN Therms C&amp;I'!F122</f>
        <v>700000</v>
      </c>
      <c r="G52" s="73">
        <f>'12ME Jun21 WN Therms C&amp;I'!G112+'12ME Jun21 WN Therms C&amp;I'!G122</f>
        <v>1744400.6400000001</v>
      </c>
      <c r="H52" s="73">
        <f>'12ME Jun21 WN Therms C&amp;I'!H112+'12ME Jun21 WN Therms C&amp;I'!H122</f>
        <v>369045.4</v>
      </c>
      <c r="I52" s="73">
        <f>'12ME Jun21 WN Therms C&amp;I'!I112+'12ME Jun21 WN Therms C&amp;I'!I122</f>
        <v>900000</v>
      </c>
      <c r="J52" s="73">
        <f>'12ME Jun21 WN Therms C&amp;I'!J112+'12ME Jun21 WN Therms C&amp;I'!J122</f>
        <v>1147720.0900000001</v>
      </c>
      <c r="K52" s="73">
        <f>'12ME Jun21 WN Therms C&amp;I'!K112+'12ME Jun21 WN Therms C&amp;I'!K122</f>
        <v>966512.85</v>
      </c>
      <c r="L52" s="73">
        <f>'12ME Jun21 WN Therms C&amp;I'!L112+'12ME Jun21 WN Therms C&amp;I'!L122</f>
        <v>968671.90999999992</v>
      </c>
      <c r="M52" s="73">
        <f>'12ME Jun21 WN Therms C&amp;I'!M112+'12ME Jun21 WN Therms C&amp;I'!M122</f>
        <v>934746.91999999993</v>
      </c>
      <c r="N52" s="62">
        <f t="shared" si="10"/>
        <v>11463691.020000001</v>
      </c>
    </row>
    <row r="53" spans="1:14" x14ac:dyDescent="0.2">
      <c r="A53" s="37" t="s">
        <v>64</v>
      </c>
      <c r="B53" s="73">
        <f>'12ME Jun21 WN Therms C&amp;I'!B113+'12ME Jun21 WN Therms C&amp;I'!B123</f>
        <v>1820337.45</v>
      </c>
      <c r="C53" s="73">
        <f>'12ME Jun21 WN Therms C&amp;I'!C113+'12ME Jun21 WN Therms C&amp;I'!C123</f>
        <v>2112819.3200000003</v>
      </c>
      <c r="D53" s="73">
        <f>'12ME Jun21 WN Therms C&amp;I'!D113+'12ME Jun21 WN Therms C&amp;I'!D123</f>
        <v>1800000</v>
      </c>
      <c r="E53" s="73">
        <f>'12ME Jun21 WN Therms C&amp;I'!E113+'12ME Jun21 WN Therms C&amp;I'!E123</f>
        <v>2440735.9799999995</v>
      </c>
      <c r="F53" s="73">
        <f>'12ME Jun21 WN Therms C&amp;I'!F113+'12ME Jun21 WN Therms C&amp;I'!F123</f>
        <v>1888452.0100000002</v>
      </c>
      <c r="G53" s="73">
        <f>'12ME Jun21 WN Therms C&amp;I'!G113+'12ME Jun21 WN Therms C&amp;I'!G123</f>
        <v>3875809.5599999996</v>
      </c>
      <c r="H53" s="73">
        <f>'12ME Jun21 WN Therms C&amp;I'!H113+'12ME Jun21 WN Therms C&amp;I'!H123</f>
        <v>898551.65000000014</v>
      </c>
      <c r="I53" s="73">
        <f>'12ME Jun21 WN Therms C&amp;I'!I113+'12ME Jun21 WN Therms C&amp;I'!I123</f>
        <v>2001200.21</v>
      </c>
      <c r="J53" s="73">
        <f>'12ME Jun21 WN Therms C&amp;I'!J113+'12ME Jun21 WN Therms C&amp;I'!J123</f>
        <v>2528921.25</v>
      </c>
      <c r="K53" s="73">
        <f>'12ME Jun21 WN Therms C&amp;I'!K113+'12ME Jun21 WN Therms C&amp;I'!K123</f>
        <v>2140097.9300000002</v>
      </c>
      <c r="L53" s="73">
        <f>'12ME Jun21 WN Therms C&amp;I'!L113+'12ME Jun21 WN Therms C&amp;I'!L123</f>
        <v>2131320.8000000003</v>
      </c>
      <c r="M53" s="73">
        <f>'12ME Jun21 WN Therms C&amp;I'!M113+'12ME Jun21 WN Therms C&amp;I'!M123</f>
        <v>2106355.9899999998</v>
      </c>
      <c r="N53" s="62">
        <f t="shared" si="10"/>
        <v>25744602.149999999</v>
      </c>
    </row>
    <row r="54" spans="1:14" x14ac:dyDescent="0.2">
      <c r="A54" s="37" t="s">
        <v>91</v>
      </c>
      <c r="B54" s="73">
        <f>'12ME Jun21 WN Therms C&amp;I'!B114+'12ME Jun21 WN Therms C&amp;I'!B124</f>
        <v>2913987.6199999996</v>
      </c>
      <c r="C54" s="73">
        <f>'12ME Jun21 WN Therms C&amp;I'!C114+'12ME Jun21 WN Therms C&amp;I'!C124</f>
        <v>4295792.8600000003</v>
      </c>
      <c r="D54" s="73">
        <f>'12ME Jun21 WN Therms C&amp;I'!D114+'12ME Jun21 WN Therms C&amp;I'!D124</f>
        <v>3746776.4399999995</v>
      </c>
      <c r="E54" s="73">
        <f>'12ME Jun21 WN Therms C&amp;I'!E114+'12ME Jun21 WN Therms C&amp;I'!E124</f>
        <v>4183982.3805979188</v>
      </c>
      <c r="F54" s="73">
        <f>'12ME Jun21 WN Therms C&amp;I'!F114+'12ME Jun21 WN Therms C&amp;I'!F124</f>
        <v>3102705.630834999</v>
      </c>
      <c r="G54" s="73">
        <f>'12ME Jun21 WN Therms C&amp;I'!G114+'12ME Jun21 WN Therms C&amp;I'!G124</f>
        <v>3230888.3854520824</v>
      </c>
      <c r="H54" s="73">
        <f>'12ME Jun21 WN Therms C&amp;I'!H114+'12ME Jun21 WN Therms C&amp;I'!H124</f>
        <v>6352533.0882708319</v>
      </c>
      <c r="I54" s="73">
        <f>'12ME Jun21 WN Therms C&amp;I'!I114+'12ME Jun21 WN Therms C&amp;I'!I124</f>
        <v>3907852.7727500009</v>
      </c>
      <c r="J54" s="73">
        <f>'12ME Jun21 WN Therms C&amp;I'!J114+'12ME Jun21 WN Therms C&amp;I'!J124</f>
        <v>4765572.7401258349</v>
      </c>
      <c r="K54" s="73">
        <f>'12ME Jun21 WN Therms C&amp;I'!K114+'12ME Jun21 WN Therms C&amp;I'!K124</f>
        <v>4371171.5426187497</v>
      </c>
      <c r="L54" s="73">
        <f>'12ME Jun21 WN Therms C&amp;I'!L114+'12ME Jun21 WN Therms C&amp;I'!L124</f>
        <v>4147152.3647841662</v>
      </c>
      <c r="M54" s="73">
        <f>'12ME Jun21 WN Therms C&amp;I'!M114+'12ME Jun21 WN Therms C&amp;I'!M124</f>
        <v>3274926.9800449992</v>
      </c>
      <c r="N54" s="62">
        <f t="shared" si="10"/>
        <v>48293342.805479586</v>
      </c>
    </row>
    <row r="55" spans="1:14" x14ac:dyDescent="0.2">
      <c r="A55" s="37" t="s">
        <v>6</v>
      </c>
      <c r="B55" s="464">
        <f>SUM(B49:B54)</f>
        <v>6468165.209999999</v>
      </c>
      <c r="C55" s="464">
        <f t="shared" ref="C55:N55" si="11">SUM(C49:C54)</f>
        <v>8374601.6000000006</v>
      </c>
      <c r="D55" s="464">
        <f t="shared" si="11"/>
        <v>7421286.1099999994</v>
      </c>
      <c r="E55" s="464">
        <f t="shared" si="11"/>
        <v>8786647.0405979194</v>
      </c>
      <c r="F55" s="464">
        <f t="shared" si="11"/>
        <v>6369160.9908349998</v>
      </c>
      <c r="G55" s="464">
        <f t="shared" si="11"/>
        <v>10668298.795452083</v>
      </c>
      <c r="H55" s="464">
        <f t="shared" si="11"/>
        <v>8081343.2782708323</v>
      </c>
      <c r="I55" s="464">
        <f t="shared" si="11"/>
        <v>7630639.6327500008</v>
      </c>
      <c r="J55" s="464">
        <f t="shared" si="11"/>
        <v>9669347.4601258337</v>
      </c>
      <c r="K55" s="464">
        <f t="shared" si="11"/>
        <v>8472474.0926187504</v>
      </c>
      <c r="L55" s="464">
        <f t="shared" si="11"/>
        <v>8246197.5147841666</v>
      </c>
      <c r="M55" s="464">
        <f t="shared" si="11"/>
        <v>7312263.9200449986</v>
      </c>
      <c r="N55" s="464">
        <f t="shared" si="11"/>
        <v>97500425.64547959</v>
      </c>
    </row>
    <row r="56" spans="1:14" x14ac:dyDescent="0.2">
      <c r="N56" s="62"/>
    </row>
    <row r="57" spans="1:14" x14ac:dyDescent="0.2">
      <c r="A57" s="40" t="s">
        <v>6</v>
      </c>
      <c r="B57" s="62">
        <f t="shared" ref="B57:N57" si="12">SUM(B9,B15,B21,B27,B32,B37,B46,B55)</f>
        <v>17725836.752221368</v>
      </c>
      <c r="C57" s="62">
        <f t="shared" si="12"/>
        <v>21076885.933413271</v>
      </c>
      <c r="D57" s="62">
        <f t="shared" si="12"/>
        <v>20846003.668669827</v>
      </c>
      <c r="E57" s="62">
        <f t="shared" si="12"/>
        <v>23157575.166537467</v>
      </c>
      <c r="F57" s="62">
        <f t="shared" si="12"/>
        <v>25502079.664656486</v>
      </c>
      <c r="G57" s="62">
        <f t="shared" si="12"/>
        <v>31682515.948206104</v>
      </c>
      <c r="H57" s="62">
        <f t="shared" si="12"/>
        <v>28866146.288873095</v>
      </c>
      <c r="I57" s="62">
        <f t="shared" si="12"/>
        <v>28307674.593410283</v>
      </c>
      <c r="J57" s="62">
        <f t="shared" si="12"/>
        <v>30451173.952901438</v>
      </c>
      <c r="K57" s="62">
        <f t="shared" si="12"/>
        <v>26505107.232509568</v>
      </c>
      <c r="L57" s="62">
        <f t="shared" si="12"/>
        <v>23423656.826094188</v>
      </c>
      <c r="M57" s="62">
        <f t="shared" si="12"/>
        <v>20159107.495698459</v>
      </c>
      <c r="N57" s="62">
        <f t="shared" si="12"/>
        <v>297703763.52319157</v>
      </c>
    </row>
    <row r="58" spans="1:14" x14ac:dyDescent="0.2">
      <c r="A58" s="501" t="s">
        <v>42</v>
      </c>
      <c r="B58" s="500">
        <f>B57-'12ME Jun21 WN Therms C&amp;I'!B129</f>
        <v>0</v>
      </c>
      <c r="C58" s="500">
        <f>C57-'12ME Jun21 WN Therms C&amp;I'!C129</f>
        <v>0</v>
      </c>
      <c r="D58" s="500">
        <f>D57-'12ME Jun21 WN Therms C&amp;I'!D129</f>
        <v>0</v>
      </c>
      <c r="E58" s="500">
        <f>E57-'12ME Jun21 WN Therms C&amp;I'!E129</f>
        <v>0</v>
      </c>
      <c r="F58" s="500">
        <f>F57-'12ME Jun21 WN Therms C&amp;I'!F129</f>
        <v>0</v>
      </c>
      <c r="G58" s="500">
        <f>G57-'12ME Jun21 WN Therms C&amp;I'!G129</f>
        <v>0</v>
      </c>
      <c r="H58" s="500">
        <f>H57-'12ME Jun21 WN Therms C&amp;I'!H129</f>
        <v>0</v>
      </c>
      <c r="I58" s="500">
        <f>I57-'12ME Jun21 WN Therms C&amp;I'!I129</f>
        <v>0</v>
      </c>
      <c r="J58" s="500">
        <f>J57-'12ME Jun21 WN Therms C&amp;I'!J129</f>
        <v>0</v>
      </c>
      <c r="K58" s="500">
        <f>K57-'12ME Jun21 WN Therms C&amp;I'!K129</f>
        <v>0</v>
      </c>
      <c r="L58" s="500">
        <f>L57-'12ME Jun21 WN Therms C&amp;I'!L129</f>
        <v>0</v>
      </c>
      <c r="M58" s="500">
        <f>M57-'12ME Jun21 WN Therms C&amp;I'!M129</f>
        <v>0</v>
      </c>
      <c r="N58" s="500">
        <f>N57-'12ME Jun21 WN Therms C&amp;I'!N129</f>
        <v>0</v>
      </c>
    </row>
    <row r="64" spans="1:14" x14ac:dyDescent="0.2">
      <c r="A64" s="37"/>
      <c r="N64" s="62"/>
    </row>
    <row r="71" spans="1:14" x14ac:dyDescent="0.2">
      <c r="A71" s="37"/>
      <c r="N71" s="62"/>
    </row>
    <row r="77" spans="1:14" x14ac:dyDescent="0.2">
      <c r="A77" s="37"/>
      <c r="N77" s="62"/>
    </row>
  </sheetData>
  <printOptions horizontalCentered="1"/>
  <pageMargins left="0.5" right="0.5" top="1" bottom="1" header="0.5" footer="0.5"/>
  <pageSetup scale="67" fitToHeight="2" orientation="landscape" blackAndWhite="1" horizontalDpi="300" verticalDpi="300" r:id="rId1"/>
  <headerFooter alignWithMargins="0">
    <oddHeader xml:space="preserve">&amp;C
</oddHeader>
    <oddFooter>&amp;L&amp;F 
&amp;A&amp;C&amp;P&amp;R&amp;D</oddFooter>
  </headerFooter>
  <rowBreaks count="1" manualBreakCount="1">
    <brk id="47" max="16383" man="1"/>
  </rowBreaks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46"/>
  <sheetViews>
    <sheetView zoomScale="90" zoomScaleNormal="90" workbookViewId="0">
      <selection activeCell="H42" sqref="H42"/>
    </sheetView>
  </sheetViews>
  <sheetFormatPr defaultColWidth="9.140625" defaultRowHeight="15" x14ac:dyDescent="0.25"/>
  <cols>
    <col min="1" max="1" width="2.140625" style="58" customWidth="1"/>
    <col min="2" max="2" width="2.42578125" style="58" customWidth="1"/>
    <col min="3" max="3" width="34.85546875" style="58" customWidth="1"/>
    <col min="4" max="5" width="11.85546875" style="58" customWidth="1"/>
    <col min="6" max="6" width="2.7109375" style="59" customWidth="1"/>
    <col min="7" max="8" width="11.85546875" style="59" customWidth="1"/>
    <col min="9" max="9" width="2.7109375" style="59" customWidth="1"/>
    <col min="10" max="11" width="11.85546875" style="59" customWidth="1"/>
    <col min="12" max="12" width="2.7109375" style="59" customWidth="1"/>
    <col min="13" max="14" width="11.85546875" style="59" customWidth="1"/>
    <col min="15" max="15" width="2.7109375" style="59" customWidth="1"/>
    <col min="16" max="17" width="11.85546875" style="59" customWidth="1"/>
    <col min="18" max="18" width="2.7109375" style="59" customWidth="1"/>
    <col min="19" max="20" width="11.85546875" style="59" customWidth="1"/>
    <col min="21" max="21" width="2.7109375" style="59" customWidth="1"/>
    <col min="22" max="23" width="11.85546875" style="58" customWidth="1"/>
    <col min="24" max="16384" width="9.140625" style="58"/>
  </cols>
  <sheetData>
    <row r="1" spans="2:23" x14ac:dyDescent="0.25">
      <c r="B1" s="420" t="s">
        <v>0</v>
      </c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  <c r="S1" s="420"/>
      <c r="T1" s="420"/>
      <c r="U1" s="420"/>
      <c r="V1" s="420"/>
      <c r="W1" s="420"/>
    </row>
    <row r="2" spans="2:23" x14ac:dyDescent="0.25">
      <c r="B2" s="420" t="str">
        <f>'Current Revenue Calc.'!B2</f>
        <v>2023 Gas Schedules 88T, 141D, 141LNG, 141N Filings</v>
      </c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20"/>
      <c r="R2" s="420"/>
      <c r="S2" s="420"/>
      <c r="T2" s="420"/>
      <c r="U2" s="420"/>
      <c r="V2" s="420"/>
      <c r="W2" s="420"/>
    </row>
    <row r="3" spans="2:23" x14ac:dyDescent="0.25">
      <c r="B3" s="47" t="s">
        <v>224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</row>
    <row r="4" spans="2:23" x14ac:dyDescent="0.25">
      <c r="B4" s="47" t="str">
        <f>'Current Revenue Calc.'!B4</f>
        <v>Proposed Rates Effective May 11, 2024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</row>
    <row r="6" spans="2:23" x14ac:dyDescent="0.25">
      <c r="G6" s="417" t="s">
        <v>341</v>
      </c>
      <c r="H6" s="417"/>
      <c r="J6" s="636" t="s">
        <v>417</v>
      </c>
      <c r="K6" s="636"/>
      <c r="L6" s="632"/>
      <c r="M6" s="636" t="s">
        <v>457</v>
      </c>
      <c r="N6" s="636"/>
      <c r="P6" s="417" t="s">
        <v>419</v>
      </c>
      <c r="Q6" s="417"/>
      <c r="S6" s="417" t="s">
        <v>418</v>
      </c>
      <c r="T6" s="417"/>
      <c r="V6" s="417"/>
      <c r="W6" s="417"/>
    </row>
    <row r="7" spans="2:23" x14ac:dyDescent="0.25">
      <c r="D7" s="391" t="s">
        <v>23</v>
      </c>
      <c r="E7" s="391"/>
      <c r="F7" s="22"/>
      <c r="G7" s="391" t="s">
        <v>251</v>
      </c>
      <c r="H7" s="391"/>
      <c r="I7" s="22"/>
      <c r="J7" s="637" t="s">
        <v>251</v>
      </c>
      <c r="K7" s="637"/>
      <c r="L7" s="632"/>
      <c r="M7" s="637" t="s">
        <v>251</v>
      </c>
      <c r="N7" s="637"/>
      <c r="O7" s="22"/>
      <c r="P7" s="391" t="s">
        <v>251</v>
      </c>
      <c r="Q7" s="391"/>
      <c r="R7" s="22"/>
      <c r="S7" s="391" t="s">
        <v>251</v>
      </c>
      <c r="T7" s="391"/>
      <c r="U7" s="22"/>
      <c r="V7" s="391" t="s">
        <v>333</v>
      </c>
      <c r="W7" s="391"/>
    </row>
    <row r="8" spans="2:23" ht="17.25" x14ac:dyDescent="0.25">
      <c r="D8" s="272" t="s">
        <v>225</v>
      </c>
      <c r="E8" s="272" t="s">
        <v>226</v>
      </c>
      <c r="F8" s="55"/>
      <c r="G8" s="272" t="s">
        <v>22</v>
      </c>
      <c r="H8" s="272" t="s">
        <v>226</v>
      </c>
      <c r="I8" s="55"/>
      <c r="J8" s="272" t="s">
        <v>22</v>
      </c>
      <c r="K8" s="272" t="s">
        <v>226</v>
      </c>
      <c r="L8" s="55"/>
      <c r="M8" s="272" t="s">
        <v>22</v>
      </c>
      <c r="N8" s="272" t="s">
        <v>226</v>
      </c>
      <c r="O8" s="55"/>
      <c r="P8" s="272" t="s">
        <v>22</v>
      </c>
      <c r="Q8" s="272" t="s">
        <v>226</v>
      </c>
      <c r="R8" s="55"/>
      <c r="S8" s="272" t="s">
        <v>22</v>
      </c>
      <c r="T8" s="272" t="s">
        <v>226</v>
      </c>
      <c r="U8" s="55"/>
      <c r="V8" s="272" t="s">
        <v>22</v>
      </c>
      <c r="W8" s="272" t="s">
        <v>226</v>
      </c>
    </row>
    <row r="9" spans="2:23" x14ac:dyDescent="0.25">
      <c r="B9" s="58" t="s">
        <v>227</v>
      </c>
      <c r="D9" s="392">
        <v>64</v>
      </c>
      <c r="E9" s="393"/>
      <c r="F9" s="394"/>
      <c r="G9" s="392">
        <v>64</v>
      </c>
      <c r="H9" s="393"/>
      <c r="I9" s="394"/>
      <c r="J9" s="392">
        <v>64</v>
      </c>
      <c r="K9" s="393"/>
      <c r="L9" s="393"/>
      <c r="M9" s="392">
        <v>64</v>
      </c>
      <c r="N9" s="393"/>
      <c r="O9" s="394"/>
      <c r="P9" s="392">
        <v>64</v>
      </c>
      <c r="Q9" s="393"/>
      <c r="R9" s="394"/>
      <c r="S9" s="392">
        <v>64</v>
      </c>
      <c r="T9" s="393"/>
      <c r="U9" s="394"/>
      <c r="V9" s="392">
        <v>64</v>
      </c>
      <c r="W9" s="393"/>
    </row>
    <row r="10" spans="2:23" x14ac:dyDescent="0.25">
      <c r="D10" s="392"/>
      <c r="E10" s="393"/>
      <c r="F10" s="394"/>
      <c r="G10" s="392"/>
      <c r="H10" s="393"/>
      <c r="I10" s="394"/>
      <c r="J10" s="392"/>
      <c r="K10" s="393"/>
      <c r="L10" s="393"/>
      <c r="M10" s="392"/>
      <c r="N10" s="393"/>
      <c r="O10" s="394"/>
      <c r="P10" s="392"/>
      <c r="Q10" s="393"/>
      <c r="R10" s="394"/>
      <c r="S10" s="392"/>
      <c r="T10" s="393"/>
      <c r="U10" s="394"/>
      <c r="V10" s="392"/>
      <c r="W10" s="393"/>
    </row>
    <row r="11" spans="2:23" x14ac:dyDescent="0.25">
      <c r="B11" s="58" t="s">
        <v>228</v>
      </c>
      <c r="D11" s="392"/>
      <c r="E11" s="393"/>
      <c r="F11" s="394"/>
      <c r="G11" s="392"/>
      <c r="H11" s="393"/>
      <c r="I11" s="394"/>
      <c r="J11" s="392"/>
      <c r="K11" s="393"/>
      <c r="L11" s="393"/>
      <c r="M11" s="392"/>
      <c r="N11" s="393"/>
      <c r="O11" s="394"/>
      <c r="P11" s="392"/>
      <c r="Q11" s="393"/>
      <c r="R11" s="394"/>
      <c r="S11" s="392"/>
      <c r="T11" s="393"/>
      <c r="U11" s="394"/>
      <c r="V11" s="392"/>
      <c r="W11" s="393"/>
    </row>
    <row r="12" spans="2:23" x14ac:dyDescent="0.25">
      <c r="C12" s="58" t="s">
        <v>242</v>
      </c>
      <c r="D12" s="395">
        <f>'Exh JDT-5 (JDT-RES_RD)'!$H$12</f>
        <v>12.5</v>
      </c>
      <c r="E12" s="393">
        <f>D12</f>
        <v>12.5</v>
      </c>
      <c r="F12" s="396"/>
      <c r="G12" s="397">
        <f>$D$12</f>
        <v>12.5</v>
      </c>
      <c r="H12" s="393">
        <f>G12</f>
        <v>12.5</v>
      </c>
      <c r="I12" s="396"/>
      <c r="J12" s="397">
        <f>$D$12</f>
        <v>12.5</v>
      </c>
      <c r="K12" s="393">
        <f>J12</f>
        <v>12.5</v>
      </c>
      <c r="L12" s="393"/>
      <c r="M12" s="397">
        <f>$D$12</f>
        <v>12.5</v>
      </c>
      <c r="N12" s="393">
        <f>M12</f>
        <v>12.5</v>
      </c>
      <c r="O12" s="396"/>
      <c r="P12" s="397">
        <f>$D$12</f>
        <v>12.5</v>
      </c>
      <c r="Q12" s="393">
        <f>P12</f>
        <v>12.5</v>
      </c>
      <c r="R12" s="396"/>
      <c r="S12" s="397">
        <f>$D$12</f>
        <v>12.5</v>
      </c>
      <c r="T12" s="393">
        <f>S12</f>
        <v>12.5</v>
      </c>
      <c r="U12" s="396"/>
      <c r="V12" s="397">
        <f>$D$12</f>
        <v>12.5</v>
      </c>
      <c r="W12" s="393">
        <f>V12</f>
        <v>12.5</v>
      </c>
    </row>
    <row r="13" spans="2:23" x14ac:dyDescent="0.25">
      <c r="C13" s="58" t="s">
        <v>14</v>
      </c>
      <c r="D13" s="399">
        <f>SUM(D12:D12)</f>
        <v>12.5</v>
      </c>
      <c r="E13" s="399">
        <f>SUM(E12:E12)</f>
        <v>12.5</v>
      </c>
      <c r="F13" s="396"/>
      <c r="G13" s="399">
        <f>SUM(G12:G12)</f>
        <v>12.5</v>
      </c>
      <c r="H13" s="399">
        <f>SUM(H12:H12)</f>
        <v>12.5</v>
      </c>
      <c r="I13" s="396"/>
      <c r="J13" s="399">
        <f>SUM(J12:J12)</f>
        <v>12.5</v>
      </c>
      <c r="K13" s="399">
        <f>SUM(K12:K12)</f>
        <v>12.5</v>
      </c>
      <c r="L13" s="398"/>
      <c r="M13" s="399">
        <f>SUM(M12:M12)</f>
        <v>12.5</v>
      </c>
      <c r="N13" s="399">
        <f>SUM(N12:N12)</f>
        <v>12.5</v>
      </c>
      <c r="O13" s="396"/>
      <c r="P13" s="399">
        <f>SUM(P12:P12)</f>
        <v>12.5</v>
      </c>
      <c r="Q13" s="399">
        <f>SUM(Q12:Q12)</f>
        <v>12.5</v>
      </c>
      <c r="R13" s="396"/>
      <c r="S13" s="399">
        <f>SUM(S12:S12)</f>
        <v>12.5</v>
      </c>
      <c r="T13" s="399">
        <f>SUM(T12:T12)</f>
        <v>12.5</v>
      </c>
      <c r="U13" s="396"/>
      <c r="V13" s="399">
        <f>SUM(V12:V12)</f>
        <v>12.5</v>
      </c>
      <c r="W13" s="399">
        <f>SUM(W12:W12)</f>
        <v>12.5</v>
      </c>
    </row>
    <row r="14" spans="2:23" x14ac:dyDescent="0.25">
      <c r="D14" s="400"/>
      <c r="E14" s="393"/>
      <c r="F14" s="396"/>
      <c r="G14" s="397"/>
      <c r="H14" s="393"/>
      <c r="I14" s="396"/>
      <c r="J14" s="397"/>
      <c r="K14" s="393"/>
      <c r="L14" s="393"/>
      <c r="M14" s="397"/>
      <c r="N14" s="393"/>
      <c r="O14" s="396"/>
      <c r="P14" s="397"/>
      <c r="Q14" s="393"/>
      <c r="R14" s="396"/>
      <c r="S14" s="397"/>
      <c r="T14" s="393"/>
      <c r="U14" s="396"/>
      <c r="V14" s="397"/>
      <c r="W14" s="393"/>
    </row>
    <row r="15" spans="2:23" x14ac:dyDescent="0.25">
      <c r="B15" s="58" t="s">
        <v>229</v>
      </c>
      <c r="E15" s="393"/>
      <c r="G15" s="58"/>
      <c r="H15" s="393"/>
      <c r="J15" s="58"/>
      <c r="K15" s="393"/>
      <c r="L15" s="393"/>
      <c r="M15" s="58"/>
      <c r="N15" s="393"/>
      <c r="P15" s="58"/>
      <c r="Q15" s="393"/>
      <c r="S15" s="58"/>
      <c r="T15" s="393"/>
      <c r="W15" s="393"/>
    </row>
    <row r="16" spans="2:23" x14ac:dyDescent="0.25">
      <c r="C16" s="58" t="s">
        <v>243</v>
      </c>
      <c r="D16" s="315">
        <f>'Exh JDT-5 (JDT-RES_RD)'!$H$13</f>
        <v>0.45612999999999998</v>
      </c>
      <c r="E16" s="393"/>
      <c r="F16" s="401"/>
      <c r="G16" s="402">
        <f>$D$16</f>
        <v>0.45612999999999998</v>
      </c>
      <c r="H16" s="393"/>
      <c r="I16" s="401"/>
      <c r="J16" s="402">
        <f>$D$16</f>
        <v>0.45612999999999998</v>
      </c>
      <c r="K16" s="393"/>
      <c r="L16" s="393"/>
      <c r="M16" s="402">
        <f>$D$16</f>
        <v>0.45612999999999998</v>
      </c>
      <c r="N16" s="393"/>
      <c r="O16" s="401"/>
      <c r="P16" s="402">
        <f>$D$16</f>
        <v>0.45612999999999998</v>
      </c>
      <c r="Q16" s="393"/>
      <c r="R16" s="401"/>
      <c r="S16" s="402">
        <f>$D$16</f>
        <v>0.45612999999999998</v>
      </c>
      <c r="T16" s="393"/>
      <c r="U16" s="401"/>
      <c r="V16" s="402">
        <f>$D$16</f>
        <v>0.45612999999999998</v>
      </c>
      <c r="W16" s="393"/>
    </row>
    <row r="17" spans="3:23" x14ac:dyDescent="0.25">
      <c r="C17" s="58" t="s">
        <v>244</v>
      </c>
      <c r="D17" s="403">
        <f>'Sch. 129'!$E$9</f>
        <v>3.16E-3</v>
      </c>
      <c r="E17" s="393"/>
      <c r="F17" s="401"/>
      <c r="G17" s="77">
        <f>$D$17</f>
        <v>3.16E-3</v>
      </c>
      <c r="H17" s="393"/>
      <c r="I17" s="401"/>
      <c r="J17" s="77">
        <f>$D$17</f>
        <v>3.16E-3</v>
      </c>
      <c r="K17" s="393"/>
      <c r="L17" s="393"/>
      <c r="M17" s="77">
        <f>$D$17</f>
        <v>3.16E-3</v>
      </c>
      <c r="N17" s="393"/>
      <c r="O17" s="401"/>
      <c r="P17" s="77">
        <f>$D$17</f>
        <v>3.16E-3</v>
      </c>
      <c r="Q17" s="393"/>
      <c r="R17" s="401"/>
      <c r="S17" s="77">
        <f>$D$17</f>
        <v>3.16E-3</v>
      </c>
      <c r="T17" s="393"/>
      <c r="U17" s="401"/>
      <c r="V17" s="77">
        <f>$D$17</f>
        <v>3.16E-3</v>
      </c>
      <c r="W17" s="393"/>
    </row>
    <row r="18" spans="3:23" x14ac:dyDescent="0.25">
      <c r="C18" s="58" t="s">
        <v>245</v>
      </c>
      <c r="D18" s="315">
        <f>'Sch. 140'!$D$9</f>
        <v>2.2849999999999999E-2</v>
      </c>
      <c r="E18" s="393"/>
      <c r="F18" s="401"/>
      <c r="G18" s="77">
        <f>$D$18</f>
        <v>2.2849999999999999E-2</v>
      </c>
      <c r="H18" s="393"/>
      <c r="I18" s="401"/>
      <c r="J18" s="77">
        <f>$D$18</f>
        <v>2.2849999999999999E-2</v>
      </c>
      <c r="K18" s="393"/>
      <c r="L18" s="393"/>
      <c r="M18" s="77">
        <f>$D$18</f>
        <v>2.2849999999999999E-2</v>
      </c>
      <c r="N18" s="393"/>
      <c r="O18" s="401"/>
      <c r="P18" s="77">
        <f>$D$18</f>
        <v>2.2849999999999999E-2</v>
      </c>
      <c r="Q18" s="393"/>
      <c r="R18" s="401"/>
      <c r="S18" s="77">
        <f>$D$18</f>
        <v>2.2849999999999999E-2</v>
      </c>
      <c r="T18" s="393"/>
      <c r="U18" s="401"/>
      <c r="V18" s="77">
        <f>$D$18</f>
        <v>2.2849999999999999E-2</v>
      </c>
      <c r="W18" s="393"/>
    </row>
    <row r="19" spans="3:23" x14ac:dyDescent="0.25">
      <c r="C19" s="58" t="s">
        <v>281</v>
      </c>
      <c r="D19" s="315">
        <f>'Sch. 141D'!$D$10</f>
        <v>3.15E-3</v>
      </c>
      <c r="E19" s="393"/>
      <c r="F19" s="401"/>
      <c r="G19" s="77">
        <f>$D$19</f>
        <v>3.15E-3</v>
      </c>
      <c r="H19" s="393"/>
      <c r="I19" s="401"/>
      <c r="J19" s="315">
        <f>'Sch. 141D'!$G$10</f>
        <v>8.5999999999999998E-4</v>
      </c>
      <c r="K19" s="393"/>
      <c r="L19" s="393"/>
      <c r="M19" s="77">
        <f>$D$19</f>
        <v>3.15E-3</v>
      </c>
      <c r="N19" s="393"/>
      <c r="O19" s="401"/>
      <c r="P19" s="77">
        <f>$D$19</f>
        <v>3.15E-3</v>
      </c>
      <c r="Q19" s="393"/>
      <c r="R19" s="401"/>
      <c r="S19" s="77">
        <f>$D$19</f>
        <v>3.15E-3</v>
      </c>
      <c r="T19" s="393"/>
      <c r="U19" s="401"/>
      <c r="V19" s="315">
        <f>'Sch. 141D'!$G$10</f>
        <v>8.5999999999999998E-4</v>
      </c>
      <c r="W19" s="393"/>
    </row>
    <row r="20" spans="3:23" x14ac:dyDescent="0.25">
      <c r="C20" s="58" t="s">
        <v>458</v>
      </c>
      <c r="D20" s="315">
        <f>'Sch. 141D'!$E$10</f>
        <v>0</v>
      </c>
      <c r="E20" s="393"/>
      <c r="F20" s="401"/>
      <c r="G20" s="77">
        <f>$D$20</f>
        <v>0</v>
      </c>
      <c r="H20" s="393"/>
      <c r="I20" s="401"/>
      <c r="J20" s="77">
        <f>$D$20</f>
        <v>0</v>
      </c>
      <c r="K20" s="393"/>
      <c r="L20" s="393"/>
      <c r="M20" s="315">
        <f>'Sch. 141D'!$H$10</f>
        <v>-3.0599999999999998E-3</v>
      </c>
      <c r="N20" s="393"/>
      <c r="O20" s="401"/>
      <c r="P20" s="77">
        <f>$D$20</f>
        <v>0</v>
      </c>
      <c r="Q20" s="393"/>
      <c r="R20" s="401"/>
      <c r="S20" s="77">
        <f>$D$20</f>
        <v>0</v>
      </c>
      <c r="T20" s="393"/>
      <c r="U20" s="401"/>
      <c r="V20" s="315">
        <f>'Sch. 141D'!$H$10</f>
        <v>-3.0599999999999998E-3</v>
      </c>
      <c r="W20" s="393"/>
    </row>
    <row r="21" spans="3:23" x14ac:dyDescent="0.25">
      <c r="C21" s="58" t="s">
        <v>315</v>
      </c>
      <c r="D21" s="315">
        <f>'Sch. 141LNG'!$D$9</f>
        <v>0</v>
      </c>
      <c r="E21" s="393"/>
      <c r="F21" s="401"/>
      <c r="G21" s="77">
        <f>$D$21</f>
        <v>0</v>
      </c>
      <c r="H21" s="393"/>
      <c r="I21" s="401"/>
      <c r="J21" s="77">
        <f>$D$21</f>
        <v>0</v>
      </c>
      <c r="K21" s="393"/>
      <c r="L21" s="393"/>
      <c r="M21" s="77">
        <f>$D$21</f>
        <v>0</v>
      </c>
      <c r="N21" s="393"/>
      <c r="O21" s="401"/>
      <c r="P21" s="77">
        <f>$D$21</f>
        <v>0</v>
      </c>
      <c r="Q21" s="393"/>
      <c r="R21" s="401"/>
      <c r="S21" s="315">
        <f>'Sch. 141LNG'!$E$9</f>
        <v>4.6739999999999997E-2</v>
      </c>
      <c r="T21" s="393"/>
      <c r="U21" s="401"/>
      <c r="V21" s="315">
        <f>'Sch. 141LNG'!$E$9</f>
        <v>4.6739999999999997E-2</v>
      </c>
      <c r="W21" s="393"/>
    </row>
    <row r="22" spans="3:23" x14ac:dyDescent="0.25">
      <c r="C22" s="58" t="s">
        <v>279</v>
      </c>
      <c r="D22" s="315">
        <f>'Sch. 141N'!$F$10</f>
        <v>-1.6999999999999999E-3</v>
      </c>
      <c r="E22" s="393"/>
      <c r="F22" s="401"/>
      <c r="G22" s="77">
        <f>$D$22</f>
        <v>-1.6999999999999999E-3</v>
      </c>
      <c r="H22" s="393"/>
      <c r="I22" s="401"/>
      <c r="J22" s="77">
        <f>$D$22</f>
        <v>-1.6999999999999999E-3</v>
      </c>
      <c r="K22" s="393"/>
      <c r="L22" s="393"/>
      <c r="M22" s="77">
        <f>$D$22</f>
        <v>-1.6999999999999999E-3</v>
      </c>
      <c r="N22" s="393"/>
      <c r="O22" s="401"/>
      <c r="P22" s="315">
        <f>'Sch. 141N'!$I$10</f>
        <v>-4.8999999999999998E-4</v>
      </c>
      <c r="Q22" s="393"/>
      <c r="R22" s="401"/>
      <c r="S22" s="77">
        <f>$D$22</f>
        <v>-1.6999999999999999E-3</v>
      </c>
      <c r="T22" s="393"/>
      <c r="U22" s="401"/>
      <c r="V22" s="315">
        <f>'Sch. 141N'!$I$10</f>
        <v>-4.8999999999999998E-4</v>
      </c>
      <c r="W22" s="393"/>
    </row>
    <row r="23" spans="3:23" x14ac:dyDescent="0.25">
      <c r="C23" s="58" t="s">
        <v>280</v>
      </c>
      <c r="D23" s="315">
        <f>'Sch. 141R'!$D$9</f>
        <v>4.8649999999999999E-2</v>
      </c>
      <c r="E23" s="393"/>
      <c r="F23" s="401"/>
      <c r="G23" s="77">
        <f>$D$23</f>
        <v>4.8649999999999999E-2</v>
      </c>
      <c r="H23" s="393"/>
      <c r="I23" s="401"/>
      <c r="J23" s="77">
        <f>$D$23</f>
        <v>4.8649999999999999E-2</v>
      </c>
      <c r="K23" s="393"/>
      <c r="L23" s="393"/>
      <c r="M23" s="77">
        <f>$D$23</f>
        <v>4.8649999999999999E-2</v>
      </c>
      <c r="N23" s="393"/>
      <c r="O23" s="401"/>
      <c r="P23" s="77">
        <f>$D$23</f>
        <v>4.8649999999999999E-2</v>
      </c>
      <c r="Q23" s="393"/>
      <c r="R23" s="401"/>
      <c r="S23" s="77">
        <f>$D$23</f>
        <v>4.8649999999999999E-2</v>
      </c>
      <c r="T23" s="393"/>
      <c r="U23" s="401"/>
      <c r="V23" s="77">
        <f>$D$23</f>
        <v>4.8649999999999999E-2</v>
      </c>
      <c r="W23" s="393"/>
    </row>
    <row r="24" spans="3:23" x14ac:dyDescent="0.25">
      <c r="C24" s="58" t="s">
        <v>246</v>
      </c>
      <c r="D24" s="315">
        <f>'Sch. 141Z'!$D$9</f>
        <v>-1.3699999999999999E-3</v>
      </c>
      <c r="E24" s="393"/>
      <c r="F24" s="401"/>
      <c r="G24" s="77">
        <f>$D$24</f>
        <v>-1.3699999999999999E-3</v>
      </c>
      <c r="H24" s="393"/>
      <c r="I24" s="401"/>
      <c r="J24" s="77">
        <f>$D$24</f>
        <v>-1.3699999999999999E-3</v>
      </c>
      <c r="K24" s="393"/>
      <c r="L24" s="393"/>
      <c r="M24" s="77">
        <f>$D$24</f>
        <v>-1.3699999999999999E-3</v>
      </c>
      <c r="N24" s="393"/>
      <c r="O24" s="401"/>
      <c r="P24" s="77">
        <f>$D$24</f>
        <v>-1.3699999999999999E-3</v>
      </c>
      <c r="Q24" s="393"/>
      <c r="R24" s="401"/>
      <c r="S24" s="77">
        <f>$D$24</f>
        <v>-1.3699999999999999E-3</v>
      </c>
      <c r="T24" s="393"/>
      <c r="U24" s="401"/>
      <c r="V24" s="77">
        <f>$D$24</f>
        <v>-1.3699999999999999E-3</v>
      </c>
      <c r="W24" s="393"/>
    </row>
    <row r="25" spans="3:23" x14ac:dyDescent="0.25">
      <c r="C25" s="58" t="s">
        <v>247</v>
      </c>
      <c r="D25" s="315">
        <f>'Sch. 142'!$E$10</f>
        <v>4.64E-3</v>
      </c>
      <c r="E25" s="393"/>
      <c r="F25" s="401"/>
      <c r="G25" s="77">
        <f>$D$25</f>
        <v>4.64E-3</v>
      </c>
      <c r="H25" s="393"/>
      <c r="I25" s="401"/>
      <c r="J25" s="77">
        <f>$D$25</f>
        <v>4.64E-3</v>
      </c>
      <c r="K25" s="393"/>
      <c r="L25" s="393"/>
      <c r="M25" s="77">
        <f>$D$25</f>
        <v>4.64E-3</v>
      </c>
      <c r="N25" s="393"/>
      <c r="O25" s="401"/>
      <c r="P25" s="77">
        <f>$D$25</f>
        <v>4.64E-3</v>
      </c>
      <c r="Q25" s="393"/>
      <c r="R25" s="401"/>
      <c r="S25" s="77">
        <f>$D$25</f>
        <v>4.64E-3</v>
      </c>
      <c r="T25" s="393"/>
      <c r="U25" s="401"/>
      <c r="V25" s="77">
        <f>$D$25</f>
        <v>4.64E-3</v>
      </c>
      <c r="W25" s="393"/>
    </row>
    <row r="26" spans="3:23" x14ac:dyDescent="0.25">
      <c r="C26" s="58" t="s">
        <v>14</v>
      </c>
      <c r="D26" s="404">
        <f>SUM(D16:D25)</f>
        <v>0.53550999999999993</v>
      </c>
      <c r="E26" s="393">
        <f>ROUND(D26*D$9,2)</f>
        <v>34.270000000000003</v>
      </c>
      <c r="F26" s="401"/>
      <c r="G26" s="404">
        <f>SUM(G16:G25)</f>
        <v>0.53550999999999993</v>
      </c>
      <c r="H26" s="393">
        <f>ROUND(G26*G$9,2)</f>
        <v>34.270000000000003</v>
      </c>
      <c r="I26" s="401"/>
      <c r="J26" s="404">
        <f>SUM(J16:J25)</f>
        <v>0.53322000000000003</v>
      </c>
      <c r="K26" s="393">
        <f>ROUND(J26*J$9,2)</f>
        <v>34.130000000000003</v>
      </c>
      <c r="L26" s="393"/>
      <c r="M26" s="404">
        <f>SUM(M16:M25)</f>
        <v>0.53244999999999998</v>
      </c>
      <c r="N26" s="393">
        <f>ROUND(M26*M$9,2)</f>
        <v>34.08</v>
      </c>
      <c r="O26" s="401"/>
      <c r="P26" s="404">
        <f>SUM(P16:P25)</f>
        <v>0.53671999999999997</v>
      </c>
      <c r="Q26" s="393">
        <f>ROUND(P26*P$9,2)</f>
        <v>34.35</v>
      </c>
      <c r="R26" s="401"/>
      <c r="S26" s="404">
        <f>SUM(S16:S25)</f>
        <v>0.58224999999999982</v>
      </c>
      <c r="T26" s="393">
        <f>ROUND(S26*S$9,2)</f>
        <v>37.26</v>
      </c>
      <c r="U26" s="401"/>
      <c r="V26" s="404">
        <f>SUM(V16:V25)</f>
        <v>0.5781099999999999</v>
      </c>
      <c r="W26" s="393">
        <f>ROUND(V26*V$9,2)</f>
        <v>37</v>
      </c>
    </row>
    <row r="27" spans="3:23" x14ac:dyDescent="0.25">
      <c r="G27" s="58"/>
      <c r="H27" s="58"/>
      <c r="J27" s="58"/>
      <c r="K27" s="58"/>
      <c r="L27" s="58"/>
      <c r="M27" s="58"/>
      <c r="N27" s="58"/>
      <c r="P27" s="58"/>
      <c r="Q27" s="58"/>
      <c r="S27" s="58"/>
      <c r="T27" s="58"/>
    </row>
    <row r="28" spans="3:23" x14ac:dyDescent="0.25">
      <c r="C28" s="58" t="s">
        <v>248</v>
      </c>
      <c r="D28" s="315">
        <f>'Sch. 120'!$D$9</f>
        <v>2.8750000000000001E-2</v>
      </c>
      <c r="E28" s="393">
        <f>ROUND(D28*D$9,2)</f>
        <v>1.84</v>
      </c>
      <c r="F28" s="401"/>
      <c r="G28" s="512">
        <f>$D$28</f>
        <v>2.8750000000000001E-2</v>
      </c>
      <c r="H28" s="393">
        <f>ROUND(G28*G$9,2)</f>
        <v>1.84</v>
      </c>
      <c r="I28" s="401"/>
      <c r="J28" s="512">
        <f>$D$28</f>
        <v>2.8750000000000001E-2</v>
      </c>
      <c r="K28" s="393">
        <f>ROUND(J28*J$9,2)</f>
        <v>1.84</v>
      </c>
      <c r="L28" s="393"/>
      <c r="M28" s="512">
        <f>$D$28</f>
        <v>2.8750000000000001E-2</v>
      </c>
      <c r="N28" s="393">
        <f>ROUND(M28*M$9,2)</f>
        <v>1.84</v>
      </c>
      <c r="O28" s="401"/>
      <c r="P28" s="512">
        <f>$D$28</f>
        <v>2.8750000000000001E-2</v>
      </c>
      <c r="Q28" s="393">
        <f>ROUND(P28*P$9,2)</f>
        <v>1.84</v>
      </c>
      <c r="R28" s="401"/>
      <c r="S28" s="512">
        <f>$D$28</f>
        <v>2.8750000000000001E-2</v>
      </c>
      <c r="T28" s="393">
        <f>ROUND(S28*S$9,2)</f>
        <v>1.84</v>
      </c>
      <c r="U28" s="401"/>
      <c r="V28" s="512">
        <f>$D$28</f>
        <v>2.8750000000000001E-2</v>
      </c>
      <c r="W28" s="393">
        <f>ROUND(V28*V$9,2)</f>
        <v>1.84</v>
      </c>
    </row>
    <row r="29" spans="3:23" x14ac:dyDescent="0.25">
      <c r="D29" s="402"/>
      <c r="E29" s="393"/>
      <c r="F29" s="401"/>
      <c r="G29" s="402"/>
      <c r="H29" s="393"/>
      <c r="I29" s="401"/>
      <c r="J29" s="402"/>
      <c r="K29" s="393"/>
      <c r="L29" s="393"/>
      <c r="M29" s="402"/>
      <c r="N29" s="393"/>
      <c r="O29" s="401"/>
      <c r="P29" s="402"/>
      <c r="Q29" s="393"/>
      <c r="R29" s="401"/>
      <c r="S29" s="402"/>
      <c r="T29" s="393"/>
      <c r="U29" s="401"/>
      <c r="V29" s="402"/>
      <c r="W29" s="393"/>
    </row>
    <row r="30" spans="3:23" x14ac:dyDescent="0.25">
      <c r="C30" s="58" t="s">
        <v>249</v>
      </c>
      <c r="D30" s="315">
        <f>'Sch. 101'!$E$10</f>
        <v>0.69018999999999997</v>
      </c>
      <c r="E30" s="393"/>
      <c r="F30" s="401"/>
      <c r="G30" s="77">
        <f>$D$30</f>
        <v>0.69018999999999997</v>
      </c>
      <c r="H30" s="393"/>
      <c r="I30" s="401"/>
      <c r="J30" s="77">
        <f>$D$30</f>
        <v>0.69018999999999997</v>
      </c>
      <c r="K30" s="393"/>
      <c r="L30" s="393"/>
      <c r="M30" s="77">
        <f>$D$30</f>
        <v>0.69018999999999997</v>
      </c>
      <c r="N30" s="393"/>
      <c r="O30" s="401"/>
      <c r="P30" s="77">
        <f>$D$30</f>
        <v>0.69018999999999997</v>
      </c>
      <c r="Q30" s="393"/>
      <c r="R30" s="401"/>
      <c r="S30" s="77">
        <f>$D$30</f>
        <v>0.69018999999999997</v>
      </c>
      <c r="T30" s="393"/>
      <c r="U30" s="401"/>
      <c r="V30" s="77">
        <f>$D$30</f>
        <v>0.69018999999999997</v>
      </c>
      <c r="W30" s="393"/>
    </row>
    <row r="31" spans="3:23" x14ac:dyDescent="0.25">
      <c r="C31" s="58" t="s">
        <v>250</v>
      </c>
      <c r="D31" s="315">
        <f>'Sch. 106'!$G$10</f>
        <v>4.036E-2</v>
      </c>
      <c r="E31" s="393"/>
      <c r="F31" s="401"/>
      <c r="G31" s="77">
        <f>$D$31</f>
        <v>4.036E-2</v>
      </c>
      <c r="H31" s="393"/>
      <c r="I31" s="401"/>
      <c r="J31" s="77">
        <f>$D$31</f>
        <v>4.036E-2</v>
      </c>
      <c r="K31" s="393"/>
      <c r="L31" s="393"/>
      <c r="M31" s="77">
        <f>$D$31</f>
        <v>4.036E-2</v>
      </c>
      <c r="N31" s="393"/>
      <c r="O31" s="401"/>
      <c r="P31" s="77">
        <f>$D$31</f>
        <v>4.036E-2</v>
      </c>
      <c r="Q31" s="393"/>
      <c r="R31" s="401"/>
      <c r="S31" s="77">
        <f>$D$31</f>
        <v>4.036E-2</v>
      </c>
      <c r="T31" s="393"/>
      <c r="U31" s="401"/>
      <c r="V31" s="77">
        <f>$D$31</f>
        <v>4.036E-2</v>
      </c>
      <c r="W31" s="393"/>
    </row>
    <row r="32" spans="3:23" x14ac:dyDescent="0.25">
      <c r="C32" s="58" t="s">
        <v>14</v>
      </c>
      <c r="D32" s="404">
        <f>SUM(D30:D31)</f>
        <v>0.73054999999999992</v>
      </c>
      <c r="E32" s="393">
        <f>ROUND(D32*D$9,2)</f>
        <v>46.76</v>
      </c>
      <c r="F32" s="401"/>
      <c r="G32" s="404">
        <f>SUM(G30:G31)</f>
        <v>0.73054999999999992</v>
      </c>
      <c r="H32" s="393">
        <f>ROUND(G32*G$9,2)</f>
        <v>46.76</v>
      </c>
      <c r="I32" s="401"/>
      <c r="J32" s="404">
        <f>SUM(J30:J31)</f>
        <v>0.73054999999999992</v>
      </c>
      <c r="K32" s="393">
        <f>ROUND(J32*J$9,2)</f>
        <v>46.76</v>
      </c>
      <c r="L32" s="393"/>
      <c r="M32" s="404">
        <f>SUM(M30:M31)</f>
        <v>0.73054999999999992</v>
      </c>
      <c r="N32" s="393">
        <f>ROUND(M32*M$9,2)</f>
        <v>46.76</v>
      </c>
      <c r="O32" s="401"/>
      <c r="P32" s="404">
        <f>SUM(P30:P31)</f>
        <v>0.73054999999999992</v>
      </c>
      <c r="Q32" s="393">
        <f>ROUND(P32*P$9,2)</f>
        <v>46.76</v>
      </c>
      <c r="R32" s="401"/>
      <c r="S32" s="404">
        <f>SUM(S30:S31)</f>
        <v>0.73054999999999992</v>
      </c>
      <c r="T32" s="393">
        <f>ROUND(S32*S$9,2)</f>
        <v>46.76</v>
      </c>
      <c r="U32" s="401"/>
      <c r="V32" s="404">
        <f>SUM(V30:V31)</f>
        <v>0.73054999999999992</v>
      </c>
      <c r="W32" s="393">
        <f>ROUND(V32*V$9,2)</f>
        <v>46.76</v>
      </c>
    </row>
    <row r="33" spans="2:23" x14ac:dyDescent="0.25">
      <c r="C33" s="58" t="s">
        <v>230</v>
      </c>
      <c r="D33" s="404">
        <f>D26+D28+D32</f>
        <v>1.29481</v>
      </c>
      <c r="E33" s="405">
        <f>SUM(E26,E28,E32)</f>
        <v>82.87</v>
      </c>
      <c r="F33" s="406"/>
      <c r="G33" s="404">
        <f>G26+G28+G32</f>
        <v>1.29481</v>
      </c>
      <c r="H33" s="405">
        <f>SUM(H26,H28,H32)</f>
        <v>82.87</v>
      </c>
      <c r="I33" s="406"/>
      <c r="J33" s="404">
        <f>J26+J28+J32</f>
        <v>1.2925200000000001</v>
      </c>
      <c r="K33" s="405">
        <f>SUM(K26,K28,K32)</f>
        <v>82.73</v>
      </c>
      <c r="L33" s="631"/>
      <c r="M33" s="404">
        <f>M26+M28+M32</f>
        <v>1.29175</v>
      </c>
      <c r="N33" s="405">
        <f>SUM(N26,N28,N32)</f>
        <v>82.68</v>
      </c>
      <c r="O33" s="406"/>
      <c r="P33" s="404">
        <f>P26+P28+P32</f>
        <v>1.2960199999999999</v>
      </c>
      <c r="Q33" s="405">
        <f>SUM(Q26,Q28,Q32)</f>
        <v>82.95</v>
      </c>
      <c r="R33" s="406"/>
      <c r="S33" s="404">
        <f>S26+S28+S32</f>
        <v>1.3415499999999998</v>
      </c>
      <c r="T33" s="405">
        <f>SUM(T26,T28,T32)</f>
        <v>85.86</v>
      </c>
      <c r="U33" s="406"/>
      <c r="V33" s="404">
        <f>V26+V28+V32</f>
        <v>1.3374099999999998</v>
      </c>
      <c r="W33" s="405">
        <f>SUM(W26,W28,W32)</f>
        <v>85.6</v>
      </c>
    </row>
    <row r="34" spans="2:23" x14ac:dyDescent="0.25">
      <c r="E34" s="393"/>
      <c r="G34" s="58"/>
      <c r="H34" s="393"/>
      <c r="J34" s="58"/>
      <c r="K34" s="393"/>
      <c r="L34" s="393"/>
      <c r="M34" s="58"/>
      <c r="N34" s="393"/>
      <c r="P34" s="58"/>
      <c r="Q34" s="393"/>
      <c r="S34" s="58"/>
      <c r="T34" s="393"/>
      <c r="W34" s="393"/>
    </row>
    <row r="35" spans="2:23" x14ac:dyDescent="0.25">
      <c r="B35" s="58" t="s">
        <v>231</v>
      </c>
      <c r="D35" s="397"/>
      <c r="E35" s="393">
        <f>E13+E33</f>
        <v>95.37</v>
      </c>
      <c r="F35" s="398"/>
      <c r="G35" s="397"/>
      <c r="H35" s="393">
        <f>H13+H33</f>
        <v>95.37</v>
      </c>
      <c r="I35" s="398"/>
      <c r="J35" s="397"/>
      <c r="K35" s="393">
        <f>K13+K33</f>
        <v>95.23</v>
      </c>
      <c r="L35" s="393"/>
      <c r="M35" s="397"/>
      <c r="N35" s="393">
        <f>N13+N33</f>
        <v>95.18</v>
      </c>
      <c r="O35" s="398"/>
      <c r="P35" s="397"/>
      <c r="Q35" s="393">
        <f>Q13+Q33</f>
        <v>95.45</v>
      </c>
      <c r="R35" s="398"/>
      <c r="S35" s="397"/>
      <c r="T35" s="393">
        <f>T13+T33</f>
        <v>98.36</v>
      </c>
      <c r="U35" s="398"/>
      <c r="V35" s="397"/>
      <c r="W35" s="393">
        <f>W13+W33</f>
        <v>98.1</v>
      </c>
    </row>
    <row r="36" spans="2:23" x14ac:dyDescent="0.25">
      <c r="B36" s="58" t="s">
        <v>232</v>
      </c>
      <c r="D36" s="397"/>
      <c r="E36" s="393"/>
      <c r="F36" s="398"/>
      <c r="G36" s="397"/>
      <c r="H36" s="393">
        <f>H35-$E35</f>
        <v>0</v>
      </c>
      <c r="I36" s="398"/>
      <c r="J36" s="397"/>
      <c r="K36" s="393">
        <f>K35-$E35</f>
        <v>-0.14000000000000057</v>
      </c>
      <c r="L36" s="393"/>
      <c r="M36" s="397"/>
      <c r="N36" s="393">
        <f>N35-$E35</f>
        <v>-0.18999999999999773</v>
      </c>
      <c r="O36" s="398"/>
      <c r="P36" s="397"/>
      <c r="Q36" s="393">
        <f>Q35-$E35</f>
        <v>7.9999999999998295E-2</v>
      </c>
      <c r="R36" s="398"/>
      <c r="S36" s="397"/>
      <c r="T36" s="393">
        <f>T35-$E35</f>
        <v>2.9899999999999949</v>
      </c>
      <c r="U36" s="398"/>
      <c r="V36" s="397"/>
      <c r="W36" s="393">
        <f>W35-$E35</f>
        <v>2.7299999999999898</v>
      </c>
    </row>
    <row r="37" spans="2:23" x14ac:dyDescent="0.25">
      <c r="B37" s="58" t="s">
        <v>233</v>
      </c>
      <c r="D37" s="325"/>
      <c r="E37" s="325"/>
      <c r="F37" s="407"/>
      <c r="G37" s="325"/>
      <c r="H37" s="79">
        <f>H36/$E35</f>
        <v>0</v>
      </c>
      <c r="I37" s="407"/>
      <c r="J37" s="325"/>
      <c r="K37" s="79">
        <f>K36/$E35</f>
        <v>-1.4679668658907471E-3</v>
      </c>
      <c r="L37" s="79"/>
      <c r="M37" s="325"/>
      <c r="N37" s="79">
        <f>N36/$E35</f>
        <v>-1.9922407465659819E-3</v>
      </c>
      <c r="O37" s="407"/>
      <c r="P37" s="325"/>
      <c r="Q37" s="79">
        <f>Q36/$E35</f>
        <v>8.3883820908040572E-4</v>
      </c>
      <c r="R37" s="407"/>
      <c r="S37" s="325"/>
      <c r="T37" s="79">
        <f>T36/$E35</f>
        <v>3.1351578064380776E-2</v>
      </c>
      <c r="U37" s="407"/>
      <c r="V37" s="325"/>
      <c r="W37" s="79">
        <f>W36/$E35</f>
        <v>2.8625353884869347E-2</v>
      </c>
    </row>
    <row r="38" spans="2:23" x14ac:dyDescent="0.25">
      <c r="E38" s="393"/>
      <c r="G38" s="58"/>
      <c r="H38" s="58"/>
      <c r="J38" s="58"/>
      <c r="K38" s="58"/>
      <c r="L38" s="58"/>
      <c r="M38" s="58"/>
      <c r="N38" s="58"/>
      <c r="P38" s="58"/>
      <c r="Q38" s="58"/>
      <c r="S38" s="58"/>
      <c r="T38" s="58"/>
    </row>
    <row r="39" spans="2:23" x14ac:dyDescent="0.25">
      <c r="B39" s="58" t="s">
        <v>234</v>
      </c>
      <c r="D39" s="402">
        <f>D26+D28</f>
        <v>0.56425999999999998</v>
      </c>
      <c r="E39" s="393"/>
      <c r="F39" s="406"/>
      <c r="G39" s="402">
        <f>G26+G28</f>
        <v>0.56425999999999998</v>
      </c>
      <c r="H39" s="58"/>
      <c r="I39" s="406"/>
      <c r="J39" s="402">
        <f>J26+J28</f>
        <v>0.56197000000000008</v>
      </c>
      <c r="K39" s="58"/>
      <c r="L39" s="58"/>
      <c r="M39" s="402">
        <f>M26+M28</f>
        <v>0.56120000000000003</v>
      </c>
      <c r="N39" s="58"/>
      <c r="O39" s="406"/>
      <c r="P39" s="402">
        <f>P26+P28</f>
        <v>0.56547000000000003</v>
      </c>
      <c r="Q39" s="58"/>
      <c r="R39" s="406"/>
      <c r="S39" s="402">
        <f>S26+S28</f>
        <v>0.61099999999999988</v>
      </c>
      <c r="T39" s="58"/>
      <c r="U39" s="406"/>
      <c r="V39" s="402">
        <f>V26+V28</f>
        <v>0.60685999999999996</v>
      </c>
    </row>
    <row r="41" spans="2:23" ht="17.25" x14ac:dyDescent="0.25">
      <c r="B41" s="408" t="s">
        <v>309</v>
      </c>
      <c r="D41" s="408"/>
      <c r="E41" s="408"/>
      <c r="F41" s="409"/>
      <c r="G41" s="409"/>
      <c r="H41" s="409"/>
      <c r="I41" s="409"/>
      <c r="J41" s="409"/>
      <c r="K41" s="409"/>
      <c r="L41" s="409"/>
      <c r="M41" s="409"/>
      <c r="N41" s="409"/>
      <c r="O41" s="409"/>
      <c r="P41" s="409"/>
      <c r="Q41" s="409"/>
      <c r="R41" s="409"/>
      <c r="S41" s="409"/>
      <c r="T41" s="409"/>
      <c r="U41" s="409"/>
      <c r="V41" s="409"/>
      <c r="W41" s="409"/>
    </row>
    <row r="46" spans="2:23" ht="14.25" customHeight="1" x14ac:dyDescent="0.25"/>
  </sheetData>
  <mergeCells count="4">
    <mergeCell ref="J6:K6"/>
    <mergeCell ref="J7:K7"/>
    <mergeCell ref="M6:N6"/>
    <mergeCell ref="M7:N7"/>
  </mergeCells>
  <printOptions horizontalCentered="1"/>
  <pageMargins left="0.5" right="0.5" top="1" bottom="1" header="0.5" footer="0.5"/>
  <pageSetup scale="58" orientation="landscape" blackAndWhite="1" r:id="rId1"/>
  <headerFooter alignWithMargins="0">
    <oddFooter>&amp;R&amp;A
Page &amp;P of &amp;N</oddFooter>
  </headerFooter>
  <customProperties>
    <customPr name="_pios_id" r:id="rId2"/>
    <customPr name="EpmWorksheetKeyString_GUID" r:id="rId3"/>
  </customPropertie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9"/>
  <sheetViews>
    <sheetView zoomScale="90" zoomScaleNormal="90" workbookViewId="0">
      <pane xSplit="1" ySplit="7" topLeftCell="B89" activePane="bottomRight" state="frozen"/>
      <selection activeCell="P14" sqref="P14"/>
      <selection pane="topRight" activeCell="P14" sqref="P14"/>
      <selection pane="bottomLeft" activeCell="P14" sqref="P14"/>
      <selection pane="bottomRight" activeCell="P14" sqref="P14"/>
    </sheetView>
  </sheetViews>
  <sheetFormatPr defaultColWidth="9.140625" defaultRowHeight="12.75" x14ac:dyDescent="0.2"/>
  <cols>
    <col min="1" max="1" width="24.28515625" style="387" customWidth="1"/>
    <col min="2" max="4" width="12.85546875" style="387" bestFit="1" customWidth="1"/>
    <col min="5" max="13" width="12.28515625" style="387" customWidth="1"/>
    <col min="14" max="14" width="14" style="387" bestFit="1" customWidth="1"/>
    <col min="15" max="16" width="9.140625" style="387" customWidth="1"/>
    <col min="17" max="16384" width="9.140625" style="387"/>
  </cols>
  <sheetData>
    <row r="1" spans="1:14" x14ac:dyDescent="0.2">
      <c r="A1" s="656" t="s">
        <v>0</v>
      </c>
      <c r="B1" s="656"/>
      <c r="C1" s="656"/>
      <c r="D1" s="656"/>
      <c r="E1" s="656"/>
      <c r="F1" s="656"/>
      <c r="G1" s="656"/>
      <c r="H1" s="656"/>
      <c r="I1" s="656"/>
      <c r="J1" s="656"/>
      <c r="K1" s="656"/>
      <c r="L1" s="656"/>
      <c r="M1" s="656"/>
      <c r="N1" s="656"/>
    </row>
    <row r="2" spans="1:14" x14ac:dyDescent="0.2">
      <c r="A2" s="656" t="s">
        <v>293</v>
      </c>
      <c r="B2" s="656"/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  <c r="N2" s="656"/>
    </row>
    <row r="3" spans="1:14" x14ac:dyDescent="0.2">
      <c r="A3" s="656" t="s">
        <v>297</v>
      </c>
      <c r="B3" s="656"/>
      <c r="C3" s="656"/>
      <c r="D3" s="656"/>
      <c r="E3" s="656"/>
      <c r="F3" s="656"/>
      <c r="G3" s="656"/>
      <c r="H3" s="656"/>
      <c r="I3" s="656"/>
      <c r="J3" s="656"/>
      <c r="K3" s="656"/>
      <c r="L3" s="656"/>
      <c r="M3" s="656"/>
      <c r="N3" s="656"/>
    </row>
    <row r="4" spans="1:14" x14ac:dyDescent="0.2">
      <c r="A4" s="656" t="s">
        <v>298</v>
      </c>
      <c r="B4" s="656"/>
      <c r="C4" s="656"/>
      <c r="D4" s="656"/>
      <c r="E4" s="656"/>
      <c r="F4" s="656"/>
      <c r="G4" s="656"/>
      <c r="H4" s="656"/>
      <c r="I4" s="656"/>
      <c r="J4" s="656"/>
      <c r="K4" s="656"/>
      <c r="L4" s="656"/>
      <c r="M4" s="656"/>
      <c r="N4" s="656"/>
    </row>
    <row r="6" spans="1:14" x14ac:dyDescent="0.2">
      <c r="N6" s="389"/>
    </row>
    <row r="7" spans="1:14" x14ac:dyDescent="0.2">
      <c r="A7" s="489" t="s">
        <v>79</v>
      </c>
      <c r="B7" s="490">
        <v>44013</v>
      </c>
      <c r="C7" s="490">
        <f>EDATE(B7,1)</f>
        <v>44044</v>
      </c>
      <c r="D7" s="490">
        <f t="shared" ref="D7:M7" si="0">EDATE(C7,1)</f>
        <v>44075</v>
      </c>
      <c r="E7" s="490">
        <f t="shared" si="0"/>
        <v>44105</v>
      </c>
      <c r="F7" s="490">
        <f t="shared" si="0"/>
        <v>44136</v>
      </c>
      <c r="G7" s="490">
        <f t="shared" si="0"/>
        <v>44166</v>
      </c>
      <c r="H7" s="490">
        <f t="shared" si="0"/>
        <v>44197</v>
      </c>
      <c r="I7" s="490">
        <f t="shared" si="0"/>
        <v>44228</v>
      </c>
      <c r="J7" s="490">
        <f t="shared" si="0"/>
        <v>44256</v>
      </c>
      <c r="K7" s="490">
        <f t="shared" si="0"/>
        <v>44287</v>
      </c>
      <c r="L7" s="490">
        <f t="shared" si="0"/>
        <v>44317</v>
      </c>
      <c r="M7" s="490">
        <f t="shared" si="0"/>
        <v>44348</v>
      </c>
      <c r="N7" s="388" t="s">
        <v>6</v>
      </c>
    </row>
    <row r="8" spans="1:14" x14ac:dyDescent="0.2">
      <c r="A8" s="491" t="s">
        <v>299</v>
      </c>
      <c r="B8" s="492"/>
      <c r="C8" s="492"/>
      <c r="D8" s="492"/>
      <c r="E8" s="492"/>
      <c r="F8" s="492"/>
      <c r="G8" s="492"/>
      <c r="H8" s="492"/>
      <c r="I8" s="492"/>
      <c r="J8" s="492"/>
      <c r="K8" s="492"/>
      <c r="L8" s="492"/>
      <c r="M8" s="492"/>
      <c r="N8" s="493"/>
    </row>
    <row r="9" spans="1:14" x14ac:dyDescent="0.2">
      <c r="A9" s="494" t="s">
        <v>93</v>
      </c>
      <c r="B9" s="495">
        <v>864439.95799999998</v>
      </c>
      <c r="C9" s="495">
        <v>764006.57400000002</v>
      </c>
      <c r="D9" s="495">
        <v>773824.81900000002</v>
      </c>
      <c r="E9" s="495">
        <v>926343.09400000004</v>
      </c>
      <c r="F9" s="495">
        <v>1030742.6449999999</v>
      </c>
      <c r="G9" s="495">
        <v>1071140.9380000003</v>
      </c>
      <c r="H9" s="495">
        <v>994288.33100000001</v>
      </c>
      <c r="I9" s="495">
        <v>1017689.7019999999</v>
      </c>
      <c r="J9" s="495">
        <v>1068988.5160000001</v>
      </c>
      <c r="K9" s="495">
        <v>1031481.856</v>
      </c>
      <c r="L9" s="495">
        <v>954442.09899999993</v>
      </c>
      <c r="M9" s="495">
        <v>1008668.8010000001</v>
      </c>
      <c r="N9" s="493">
        <f t="shared" ref="N9:N11" si="1">SUM(B9:M9)</f>
        <v>11506057.333000001</v>
      </c>
    </row>
    <row r="10" spans="1:14" x14ac:dyDescent="0.2">
      <c r="A10" s="494" t="s">
        <v>82</v>
      </c>
      <c r="B10" s="495">
        <v>869825.29960000003</v>
      </c>
      <c r="C10" s="495">
        <v>844510.77719999978</v>
      </c>
      <c r="D10" s="495">
        <v>883109.88940000033</v>
      </c>
      <c r="E10" s="495">
        <v>2124856.0332999993</v>
      </c>
      <c r="F10" s="495">
        <v>2754133.0627000006</v>
      </c>
      <c r="G10" s="495">
        <v>3111073.6492999997</v>
      </c>
      <c r="H10" s="495">
        <v>2940156.1916999999</v>
      </c>
      <c r="I10" s="495">
        <v>3012087.6224999991</v>
      </c>
      <c r="J10" s="495">
        <v>3237518.5163000012</v>
      </c>
      <c r="K10" s="495">
        <v>2240077.9380999994</v>
      </c>
      <c r="L10" s="495">
        <v>1765934.0240000002</v>
      </c>
      <c r="M10" s="495">
        <v>1138524.6006</v>
      </c>
      <c r="N10" s="493">
        <f t="shared" si="1"/>
        <v>24921807.604699999</v>
      </c>
    </row>
    <row r="11" spans="1:14" x14ac:dyDescent="0.2">
      <c r="A11" s="494" t="s">
        <v>83</v>
      </c>
      <c r="B11" s="492">
        <f>B12-SUM(B9:B10)</f>
        <v>507232.56606349628</v>
      </c>
      <c r="C11" s="492">
        <f t="shared" ref="C11:M11" si="2">C12-SUM(C9:C10)</f>
        <v>-28396.335208457429</v>
      </c>
      <c r="D11" s="492">
        <f t="shared" si="2"/>
        <v>639554.57728296751</v>
      </c>
      <c r="E11" s="492">
        <f t="shared" si="2"/>
        <v>1067211.0817336766</v>
      </c>
      <c r="F11" s="492">
        <f t="shared" si="2"/>
        <v>1702605.3990537771</v>
      </c>
      <c r="G11" s="492">
        <f t="shared" si="2"/>
        <v>2616753.6033635791</v>
      </c>
      <c r="H11" s="492">
        <f t="shared" si="2"/>
        <v>2585171.8059706688</v>
      </c>
      <c r="I11" s="492">
        <f t="shared" si="2"/>
        <v>2546193.4426787654</v>
      </c>
      <c r="J11" s="492">
        <f t="shared" si="2"/>
        <v>1918577.8126830989</v>
      </c>
      <c r="K11" s="492">
        <f t="shared" si="2"/>
        <v>1745850.9268934326</v>
      </c>
      <c r="L11" s="492">
        <f t="shared" si="2"/>
        <v>430194.47369464254</v>
      </c>
      <c r="M11" s="492">
        <f t="shared" si="2"/>
        <v>553496.87374309031</v>
      </c>
      <c r="N11" s="493">
        <f t="shared" si="1"/>
        <v>16284446.227952735</v>
      </c>
    </row>
    <row r="12" spans="1:14" s="493" customFormat="1" x14ac:dyDescent="0.2">
      <c r="A12" s="494" t="s">
        <v>6</v>
      </c>
      <c r="B12" s="496">
        <v>2241497.8236634964</v>
      </c>
      <c r="C12" s="496">
        <v>1580121.0159915425</v>
      </c>
      <c r="D12" s="496">
        <v>2296489.2856829679</v>
      </c>
      <c r="E12" s="496">
        <v>4118410.209033676</v>
      </c>
      <c r="F12" s="496">
        <v>5487481.1067537777</v>
      </c>
      <c r="G12" s="496">
        <v>6798968.1906635789</v>
      </c>
      <c r="H12" s="496">
        <v>6519616.3286706684</v>
      </c>
      <c r="I12" s="496">
        <v>6575970.7671787646</v>
      </c>
      <c r="J12" s="496">
        <v>6225084.8449831</v>
      </c>
      <c r="K12" s="496">
        <v>5017410.7209934322</v>
      </c>
      <c r="L12" s="496">
        <v>3150570.5966946427</v>
      </c>
      <c r="M12" s="496">
        <v>2700690.2753430903</v>
      </c>
      <c r="N12" s="497">
        <f t="shared" ref="N12" si="3">SUM(N9:N11)</f>
        <v>52712311.165652737</v>
      </c>
    </row>
    <row r="13" spans="1:14" x14ac:dyDescent="0.2">
      <c r="A13" s="494" t="s">
        <v>42</v>
      </c>
      <c r="B13" s="498">
        <f>SUM(B9:B11)-B12</f>
        <v>0</v>
      </c>
      <c r="C13" s="498">
        <f t="shared" ref="C13:N13" si="4">SUM(C9:C11)-C12</f>
        <v>0</v>
      </c>
      <c r="D13" s="498">
        <f t="shared" si="4"/>
        <v>0</v>
      </c>
      <c r="E13" s="498">
        <f t="shared" si="4"/>
        <v>0</v>
      </c>
      <c r="F13" s="498">
        <f t="shared" si="4"/>
        <v>0</v>
      </c>
      <c r="G13" s="498">
        <f t="shared" si="4"/>
        <v>0</v>
      </c>
      <c r="H13" s="498">
        <f t="shared" si="4"/>
        <v>0</v>
      </c>
      <c r="I13" s="498">
        <f t="shared" si="4"/>
        <v>0</v>
      </c>
      <c r="J13" s="498">
        <f t="shared" si="4"/>
        <v>0</v>
      </c>
      <c r="K13" s="498">
        <f t="shared" si="4"/>
        <v>0</v>
      </c>
      <c r="L13" s="498">
        <f t="shared" si="4"/>
        <v>0</v>
      </c>
      <c r="M13" s="498">
        <f t="shared" si="4"/>
        <v>0</v>
      </c>
      <c r="N13" s="498">
        <f t="shared" si="4"/>
        <v>0</v>
      </c>
    </row>
    <row r="14" spans="1:14" x14ac:dyDescent="0.2">
      <c r="A14" s="494"/>
      <c r="B14" s="492"/>
      <c r="C14" s="492"/>
      <c r="D14" s="492"/>
      <c r="E14" s="492"/>
      <c r="F14" s="492"/>
      <c r="G14" s="492"/>
      <c r="H14" s="492"/>
      <c r="I14" s="492"/>
      <c r="J14" s="492"/>
      <c r="K14" s="492"/>
      <c r="L14" s="492"/>
      <c r="M14" s="492"/>
      <c r="N14" s="493"/>
    </row>
    <row r="15" spans="1:14" x14ac:dyDescent="0.2">
      <c r="A15" s="491" t="s">
        <v>300</v>
      </c>
      <c r="B15" s="492"/>
      <c r="C15" s="492"/>
      <c r="D15" s="492"/>
      <c r="E15" s="492"/>
      <c r="F15" s="492"/>
      <c r="G15" s="492"/>
      <c r="H15" s="492"/>
      <c r="I15" s="492"/>
      <c r="J15" s="492"/>
      <c r="K15" s="492"/>
      <c r="L15" s="492"/>
      <c r="M15" s="492"/>
      <c r="N15" s="493"/>
    </row>
    <row r="16" spans="1:14" x14ac:dyDescent="0.2">
      <c r="A16" s="494" t="s">
        <v>93</v>
      </c>
      <c r="B16" s="495">
        <v>59442.004000000001</v>
      </c>
      <c r="C16" s="495">
        <v>53788.555</v>
      </c>
      <c r="D16" s="495">
        <v>53277.69</v>
      </c>
      <c r="E16" s="495">
        <v>59271.158000000003</v>
      </c>
      <c r="F16" s="495">
        <v>59850.852999999996</v>
      </c>
      <c r="G16" s="495">
        <v>63361.237000000001</v>
      </c>
      <c r="H16" s="495">
        <v>59365.58</v>
      </c>
      <c r="I16" s="495">
        <v>59546.550999999999</v>
      </c>
      <c r="J16" s="495">
        <v>60916.762999999999</v>
      </c>
      <c r="K16" s="495">
        <v>57588.171000000002</v>
      </c>
      <c r="L16" s="495">
        <v>58705.644</v>
      </c>
      <c r="M16" s="495">
        <v>62239.934999999998</v>
      </c>
      <c r="N16" s="493">
        <f t="shared" ref="N16:N18" si="5">SUM(B16:M16)</f>
        <v>707354.14100000006</v>
      </c>
    </row>
    <row r="17" spans="1:16" x14ac:dyDescent="0.2">
      <c r="A17" s="494" t="s">
        <v>82</v>
      </c>
      <c r="B17" s="495">
        <v>192231.80799999996</v>
      </c>
      <c r="C17" s="495">
        <v>177531.98600000003</v>
      </c>
      <c r="D17" s="495">
        <v>180530.80100000004</v>
      </c>
      <c r="E17" s="495">
        <v>243924.29599999997</v>
      </c>
      <c r="F17" s="495">
        <v>208819.26100000003</v>
      </c>
      <c r="G17" s="495">
        <v>241507.399</v>
      </c>
      <c r="H17" s="495">
        <v>234084.49100000004</v>
      </c>
      <c r="I17" s="495">
        <v>217421.25599999994</v>
      </c>
      <c r="J17" s="495">
        <v>252006.66100000002</v>
      </c>
      <c r="K17" s="495">
        <v>198307.663</v>
      </c>
      <c r="L17" s="495">
        <v>196724.019</v>
      </c>
      <c r="M17" s="495">
        <v>204390.74400000001</v>
      </c>
      <c r="N17" s="493">
        <f t="shared" si="5"/>
        <v>2547480.3849999998</v>
      </c>
    </row>
    <row r="18" spans="1:16" x14ac:dyDescent="0.2">
      <c r="A18" s="494" t="s">
        <v>83</v>
      </c>
      <c r="B18" s="492">
        <f>B19-SUM(B16:B17)</f>
        <v>496109.28264704294</v>
      </c>
      <c r="C18" s="492">
        <f t="shared" ref="C18:M18" si="6">C19-SUM(C16:C17)</f>
        <v>417348.45809260505</v>
      </c>
      <c r="D18" s="492">
        <f t="shared" si="6"/>
        <v>422741.58392592391</v>
      </c>
      <c r="E18" s="492">
        <f t="shared" si="6"/>
        <v>401122.33162889088</v>
      </c>
      <c r="F18" s="492">
        <f t="shared" si="6"/>
        <v>510207.39079035894</v>
      </c>
      <c r="G18" s="492">
        <f t="shared" si="6"/>
        <v>804408.89636025415</v>
      </c>
      <c r="H18" s="492">
        <f t="shared" si="6"/>
        <v>581349.01035608444</v>
      </c>
      <c r="I18" s="492">
        <f t="shared" si="6"/>
        <v>668916.62745015521</v>
      </c>
      <c r="J18" s="492">
        <f t="shared" si="6"/>
        <v>660202.41022110707</v>
      </c>
      <c r="K18" s="492">
        <f t="shared" si="6"/>
        <v>594038.59287590836</v>
      </c>
      <c r="L18" s="492">
        <f t="shared" si="6"/>
        <v>449289.38074677141</v>
      </c>
      <c r="M18" s="492">
        <f t="shared" si="6"/>
        <v>545111.50020033028</v>
      </c>
      <c r="N18" s="493">
        <f t="shared" si="5"/>
        <v>6550845.4652954331</v>
      </c>
    </row>
    <row r="19" spans="1:16" s="493" customFormat="1" x14ac:dyDescent="0.2">
      <c r="A19" s="494" t="s">
        <v>6</v>
      </c>
      <c r="B19" s="496">
        <v>747783.09464704292</v>
      </c>
      <c r="C19" s="496">
        <v>648668.99909260508</v>
      </c>
      <c r="D19" s="496">
        <v>656550.07492592395</v>
      </c>
      <c r="E19" s="496">
        <v>704317.78562889085</v>
      </c>
      <c r="F19" s="496">
        <v>778877.50479035894</v>
      </c>
      <c r="G19" s="496">
        <v>1109277.5323602541</v>
      </c>
      <c r="H19" s="496">
        <v>874799.08135608456</v>
      </c>
      <c r="I19" s="496">
        <v>945884.43445015512</v>
      </c>
      <c r="J19" s="496">
        <v>973125.83422110707</v>
      </c>
      <c r="K19" s="496">
        <v>849934.42687590839</v>
      </c>
      <c r="L19" s="496">
        <v>704719.04374677141</v>
      </c>
      <c r="M19" s="496">
        <v>811742.17920033028</v>
      </c>
      <c r="N19" s="497">
        <f t="shared" ref="N19" si="7">SUM(N16:N18)</f>
        <v>9805679.9912954327</v>
      </c>
    </row>
    <row r="20" spans="1:16" x14ac:dyDescent="0.2">
      <c r="A20" s="494" t="s">
        <v>42</v>
      </c>
      <c r="B20" s="498">
        <f>SUM(B16:B18)-B19</f>
        <v>0</v>
      </c>
      <c r="C20" s="498">
        <f t="shared" ref="C20:N20" si="8">SUM(C16:C18)-C19</f>
        <v>0</v>
      </c>
      <c r="D20" s="498">
        <f t="shared" si="8"/>
        <v>0</v>
      </c>
      <c r="E20" s="498">
        <f t="shared" si="8"/>
        <v>0</v>
      </c>
      <c r="F20" s="498">
        <f t="shared" si="8"/>
        <v>0</v>
      </c>
      <c r="G20" s="498">
        <f t="shared" si="8"/>
        <v>0</v>
      </c>
      <c r="H20" s="498">
        <f t="shared" si="8"/>
        <v>0</v>
      </c>
      <c r="I20" s="498">
        <f t="shared" si="8"/>
        <v>0</v>
      </c>
      <c r="J20" s="498">
        <f t="shared" si="8"/>
        <v>0</v>
      </c>
      <c r="K20" s="498">
        <f t="shared" si="8"/>
        <v>0</v>
      </c>
      <c r="L20" s="498">
        <f t="shared" si="8"/>
        <v>0</v>
      </c>
      <c r="M20" s="498">
        <f t="shared" si="8"/>
        <v>0</v>
      </c>
      <c r="N20" s="498">
        <f t="shared" si="8"/>
        <v>0</v>
      </c>
    </row>
    <row r="21" spans="1:16" x14ac:dyDescent="0.2">
      <c r="A21" s="494"/>
      <c r="B21" s="492"/>
      <c r="C21" s="492"/>
      <c r="D21" s="492"/>
      <c r="E21" s="492"/>
      <c r="F21" s="492"/>
      <c r="G21" s="492"/>
      <c r="H21" s="492"/>
      <c r="I21" s="492"/>
      <c r="J21" s="492"/>
      <c r="K21" s="492"/>
      <c r="L21" s="492"/>
      <c r="M21" s="492"/>
      <c r="N21" s="493"/>
      <c r="P21" s="493"/>
    </row>
    <row r="22" spans="1:16" x14ac:dyDescent="0.2">
      <c r="A22" s="491" t="s">
        <v>80</v>
      </c>
      <c r="B22" s="493"/>
      <c r="C22" s="493"/>
      <c r="D22" s="493"/>
      <c r="E22" s="493"/>
      <c r="F22" s="493"/>
      <c r="G22" s="493"/>
      <c r="H22" s="493"/>
      <c r="I22" s="493"/>
      <c r="J22" s="493"/>
      <c r="K22" s="493"/>
      <c r="L22" s="493"/>
      <c r="M22" s="493"/>
      <c r="N22" s="493"/>
      <c r="P22" s="493"/>
    </row>
    <row r="23" spans="1:16" x14ac:dyDescent="0.2">
      <c r="A23" s="494" t="s">
        <v>81</v>
      </c>
      <c r="B23" s="495">
        <v>71990.44</v>
      </c>
      <c r="C23" s="495">
        <v>70433.53</v>
      </c>
      <c r="D23" s="495">
        <v>71468.070000000007</v>
      </c>
      <c r="E23" s="495">
        <v>71282.850000000006</v>
      </c>
      <c r="F23" s="495">
        <v>124335.06</v>
      </c>
      <c r="G23" s="495">
        <v>75600</v>
      </c>
      <c r="H23" s="495">
        <v>14400</v>
      </c>
      <c r="I23" s="495">
        <v>126900</v>
      </c>
      <c r="J23" s="495">
        <v>15300</v>
      </c>
      <c r="K23" s="495">
        <v>70230</v>
      </c>
      <c r="L23" s="495">
        <v>71103.3</v>
      </c>
      <c r="M23" s="495">
        <v>71585.38</v>
      </c>
      <c r="N23" s="493">
        <f>SUM(B23:M23)</f>
        <v>854628.63</v>
      </c>
      <c r="P23" s="493"/>
    </row>
    <row r="24" spans="1:16" x14ac:dyDescent="0.2">
      <c r="A24" s="494" t="s">
        <v>82</v>
      </c>
      <c r="B24" s="495">
        <v>210092.24999999997</v>
      </c>
      <c r="C24" s="495">
        <v>215678.48</v>
      </c>
      <c r="D24" s="495">
        <v>208498.01000000004</v>
      </c>
      <c r="E24" s="495">
        <v>250911.35999999996</v>
      </c>
      <c r="F24" s="495">
        <v>196136.69999999998</v>
      </c>
      <c r="G24" s="495">
        <v>576861.44999999995</v>
      </c>
      <c r="H24" s="495">
        <v>58289.780000000006</v>
      </c>
      <c r="I24" s="495">
        <v>212041.72999999998</v>
      </c>
      <c r="J24" s="495">
        <v>321471.44999999995</v>
      </c>
      <c r="K24" s="495">
        <v>271731.56</v>
      </c>
      <c r="L24" s="495">
        <v>235478.06000000006</v>
      </c>
      <c r="M24" s="495">
        <v>251948.99000000002</v>
      </c>
      <c r="N24" s="493">
        <f t="shared" ref="N24:N25" si="9">SUM(B24:M24)</f>
        <v>3009139.8200000003</v>
      </c>
      <c r="P24" s="493"/>
    </row>
    <row r="25" spans="1:16" x14ac:dyDescent="0.2">
      <c r="A25" s="494" t="s">
        <v>83</v>
      </c>
      <c r="B25" s="492">
        <f>B26-SUM(B23:B24)</f>
        <v>763934.83</v>
      </c>
      <c r="C25" s="492">
        <f t="shared" ref="C25:M25" si="10">C26-SUM(C23:C24)</f>
        <v>695418.53</v>
      </c>
      <c r="D25" s="492">
        <f t="shared" si="10"/>
        <v>734626.29999999993</v>
      </c>
      <c r="E25" s="492">
        <f t="shared" si="10"/>
        <v>831177.60220448766</v>
      </c>
      <c r="F25" s="492">
        <f t="shared" si="10"/>
        <v>804692.35024897219</v>
      </c>
      <c r="G25" s="492">
        <f t="shared" si="10"/>
        <v>827876.88373571471</v>
      </c>
      <c r="H25" s="492">
        <f t="shared" si="10"/>
        <v>1237383.9757592999</v>
      </c>
      <c r="I25" s="492">
        <f t="shared" si="10"/>
        <v>975220.30627079145</v>
      </c>
      <c r="J25" s="492">
        <f t="shared" si="10"/>
        <v>763222.93056105054</v>
      </c>
      <c r="K25" s="492">
        <f t="shared" si="10"/>
        <v>859479.73609505012</v>
      </c>
      <c r="L25" s="492">
        <f t="shared" si="10"/>
        <v>731830.53314366401</v>
      </c>
      <c r="M25" s="492">
        <f t="shared" si="10"/>
        <v>721058.64</v>
      </c>
      <c r="N25" s="493">
        <f t="shared" si="9"/>
        <v>9945922.6180190314</v>
      </c>
      <c r="P25" s="493"/>
    </row>
    <row r="26" spans="1:16" x14ac:dyDescent="0.2">
      <c r="A26" s="494" t="s">
        <v>6</v>
      </c>
      <c r="B26" s="496">
        <v>1046017.5199999999</v>
      </c>
      <c r="C26" s="496">
        <v>981530.54</v>
      </c>
      <c r="D26" s="496">
        <v>1014592.38</v>
      </c>
      <c r="E26" s="496">
        <v>1153371.8122044876</v>
      </c>
      <c r="F26" s="496">
        <v>1125164.1102489722</v>
      </c>
      <c r="G26" s="496">
        <v>1480338.3337357147</v>
      </c>
      <c r="H26" s="496">
        <v>1310073.7557593</v>
      </c>
      <c r="I26" s="496">
        <v>1314162.0362707914</v>
      </c>
      <c r="J26" s="496">
        <v>1099994.3805610505</v>
      </c>
      <c r="K26" s="496">
        <v>1201441.2960950502</v>
      </c>
      <c r="L26" s="496">
        <v>1038411.8931436641</v>
      </c>
      <c r="M26" s="496">
        <v>1044593.01</v>
      </c>
      <c r="N26" s="497">
        <f t="shared" ref="N26" si="11">SUM(N23:N25)</f>
        <v>13809691.068019032</v>
      </c>
      <c r="P26" s="493"/>
    </row>
    <row r="27" spans="1:16" x14ac:dyDescent="0.2">
      <c r="A27" s="493" t="s">
        <v>42</v>
      </c>
      <c r="B27" s="498">
        <f>SUM(B23:B25)-B26</f>
        <v>0</v>
      </c>
      <c r="C27" s="498">
        <f t="shared" ref="C27:N27" si="12">SUM(C23:C25)-C26</f>
        <v>0</v>
      </c>
      <c r="D27" s="498">
        <f t="shared" si="12"/>
        <v>0</v>
      </c>
      <c r="E27" s="498">
        <f t="shared" si="12"/>
        <v>0</v>
      </c>
      <c r="F27" s="498">
        <f t="shared" si="12"/>
        <v>0</v>
      </c>
      <c r="G27" s="498">
        <f t="shared" si="12"/>
        <v>0</v>
      </c>
      <c r="H27" s="498">
        <f t="shared" si="12"/>
        <v>0</v>
      </c>
      <c r="I27" s="498">
        <f t="shared" si="12"/>
        <v>0</v>
      </c>
      <c r="J27" s="498">
        <f t="shared" si="12"/>
        <v>0</v>
      </c>
      <c r="K27" s="498">
        <f t="shared" si="12"/>
        <v>0</v>
      </c>
      <c r="L27" s="498">
        <f t="shared" si="12"/>
        <v>0</v>
      </c>
      <c r="M27" s="498">
        <f t="shared" si="12"/>
        <v>0</v>
      </c>
      <c r="N27" s="498">
        <f t="shared" si="12"/>
        <v>0</v>
      </c>
      <c r="P27" s="493"/>
    </row>
    <row r="28" spans="1:16" x14ac:dyDescent="0.2">
      <c r="A28" s="494"/>
      <c r="B28" s="492"/>
      <c r="C28" s="492"/>
      <c r="D28" s="492"/>
      <c r="E28" s="492"/>
      <c r="F28" s="492"/>
      <c r="G28" s="492"/>
      <c r="H28" s="492"/>
      <c r="I28" s="492"/>
      <c r="J28" s="492"/>
      <c r="K28" s="492"/>
      <c r="L28" s="492"/>
      <c r="M28" s="492"/>
      <c r="N28" s="493"/>
      <c r="P28" s="493"/>
    </row>
    <row r="29" spans="1:16" x14ac:dyDescent="0.2">
      <c r="A29" s="491" t="s">
        <v>84</v>
      </c>
      <c r="B29" s="492"/>
      <c r="C29" s="492"/>
      <c r="D29" s="492"/>
      <c r="E29" s="492"/>
      <c r="F29" s="492"/>
      <c r="G29" s="492"/>
      <c r="H29" s="492"/>
      <c r="I29" s="492"/>
      <c r="J29" s="492"/>
      <c r="K29" s="492"/>
      <c r="L29" s="492"/>
      <c r="M29" s="492"/>
      <c r="N29" s="493"/>
      <c r="P29" s="493"/>
    </row>
    <row r="30" spans="1:16" x14ac:dyDescent="0.2">
      <c r="A30" s="494" t="s">
        <v>81</v>
      </c>
      <c r="B30" s="495">
        <v>18000</v>
      </c>
      <c r="C30" s="495">
        <v>17150.16</v>
      </c>
      <c r="D30" s="495">
        <v>17104.36</v>
      </c>
      <c r="E30" s="495">
        <v>15300</v>
      </c>
      <c r="F30" s="495">
        <v>25200</v>
      </c>
      <c r="G30" s="495">
        <v>20645.48</v>
      </c>
      <c r="H30" s="495">
        <v>5400</v>
      </c>
      <c r="I30" s="495">
        <v>27900</v>
      </c>
      <c r="J30" s="495">
        <v>4519.6499999999996</v>
      </c>
      <c r="K30" s="495">
        <v>17100</v>
      </c>
      <c r="L30" s="495">
        <v>17100</v>
      </c>
      <c r="M30" s="495">
        <v>17100</v>
      </c>
      <c r="N30" s="493">
        <f>SUM(B30:M30)</f>
        <v>202519.65</v>
      </c>
      <c r="P30" s="493"/>
    </row>
    <row r="31" spans="1:16" x14ac:dyDescent="0.2">
      <c r="A31" s="494" t="s">
        <v>82</v>
      </c>
      <c r="B31" s="495">
        <v>79366.080000000002</v>
      </c>
      <c r="C31" s="495">
        <v>79302.11</v>
      </c>
      <c r="D31" s="495">
        <v>71093.60000000002</v>
      </c>
      <c r="E31" s="495">
        <v>72268.979999999981</v>
      </c>
      <c r="F31" s="495">
        <v>23205.709999999992</v>
      </c>
      <c r="G31" s="495">
        <v>171327.41</v>
      </c>
      <c r="H31" s="495">
        <v>31939.000000000015</v>
      </c>
      <c r="I31" s="495">
        <v>39505.899999999994</v>
      </c>
      <c r="J31" s="495">
        <v>102065.43</v>
      </c>
      <c r="K31" s="495">
        <v>77161.23</v>
      </c>
      <c r="L31" s="495">
        <v>80580.440000000017</v>
      </c>
      <c r="M31" s="495">
        <v>64970.859999999986</v>
      </c>
      <c r="N31" s="493">
        <f t="shared" ref="N31:N32" si="13">SUM(B31:M31)</f>
        <v>892786.75</v>
      </c>
      <c r="P31" s="493"/>
    </row>
    <row r="32" spans="1:16" x14ac:dyDescent="0.2">
      <c r="A32" s="494" t="s">
        <v>83</v>
      </c>
      <c r="B32" s="492">
        <f>B33-SUM(B30:B31)</f>
        <v>345370.66000000009</v>
      </c>
      <c r="C32" s="492">
        <f t="shared" ref="C32:M32" si="14">C33-SUM(C30:C31)</f>
        <v>488605.48999999987</v>
      </c>
      <c r="D32" s="492">
        <f t="shared" si="14"/>
        <v>320635.11</v>
      </c>
      <c r="E32" s="492">
        <f t="shared" si="14"/>
        <v>394614.05000000005</v>
      </c>
      <c r="F32" s="492">
        <f t="shared" si="14"/>
        <v>277316.08000000007</v>
      </c>
      <c r="G32" s="492">
        <f t="shared" si="14"/>
        <v>418385.99999999988</v>
      </c>
      <c r="H32" s="492">
        <f t="shared" si="14"/>
        <v>503640.50300000003</v>
      </c>
      <c r="I32" s="492">
        <f t="shared" si="14"/>
        <v>293915.69699999993</v>
      </c>
      <c r="J32" s="492">
        <f t="shared" si="14"/>
        <v>415772.07000000007</v>
      </c>
      <c r="K32" s="492">
        <f t="shared" si="14"/>
        <v>350607.52</v>
      </c>
      <c r="L32" s="492">
        <f t="shared" si="14"/>
        <v>414240.47000000003</v>
      </c>
      <c r="M32" s="492">
        <f t="shared" si="14"/>
        <v>366404.49</v>
      </c>
      <c r="N32" s="493">
        <f t="shared" si="13"/>
        <v>4589508.1400000006</v>
      </c>
      <c r="P32" s="493"/>
    </row>
    <row r="33" spans="1:16" x14ac:dyDescent="0.2">
      <c r="A33" s="494" t="s">
        <v>6</v>
      </c>
      <c r="B33" s="496">
        <v>442736.74000000011</v>
      </c>
      <c r="C33" s="496">
        <v>585057.75999999989</v>
      </c>
      <c r="D33" s="496">
        <v>408833.07</v>
      </c>
      <c r="E33" s="496">
        <v>482183.03</v>
      </c>
      <c r="F33" s="496">
        <v>325721.79000000004</v>
      </c>
      <c r="G33" s="496">
        <v>610358.8899999999</v>
      </c>
      <c r="H33" s="496">
        <v>540979.50300000003</v>
      </c>
      <c r="I33" s="496">
        <v>361321.59699999995</v>
      </c>
      <c r="J33" s="496">
        <v>522357.15</v>
      </c>
      <c r="K33" s="496">
        <v>444868.75</v>
      </c>
      <c r="L33" s="496">
        <v>511920.91000000003</v>
      </c>
      <c r="M33" s="496">
        <v>448475.35</v>
      </c>
      <c r="N33" s="497">
        <f t="shared" ref="N33" si="15">SUM(N30:N32)</f>
        <v>5684814.540000001</v>
      </c>
      <c r="P33" s="493"/>
    </row>
    <row r="34" spans="1:16" x14ac:dyDescent="0.2">
      <c r="A34" s="494" t="s">
        <v>42</v>
      </c>
      <c r="B34" s="498">
        <f>SUM(B30:B32)-B33</f>
        <v>0</v>
      </c>
      <c r="C34" s="498">
        <f t="shared" ref="C34:N34" si="16">SUM(C30:C32)-C33</f>
        <v>0</v>
      </c>
      <c r="D34" s="498">
        <f t="shared" si="16"/>
        <v>0</v>
      </c>
      <c r="E34" s="498">
        <f t="shared" si="16"/>
        <v>0</v>
      </c>
      <c r="F34" s="498">
        <f t="shared" si="16"/>
        <v>0</v>
      </c>
      <c r="G34" s="498">
        <f t="shared" si="16"/>
        <v>0</v>
      </c>
      <c r="H34" s="498">
        <f t="shared" si="16"/>
        <v>0</v>
      </c>
      <c r="I34" s="498">
        <f t="shared" si="16"/>
        <v>0</v>
      </c>
      <c r="J34" s="498">
        <f t="shared" si="16"/>
        <v>0</v>
      </c>
      <c r="K34" s="498">
        <f t="shared" si="16"/>
        <v>0</v>
      </c>
      <c r="L34" s="498">
        <f t="shared" si="16"/>
        <v>0</v>
      </c>
      <c r="M34" s="498">
        <f t="shared" si="16"/>
        <v>0</v>
      </c>
      <c r="N34" s="498">
        <f t="shared" si="16"/>
        <v>0</v>
      </c>
      <c r="P34" s="493"/>
    </row>
    <row r="35" spans="1:16" x14ac:dyDescent="0.2">
      <c r="P35" s="493"/>
    </row>
    <row r="36" spans="1:16" x14ac:dyDescent="0.2">
      <c r="A36" s="491" t="s">
        <v>301</v>
      </c>
      <c r="B36" s="492"/>
      <c r="C36" s="492"/>
      <c r="D36" s="492"/>
      <c r="E36" s="492"/>
      <c r="F36" s="492"/>
      <c r="G36" s="492"/>
      <c r="H36" s="492"/>
      <c r="I36" s="492"/>
      <c r="J36" s="492"/>
      <c r="K36" s="492"/>
      <c r="L36" s="492"/>
      <c r="M36" s="492"/>
      <c r="N36" s="493"/>
      <c r="P36" s="493"/>
    </row>
    <row r="37" spans="1:16" x14ac:dyDescent="0.2">
      <c r="A37" s="494" t="s">
        <v>56</v>
      </c>
      <c r="B37" s="495">
        <v>461373.25648560608</v>
      </c>
      <c r="C37" s="495">
        <v>590139.35979615932</v>
      </c>
      <c r="D37" s="495">
        <v>425842.0955</v>
      </c>
      <c r="E37" s="495">
        <v>632773.42700000014</v>
      </c>
      <c r="F37" s="495">
        <v>580070.18349999993</v>
      </c>
      <c r="G37" s="495">
        <v>830947.94149999996</v>
      </c>
      <c r="H37" s="495">
        <v>603484.31700000004</v>
      </c>
      <c r="I37" s="495">
        <v>356157.72450000001</v>
      </c>
      <c r="J37" s="495">
        <v>1199336.406</v>
      </c>
      <c r="K37" s="495">
        <v>220968.70250000001</v>
      </c>
      <c r="L37" s="495">
        <v>516411.69099999999</v>
      </c>
      <c r="M37" s="495">
        <v>418649.65650000004</v>
      </c>
      <c r="N37" s="493">
        <f t="shared" ref="N37:N39" si="17">SUM(B37:M37)</f>
        <v>6836154.7612817641</v>
      </c>
    </row>
    <row r="38" spans="1:16" x14ac:dyDescent="0.2">
      <c r="A38" s="494" t="s">
        <v>57</v>
      </c>
      <c r="B38" s="495">
        <v>310713.54700000002</v>
      </c>
      <c r="C38" s="495">
        <v>206684.72099999999</v>
      </c>
      <c r="D38" s="495">
        <v>190773.84</v>
      </c>
      <c r="E38" s="495">
        <v>305598.364</v>
      </c>
      <c r="F38" s="495">
        <v>297961.64899999998</v>
      </c>
      <c r="G38" s="495">
        <v>371115.22399999999</v>
      </c>
      <c r="H38" s="495">
        <v>356685.83299999998</v>
      </c>
      <c r="I38" s="495">
        <v>337280.12199999997</v>
      </c>
      <c r="J38" s="495">
        <v>540683.75699999998</v>
      </c>
      <c r="K38" s="495">
        <v>369995.609</v>
      </c>
      <c r="L38" s="495">
        <v>327530.39299999998</v>
      </c>
      <c r="M38" s="495">
        <v>294580.00900000002</v>
      </c>
      <c r="N38" s="493">
        <f t="shared" si="17"/>
        <v>3909603.0680000004</v>
      </c>
    </row>
    <row r="39" spans="1:16" x14ac:dyDescent="0.2">
      <c r="A39" s="494" t="s">
        <v>86</v>
      </c>
      <c r="B39" s="492">
        <f>B40-SUM(B37:B38)</f>
        <v>-45856.810485606198</v>
      </c>
      <c r="C39" s="492">
        <f t="shared" ref="C39:M39" si="18">C40-SUM(C37:C38)</f>
        <v>67054.292703840649</v>
      </c>
      <c r="D39" s="492">
        <f t="shared" si="18"/>
        <v>94148.308999999892</v>
      </c>
      <c r="E39" s="492">
        <f t="shared" si="18"/>
        <v>208016.06411233405</v>
      </c>
      <c r="F39" s="492">
        <f t="shared" si="18"/>
        <v>327520.59779860976</v>
      </c>
      <c r="G39" s="492">
        <f t="shared" si="18"/>
        <v>1226003.4842343733</v>
      </c>
      <c r="H39" s="492">
        <f t="shared" si="18"/>
        <v>505934.47980033339</v>
      </c>
      <c r="I39" s="492">
        <f t="shared" si="18"/>
        <v>796058.13773000007</v>
      </c>
      <c r="J39" s="492">
        <f t="shared" si="18"/>
        <v>626076.9519280002</v>
      </c>
      <c r="K39" s="492">
        <f t="shared" si="18"/>
        <v>680044.88022083323</v>
      </c>
      <c r="L39" s="492">
        <f t="shared" si="18"/>
        <v>505287.35178229166</v>
      </c>
      <c r="M39" s="492">
        <f t="shared" si="18"/>
        <v>264877.4809999998</v>
      </c>
      <c r="N39" s="493">
        <f t="shared" si="17"/>
        <v>5255165.2198250098</v>
      </c>
    </row>
    <row r="40" spans="1:16" x14ac:dyDescent="0.2">
      <c r="A40" s="494" t="s">
        <v>6</v>
      </c>
      <c r="B40" s="496">
        <v>726229.9929999999</v>
      </c>
      <c r="C40" s="496">
        <v>863878.37349999999</v>
      </c>
      <c r="D40" s="496">
        <v>710764.24449999991</v>
      </c>
      <c r="E40" s="496">
        <v>1146387.8551123342</v>
      </c>
      <c r="F40" s="496">
        <v>1205552.4302986097</v>
      </c>
      <c r="G40" s="496">
        <v>2428066.6497343732</v>
      </c>
      <c r="H40" s="496">
        <v>1466104.6298003334</v>
      </c>
      <c r="I40" s="496">
        <v>1489495.9842300001</v>
      </c>
      <c r="J40" s="496">
        <v>2366097.1149280001</v>
      </c>
      <c r="K40" s="496">
        <v>1271009.1917208333</v>
      </c>
      <c r="L40" s="496">
        <v>1349229.4357822917</v>
      </c>
      <c r="M40" s="496">
        <v>978107.14649999992</v>
      </c>
      <c r="N40" s="497">
        <f t="shared" ref="N40" si="19">SUM(N37:N39)</f>
        <v>16000923.049106773</v>
      </c>
    </row>
    <row r="41" spans="1:16" x14ac:dyDescent="0.2">
      <c r="A41" s="494" t="s">
        <v>42</v>
      </c>
      <c r="B41" s="498">
        <f>SUM(B37:B39)-B40</f>
        <v>0</v>
      </c>
      <c r="C41" s="498">
        <f t="shared" ref="C41:N41" si="20">SUM(C37:C39)-C40</f>
        <v>0</v>
      </c>
      <c r="D41" s="498">
        <f t="shared" si="20"/>
        <v>0</v>
      </c>
      <c r="E41" s="498">
        <f t="shared" si="20"/>
        <v>0</v>
      </c>
      <c r="F41" s="498">
        <f t="shared" si="20"/>
        <v>0</v>
      </c>
      <c r="G41" s="498">
        <f t="shared" si="20"/>
        <v>0</v>
      </c>
      <c r="H41" s="498">
        <f t="shared" si="20"/>
        <v>0</v>
      </c>
      <c r="I41" s="498">
        <f t="shared" si="20"/>
        <v>0</v>
      </c>
      <c r="J41" s="498">
        <f t="shared" si="20"/>
        <v>0</v>
      </c>
      <c r="K41" s="498">
        <f t="shared" si="20"/>
        <v>0</v>
      </c>
      <c r="L41" s="498">
        <f t="shared" si="20"/>
        <v>0</v>
      </c>
      <c r="M41" s="498">
        <f t="shared" si="20"/>
        <v>0</v>
      </c>
      <c r="N41" s="498">
        <f t="shared" si="20"/>
        <v>0</v>
      </c>
      <c r="O41" s="498"/>
    </row>
    <row r="42" spans="1:16" x14ac:dyDescent="0.2">
      <c r="A42" s="494"/>
      <c r="B42" s="492"/>
      <c r="C42" s="492"/>
      <c r="D42" s="492"/>
      <c r="E42" s="492"/>
      <c r="F42" s="492"/>
      <c r="G42" s="492"/>
      <c r="H42" s="492"/>
      <c r="I42" s="492"/>
      <c r="J42" s="492"/>
      <c r="K42" s="492"/>
      <c r="L42" s="492"/>
      <c r="M42" s="492"/>
      <c r="N42" s="493"/>
      <c r="P42" s="493"/>
    </row>
    <row r="43" spans="1:16" x14ac:dyDescent="0.2">
      <c r="A43" s="387" t="s">
        <v>302</v>
      </c>
      <c r="B43" s="492"/>
      <c r="C43" s="492"/>
      <c r="D43" s="492"/>
      <c r="E43" s="492"/>
      <c r="F43" s="492"/>
      <c r="G43" s="492"/>
      <c r="H43" s="492"/>
      <c r="I43" s="492"/>
      <c r="J43" s="492"/>
      <c r="K43" s="492"/>
      <c r="L43" s="492"/>
      <c r="M43" s="492"/>
      <c r="N43" s="493"/>
      <c r="P43" s="493"/>
    </row>
    <row r="44" spans="1:16" x14ac:dyDescent="0.2">
      <c r="A44" s="494" t="s">
        <v>56</v>
      </c>
      <c r="B44" s="495">
        <v>92819.473622343998</v>
      </c>
      <c r="C44" s="495">
        <v>70674.910252760747</v>
      </c>
      <c r="D44" s="495">
        <v>285178.83900000004</v>
      </c>
      <c r="E44" s="495">
        <v>-244375.55549999996</v>
      </c>
      <c r="F44" s="495">
        <v>343696.65749999997</v>
      </c>
      <c r="G44" s="495">
        <v>154189.53</v>
      </c>
      <c r="H44" s="495">
        <v>46170.613500000007</v>
      </c>
      <c r="I44" s="495">
        <v>94144.156499999997</v>
      </c>
      <c r="J44" s="495">
        <v>289198.321</v>
      </c>
      <c r="K44" s="495">
        <v>90036.47</v>
      </c>
      <c r="L44" s="495">
        <v>105646.194</v>
      </c>
      <c r="M44" s="495">
        <v>96022.350999999995</v>
      </c>
      <c r="N44" s="493">
        <f t="shared" ref="N44:N46" si="21">SUM(B44:M44)</f>
        <v>1423401.9608751046</v>
      </c>
      <c r="P44" s="493"/>
    </row>
    <row r="45" spans="1:16" x14ac:dyDescent="0.2">
      <c r="A45" s="494" t="s">
        <v>57</v>
      </c>
      <c r="B45" s="495">
        <v>23751.743000000002</v>
      </c>
      <c r="C45" s="495">
        <v>3001.45</v>
      </c>
      <c r="D45" s="495">
        <v>214228.85399999999</v>
      </c>
      <c r="E45" s="495">
        <v>-123422.414</v>
      </c>
      <c r="F45" s="495">
        <v>51780.307999999997</v>
      </c>
      <c r="G45" s="495">
        <v>113008.41949999999</v>
      </c>
      <c r="H45" s="495">
        <v>-62117.899499999992</v>
      </c>
      <c r="I45" s="495">
        <v>30932.267</v>
      </c>
      <c r="J45" s="495">
        <v>227251.82250000001</v>
      </c>
      <c r="K45" s="495">
        <v>-76421.270999999979</v>
      </c>
      <c r="L45" s="495">
        <v>31995.705999999991</v>
      </c>
      <c r="M45" s="495">
        <v>3967.6734999999935</v>
      </c>
      <c r="N45" s="493">
        <f t="shared" si="21"/>
        <v>437956.65899999993</v>
      </c>
      <c r="P45" s="493"/>
    </row>
    <row r="46" spans="1:16" x14ac:dyDescent="0.2">
      <c r="A46" s="494" t="s">
        <v>86</v>
      </c>
      <c r="B46" s="492">
        <f>B47-SUM(B44:B45)</f>
        <v>-2366.0482213840005</v>
      </c>
      <c r="C46" s="492">
        <f t="shared" ref="C46:M46" si="22">C47-SUM(C44:C45)</f>
        <v>3350.5070620262704</v>
      </c>
      <c r="D46" s="492">
        <f t="shared" si="22"/>
        <v>1431917.21031416</v>
      </c>
      <c r="E46" s="492">
        <f t="shared" si="22"/>
        <v>-863987.14231736027</v>
      </c>
      <c r="F46" s="492">
        <f t="shared" si="22"/>
        <v>169939.35394563392</v>
      </c>
      <c r="G46" s="492">
        <f t="shared" si="22"/>
        <v>272159.08182758291</v>
      </c>
      <c r="H46" s="492">
        <f t="shared" si="22"/>
        <v>113025.26914768302</v>
      </c>
      <c r="I46" s="492">
        <f t="shared" si="22"/>
        <v>15183.415999999968</v>
      </c>
      <c r="J46" s="492">
        <f t="shared" si="22"/>
        <v>429426.09499999997</v>
      </c>
      <c r="K46" s="492">
        <f t="shared" si="22"/>
        <v>161691.17500000005</v>
      </c>
      <c r="L46" s="492">
        <f t="shared" si="22"/>
        <v>237613.041</v>
      </c>
      <c r="M46" s="492">
        <f t="shared" si="22"/>
        <v>162705.875</v>
      </c>
      <c r="N46" s="493">
        <f t="shared" si="21"/>
        <v>2130657.8337583421</v>
      </c>
      <c r="P46" s="493"/>
    </row>
    <row r="47" spans="1:16" x14ac:dyDescent="0.2">
      <c r="A47" s="494" t="s">
        <v>6</v>
      </c>
      <c r="B47" s="496">
        <v>114205.16840096</v>
      </c>
      <c r="C47" s="496">
        <v>77026.867314787014</v>
      </c>
      <c r="D47" s="496">
        <v>1931324.90331416</v>
      </c>
      <c r="E47" s="496">
        <v>-1231785.1118173602</v>
      </c>
      <c r="F47" s="496">
        <v>565416.31944563391</v>
      </c>
      <c r="G47" s="496">
        <v>539357.0313275829</v>
      </c>
      <c r="H47" s="496">
        <v>97077.98314768303</v>
      </c>
      <c r="I47" s="496">
        <v>140259.83949999997</v>
      </c>
      <c r="J47" s="496">
        <v>945876.23849999998</v>
      </c>
      <c r="K47" s="496">
        <v>175306.37400000007</v>
      </c>
      <c r="L47" s="496">
        <v>375254.94099999999</v>
      </c>
      <c r="M47" s="496">
        <v>262695.8995</v>
      </c>
      <c r="N47" s="497">
        <f t="shared" ref="N47" si="23">SUM(N44:N46)</f>
        <v>3992016.4536334467</v>
      </c>
      <c r="P47" s="493"/>
    </row>
    <row r="48" spans="1:16" x14ac:dyDescent="0.2">
      <c r="A48" s="494" t="s">
        <v>42</v>
      </c>
      <c r="B48" s="498">
        <f>SUM(B44:B46)-B47</f>
        <v>0</v>
      </c>
      <c r="C48" s="498">
        <f t="shared" ref="C48:N48" si="24">SUM(C44:C46)-C47</f>
        <v>0</v>
      </c>
      <c r="D48" s="498">
        <f t="shared" si="24"/>
        <v>0</v>
      </c>
      <c r="E48" s="498">
        <f t="shared" si="24"/>
        <v>0</v>
      </c>
      <c r="F48" s="498">
        <f t="shared" si="24"/>
        <v>0</v>
      </c>
      <c r="G48" s="498">
        <f t="shared" si="24"/>
        <v>0</v>
      </c>
      <c r="H48" s="498">
        <f t="shared" si="24"/>
        <v>0</v>
      </c>
      <c r="I48" s="498">
        <f t="shared" si="24"/>
        <v>0</v>
      </c>
      <c r="J48" s="498">
        <f t="shared" si="24"/>
        <v>0</v>
      </c>
      <c r="K48" s="498">
        <f t="shared" si="24"/>
        <v>0</v>
      </c>
      <c r="L48" s="498">
        <f t="shared" si="24"/>
        <v>0</v>
      </c>
      <c r="M48" s="498">
        <f t="shared" si="24"/>
        <v>0</v>
      </c>
      <c r="N48" s="498">
        <f t="shared" si="24"/>
        <v>0</v>
      </c>
      <c r="P48" s="493"/>
    </row>
    <row r="49" spans="1:16" x14ac:dyDescent="0.2">
      <c r="P49" s="493"/>
    </row>
    <row r="50" spans="1:16" x14ac:dyDescent="0.2">
      <c r="A50" s="491" t="s">
        <v>85</v>
      </c>
      <c r="B50" s="492"/>
      <c r="C50" s="492"/>
      <c r="D50" s="492"/>
      <c r="E50" s="492"/>
      <c r="F50" s="492"/>
      <c r="G50" s="492"/>
      <c r="H50" s="492"/>
      <c r="I50" s="492"/>
      <c r="J50" s="492"/>
      <c r="K50" s="492"/>
      <c r="L50" s="492"/>
      <c r="M50" s="492"/>
      <c r="N50" s="493"/>
      <c r="P50" s="493"/>
    </row>
    <row r="51" spans="1:16" x14ac:dyDescent="0.2">
      <c r="A51" s="494" t="s">
        <v>56</v>
      </c>
      <c r="B51" s="495">
        <v>669065.92000000004</v>
      </c>
      <c r="C51" s="495">
        <v>658934.9</v>
      </c>
      <c r="D51" s="495">
        <v>542283.73</v>
      </c>
      <c r="E51" s="495">
        <v>663748.68999999994</v>
      </c>
      <c r="F51" s="495">
        <v>454313.24</v>
      </c>
      <c r="G51" s="495">
        <v>1097203.68</v>
      </c>
      <c r="H51" s="495">
        <v>332189.72000000003</v>
      </c>
      <c r="I51" s="495">
        <v>519168.32999999996</v>
      </c>
      <c r="J51" s="495">
        <v>730060.92999999982</v>
      </c>
      <c r="K51" s="495">
        <v>642313.37000000011</v>
      </c>
      <c r="L51" s="495">
        <v>633733.07999999996</v>
      </c>
      <c r="M51" s="495">
        <v>645927.47000000009</v>
      </c>
      <c r="N51" s="493">
        <f t="shared" ref="N51:N53" si="25">SUM(B51:M51)</f>
        <v>7588943.0599999996</v>
      </c>
      <c r="P51" s="493"/>
    </row>
    <row r="52" spans="1:16" x14ac:dyDescent="0.2">
      <c r="A52" s="494" t="s">
        <v>57</v>
      </c>
      <c r="B52" s="495">
        <v>372960.99000000005</v>
      </c>
      <c r="C52" s="495">
        <v>373290.82</v>
      </c>
      <c r="D52" s="495">
        <v>394029.23</v>
      </c>
      <c r="E52" s="495">
        <v>393708.52999999991</v>
      </c>
      <c r="F52" s="495">
        <v>317192.07</v>
      </c>
      <c r="G52" s="495">
        <v>785439.97</v>
      </c>
      <c r="H52" s="495">
        <v>211861.93</v>
      </c>
      <c r="I52" s="495">
        <v>411338.90999999992</v>
      </c>
      <c r="J52" s="495">
        <v>498785.38</v>
      </c>
      <c r="K52" s="495">
        <v>464868.58</v>
      </c>
      <c r="L52" s="495">
        <v>426985.44000000006</v>
      </c>
      <c r="M52" s="495">
        <v>408138.08999999997</v>
      </c>
      <c r="N52" s="493">
        <f t="shared" si="25"/>
        <v>5058599.9400000004</v>
      </c>
      <c r="O52" s="492"/>
      <c r="P52" s="493"/>
    </row>
    <row r="53" spans="1:16" x14ac:dyDescent="0.2">
      <c r="A53" s="494" t="s">
        <v>86</v>
      </c>
      <c r="B53" s="492">
        <f>B54-SUM(B51:B52)</f>
        <v>419098.8599999994</v>
      </c>
      <c r="C53" s="492">
        <f t="shared" ref="C53:M53" si="26">C54-SUM(C51:C52)</f>
        <v>363716.84000000032</v>
      </c>
      <c r="D53" s="492">
        <f t="shared" si="26"/>
        <v>420501.4299999997</v>
      </c>
      <c r="E53" s="492">
        <f t="shared" si="26"/>
        <v>548462.7600797785</v>
      </c>
      <c r="F53" s="492">
        <f t="shared" si="26"/>
        <v>467637.70915111061</v>
      </c>
      <c r="G53" s="492">
        <f t="shared" si="26"/>
        <v>430060.63110166648</v>
      </c>
      <c r="H53" s="492">
        <f t="shared" si="26"/>
        <v>1326963.2374896109</v>
      </c>
      <c r="I53" s="492">
        <f t="shared" si="26"/>
        <v>467794.60558112513</v>
      </c>
      <c r="J53" s="492">
        <f t="shared" si="26"/>
        <v>771770.23560675024</v>
      </c>
      <c r="K53" s="492">
        <f t="shared" si="26"/>
        <v>568180.35519875004</v>
      </c>
      <c r="L53" s="492">
        <f t="shared" si="26"/>
        <v>432740.82574999938</v>
      </c>
      <c r="M53" s="492">
        <f t="shared" si="26"/>
        <v>392259.12000000011</v>
      </c>
      <c r="N53" s="493">
        <f t="shared" si="25"/>
        <v>6609186.6099587912</v>
      </c>
      <c r="P53" s="493"/>
    </row>
    <row r="54" spans="1:16" x14ac:dyDescent="0.2">
      <c r="A54" s="494" t="s">
        <v>6</v>
      </c>
      <c r="B54" s="496">
        <v>1461125.7699999996</v>
      </c>
      <c r="C54" s="496">
        <v>1395942.5600000003</v>
      </c>
      <c r="D54" s="496">
        <v>1356814.3899999997</v>
      </c>
      <c r="E54" s="496">
        <v>1605919.9800797782</v>
      </c>
      <c r="F54" s="496">
        <v>1239143.0191511107</v>
      </c>
      <c r="G54" s="496">
        <v>2312704.2811016664</v>
      </c>
      <c r="H54" s="496">
        <v>1871014.8874896111</v>
      </c>
      <c r="I54" s="496">
        <v>1398301.845581125</v>
      </c>
      <c r="J54" s="496">
        <v>2000616.5456067501</v>
      </c>
      <c r="K54" s="496">
        <v>1675362.3051987502</v>
      </c>
      <c r="L54" s="496">
        <v>1493459.3457499994</v>
      </c>
      <c r="M54" s="496">
        <v>1446324.6800000002</v>
      </c>
      <c r="N54" s="497">
        <f t="shared" ref="N54" si="27">SUM(N51:N53)</f>
        <v>19256729.60995879</v>
      </c>
      <c r="P54" s="493"/>
    </row>
    <row r="55" spans="1:16" x14ac:dyDescent="0.2">
      <c r="A55" s="494" t="s">
        <v>42</v>
      </c>
      <c r="B55" s="498">
        <f>SUM(B51:B53)-B54</f>
        <v>0</v>
      </c>
      <c r="C55" s="498">
        <f t="shared" ref="C55:N55" si="28">SUM(C51:C53)-C54</f>
        <v>0</v>
      </c>
      <c r="D55" s="498">
        <f t="shared" si="28"/>
        <v>0</v>
      </c>
      <c r="E55" s="498">
        <f t="shared" si="28"/>
        <v>0</v>
      </c>
      <c r="F55" s="498">
        <f t="shared" si="28"/>
        <v>0</v>
      </c>
      <c r="G55" s="498">
        <f t="shared" si="28"/>
        <v>0</v>
      </c>
      <c r="H55" s="498">
        <f t="shared" si="28"/>
        <v>0</v>
      </c>
      <c r="I55" s="498">
        <f t="shared" si="28"/>
        <v>0</v>
      </c>
      <c r="J55" s="498">
        <f t="shared" si="28"/>
        <v>0</v>
      </c>
      <c r="K55" s="498">
        <f t="shared" si="28"/>
        <v>0</v>
      </c>
      <c r="L55" s="498">
        <f t="shared" si="28"/>
        <v>0</v>
      </c>
      <c r="M55" s="498">
        <f t="shared" si="28"/>
        <v>0</v>
      </c>
      <c r="N55" s="498">
        <f t="shared" si="28"/>
        <v>0</v>
      </c>
      <c r="P55" s="493"/>
    </row>
    <row r="56" spans="1:16" x14ac:dyDescent="0.2">
      <c r="A56" s="494"/>
      <c r="B56" s="492"/>
      <c r="C56" s="492"/>
      <c r="D56" s="492"/>
      <c r="E56" s="492"/>
      <c r="F56" s="492"/>
      <c r="G56" s="492"/>
      <c r="H56" s="492"/>
      <c r="I56" s="492"/>
      <c r="J56" s="492"/>
      <c r="K56" s="492"/>
      <c r="L56" s="492"/>
      <c r="M56" s="492"/>
      <c r="N56" s="493"/>
      <c r="P56" s="493"/>
    </row>
    <row r="57" spans="1:16" x14ac:dyDescent="0.2">
      <c r="A57" s="491" t="s">
        <v>87</v>
      </c>
      <c r="B57" s="492"/>
      <c r="C57" s="492"/>
      <c r="D57" s="492"/>
      <c r="E57" s="492"/>
      <c r="F57" s="492"/>
      <c r="G57" s="492"/>
      <c r="H57" s="492"/>
      <c r="I57" s="492"/>
      <c r="J57" s="492"/>
      <c r="K57" s="492"/>
      <c r="L57" s="492"/>
      <c r="M57" s="492"/>
      <c r="N57" s="493"/>
      <c r="P57" s="493"/>
    </row>
    <row r="58" spans="1:16" x14ac:dyDescent="0.2">
      <c r="A58" s="494" t="s">
        <v>56</v>
      </c>
      <c r="B58" s="495">
        <v>1520730.8299999998</v>
      </c>
      <c r="C58" s="495">
        <v>1522028.83</v>
      </c>
      <c r="D58" s="495">
        <v>1494418.8299999998</v>
      </c>
      <c r="E58" s="495">
        <v>1103909.1900000004</v>
      </c>
      <c r="F58" s="495">
        <v>1239618.1000000001</v>
      </c>
      <c r="G58" s="495">
        <v>2346435.4300000002</v>
      </c>
      <c r="H58" s="495">
        <v>643021.93999999971</v>
      </c>
      <c r="I58" s="495">
        <v>1058618.2999999998</v>
      </c>
      <c r="J58" s="495">
        <v>1645652.51</v>
      </c>
      <c r="K58" s="495">
        <v>1342307.93</v>
      </c>
      <c r="L58" s="495">
        <v>1478717.8099999998</v>
      </c>
      <c r="M58" s="495">
        <v>1370213.13</v>
      </c>
      <c r="N58" s="493">
        <f t="shared" ref="N58:N60" si="29">SUM(B58:M58)</f>
        <v>16765672.829999998</v>
      </c>
      <c r="P58" s="493"/>
    </row>
    <row r="59" spans="1:16" x14ac:dyDescent="0.2">
      <c r="A59" s="494" t="s">
        <v>57</v>
      </c>
      <c r="B59" s="495">
        <v>1080568.8400000003</v>
      </c>
      <c r="C59" s="495">
        <v>1087300.1199999999</v>
      </c>
      <c r="D59" s="495">
        <v>1020180.8599999996</v>
      </c>
      <c r="E59" s="495">
        <v>1162347.7400000002</v>
      </c>
      <c r="F59" s="495">
        <v>916481.45000000019</v>
      </c>
      <c r="G59" s="495">
        <v>1678639.4600000002</v>
      </c>
      <c r="H59" s="495">
        <v>437207.8499999998</v>
      </c>
      <c r="I59" s="495">
        <v>729992.42999999993</v>
      </c>
      <c r="J59" s="495">
        <v>1248310.2599999998</v>
      </c>
      <c r="K59" s="495">
        <v>917200.81</v>
      </c>
      <c r="L59" s="495">
        <v>927844.77000000014</v>
      </c>
      <c r="M59" s="495">
        <v>1064443.99</v>
      </c>
      <c r="N59" s="493">
        <f t="shared" si="29"/>
        <v>12270518.579999998</v>
      </c>
      <c r="P59" s="493"/>
    </row>
    <row r="60" spans="1:16" x14ac:dyDescent="0.2">
      <c r="A60" s="494" t="s">
        <v>86</v>
      </c>
      <c r="B60" s="492">
        <f>B61-SUM(B58:B59)</f>
        <v>1424029.1800000002</v>
      </c>
      <c r="C60" s="492">
        <f t="shared" ref="C60:M60" si="30">C61-SUM(C58:C59)</f>
        <v>1467469.6999999997</v>
      </c>
      <c r="D60" s="492">
        <f t="shared" si="30"/>
        <v>1359390.7800000003</v>
      </c>
      <c r="E60" s="492">
        <f t="shared" si="30"/>
        <v>1779846.2799999998</v>
      </c>
      <c r="F60" s="492">
        <f t="shared" si="30"/>
        <v>1397701.7799999993</v>
      </c>
      <c r="G60" s="492">
        <f t="shared" si="30"/>
        <v>1068433.2299999995</v>
      </c>
      <c r="H60" s="492">
        <f t="shared" si="30"/>
        <v>3059962.9899999998</v>
      </c>
      <c r="I60" s="492">
        <f t="shared" si="30"/>
        <v>1000193.8300000008</v>
      </c>
      <c r="J60" s="492">
        <f t="shared" si="30"/>
        <v>3230417.8599999994</v>
      </c>
      <c r="K60" s="492">
        <f t="shared" si="30"/>
        <v>1750439.9200000004</v>
      </c>
      <c r="L60" s="492">
        <f t="shared" si="30"/>
        <v>1394498.9</v>
      </c>
      <c r="M60" s="492">
        <f t="shared" si="30"/>
        <v>1661485.5499999989</v>
      </c>
      <c r="N60" s="493">
        <f t="shared" si="29"/>
        <v>20593870</v>
      </c>
      <c r="P60" s="493"/>
    </row>
    <row r="61" spans="1:16" s="493" customFormat="1" x14ac:dyDescent="0.2">
      <c r="A61" s="494" t="s">
        <v>6</v>
      </c>
      <c r="B61" s="496">
        <v>4025328.85</v>
      </c>
      <c r="C61" s="496">
        <v>4076798.65</v>
      </c>
      <c r="D61" s="496">
        <v>3873990.4699999997</v>
      </c>
      <c r="E61" s="496">
        <v>4046103.2100000004</v>
      </c>
      <c r="F61" s="496">
        <v>3553801.3299999996</v>
      </c>
      <c r="G61" s="496">
        <v>5093508.12</v>
      </c>
      <c r="H61" s="496">
        <v>4140192.7799999993</v>
      </c>
      <c r="I61" s="496">
        <v>2788804.5600000005</v>
      </c>
      <c r="J61" s="496">
        <v>6124380.629999999</v>
      </c>
      <c r="K61" s="496">
        <v>4009948.6600000006</v>
      </c>
      <c r="L61" s="496">
        <v>3801061.48</v>
      </c>
      <c r="M61" s="496">
        <v>4096142.669999999</v>
      </c>
      <c r="N61" s="497">
        <f t="shared" ref="N61" si="31">SUM(N58:N60)</f>
        <v>49630061.409999996</v>
      </c>
    </row>
    <row r="62" spans="1:16" x14ac:dyDescent="0.2">
      <c r="A62" s="494" t="s">
        <v>42</v>
      </c>
      <c r="B62" s="498">
        <f>SUM(B58:B60)-B61</f>
        <v>0</v>
      </c>
      <c r="C62" s="498">
        <f t="shared" ref="C62:N62" si="32">SUM(C58:C60)-C61</f>
        <v>0</v>
      </c>
      <c r="D62" s="498">
        <f t="shared" si="32"/>
        <v>0</v>
      </c>
      <c r="E62" s="498">
        <f t="shared" si="32"/>
        <v>0</v>
      </c>
      <c r="F62" s="498">
        <f t="shared" si="32"/>
        <v>0</v>
      </c>
      <c r="G62" s="498">
        <f t="shared" si="32"/>
        <v>0</v>
      </c>
      <c r="H62" s="498">
        <f t="shared" si="32"/>
        <v>0</v>
      </c>
      <c r="I62" s="498">
        <f t="shared" si="32"/>
        <v>0</v>
      </c>
      <c r="J62" s="498">
        <f t="shared" si="32"/>
        <v>0</v>
      </c>
      <c r="K62" s="498">
        <f t="shared" si="32"/>
        <v>0</v>
      </c>
      <c r="L62" s="498">
        <f t="shared" si="32"/>
        <v>0</v>
      </c>
      <c r="M62" s="498">
        <f t="shared" si="32"/>
        <v>0</v>
      </c>
      <c r="N62" s="498">
        <f t="shared" si="32"/>
        <v>0</v>
      </c>
      <c r="P62" s="493"/>
    </row>
    <row r="63" spans="1:16" x14ac:dyDescent="0.2">
      <c r="A63" s="494"/>
      <c r="B63" s="493"/>
      <c r="C63" s="493"/>
      <c r="D63" s="493"/>
      <c r="E63" s="493"/>
      <c r="F63" s="493"/>
      <c r="G63" s="493"/>
      <c r="H63" s="493"/>
      <c r="I63" s="493"/>
      <c r="J63" s="493"/>
      <c r="K63" s="493"/>
      <c r="L63" s="493"/>
      <c r="M63" s="493"/>
      <c r="N63" s="493"/>
      <c r="P63" s="493"/>
    </row>
    <row r="64" spans="1:16" x14ac:dyDescent="0.2">
      <c r="A64" s="491" t="s">
        <v>303</v>
      </c>
      <c r="B64" s="492"/>
      <c r="C64" s="492"/>
      <c r="D64" s="492"/>
      <c r="E64" s="492"/>
      <c r="F64" s="492"/>
      <c r="G64" s="492"/>
      <c r="H64" s="492"/>
      <c r="I64" s="492"/>
      <c r="J64" s="492"/>
      <c r="K64" s="492"/>
      <c r="L64" s="492"/>
      <c r="M64" s="492"/>
      <c r="N64" s="493"/>
      <c r="P64" s="493"/>
    </row>
    <row r="65" spans="1:16" x14ac:dyDescent="0.2">
      <c r="A65" s="494" t="s">
        <v>59</v>
      </c>
      <c r="B65" s="495">
        <v>55713.5452</v>
      </c>
      <c r="C65" s="495">
        <v>45571.507100000003</v>
      </c>
      <c r="D65" s="495">
        <v>54454.667000000009</v>
      </c>
      <c r="E65" s="495">
        <v>120677.18580000001</v>
      </c>
      <c r="F65" s="495">
        <v>99443.917099999977</v>
      </c>
      <c r="G65" s="495">
        <v>103466.89210000003</v>
      </c>
      <c r="H65" s="495">
        <v>107756.8045</v>
      </c>
      <c r="I65" s="495">
        <v>95277.763400000011</v>
      </c>
      <c r="J65" s="495">
        <v>112644.11949999999</v>
      </c>
      <c r="K65" s="495">
        <v>83588.173900000023</v>
      </c>
      <c r="L65" s="495">
        <v>90610.878199999977</v>
      </c>
      <c r="M65" s="495">
        <v>55110.657100000004</v>
      </c>
      <c r="N65" s="493">
        <f t="shared" ref="N65:N66" si="33">SUM(B65:M65)</f>
        <v>1024316.1109</v>
      </c>
      <c r="P65" s="493"/>
    </row>
    <row r="66" spans="1:16" x14ac:dyDescent="0.2">
      <c r="A66" s="494" t="s">
        <v>89</v>
      </c>
      <c r="B66" s="492">
        <f>B67-B65</f>
        <v>134623.48980987101</v>
      </c>
      <c r="C66" s="492">
        <f t="shared" ref="C66:M66" si="34">C67-C65</f>
        <v>61022.5964143358</v>
      </c>
      <c r="D66" s="492">
        <f t="shared" si="34"/>
        <v>98909.484746775473</v>
      </c>
      <c r="E66" s="492">
        <f t="shared" si="34"/>
        <v>270988.92510537663</v>
      </c>
      <c r="F66" s="492">
        <f t="shared" si="34"/>
        <v>521436.10058302584</v>
      </c>
      <c r="G66" s="492">
        <f t="shared" si="34"/>
        <v>628834.7427273792</v>
      </c>
      <c r="H66" s="492">
        <f t="shared" si="34"/>
        <v>699414.36250358017</v>
      </c>
      <c r="I66" s="492">
        <f t="shared" si="34"/>
        <v>723128.53567444603</v>
      </c>
      <c r="J66" s="492">
        <f t="shared" si="34"/>
        <v>510517.75410718931</v>
      </c>
      <c r="K66" s="492">
        <f t="shared" si="34"/>
        <v>465537.64931656641</v>
      </c>
      <c r="L66" s="492">
        <f t="shared" si="34"/>
        <v>1289643.2125836264</v>
      </c>
      <c r="M66" s="492">
        <f t="shared" si="34"/>
        <v>-828049.37078162679</v>
      </c>
      <c r="N66" s="493">
        <f t="shared" si="33"/>
        <v>4576007.4827905456</v>
      </c>
      <c r="P66" s="493"/>
    </row>
    <row r="67" spans="1:16" x14ac:dyDescent="0.2">
      <c r="A67" s="494" t="s">
        <v>6</v>
      </c>
      <c r="B67" s="496">
        <v>190337.035009871</v>
      </c>
      <c r="C67" s="496">
        <v>106594.1035143358</v>
      </c>
      <c r="D67" s="496">
        <v>153364.15174677549</v>
      </c>
      <c r="E67" s="496">
        <v>391666.11090537667</v>
      </c>
      <c r="F67" s="496">
        <v>620880.0176830258</v>
      </c>
      <c r="G67" s="496">
        <v>732301.63482737925</v>
      </c>
      <c r="H67" s="496">
        <v>807171.16700358014</v>
      </c>
      <c r="I67" s="496">
        <v>818406.29907444608</v>
      </c>
      <c r="J67" s="496">
        <v>623161.87360718928</v>
      </c>
      <c r="K67" s="496">
        <v>549125.82321656647</v>
      </c>
      <c r="L67" s="496">
        <v>1380254.0907836263</v>
      </c>
      <c r="M67" s="496">
        <v>-772938.71368162683</v>
      </c>
      <c r="N67" s="497">
        <f t="shared" ref="N67" si="35">SUM(N65:N66)</f>
        <v>5600323.5936905453</v>
      </c>
      <c r="P67" s="493"/>
    </row>
    <row r="68" spans="1:16" s="493" customFormat="1" x14ac:dyDescent="0.2">
      <c r="A68" s="494" t="s">
        <v>42</v>
      </c>
      <c r="B68" s="498">
        <f>SUM(B65:B66)-B67</f>
        <v>0</v>
      </c>
      <c r="C68" s="498">
        <f t="shared" ref="C68:N68" si="36">SUM(C65:C66)-C67</f>
        <v>0</v>
      </c>
      <c r="D68" s="498">
        <f t="shared" si="36"/>
        <v>0</v>
      </c>
      <c r="E68" s="498">
        <f t="shared" si="36"/>
        <v>0</v>
      </c>
      <c r="F68" s="498">
        <f t="shared" si="36"/>
        <v>0</v>
      </c>
      <c r="G68" s="498">
        <f t="shared" si="36"/>
        <v>0</v>
      </c>
      <c r="H68" s="498">
        <f t="shared" si="36"/>
        <v>0</v>
      </c>
      <c r="I68" s="498">
        <f t="shared" si="36"/>
        <v>0</v>
      </c>
      <c r="J68" s="498">
        <f t="shared" si="36"/>
        <v>0</v>
      </c>
      <c r="K68" s="498">
        <f t="shared" si="36"/>
        <v>0</v>
      </c>
      <c r="L68" s="498">
        <f t="shared" si="36"/>
        <v>0</v>
      </c>
      <c r="M68" s="498">
        <f t="shared" si="36"/>
        <v>0</v>
      </c>
      <c r="N68" s="498">
        <f t="shared" si="36"/>
        <v>0</v>
      </c>
    </row>
    <row r="69" spans="1:16" x14ac:dyDescent="0.2">
      <c r="A69" s="494"/>
      <c r="B69" s="492"/>
      <c r="C69" s="492"/>
      <c r="D69" s="492"/>
      <c r="E69" s="492"/>
      <c r="F69" s="492"/>
      <c r="G69" s="492"/>
      <c r="H69" s="492"/>
      <c r="I69" s="492"/>
      <c r="J69" s="492"/>
      <c r="K69" s="492"/>
      <c r="L69" s="492"/>
      <c r="M69" s="492"/>
      <c r="N69" s="493"/>
      <c r="P69" s="493"/>
    </row>
    <row r="70" spans="1:16" x14ac:dyDescent="0.2">
      <c r="A70" s="491" t="s">
        <v>304</v>
      </c>
      <c r="B70" s="492"/>
      <c r="C70" s="492"/>
      <c r="D70" s="492"/>
      <c r="E70" s="492"/>
      <c r="F70" s="492"/>
      <c r="G70" s="492"/>
      <c r="H70" s="492"/>
      <c r="I70" s="492"/>
      <c r="J70" s="492"/>
      <c r="K70" s="492"/>
      <c r="L70" s="492"/>
      <c r="M70" s="492"/>
      <c r="N70" s="493"/>
      <c r="P70" s="493"/>
    </row>
    <row r="71" spans="1:16" x14ac:dyDescent="0.2">
      <c r="A71" s="494" t="s">
        <v>59</v>
      </c>
      <c r="B71" s="495">
        <v>3890.1480000000001</v>
      </c>
      <c r="C71" s="495">
        <v>4055.4319999999998</v>
      </c>
      <c r="D71" s="495">
        <v>3411.5709999999999</v>
      </c>
      <c r="E71" s="495">
        <v>3108.15</v>
      </c>
      <c r="F71" s="495">
        <v>3890.8199999999997</v>
      </c>
      <c r="G71" s="495">
        <v>2120.41</v>
      </c>
      <c r="H71" s="495">
        <v>2942.7080000000001</v>
      </c>
      <c r="I71" s="495">
        <v>2912.45</v>
      </c>
      <c r="J71" s="495">
        <v>2847.54</v>
      </c>
      <c r="K71" s="495">
        <v>3224.741</v>
      </c>
      <c r="L71" s="495">
        <v>3242.9569999999999</v>
      </c>
      <c r="M71" s="495">
        <v>4018.54</v>
      </c>
      <c r="N71" s="493">
        <f t="shared" ref="N71:N72" si="37">SUM(B71:M71)</f>
        <v>39665.467000000004</v>
      </c>
      <c r="P71" s="493"/>
    </row>
    <row r="72" spans="1:16" x14ac:dyDescent="0.2">
      <c r="A72" s="494" t="s">
        <v>89</v>
      </c>
      <c r="B72" s="492">
        <f>B73-B71</f>
        <v>8708.1450000000004</v>
      </c>
      <c r="C72" s="492">
        <f t="shared" ref="C72:M72" si="38">C73-C71</f>
        <v>16793.812999999998</v>
      </c>
      <c r="D72" s="492">
        <f t="shared" si="38"/>
        <v>11055.253999999999</v>
      </c>
      <c r="E72" s="492">
        <f t="shared" si="38"/>
        <v>10956.505000000001</v>
      </c>
      <c r="F72" s="492">
        <f t="shared" si="38"/>
        <v>17614.498</v>
      </c>
      <c r="G72" s="492">
        <f t="shared" si="38"/>
        <v>2304.8790000000008</v>
      </c>
      <c r="H72" s="492">
        <f t="shared" si="38"/>
        <v>11374.402</v>
      </c>
      <c r="I72" s="492">
        <f t="shared" si="38"/>
        <v>9420.6369999999988</v>
      </c>
      <c r="J72" s="492">
        <f t="shared" si="38"/>
        <v>13611.802</v>
      </c>
      <c r="K72" s="492">
        <f t="shared" si="38"/>
        <v>8581.14</v>
      </c>
      <c r="L72" s="492">
        <f t="shared" si="38"/>
        <v>5714.4549999999999</v>
      </c>
      <c r="M72" s="492">
        <f t="shared" si="38"/>
        <v>17045.896999999997</v>
      </c>
      <c r="N72" s="493">
        <f t="shared" si="37"/>
        <v>133181.42700000003</v>
      </c>
      <c r="P72" s="493"/>
    </row>
    <row r="73" spans="1:16" x14ac:dyDescent="0.2">
      <c r="A73" s="494" t="s">
        <v>6</v>
      </c>
      <c r="B73" s="496">
        <v>12598.293</v>
      </c>
      <c r="C73" s="496">
        <v>20849.244999999999</v>
      </c>
      <c r="D73" s="496">
        <v>14466.824999999999</v>
      </c>
      <c r="E73" s="496">
        <v>14064.655000000001</v>
      </c>
      <c r="F73" s="496">
        <v>21505.317999999999</v>
      </c>
      <c r="G73" s="496">
        <v>4425.2890000000007</v>
      </c>
      <c r="H73" s="496">
        <v>14317.11</v>
      </c>
      <c r="I73" s="496">
        <v>12333.087</v>
      </c>
      <c r="J73" s="496">
        <v>16459.342000000001</v>
      </c>
      <c r="K73" s="496">
        <v>11805.880999999999</v>
      </c>
      <c r="L73" s="496">
        <v>8957.4120000000003</v>
      </c>
      <c r="M73" s="496">
        <v>21064.436999999998</v>
      </c>
      <c r="N73" s="497">
        <f t="shared" ref="N73" si="39">SUM(N71:N72)</f>
        <v>172846.89400000003</v>
      </c>
      <c r="P73" s="493"/>
    </row>
    <row r="74" spans="1:16" x14ac:dyDescent="0.2">
      <c r="A74" s="494" t="s">
        <v>42</v>
      </c>
      <c r="B74" s="498">
        <f>SUM(B71:B72)-B73</f>
        <v>0</v>
      </c>
      <c r="C74" s="498">
        <f t="shared" ref="C74:N74" si="40">SUM(C71:C72)-C73</f>
        <v>0</v>
      </c>
      <c r="D74" s="498">
        <f t="shared" si="40"/>
        <v>0</v>
      </c>
      <c r="E74" s="498">
        <f t="shared" si="40"/>
        <v>0</v>
      </c>
      <c r="F74" s="498">
        <f t="shared" si="40"/>
        <v>0</v>
      </c>
      <c r="G74" s="498">
        <f t="shared" si="40"/>
        <v>0</v>
      </c>
      <c r="H74" s="498">
        <f t="shared" si="40"/>
        <v>0</v>
      </c>
      <c r="I74" s="498">
        <f t="shared" si="40"/>
        <v>0</v>
      </c>
      <c r="J74" s="498">
        <f t="shared" si="40"/>
        <v>0</v>
      </c>
      <c r="K74" s="498">
        <f t="shared" si="40"/>
        <v>0</v>
      </c>
      <c r="L74" s="498">
        <f t="shared" si="40"/>
        <v>0</v>
      </c>
      <c r="M74" s="498">
        <f t="shared" si="40"/>
        <v>0</v>
      </c>
      <c r="N74" s="498">
        <f t="shared" si="40"/>
        <v>0</v>
      </c>
      <c r="P74" s="493"/>
    </row>
    <row r="75" spans="1:16" s="493" customFormat="1" x14ac:dyDescent="0.2"/>
    <row r="76" spans="1:16" s="493" customFormat="1" x14ac:dyDescent="0.2">
      <c r="A76" s="491" t="s">
        <v>305</v>
      </c>
      <c r="B76" s="492"/>
      <c r="C76" s="492"/>
      <c r="D76" s="492"/>
      <c r="E76" s="492"/>
      <c r="F76" s="492"/>
      <c r="G76" s="492"/>
      <c r="H76" s="492"/>
      <c r="I76" s="492"/>
      <c r="J76" s="492"/>
      <c r="K76" s="492"/>
      <c r="L76" s="492"/>
      <c r="M76" s="492"/>
    </row>
    <row r="77" spans="1:16" s="493" customFormat="1" x14ac:dyDescent="0.2">
      <c r="A77" s="494" t="s">
        <v>59</v>
      </c>
      <c r="B77" s="495">
        <v>1000</v>
      </c>
      <c r="C77" s="495">
        <v>1000</v>
      </c>
      <c r="D77" s="495">
        <v>1000</v>
      </c>
      <c r="E77" s="495">
        <v>16000</v>
      </c>
      <c r="F77" s="495">
        <v>4000</v>
      </c>
      <c r="G77" s="495">
        <v>0</v>
      </c>
      <c r="H77" s="495">
        <v>2000</v>
      </c>
      <c r="I77" s="495">
        <v>6000</v>
      </c>
      <c r="J77" s="495">
        <v>1000</v>
      </c>
      <c r="K77" s="495">
        <v>2018.62</v>
      </c>
      <c r="L77" s="495">
        <v>3000</v>
      </c>
      <c r="M77" s="495">
        <v>3000</v>
      </c>
      <c r="N77" s="493">
        <f t="shared" ref="N77:N78" si="41">SUM(B77:M77)</f>
        <v>40018.620000000003</v>
      </c>
    </row>
    <row r="78" spans="1:16" s="493" customFormat="1" x14ac:dyDescent="0.2">
      <c r="A78" s="494" t="s">
        <v>89</v>
      </c>
      <c r="B78" s="492">
        <f>B79-B77</f>
        <v>17321.95</v>
      </c>
      <c r="C78" s="492">
        <f t="shared" ref="C78:M78" si="42">C79-C77</f>
        <v>17168.88</v>
      </c>
      <c r="D78" s="492">
        <f t="shared" si="42"/>
        <v>17204.89</v>
      </c>
      <c r="E78" s="492">
        <f t="shared" si="42"/>
        <v>69671.539999999994</v>
      </c>
      <c r="F78" s="492">
        <f t="shared" si="42"/>
        <v>51425.62</v>
      </c>
      <c r="G78" s="492">
        <f t="shared" si="42"/>
        <v>0</v>
      </c>
      <c r="H78" s="492">
        <f t="shared" si="42"/>
        <v>29369.29</v>
      </c>
      <c r="I78" s="492">
        <f t="shared" si="42"/>
        <v>119787</v>
      </c>
      <c r="J78" s="492">
        <f t="shared" si="42"/>
        <v>26601.58</v>
      </c>
      <c r="K78" s="492">
        <f t="shared" si="42"/>
        <v>27090.870000000003</v>
      </c>
      <c r="L78" s="492">
        <f t="shared" si="42"/>
        <v>46911.65</v>
      </c>
      <c r="M78" s="492">
        <f t="shared" si="42"/>
        <v>44176.44</v>
      </c>
      <c r="N78" s="493">
        <f t="shared" si="41"/>
        <v>466729.71000000008</v>
      </c>
    </row>
    <row r="79" spans="1:16" s="493" customFormat="1" x14ac:dyDescent="0.2">
      <c r="A79" s="494" t="s">
        <v>6</v>
      </c>
      <c r="B79" s="496">
        <v>18321.95</v>
      </c>
      <c r="C79" s="496">
        <v>18168.88</v>
      </c>
      <c r="D79" s="496">
        <v>18204.89</v>
      </c>
      <c r="E79" s="496">
        <v>85671.54</v>
      </c>
      <c r="F79" s="496">
        <v>55425.62</v>
      </c>
      <c r="G79" s="496">
        <v>0</v>
      </c>
      <c r="H79" s="496">
        <v>31369.29</v>
      </c>
      <c r="I79" s="496">
        <v>125787</v>
      </c>
      <c r="J79" s="496">
        <v>27601.58</v>
      </c>
      <c r="K79" s="496">
        <v>29109.49</v>
      </c>
      <c r="L79" s="496">
        <v>49911.65</v>
      </c>
      <c r="M79" s="496">
        <v>47176.44</v>
      </c>
      <c r="N79" s="497">
        <f t="shared" ref="N79" si="43">SUM(N77:N78)</f>
        <v>506748.33000000007</v>
      </c>
    </row>
    <row r="80" spans="1:16" s="493" customFormat="1" x14ac:dyDescent="0.2">
      <c r="A80" s="494" t="s">
        <v>42</v>
      </c>
      <c r="B80" s="498">
        <f>SUM(B77:B78)-B79</f>
        <v>0</v>
      </c>
      <c r="C80" s="498">
        <f t="shared" ref="C80:N80" si="44">SUM(C77:C78)-C79</f>
        <v>0</v>
      </c>
      <c r="D80" s="498">
        <f t="shared" si="44"/>
        <v>0</v>
      </c>
      <c r="E80" s="498">
        <f t="shared" si="44"/>
        <v>0</v>
      </c>
      <c r="F80" s="498">
        <f t="shared" si="44"/>
        <v>0</v>
      </c>
      <c r="G80" s="498">
        <f t="shared" si="44"/>
        <v>0</v>
      </c>
      <c r="H80" s="498">
        <f t="shared" si="44"/>
        <v>0</v>
      </c>
      <c r="I80" s="498">
        <f t="shared" si="44"/>
        <v>0</v>
      </c>
      <c r="J80" s="498">
        <f t="shared" si="44"/>
        <v>0</v>
      </c>
      <c r="K80" s="498">
        <f t="shared" si="44"/>
        <v>0</v>
      </c>
      <c r="L80" s="498">
        <f t="shared" si="44"/>
        <v>0</v>
      </c>
      <c r="M80" s="498">
        <f t="shared" si="44"/>
        <v>0</v>
      </c>
      <c r="N80" s="498">
        <f t="shared" si="44"/>
        <v>0</v>
      </c>
    </row>
    <row r="81" spans="1:16" s="493" customFormat="1" x14ac:dyDescent="0.2"/>
    <row r="82" spans="1:16" x14ac:dyDescent="0.2">
      <c r="A82" s="491" t="s">
        <v>88</v>
      </c>
      <c r="B82" s="492"/>
      <c r="C82" s="492"/>
      <c r="D82" s="492"/>
      <c r="E82" s="492"/>
      <c r="F82" s="492"/>
      <c r="G82" s="492"/>
      <c r="H82" s="492"/>
      <c r="I82" s="492"/>
      <c r="J82" s="492"/>
      <c r="K82" s="492"/>
      <c r="L82" s="492"/>
      <c r="M82" s="492"/>
      <c r="N82" s="493"/>
      <c r="P82" s="493"/>
    </row>
    <row r="83" spans="1:16" x14ac:dyDescent="0.2">
      <c r="A83" s="494" t="s">
        <v>59</v>
      </c>
      <c r="B83" s="495">
        <v>3000</v>
      </c>
      <c r="C83" s="495">
        <v>3000</v>
      </c>
      <c r="D83" s="495">
        <v>3000</v>
      </c>
      <c r="E83" s="495">
        <v>63033</v>
      </c>
      <c r="F83" s="495">
        <v>9000</v>
      </c>
      <c r="G83" s="495">
        <v>4984.3</v>
      </c>
      <c r="H83" s="495">
        <v>4015.7</v>
      </c>
      <c r="I83" s="495">
        <v>9000</v>
      </c>
      <c r="J83" s="495">
        <v>3000</v>
      </c>
      <c r="K83" s="495">
        <v>6000</v>
      </c>
      <c r="L83" s="495">
        <v>6000</v>
      </c>
      <c r="M83" s="495">
        <v>6000</v>
      </c>
      <c r="N83" s="493">
        <f t="shared" ref="N83:N84" si="45">SUM(B83:M83)</f>
        <v>120033</v>
      </c>
      <c r="P83" s="493"/>
    </row>
    <row r="84" spans="1:16" x14ac:dyDescent="0.2">
      <c r="A84" s="494" t="s">
        <v>89</v>
      </c>
      <c r="B84" s="492">
        <f>B85-B83</f>
        <v>23703.710000000006</v>
      </c>
      <c r="C84" s="492">
        <f t="shared" ref="C84:M84" si="46">C85-C83</f>
        <v>29242.730000000003</v>
      </c>
      <c r="D84" s="492">
        <f t="shared" si="46"/>
        <v>30962.239999999998</v>
      </c>
      <c r="E84" s="492">
        <f t="shared" si="46"/>
        <v>458940.78</v>
      </c>
      <c r="F84" s="492">
        <f t="shared" si="46"/>
        <v>65651.509999999995</v>
      </c>
      <c r="G84" s="492">
        <f t="shared" si="46"/>
        <v>38399.349999999991</v>
      </c>
      <c r="H84" s="492">
        <f t="shared" si="46"/>
        <v>109419.9</v>
      </c>
      <c r="I84" s="492">
        <f t="shared" si="46"/>
        <v>76333.650000000009</v>
      </c>
      <c r="J84" s="492">
        <f t="shared" si="46"/>
        <v>84254.22</v>
      </c>
      <c r="K84" s="492">
        <f t="shared" si="46"/>
        <v>68981.439999999988</v>
      </c>
      <c r="L84" s="492">
        <f t="shared" si="46"/>
        <v>61008.989999999991</v>
      </c>
      <c r="M84" s="492">
        <f t="shared" si="46"/>
        <v>44804.49</v>
      </c>
      <c r="N84" s="493">
        <f t="shared" si="45"/>
        <v>1091703.01</v>
      </c>
      <c r="P84" s="493"/>
    </row>
    <row r="85" spans="1:16" x14ac:dyDescent="0.2">
      <c r="A85" s="494" t="s">
        <v>6</v>
      </c>
      <c r="B85" s="496">
        <v>26703.710000000006</v>
      </c>
      <c r="C85" s="496">
        <v>32242.730000000003</v>
      </c>
      <c r="D85" s="496">
        <v>33962.239999999998</v>
      </c>
      <c r="E85" s="496">
        <v>521973.78</v>
      </c>
      <c r="F85" s="496">
        <v>74651.509999999995</v>
      </c>
      <c r="G85" s="496">
        <v>43383.649999999994</v>
      </c>
      <c r="H85" s="496">
        <v>113435.59999999999</v>
      </c>
      <c r="I85" s="496">
        <v>85333.650000000009</v>
      </c>
      <c r="J85" s="496">
        <v>87254.22</v>
      </c>
      <c r="K85" s="496">
        <v>74981.439999999988</v>
      </c>
      <c r="L85" s="496">
        <v>67008.989999999991</v>
      </c>
      <c r="M85" s="496">
        <v>50804.49</v>
      </c>
      <c r="N85" s="497">
        <f t="shared" ref="N85" si="47">SUM(N83:N84)</f>
        <v>1211736.01</v>
      </c>
      <c r="P85" s="493"/>
    </row>
    <row r="86" spans="1:16" x14ac:dyDescent="0.2">
      <c r="A86" s="494" t="s">
        <v>42</v>
      </c>
      <c r="B86" s="498">
        <f>SUM(B83:B84)-B85</f>
        <v>0</v>
      </c>
      <c r="C86" s="498">
        <f t="shared" ref="C86:N86" si="48">SUM(C83:C84)-C85</f>
        <v>0</v>
      </c>
      <c r="D86" s="498">
        <f t="shared" si="48"/>
        <v>0</v>
      </c>
      <c r="E86" s="498">
        <f t="shared" si="48"/>
        <v>0</v>
      </c>
      <c r="F86" s="498">
        <f t="shared" si="48"/>
        <v>0</v>
      </c>
      <c r="G86" s="498">
        <f t="shared" si="48"/>
        <v>0</v>
      </c>
      <c r="H86" s="498">
        <f t="shared" si="48"/>
        <v>0</v>
      </c>
      <c r="I86" s="498">
        <f t="shared" si="48"/>
        <v>0</v>
      </c>
      <c r="J86" s="498">
        <f t="shared" si="48"/>
        <v>0</v>
      </c>
      <c r="K86" s="498">
        <f t="shared" si="48"/>
        <v>0</v>
      </c>
      <c r="L86" s="498">
        <f t="shared" si="48"/>
        <v>0</v>
      </c>
      <c r="M86" s="498">
        <f t="shared" si="48"/>
        <v>0</v>
      </c>
      <c r="N86" s="498">
        <f t="shared" si="48"/>
        <v>0</v>
      </c>
      <c r="O86" s="492"/>
      <c r="P86" s="493"/>
    </row>
    <row r="87" spans="1:16" x14ac:dyDescent="0.2">
      <c r="P87" s="493"/>
    </row>
    <row r="88" spans="1:16" x14ac:dyDescent="0.2">
      <c r="A88" s="387" t="s">
        <v>306</v>
      </c>
      <c r="B88" s="492"/>
      <c r="C88" s="492"/>
      <c r="D88" s="492"/>
      <c r="E88" s="492"/>
      <c r="F88" s="492"/>
      <c r="G88" s="492"/>
      <c r="H88" s="492"/>
      <c r="I88" s="492"/>
      <c r="J88" s="492"/>
      <c r="K88" s="492"/>
      <c r="L88" s="492"/>
      <c r="M88" s="492"/>
      <c r="N88" s="493"/>
      <c r="P88" s="493"/>
    </row>
    <row r="89" spans="1:16" x14ac:dyDescent="0.2">
      <c r="A89" s="494" t="s">
        <v>56</v>
      </c>
      <c r="B89" s="495">
        <v>-1017125.9029999999</v>
      </c>
      <c r="C89" s="495">
        <v>1292125.9029999999</v>
      </c>
      <c r="D89" s="495">
        <v>97747.714000000007</v>
      </c>
      <c r="E89" s="495">
        <v>152252.28599999999</v>
      </c>
      <c r="F89" s="495">
        <v>125000</v>
      </c>
      <c r="G89" s="495">
        <v>154167</v>
      </c>
      <c r="H89" s="495">
        <v>75000</v>
      </c>
      <c r="I89" s="495">
        <v>120833</v>
      </c>
      <c r="J89" s="495">
        <v>125000</v>
      </c>
      <c r="K89" s="495">
        <v>150000</v>
      </c>
      <c r="L89" s="495">
        <v>100000</v>
      </c>
      <c r="M89" s="495">
        <v>137193</v>
      </c>
      <c r="N89" s="493">
        <f t="shared" ref="N89:N94" si="49">SUM(B89:M89)</f>
        <v>1512193</v>
      </c>
      <c r="P89" s="493"/>
    </row>
    <row r="90" spans="1:16" x14ac:dyDescent="0.2">
      <c r="A90" s="494" t="s">
        <v>57</v>
      </c>
      <c r="B90" s="495">
        <v>138263.88800000001</v>
      </c>
      <c r="C90" s="495">
        <v>114769.96</v>
      </c>
      <c r="D90" s="495">
        <v>75002</v>
      </c>
      <c r="E90" s="495">
        <v>135048.86900000001</v>
      </c>
      <c r="F90" s="495">
        <v>125000</v>
      </c>
      <c r="G90" s="495">
        <v>154166</v>
      </c>
      <c r="H90" s="495">
        <v>75000</v>
      </c>
      <c r="I90" s="495">
        <v>120834</v>
      </c>
      <c r="J90" s="495">
        <v>120886.97</v>
      </c>
      <c r="K90" s="495">
        <v>132928.747</v>
      </c>
      <c r="L90" s="495">
        <v>81115.681000000011</v>
      </c>
      <c r="M90" s="495">
        <v>125000</v>
      </c>
      <c r="N90" s="493">
        <f t="shared" si="49"/>
        <v>1398016.115</v>
      </c>
      <c r="P90" s="493"/>
    </row>
    <row r="91" spans="1:16" s="493" customFormat="1" x14ac:dyDescent="0.2">
      <c r="A91" s="494" t="s">
        <v>62</v>
      </c>
      <c r="B91" s="495">
        <v>214348.38500000001</v>
      </c>
      <c r="C91" s="495">
        <v>163083.65599999999</v>
      </c>
      <c r="D91" s="495">
        <v>107780.40999999999</v>
      </c>
      <c r="E91" s="495">
        <v>198857.35200000001</v>
      </c>
      <c r="F91" s="495">
        <v>205325.61499999999</v>
      </c>
      <c r="G91" s="495">
        <v>247351.13550000003</v>
      </c>
      <c r="H91" s="495">
        <v>154138.10149999999</v>
      </c>
      <c r="I91" s="495">
        <v>197476.399</v>
      </c>
      <c r="J91" s="495">
        <v>200000</v>
      </c>
      <c r="K91" s="495">
        <v>250000</v>
      </c>
      <c r="L91" s="495">
        <v>150000</v>
      </c>
      <c r="M91" s="495">
        <v>228529.04199999999</v>
      </c>
      <c r="N91" s="493">
        <f t="shared" si="49"/>
        <v>2316890.0959999999</v>
      </c>
    </row>
    <row r="92" spans="1:16" x14ac:dyDescent="0.2">
      <c r="A92" s="494" t="s">
        <v>63</v>
      </c>
      <c r="B92" s="495">
        <v>103073.18949999986</v>
      </c>
      <c r="C92" s="495">
        <v>3147.0750000000844</v>
      </c>
      <c r="D92" s="495">
        <v>11140.85749999994</v>
      </c>
      <c r="E92" s="495">
        <v>185283.242</v>
      </c>
      <c r="F92" s="495">
        <v>743315.86349999998</v>
      </c>
      <c r="G92" s="495">
        <v>-2433.4319999999716</v>
      </c>
      <c r="H92" s="495">
        <v>685530.91299999994</v>
      </c>
      <c r="I92" s="495">
        <v>336606.59600000002</v>
      </c>
      <c r="J92" s="495">
        <v>163767.62950000004</v>
      </c>
      <c r="K92" s="495">
        <v>656881.98849999998</v>
      </c>
      <c r="L92" s="495">
        <v>-9849.9674999999406</v>
      </c>
      <c r="M92" s="495">
        <v>168792.92300000001</v>
      </c>
      <c r="N92" s="493">
        <f t="shared" si="49"/>
        <v>3045256.8779999996</v>
      </c>
      <c r="P92" s="493"/>
    </row>
    <row r="93" spans="1:16" x14ac:dyDescent="0.2">
      <c r="A93" s="494" t="s">
        <v>64</v>
      </c>
      <c r="B93" s="495">
        <v>300000</v>
      </c>
      <c r="C93" s="495">
        <v>300000</v>
      </c>
      <c r="D93" s="495">
        <v>300000</v>
      </c>
      <c r="E93" s="495">
        <v>300000</v>
      </c>
      <c r="F93" s="495">
        <v>1132564.3785000001</v>
      </c>
      <c r="G93" s="495">
        <v>-211801.31150000013</v>
      </c>
      <c r="H93" s="495">
        <v>83968.783500000107</v>
      </c>
      <c r="I93" s="495">
        <v>1449621.1384999999</v>
      </c>
      <c r="J93" s="495">
        <v>-762310.78599999985</v>
      </c>
      <c r="K93" s="495">
        <v>353323.82349999994</v>
      </c>
      <c r="L93" s="495">
        <v>246676.17650000006</v>
      </c>
      <c r="M93" s="495">
        <v>300000</v>
      </c>
      <c r="N93" s="493">
        <f t="shared" si="49"/>
        <v>3792042.2029999997</v>
      </c>
      <c r="P93" s="493"/>
    </row>
    <row r="94" spans="1:16" x14ac:dyDescent="0.2">
      <c r="A94" s="494" t="s">
        <v>91</v>
      </c>
      <c r="B94" s="492">
        <f>B95-SUM(B89:B93)</f>
        <v>466226.03499999997</v>
      </c>
      <c r="C94" s="492">
        <f t="shared" ref="C94:M94" si="50">C95-SUM(C89:C93)</f>
        <v>442278.01499999966</v>
      </c>
      <c r="D94" s="492">
        <f t="shared" si="50"/>
        <v>363689.65199999977</v>
      </c>
      <c r="E94" s="492">
        <f t="shared" si="50"/>
        <v>361201.52079236228</v>
      </c>
      <c r="F94" s="492">
        <f t="shared" si="50"/>
        <v>1748092.7404499995</v>
      </c>
      <c r="G94" s="492">
        <f t="shared" si="50"/>
        <v>-479921.84199652972</v>
      </c>
      <c r="H94" s="492">
        <f t="shared" si="50"/>
        <v>1925013.0963750002</v>
      </c>
      <c r="I94" s="492">
        <f t="shared" si="50"/>
        <v>2395602.7268750002</v>
      </c>
      <c r="J94" s="492">
        <f t="shared" si="50"/>
        <v>-77527.07513159755</v>
      </c>
      <c r="K94" s="492">
        <f t="shared" si="50"/>
        <v>1179194.2217902783</v>
      </c>
      <c r="L94" s="492">
        <f t="shared" si="50"/>
        <v>678757.63240902824</v>
      </c>
      <c r="M94" s="492">
        <f t="shared" si="50"/>
        <v>752450.74679166637</v>
      </c>
      <c r="N94" s="493">
        <f t="shared" si="49"/>
        <v>9755057.4703552071</v>
      </c>
      <c r="P94" s="493"/>
    </row>
    <row r="95" spans="1:16" x14ac:dyDescent="0.2">
      <c r="A95" s="494" t="s">
        <v>6</v>
      </c>
      <c r="B95" s="496">
        <v>204785.59449999995</v>
      </c>
      <c r="C95" s="496">
        <v>2315404.6089999997</v>
      </c>
      <c r="D95" s="496">
        <v>955360.63349999976</v>
      </c>
      <c r="E95" s="496">
        <v>1332643.2697923623</v>
      </c>
      <c r="F95" s="496">
        <v>4079298.5974499993</v>
      </c>
      <c r="G95" s="496">
        <v>-138472.44999652982</v>
      </c>
      <c r="H95" s="496">
        <v>2998650.8943750001</v>
      </c>
      <c r="I95" s="496">
        <v>4620973.8603750002</v>
      </c>
      <c r="J95" s="496">
        <v>-230183.26163159739</v>
      </c>
      <c r="K95" s="496">
        <v>2722328.7807902782</v>
      </c>
      <c r="L95" s="496">
        <v>1246699.5224090284</v>
      </c>
      <c r="M95" s="496">
        <v>1711965.7117916665</v>
      </c>
      <c r="N95" s="497">
        <f t="shared" ref="N95" si="51">SUM(N89:N94)</f>
        <v>21819455.762355208</v>
      </c>
      <c r="P95" s="493"/>
    </row>
    <row r="96" spans="1:16" x14ac:dyDescent="0.2">
      <c r="A96" s="494" t="s">
        <v>42</v>
      </c>
      <c r="B96" s="498">
        <f>SUM(B89:B94)-B95</f>
        <v>0</v>
      </c>
      <c r="C96" s="498">
        <f t="shared" ref="C96:N96" si="52">SUM(C89:C94)-C95</f>
        <v>0</v>
      </c>
      <c r="D96" s="498">
        <f t="shared" si="52"/>
        <v>0</v>
      </c>
      <c r="E96" s="498">
        <f t="shared" si="52"/>
        <v>0</v>
      </c>
      <c r="F96" s="498">
        <f t="shared" si="52"/>
        <v>0</v>
      </c>
      <c r="G96" s="498">
        <f t="shared" si="52"/>
        <v>0</v>
      </c>
      <c r="H96" s="498">
        <f t="shared" si="52"/>
        <v>0</v>
      </c>
      <c r="I96" s="498">
        <f t="shared" si="52"/>
        <v>0</v>
      </c>
      <c r="J96" s="498">
        <f t="shared" si="52"/>
        <v>0</v>
      </c>
      <c r="K96" s="498">
        <f t="shared" si="52"/>
        <v>0</v>
      </c>
      <c r="L96" s="498">
        <f t="shared" si="52"/>
        <v>0</v>
      </c>
      <c r="M96" s="498">
        <f t="shared" si="52"/>
        <v>0</v>
      </c>
      <c r="N96" s="498">
        <f t="shared" si="52"/>
        <v>0</v>
      </c>
      <c r="O96" s="492"/>
      <c r="P96" s="493"/>
    </row>
    <row r="97" spans="1:16" x14ac:dyDescent="0.2">
      <c r="A97" s="494"/>
      <c r="B97" s="492"/>
      <c r="C97" s="492"/>
      <c r="D97" s="492"/>
      <c r="E97" s="492"/>
      <c r="F97" s="492"/>
      <c r="G97" s="492"/>
      <c r="H97" s="492"/>
      <c r="I97" s="492"/>
      <c r="J97" s="492"/>
      <c r="K97" s="492"/>
      <c r="L97" s="492"/>
      <c r="M97" s="492"/>
      <c r="N97" s="493"/>
      <c r="P97" s="493"/>
    </row>
    <row r="98" spans="1:16" x14ac:dyDescent="0.2">
      <c r="A98" s="387" t="s">
        <v>307</v>
      </c>
      <c r="B98" s="492"/>
      <c r="C98" s="492"/>
      <c r="D98" s="492"/>
      <c r="E98" s="492"/>
      <c r="F98" s="492"/>
      <c r="G98" s="492"/>
      <c r="H98" s="492"/>
      <c r="I98" s="492"/>
      <c r="J98" s="492"/>
      <c r="K98" s="492"/>
      <c r="L98" s="492"/>
      <c r="M98" s="492"/>
      <c r="N98" s="493"/>
      <c r="P98" s="493"/>
    </row>
    <row r="99" spans="1:16" x14ac:dyDescent="0.2">
      <c r="A99" s="494" t="s">
        <v>56</v>
      </c>
      <c r="B99" s="495">
        <v>0</v>
      </c>
      <c r="C99" s="495">
        <v>0</v>
      </c>
      <c r="D99" s="495">
        <v>0</v>
      </c>
      <c r="E99" s="495">
        <v>0</v>
      </c>
      <c r="F99" s="495">
        <v>0</v>
      </c>
      <c r="G99" s="495">
        <v>0</v>
      </c>
      <c r="H99" s="495">
        <v>0</v>
      </c>
      <c r="I99" s="495">
        <v>0</v>
      </c>
      <c r="J99" s="495">
        <v>0</v>
      </c>
      <c r="K99" s="495">
        <v>0</v>
      </c>
      <c r="L99" s="495">
        <v>0</v>
      </c>
      <c r="M99" s="495">
        <v>0</v>
      </c>
      <c r="N99" s="493">
        <f>SUM(B99:M99)</f>
        <v>0</v>
      </c>
      <c r="P99" s="493"/>
    </row>
    <row r="100" spans="1:16" x14ac:dyDescent="0.2">
      <c r="A100" s="494" t="s">
        <v>57</v>
      </c>
      <c r="B100" s="495">
        <v>0</v>
      </c>
      <c r="C100" s="495">
        <v>0</v>
      </c>
      <c r="D100" s="495">
        <v>0</v>
      </c>
      <c r="E100" s="495">
        <v>0</v>
      </c>
      <c r="F100" s="495">
        <v>0</v>
      </c>
      <c r="G100" s="495">
        <v>0</v>
      </c>
      <c r="H100" s="495">
        <v>0</v>
      </c>
      <c r="I100" s="495">
        <v>0</v>
      </c>
      <c r="J100" s="495">
        <v>0</v>
      </c>
      <c r="K100" s="495">
        <v>0</v>
      </c>
      <c r="L100" s="495">
        <v>0</v>
      </c>
      <c r="M100" s="495">
        <v>0</v>
      </c>
      <c r="N100" s="493">
        <f t="shared" ref="N100:N104" si="53">SUM(B100:M100)</f>
        <v>0</v>
      </c>
      <c r="P100" s="493"/>
    </row>
    <row r="101" spans="1:16" x14ac:dyDescent="0.2">
      <c r="A101" s="494" t="s">
        <v>62</v>
      </c>
      <c r="B101" s="495">
        <v>0</v>
      </c>
      <c r="C101" s="495">
        <v>0</v>
      </c>
      <c r="D101" s="495">
        <v>0</v>
      </c>
      <c r="E101" s="495">
        <v>0</v>
      </c>
      <c r="F101" s="495">
        <v>0</v>
      </c>
      <c r="G101" s="495">
        <v>0</v>
      </c>
      <c r="H101" s="495">
        <v>0</v>
      </c>
      <c r="I101" s="495">
        <v>0</v>
      </c>
      <c r="J101" s="495">
        <v>0</v>
      </c>
      <c r="K101" s="495">
        <v>0</v>
      </c>
      <c r="L101" s="495">
        <v>0</v>
      </c>
      <c r="M101" s="495">
        <v>0</v>
      </c>
      <c r="N101" s="493">
        <f t="shared" si="53"/>
        <v>0</v>
      </c>
      <c r="P101" s="493"/>
    </row>
    <row r="102" spans="1:16" x14ac:dyDescent="0.2">
      <c r="A102" s="494" t="s">
        <v>63</v>
      </c>
      <c r="B102" s="495">
        <v>0</v>
      </c>
      <c r="C102" s="495">
        <v>0</v>
      </c>
      <c r="D102" s="495">
        <v>0</v>
      </c>
      <c r="E102" s="495">
        <v>0</v>
      </c>
      <c r="F102" s="495">
        <v>0</v>
      </c>
      <c r="G102" s="495">
        <v>0</v>
      </c>
      <c r="H102" s="495">
        <v>0</v>
      </c>
      <c r="I102" s="495">
        <v>0</v>
      </c>
      <c r="J102" s="495">
        <v>0</v>
      </c>
      <c r="K102" s="495">
        <v>0</v>
      </c>
      <c r="L102" s="495">
        <v>0</v>
      </c>
      <c r="M102" s="495">
        <v>0</v>
      </c>
      <c r="N102" s="493">
        <f t="shared" si="53"/>
        <v>0</v>
      </c>
      <c r="P102" s="493"/>
    </row>
    <row r="103" spans="1:16" x14ac:dyDescent="0.2">
      <c r="A103" s="494" t="s">
        <v>64</v>
      </c>
      <c r="B103" s="495">
        <v>0</v>
      </c>
      <c r="C103" s="495">
        <v>0</v>
      </c>
      <c r="D103" s="495">
        <v>0</v>
      </c>
      <c r="E103" s="495">
        <v>0</v>
      </c>
      <c r="F103" s="495">
        <v>0</v>
      </c>
      <c r="G103" s="495">
        <v>0</v>
      </c>
      <c r="H103" s="495">
        <v>0</v>
      </c>
      <c r="I103" s="495">
        <v>0</v>
      </c>
      <c r="J103" s="495">
        <v>0</v>
      </c>
      <c r="K103" s="495">
        <v>0</v>
      </c>
      <c r="L103" s="495">
        <v>0</v>
      </c>
      <c r="M103" s="495">
        <v>0</v>
      </c>
      <c r="N103" s="493">
        <f t="shared" si="53"/>
        <v>0</v>
      </c>
      <c r="P103" s="493"/>
    </row>
    <row r="104" spans="1:16" x14ac:dyDescent="0.2">
      <c r="A104" s="494" t="s">
        <v>91</v>
      </c>
      <c r="B104" s="492">
        <f>B105-SUM(B99:B103)</f>
        <v>0</v>
      </c>
      <c r="C104" s="492">
        <f t="shared" ref="C104:M104" si="54">C105-SUM(C99:C103)</f>
        <v>0</v>
      </c>
      <c r="D104" s="492">
        <f t="shared" si="54"/>
        <v>0</v>
      </c>
      <c r="E104" s="492">
        <f t="shared" si="54"/>
        <v>0</v>
      </c>
      <c r="F104" s="492">
        <f t="shared" si="54"/>
        <v>0</v>
      </c>
      <c r="G104" s="492">
        <f t="shared" si="54"/>
        <v>0</v>
      </c>
      <c r="H104" s="492">
        <f t="shared" si="54"/>
        <v>0</v>
      </c>
      <c r="I104" s="492">
        <f t="shared" si="54"/>
        <v>0</v>
      </c>
      <c r="J104" s="492">
        <f t="shared" si="54"/>
        <v>0</v>
      </c>
      <c r="K104" s="492">
        <f t="shared" si="54"/>
        <v>0</v>
      </c>
      <c r="L104" s="492">
        <f t="shared" si="54"/>
        <v>0</v>
      </c>
      <c r="M104" s="492">
        <f t="shared" si="54"/>
        <v>0</v>
      </c>
      <c r="N104" s="493">
        <f t="shared" si="53"/>
        <v>0</v>
      </c>
      <c r="P104" s="493"/>
    </row>
    <row r="105" spans="1:16" x14ac:dyDescent="0.2">
      <c r="A105" s="494" t="s">
        <v>6</v>
      </c>
      <c r="B105" s="496">
        <v>0</v>
      </c>
      <c r="C105" s="496">
        <v>0</v>
      </c>
      <c r="D105" s="496">
        <v>0</v>
      </c>
      <c r="E105" s="496">
        <v>0</v>
      </c>
      <c r="F105" s="496">
        <v>0</v>
      </c>
      <c r="G105" s="496">
        <v>0</v>
      </c>
      <c r="H105" s="496">
        <v>0</v>
      </c>
      <c r="I105" s="496">
        <v>0</v>
      </c>
      <c r="J105" s="496">
        <v>0</v>
      </c>
      <c r="K105" s="496">
        <v>0</v>
      </c>
      <c r="L105" s="496">
        <v>0</v>
      </c>
      <c r="M105" s="496">
        <v>0</v>
      </c>
      <c r="N105" s="497">
        <f t="shared" ref="N105" si="55">SUM(N99:N104)</f>
        <v>0</v>
      </c>
      <c r="P105" s="493"/>
    </row>
    <row r="106" spans="1:16" x14ac:dyDescent="0.2">
      <c r="A106" s="494" t="s">
        <v>42</v>
      </c>
      <c r="B106" s="498">
        <f>SUM(B99:B104)-B105</f>
        <v>0</v>
      </c>
      <c r="C106" s="498">
        <f t="shared" ref="C106:N106" si="56">SUM(C99:C104)-C105</f>
        <v>0</v>
      </c>
      <c r="D106" s="498">
        <f t="shared" si="56"/>
        <v>0</v>
      </c>
      <c r="E106" s="498">
        <f t="shared" si="56"/>
        <v>0</v>
      </c>
      <c r="F106" s="498">
        <f t="shared" si="56"/>
        <v>0</v>
      </c>
      <c r="G106" s="498">
        <f t="shared" si="56"/>
        <v>0</v>
      </c>
      <c r="H106" s="498">
        <f t="shared" si="56"/>
        <v>0</v>
      </c>
      <c r="I106" s="498">
        <f t="shared" si="56"/>
        <v>0</v>
      </c>
      <c r="J106" s="498">
        <f t="shared" si="56"/>
        <v>0</v>
      </c>
      <c r="K106" s="498">
        <f t="shared" si="56"/>
        <v>0</v>
      </c>
      <c r="L106" s="498">
        <f t="shared" si="56"/>
        <v>0</v>
      </c>
      <c r="M106" s="498">
        <f t="shared" si="56"/>
        <v>0</v>
      </c>
      <c r="N106" s="498">
        <f t="shared" si="56"/>
        <v>0</v>
      </c>
      <c r="P106" s="493"/>
    </row>
    <row r="107" spans="1:16" x14ac:dyDescent="0.2">
      <c r="P107" s="493"/>
    </row>
    <row r="108" spans="1:16" x14ac:dyDescent="0.2">
      <c r="A108" s="491" t="s">
        <v>90</v>
      </c>
      <c r="B108" s="492"/>
      <c r="C108" s="492"/>
      <c r="D108" s="492"/>
      <c r="E108" s="492"/>
      <c r="F108" s="492"/>
      <c r="G108" s="492"/>
      <c r="H108" s="492"/>
      <c r="I108" s="492"/>
      <c r="J108" s="492"/>
      <c r="K108" s="492"/>
      <c r="L108" s="492"/>
      <c r="M108" s="492"/>
      <c r="N108" s="493"/>
      <c r="P108" s="493"/>
    </row>
    <row r="109" spans="1:16" x14ac:dyDescent="0.2">
      <c r="A109" s="494" t="s">
        <v>56</v>
      </c>
      <c r="B109" s="495">
        <v>74846.930000000008</v>
      </c>
      <c r="C109" s="495">
        <v>75036.009999999995</v>
      </c>
      <c r="D109" s="495">
        <v>74865.759999999995</v>
      </c>
      <c r="E109" s="495">
        <v>78926</v>
      </c>
      <c r="F109" s="495">
        <v>3003.3500000000058</v>
      </c>
      <c r="G109" s="495">
        <v>192200.21</v>
      </c>
      <c r="H109" s="495">
        <v>32799.790000000008</v>
      </c>
      <c r="I109" s="495">
        <v>25000</v>
      </c>
      <c r="J109" s="495">
        <v>125000</v>
      </c>
      <c r="K109" s="495">
        <v>71825.149999999994</v>
      </c>
      <c r="L109" s="495">
        <v>74052.44</v>
      </c>
      <c r="M109" s="495">
        <v>71234.03</v>
      </c>
      <c r="N109" s="493">
        <f t="shared" ref="N109:N114" si="57">SUM(B109:M109)</f>
        <v>898789.67000000016</v>
      </c>
      <c r="P109" s="493"/>
    </row>
    <row r="110" spans="1:16" x14ac:dyDescent="0.2">
      <c r="A110" s="494" t="s">
        <v>57</v>
      </c>
      <c r="B110" s="495">
        <v>75000</v>
      </c>
      <c r="C110" s="495">
        <v>75000</v>
      </c>
      <c r="D110" s="495">
        <v>75000</v>
      </c>
      <c r="E110" s="495">
        <v>75000</v>
      </c>
      <c r="F110" s="495">
        <v>25000</v>
      </c>
      <c r="G110" s="495">
        <v>175000</v>
      </c>
      <c r="H110" s="495">
        <v>27744.739999999991</v>
      </c>
      <c r="I110" s="495">
        <v>47255.260000000009</v>
      </c>
      <c r="J110" s="495">
        <v>102133.38</v>
      </c>
      <c r="K110" s="495">
        <v>72866.62</v>
      </c>
      <c r="L110" s="495">
        <v>75000</v>
      </c>
      <c r="M110" s="495">
        <v>75000</v>
      </c>
      <c r="N110" s="493">
        <f t="shared" si="57"/>
        <v>900000</v>
      </c>
      <c r="P110" s="493"/>
    </row>
    <row r="111" spans="1:16" x14ac:dyDescent="0.2">
      <c r="A111" s="494" t="s">
        <v>62</v>
      </c>
      <c r="B111" s="495">
        <v>150000</v>
      </c>
      <c r="C111" s="495">
        <v>150000</v>
      </c>
      <c r="D111" s="495">
        <v>150000</v>
      </c>
      <c r="E111" s="495">
        <v>150000</v>
      </c>
      <c r="F111" s="495">
        <v>50000</v>
      </c>
      <c r="G111" s="495">
        <v>350000</v>
      </c>
      <c r="H111" s="495">
        <v>668.61000000000058</v>
      </c>
      <c r="I111" s="495">
        <v>149331.39000000001</v>
      </c>
      <c r="J111" s="495">
        <v>200000</v>
      </c>
      <c r="K111" s="495">
        <v>150000</v>
      </c>
      <c r="L111" s="495">
        <v>150000</v>
      </c>
      <c r="M111" s="495">
        <v>150000</v>
      </c>
      <c r="N111" s="493">
        <f t="shared" si="57"/>
        <v>1800000</v>
      </c>
      <c r="P111" s="493"/>
    </row>
    <row r="112" spans="1:16" x14ac:dyDescent="0.2">
      <c r="A112" s="494" t="s">
        <v>63</v>
      </c>
      <c r="B112" s="495">
        <v>233993.21000000008</v>
      </c>
      <c r="C112" s="495">
        <v>222859.59000000003</v>
      </c>
      <c r="D112" s="495">
        <v>224288.62999999989</v>
      </c>
      <c r="E112" s="495">
        <v>275790.02</v>
      </c>
      <c r="F112" s="495">
        <v>100000.00000000006</v>
      </c>
      <c r="G112" s="495">
        <v>644400.64000000001</v>
      </c>
      <c r="H112" s="495">
        <v>-30954.599999999991</v>
      </c>
      <c r="I112" s="495">
        <v>300000</v>
      </c>
      <c r="J112" s="495">
        <v>347720.09</v>
      </c>
      <c r="K112" s="495">
        <v>266512.84999999998</v>
      </c>
      <c r="L112" s="495">
        <v>268671.90999999992</v>
      </c>
      <c r="M112" s="495">
        <v>234746.91999999998</v>
      </c>
      <c r="N112" s="493">
        <f t="shared" si="57"/>
        <v>3088029.26</v>
      </c>
      <c r="P112" s="493"/>
    </row>
    <row r="113" spans="1:16" x14ac:dyDescent="0.2">
      <c r="A113" s="494" t="s">
        <v>64</v>
      </c>
      <c r="B113" s="495">
        <v>300000</v>
      </c>
      <c r="C113" s="495">
        <v>300000</v>
      </c>
      <c r="D113" s="495">
        <v>300000</v>
      </c>
      <c r="E113" s="495">
        <v>306597.63</v>
      </c>
      <c r="F113" s="495">
        <v>68517.88</v>
      </c>
      <c r="G113" s="495">
        <v>1023846.24</v>
      </c>
      <c r="H113" s="495">
        <v>-42635.95</v>
      </c>
      <c r="I113" s="495">
        <v>478617.5</v>
      </c>
      <c r="J113" s="495">
        <v>388489.63000000006</v>
      </c>
      <c r="K113" s="495">
        <v>316630.56999999989</v>
      </c>
      <c r="L113" s="495">
        <v>307937.07000000012</v>
      </c>
      <c r="M113" s="495">
        <v>299999.99999999994</v>
      </c>
      <c r="N113" s="493">
        <f t="shared" si="57"/>
        <v>4048000.57</v>
      </c>
      <c r="P113" s="493"/>
    </row>
    <row r="114" spans="1:16" x14ac:dyDescent="0.2">
      <c r="A114" s="494" t="s">
        <v>91</v>
      </c>
      <c r="B114" s="492">
        <f>B115-SUM(B109:B113)</f>
        <v>185797.06000000006</v>
      </c>
      <c r="C114" s="492">
        <f t="shared" ref="C114:M114" si="58">C115-SUM(C109:C113)</f>
        <v>159830.82999999984</v>
      </c>
      <c r="D114" s="492">
        <f t="shared" si="58"/>
        <v>173678.64000000036</v>
      </c>
      <c r="E114" s="492">
        <f t="shared" si="58"/>
        <v>449077.9405979173</v>
      </c>
      <c r="F114" s="492">
        <f t="shared" si="58"/>
        <v>16601.370834999281</v>
      </c>
      <c r="G114" s="492">
        <f t="shared" si="58"/>
        <v>835617.99545208178</v>
      </c>
      <c r="H114" s="492">
        <f t="shared" si="58"/>
        <v>1677744.488270832</v>
      </c>
      <c r="I114" s="492">
        <f t="shared" si="58"/>
        <v>762945.57275000063</v>
      </c>
      <c r="J114" s="492">
        <f t="shared" si="58"/>
        <v>727653.17012583325</v>
      </c>
      <c r="K114" s="492">
        <f t="shared" si="58"/>
        <v>596936.27261875034</v>
      </c>
      <c r="L114" s="492">
        <f t="shared" si="58"/>
        <v>399164.53478416661</v>
      </c>
      <c r="M114" s="492">
        <f t="shared" si="58"/>
        <v>106499.62004500045</v>
      </c>
      <c r="N114" s="493">
        <f t="shared" si="57"/>
        <v>6091547.4954795819</v>
      </c>
      <c r="P114" s="493"/>
    </row>
    <row r="115" spans="1:16" x14ac:dyDescent="0.2">
      <c r="A115" s="494" t="s">
        <v>6</v>
      </c>
      <c r="B115" s="496">
        <v>1019637.2000000002</v>
      </c>
      <c r="C115" s="496">
        <v>982726.42999999993</v>
      </c>
      <c r="D115" s="496">
        <v>997833.03000000026</v>
      </c>
      <c r="E115" s="496">
        <v>1335391.5905979173</v>
      </c>
      <c r="F115" s="496">
        <v>263122.60083499935</v>
      </c>
      <c r="G115" s="496">
        <v>3221065.0854520816</v>
      </c>
      <c r="H115" s="496">
        <v>1665367.0782708321</v>
      </c>
      <c r="I115" s="496">
        <v>1763149.7227500007</v>
      </c>
      <c r="J115" s="496">
        <v>1890996.2701258333</v>
      </c>
      <c r="K115" s="496">
        <v>1474771.4626187503</v>
      </c>
      <c r="L115" s="496">
        <v>1274825.9547841665</v>
      </c>
      <c r="M115" s="496">
        <v>937480.57004500041</v>
      </c>
      <c r="N115" s="497">
        <f t="shared" ref="N115" si="59">SUM(N109:N114)</f>
        <v>16826366.995479584</v>
      </c>
      <c r="P115" s="493"/>
    </row>
    <row r="116" spans="1:16" x14ac:dyDescent="0.2">
      <c r="A116" s="494" t="s">
        <v>42</v>
      </c>
      <c r="B116" s="498">
        <f>SUM(B109:B114)-B115</f>
        <v>0</v>
      </c>
      <c r="C116" s="498">
        <f t="shared" ref="C116:N116" si="60">SUM(C109:C114)-C115</f>
        <v>0</v>
      </c>
      <c r="D116" s="498">
        <f t="shared" si="60"/>
        <v>0</v>
      </c>
      <c r="E116" s="498">
        <f t="shared" si="60"/>
        <v>0</v>
      </c>
      <c r="F116" s="498">
        <f t="shared" si="60"/>
        <v>0</v>
      </c>
      <c r="G116" s="498">
        <f t="shared" si="60"/>
        <v>0</v>
      </c>
      <c r="H116" s="498">
        <f t="shared" si="60"/>
        <v>0</v>
      </c>
      <c r="I116" s="498">
        <f t="shared" si="60"/>
        <v>0</v>
      </c>
      <c r="J116" s="498">
        <f t="shared" si="60"/>
        <v>0</v>
      </c>
      <c r="K116" s="498">
        <f t="shared" si="60"/>
        <v>0</v>
      </c>
      <c r="L116" s="498">
        <f t="shared" si="60"/>
        <v>0</v>
      </c>
      <c r="M116" s="498">
        <f t="shared" si="60"/>
        <v>0</v>
      </c>
      <c r="N116" s="498">
        <f t="shared" si="60"/>
        <v>0</v>
      </c>
      <c r="P116" s="493"/>
    </row>
    <row r="117" spans="1:16" x14ac:dyDescent="0.2">
      <c r="A117" s="494"/>
      <c r="B117" s="492"/>
      <c r="C117" s="492"/>
      <c r="D117" s="492"/>
      <c r="E117" s="492"/>
      <c r="F117" s="492"/>
      <c r="G117" s="492"/>
      <c r="H117" s="492"/>
      <c r="I117" s="492"/>
      <c r="J117" s="492"/>
      <c r="K117" s="492"/>
      <c r="L117" s="492"/>
      <c r="M117" s="492"/>
      <c r="N117" s="493"/>
      <c r="P117" s="493"/>
    </row>
    <row r="118" spans="1:16" x14ac:dyDescent="0.2">
      <c r="A118" s="491" t="s">
        <v>92</v>
      </c>
      <c r="B118" s="492"/>
      <c r="C118" s="492"/>
      <c r="D118" s="492"/>
      <c r="E118" s="492"/>
      <c r="F118" s="492"/>
      <c r="G118" s="492"/>
      <c r="H118" s="492"/>
      <c r="I118" s="492"/>
      <c r="J118" s="492"/>
      <c r="K118" s="492"/>
      <c r="L118" s="492"/>
      <c r="M118" s="492"/>
      <c r="N118" s="493"/>
      <c r="P118" s="493"/>
    </row>
    <row r="119" spans="1:16" x14ac:dyDescent="0.2">
      <c r="A119" s="494" t="s">
        <v>56</v>
      </c>
      <c r="B119" s="495">
        <v>150000</v>
      </c>
      <c r="C119" s="495">
        <v>200000</v>
      </c>
      <c r="D119" s="495">
        <v>175000</v>
      </c>
      <c r="E119" s="495">
        <v>175000</v>
      </c>
      <c r="F119" s="495">
        <v>150000</v>
      </c>
      <c r="G119" s="495">
        <v>275000</v>
      </c>
      <c r="H119" s="495">
        <v>100000</v>
      </c>
      <c r="I119" s="495">
        <v>150000</v>
      </c>
      <c r="J119" s="495">
        <v>200000</v>
      </c>
      <c r="K119" s="495">
        <v>175000</v>
      </c>
      <c r="L119" s="495">
        <v>175000</v>
      </c>
      <c r="M119" s="495">
        <v>175000</v>
      </c>
      <c r="N119" s="493">
        <f t="shared" ref="N119:N124" si="61">SUM(B119:M119)</f>
        <v>2100000</v>
      </c>
      <c r="P119" s="493"/>
    </row>
    <row r="120" spans="1:16" x14ac:dyDescent="0.2">
      <c r="A120" s="494" t="s">
        <v>57</v>
      </c>
      <c r="B120" s="495">
        <v>150000</v>
      </c>
      <c r="C120" s="495">
        <v>193093.82</v>
      </c>
      <c r="D120" s="495">
        <v>172028.95</v>
      </c>
      <c r="E120" s="495">
        <v>184877.22999999998</v>
      </c>
      <c r="F120" s="495">
        <v>150000</v>
      </c>
      <c r="G120" s="495">
        <v>275000</v>
      </c>
      <c r="H120" s="495">
        <v>100000</v>
      </c>
      <c r="I120" s="495">
        <v>150000</v>
      </c>
      <c r="J120" s="495">
        <v>200000</v>
      </c>
      <c r="K120" s="495">
        <v>175000</v>
      </c>
      <c r="L120" s="495">
        <v>175000</v>
      </c>
      <c r="M120" s="495">
        <v>175000</v>
      </c>
      <c r="N120" s="493">
        <f t="shared" si="61"/>
        <v>2100000</v>
      </c>
      <c r="P120" s="493"/>
    </row>
    <row r="121" spans="1:16" x14ac:dyDescent="0.2">
      <c r="A121" s="494" t="s">
        <v>62</v>
      </c>
      <c r="B121" s="495">
        <v>300000</v>
      </c>
      <c r="C121" s="495">
        <v>350000</v>
      </c>
      <c r="D121" s="495">
        <v>350000</v>
      </c>
      <c r="E121" s="495">
        <v>400000</v>
      </c>
      <c r="F121" s="495">
        <v>300000</v>
      </c>
      <c r="G121" s="495">
        <v>550000</v>
      </c>
      <c r="H121" s="495">
        <v>200000</v>
      </c>
      <c r="I121" s="495">
        <v>300000</v>
      </c>
      <c r="J121" s="495">
        <v>400000</v>
      </c>
      <c r="K121" s="495">
        <v>350000</v>
      </c>
      <c r="L121" s="495">
        <v>350000</v>
      </c>
      <c r="M121" s="495">
        <v>350000</v>
      </c>
      <c r="N121" s="493">
        <f t="shared" si="61"/>
        <v>4200000</v>
      </c>
      <c r="P121" s="493"/>
    </row>
    <row r="122" spans="1:16" x14ac:dyDescent="0.2">
      <c r="A122" s="494" t="s">
        <v>63</v>
      </c>
      <c r="B122" s="495">
        <v>600000</v>
      </c>
      <c r="C122" s="495">
        <v>700000</v>
      </c>
      <c r="D122" s="495">
        <v>653326.32999999996</v>
      </c>
      <c r="E122" s="495">
        <v>822335.43</v>
      </c>
      <c r="F122" s="495">
        <v>600000</v>
      </c>
      <c r="G122" s="495">
        <v>1100000</v>
      </c>
      <c r="H122" s="495">
        <v>400000</v>
      </c>
      <c r="I122" s="495">
        <v>600000</v>
      </c>
      <c r="J122" s="495">
        <v>800000</v>
      </c>
      <c r="K122" s="495">
        <v>700000</v>
      </c>
      <c r="L122" s="495">
        <v>700000</v>
      </c>
      <c r="M122" s="495">
        <v>700000</v>
      </c>
      <c r="N122" s="493">
        <f t="shared" si="61"/>
        <v>8375661.7599999998</v>
      </c>
      <c r="P122" s="493"/>
    </row>
    <row r="123" spans="1:16" x14ac:dyDescent="0.2">
      <c r="A123" s="494" t="s">
        <v>64</v>
      </c>
      <c r="B123" s="495">
        <v>1520337.45</v>
      </c>
      <c r="C123" s="495">
        <v>1812819.32</v>
      </c>
      <c r="D123" s="495">
        <v>1500000</v>
      </c>
      <c r="E123" s="495">
        <v>2134138.3499999996</v>
      </c>
      <c r="F123" s="495">
        <v>1819934.1300000001</v>
      </c>
      <c r="G123" s="495">
        <v>2851963.32</v>
      </c>
      <c r="H123" s="495">
        <v>941187.60000000009</v>
      </c>
      <c r="I123" s="495">
        <v>1522582.71</v>
      </c>
      <c r="J123" s="495">
        <v>2140431.62</v>
      </c>
      <c r="K123" s="495">
        <v>1823467.36</v>
      </c>
      <c r="L123" s="495">
        <v>1823383.73</v>
      </c>
      <c r="M123" s="495">
        <v>1806355.99</v>
      </c>
      <c r="N123" s="493">
        <f t="shared" si="61"/>
        <v>21696601.579999998</v>
      </c>
      <c r="P123" s="493"/>
    </row>
    <row r="124" spans="1:16" x14ac:dyDescent="0.2">
      <c r="A124" s="494" t="s">
        <v>91</v>
      </c>
      <c r="B124" s="492">
        <f>B125-SUM(B119:B123)</f>
        <v>2728190.5599999996</v>
      </c>
      <c r="C124" s="492">
        <f t="shared" ref="C124:M124" si="62">C125-SUM(C119:C123)</f>
        <v>4135962.0300000007</v>
      </c>
      <c r="D124" s="492">
        <f t="shared" si="62"/>
        <v>3573097.7999999993</v>
      </c>
      <c r="E124" s="492">
        <f t="shared" si="62"/>
        <v>3734904.4400000013</v>
      </c>
      <c r="F124" s="492">
        <f t="shared" si="62"/>
        <v>3086104.26</v>
      </c>
      <c r="G124" s="492">
        <f t="shared" si="62"/>
        <v>2395270.3900000006</v>
      </c>
      <c r="H124" s="492">
        <f t="shared" si="62"/>
        <v>4674788.5999999996</v>
      </c>
      <c r="I124" s="492">
        <f t="shared" si="62"/>
        <v>3144907.2</v>
      </c>
      <c r="J124" s="492">
        <f t="shared" si="62"/>
        <v>4037919.5700000012</v>
      </c>
      <c r="K124" s="492">
        <f t="shared" si="62"/>
        <v>3774235.2699999996</v>
      </c>
      <c r="L124" s="492">
        <f t="shared" si="62"/>
        <v>3747987.8299999996</v>
      </c>
      <c r="M124" s="492">
        <f t="shared" si="62"/>
        <v>3168427.3599999985</v>
      </c>
      <c r="N124" s="493">
        <f t="shared" si="61"/>
        <v>42201795.309999995</v>
      </c>
      <c r="P124" s="493"/>
    </row>
    <row r="125" spans="1:16" x14ac:dyDescent="0.2">
      <c r="A125" s="494" t="s">
        <v>6</v>
      </c>
      <c r="B125" s="496">
        <v>5448528.0099999998</v>
      </c>
      <c r="C125" s="496">
        <v>7391875.1700000009</v>
      </c>
      <c r="D125" s="496">
        <v>6423453.0799999991</v>
      </c>
      <c r="E125" s="496">
        <v>7451255.4500000011</v>
      </c>
      <c r="F125" s="496">
        <v>6106038.3899999997</v>
      </c>
      <c r="G125" s="496">
        <v>7447233.7100000009</v>
      </c>
      <c r="H125" s="496">
        <v>6415976.1999999993</v>
      </c>
      <c r="I125" s="496">
        <v>5867489.9100000001</v>
      </c>
      <c r="J125" s="496">
        <v>7778351.1900000013</v>
      </c>
      <c r="K125" s="496">
        <v>6997702.6299999999</v>
      </c>
      <c r="L125" s="496">
        <v>6971371.5599999996</v>
      </c>
      <c r="M125" s="496">
        <v>6374783.3499999987</v>
      </c>
      <c r="N125" s="497">
        <f t="shared" ref="N125" si="63">SUM(N119:N124)</f>
        <v>80674058.649999991</v>
      </c>
      <c r="P125" s="493"/>
    </row>
    <row r="126" spans="1:16" x14ac:dyDescent="0.2">
      <c r="A126" s="494" t="s">
        <v>42</v>
      </c>
      <c r="B126" s="498">
        <f>SUM(B119:B124)-B125</f>
        <v>0</v>
      </c>
      <c r="C126" s="498">
        <f t="shared" ref="C126:N126" si="64">SUM(C119:C124)-C125</f>
        <v>0</v>
      </c>
      <c r="D126" s="498">
        <f t="shared" si="64"/>
        <v>0</v>
      </c>
      <c r="E126" s="498">
        <f t="shared" si="64"/>
        <v>0</v>
      </c>
      <c r="F126" s="498">
        <f t="shared" si="64"/>
        <v>0</v>
      </c>
      <c r="G126" s="498">
        <f t="shared" si="64"/>
        <v>0</v>
      </c>
      <c r="H126" s="498">
        <f t="shared" si="64"/>
        <v>0</v>
      </c>
      <c r="I126" s="498">
        <f t="shared" si="64"/>
        <v>0</v>
      </c>
      <c r="J126" s="498">
        <f t="shared" si="64"/>
        <v>0</v>
      </c>
      <c r="K126" s="498">
        <f t="shared" si="64"/>
        <v>0</v>
      </c>
      <c r="L126" s="498">
        <f t="shared" si="64"/>
        <v>0</v>
      </c>
      <c r="M126" s="498">
        <f t="shared" si="64"/>
        <v>0</v>
      </c>
      <c r="N126" s="498">
        <f t="shared" si="64"/>
        <v>0</v>
      </c>
      <c r="P126" s="493"/>
    </row>
    <row r="129" spans="1:14" x14ac:dyDescent="0.2">
      <c r="A129" s="387" t="s">
        <v>6</v>
      </c>
      <c r="B129" s="493">
        <f>SUM(B12,B19,B26,B33,B40,B47,B54,B61,B67,B73,B79,B85,B95,B105,B115,B125)</f>
        <v>17725836.752221368</v>
      </c>
      <c r="C129" s="493">
        <f t="shared" ref="C129:N129" si="65">SUM(C12,C19,C26,C33,C40,C47,C54,C61,C67,C73,C79,C85,C95,C105,C115,C125)</f>
        <v>21076885.933413271</v>
      </c>
      <c r="D129" s="493">
        <f t="shared" si="65"/>
        <v>20846003.668669827</v>
      </c>
      <c r="E129" s="493">
        <f t="shared" si="65"/>
        <v>23157575.166537464</v>
      </c>
      <c r="F129" s="493">
        <f t="shared" si="65"/>
        <v>25502079.664656486</v>
      </c>
      <c r="G129" s="493">
        <f t="shared" si="65"/>
        <v>31682515.948206104</v>
      </c>
      <c r="H129" s="493">
        <f t="shared" si="65"/>
        <v>28866146.288873095</v>
      </c>
      <c r="I129" s="493">
        <f t="shared" si="65"/>
        <v>28307674.593410287</v>
      </c>
      <c r="J129" s="493">
        <f t="shared" si="65"/>
        <v>30451173.95290143</v>
      </c>
      <c r="K129" s="493">
        <f t="shared" si="65"/>
        <v>26505107.232509565</v>
      </c>
      <c r="L129" s="493">
        <f t="shared" si="65"/>
        <v>23423656.826094192</v>
      </c>
      <c r="M129" s="493">
        <f t="shared" si="65"/>
        <v>20159107.495698459</v>
      </c>
      <c r="N129" s="493">
        <f t="shared" si="65"/>
        <v>297703763.52319157</v>
      </c>
    </row>
  </sheetData>
  <mergeCells count="4">
    <mergeCell ref="A1:N1"/>
    <mergeCell ref="A2:N2"/>
    <mergeCell ref="A3:N3"/>
    <mergeCell ref="A4:N4"/>
  </mergeCells>
  <printOptions horizontalCentered="1"/>
  <pageMargins left="0.5" right="0.5" top="1" bottom="1" header="0.5" footer="0.5"/>
  <pageSetup scale="66" fitToHeight="6" orientation="landscape" blackAndWhite="1" horizontalDpi="300" verticalDpi="300" r:id="rId1"/>
  <headerFooter alignWithMargins="0">
    <oddHeader xml:space="preserve">&amp;C
</oddHeader>
    <oddFooter>&amp;L&amp;F 
&amp;A&amp;C&amp;P&amp;R&amp;D</oddFooter>
  </headerFooter>
  <rowBreaks count="2" manualBreakCount="2">
    <brk id="49" max="13" man="1"/>
    <brk id="97" max="13" man="1"/>
  </rowBreaks>
  <customProperties>
    <customPr name="_pios_id" r:id="rId2"/>
    <customPr name="EpmWorksheetKeyString_GUID" r:id="rId3"/>
  </customPropertie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zoomScale="90" zoomScaleNormal="90" zoomScaleSheetLayoutView="100" workbookViewId="0">
      <pane ySplit="8" topLeftCell="A9" activePane="bottomLeft" state="frozen"/>
      <selection activeCell="G42" sqref="G42"/>
      <selection pane="bottomLeft" activeCell="G42" sqref="G42"/>
    </sheetView>
  </sheetViews>
  <sheetFormatPr defaultColWidth="9.140625" defaultRowHeight="12.75" x14ac:dyDescent="0.2"/>
  <cols>
    <col min="1" max="1" width="2.42578125" style="254" customWidth="1"/>
    <col min="2" max="2" width="31.7109375" style="259" customWidth="1"/>
    <col min="3" max="3" width="9.7109375" style="259" customWidth="1"/>
    <col min="4" max="4" width="15.28515625" style="260" bestFit="1" customWidth="1"/>
    <col min="5" max="5" width="10.42578125" style="260" customWidth="1"/>
    <col min="6" max="6" width="13.7109375" style="259" bestFit="1" customWidth="1"/>
    <col min="7" max="7" width="2.85546875" style="267" customWidth="1"/>
    <col min="8" max="8" width="10.42578125" style="254" bestFit="1" customWidth="1"/>
    <col min="9" max="9" width="13.28515625" style="244" customWidth="1"/>
    <col min="10" max="10" width="2.85546875" style="166" customWidth="1"/>
    <col min="11" max="11" width="13.28515625" style="254" customWidth="1"/>
    <col min="12" max="12" width="10.42578125" style="82" customWidth="1"/>
    <col min="13" max="13" width="2.85546875" style="82" customWidth="1"/>
    <col min="14" max="14" width="14.5703125" style="254" customWidth="1"/>
    <col min="15" max="16384" width="9.140625" style="254"/>
  </cols>
  <sheetData>
    <row r="1" spans="2:23" x14ac:dyDescent="0.2">
      <c r="B1" s="439" t="s">
        <v>0</v>
      </c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80"/>
      <c r="N1" s="253"/>
    </row>
    <row r="2" spans="2:23" x14ac:dyDescent="0.2">
      <c r="B2" s="440" t="s">
        <v>293</v>
      </c>
      <c r="C2" s="255"/>
      <c r="D2" s="81"/>
      <c r="E2" s="81"/>
      <c r="F2" s="255"/>
      <c r="G2" s="255"/>
      <c r="H2" s="255"/>
      <c r="I2" s="255"/>
      <c r="J2" s="255"/>
      <c r="K2" s="255"/>
      <c r="L2" s="255"/>
      <c r="M2" s="80"/>
      <c r="N2" s="253"/>
    </row>
    <row r="3" spans="2:23" x14ac:dyDescent="0.2">
      <c r="B3" s="440" t="s">
        <v>294</v>
      </c>
      <c r="C3" s="255"/>
      <c r="D3" s="81"/>
      <c r="E3" s="81"/>
      <c r="F3" s="255"/>
      <c r="G3" s="255"/>
      <c r="H3" s="255"/>
      <c r="I3" s="255"/>
      <c r="J3" s="255"/>
      <c r="K3" s="255"/>
      <c r="L3" s="255"/>
      <c r="M3" s="80"/>
      <c r="N3" s="253"/>
    </row>
    <row r="4" spans="2:23" x14ac:dyDescent="0.2">
      <c r="B4" s="440" t="s">
        <v>218</v>
      </c>
      <c r="C4" s="255"/>
      <c r="D4" s="81"/>
      <c r="E4" s="81"/>
      <c r="F4" s="255"/>
      <c r="G4" s="255"/>
      <c r="H4" s="255"/>
      <c r="I4" s="255"/>
      <c r="J4" s="255"/>
      <c r="K4" s="255"/>
      <c r="L4" s="255"/>
      <c r="M4" s="80"/>
      <c r="N4" s="253"/>
    </row>
    <row r="5" spans="2:23" x14ac:dyDescent="0.2">
      <c r="B5" s="440" t="s">
        <v>295</v>
      </c>
      <c r="C5" s="255"/>
      <c r="D5" s="81"/>
      <c r="E5" s="81"/>
      <c r="F5" s="255"/>
      <c r="G5" s="255"/>
      <c r="H5" s="255"/>
      <c r="I5" s="255"/>
      <c r="J5" s="255"/>
      <c r="K5" s="255"/>
      <c r="L5" s="255"/>
      <c r="M5" s="80"/>
      <c r="N5" s="106"/>
    </row>
    <row r="6" spans="2:23" x14ac:dyDescent="0.2">
      <c r="N6" s="268"/>
    </row>
    <row r="7" spans="2:23" ht="15" customHeight="1" x14ac:dyDescent="0.2">
      <c r="B7" s="114"/>
      <c r="C7" s="115"/>
      <c r="D7" s="116" t="s">
        <v>134</v>
      </c>
      <c r="E7" s="118" t="s">
        <v>286</v>
      </c>
      <c r="F7" s="117"/>
      <c r="G7" s="83"/>
      <c r="H7" s="84" t="s">
        <v>287</v>
      </c>
      <c r="I7" s="117"/>
      <c r="J7" s="119"/>
      <c r="K7" s="117" t="s">
        <v>135</v>
      </c>
      <c r="L7" s="85"/>
      <c r="M7" s="120"/>
      <c r="N7" s="87" t="s">
        <v>136</v>
      </c>
    </row>
    <row r="8" spans="2:23" x14ac:dyDescent="0.2">
      <c r="B8" s="121" t="s">
        <v>102</v>
      </c>
      <c r="C8" s="256" t="s">
        <v>115</v>
      </c>
      <c r="D8" s="257" t="s">
        <v>137</v>
      </c>
      <c r="E8" s="257" t="s">
        <v>22</v>
      </c>
      <c r="F8" s="122" t="s">
        <v>138</v>
      </c>
      <c r="G8" s="256"/>
      <c r="H8" s="256" t="s">
        <v>22</v>
      </c>
      <c r="I8" s="122" t="s">
        <v>138</v>
      </c>
      <c r="J8" s="122"/>
      <c r="K8" s="122" t="s">
        <v>139</v>
      </c>
      <c r="L8" s="196" t="s">
        <v>140</v>
      </c>
      <c r="M8" s="124"/>
      <c r="N8" s="441" t="s">
        <v>141</v>
      </c>
    </row>
    <row r="9" spans="2:23" x14ac:dyDescent="0.2">
      <c r="B9" s="268"/>
      <c r="C9" s="268"/>
      <c r="D9" s="262"/>
      <c r="E9" s="262"/>
      <c r="F9" s="268"/>
      <c r="H9" s="268"/>
      <c r="I9" s="166"/>
      <c r="K9" s="268"/>
      <c r="L9" s="215"/>
      <c r="M9" s="215"/>
      <c r="N9" s="268"/>
    </row>
    <row r="10" spans="2:23" x14ac:dyDescent="0.2">
      <c r="B10" s="127" t="s">
        <v>142</v>
      </c>
      <c r="C10" s="442"/>
      <c r="D10" s="443"/>
      <c r="E10" s="443"/>
      <c r="F10" s="444"/>
      <c r="G10" s="445"/>
      <c r="H10" s="443"/>
      <c r="I10" s="446"/>
      <c r="J10" s="446"/>
      <c r="K10" s="446"/>
      <c r="L10" s="447"/>
      <c r="M10" s="215"/>
      <c r="N10" s="268"/>
    </row>
    <row r="11" spans="2:23" x14ac:dyDescent="0.2">
      <c r="B11" s="173"/>
      <c r="C11" s="268"/>
      <c r="D11" s="262"/>
      <c r="E11" s="262"/>
      <c r="F11" s="268"/>
      <c r="G11" s="86"/>
      <c r="H11" s="262"/>
      <c r="I11" s="159"/>
      <c r="J11" s="159"/>
      <c r="K11" s="159"/>
      <c r="L11" s="199"/>
      <c r="M11" s="215"/>
      <c r="N11" s="87" t="s">
        <v>288</v>
      </c>
    </row>
    <row r="12" spans="2:23" x14ac:dyDescent="0.2">
      <c r="B12" s="149" t="s">
        <v>116</v>
      </c>
      <c r="C12" s="170" t="s">
        <v>117</v>
      </c>
      <c r="D12" s="264">
        <v>9634497.6315792762</v>
      </c>
      <c r="E12" s="171">
        <v>11.52</v>
      </c>
      <c r="F12" s="159">
        <f>SUM(+D12*E12)</f>
        <v>110989412.71579325</v>
      </c>
      <c r="H12" s="448">
        <v>12.5</v>
      </c>
      <c r="I12" s="159">
        <f>SUM(+D12*H12)</f>
        <v>120431220.39474095</v>
      </c>
      <c r="J12" s="159"/>
      <c r="K12" s="159">
        <f>I12-F12</f>
        <v>9441807.6789477021</v>
      </c>
      <c r="L12" s="131">
        <f>IFERROR(ROUND(K12/F12,5), )</f>
        <v>8.5070000000000007E-2</v>
      </c>
      <c r="M12" s="215"/>
      <c r="N12" s="449">
        <v>403617221.39551479</v>
      </c>
    </row>
    <row r="13" spans="2:23" x14ac:dyDescent="0.2">
      <c r="B13" s="173" t="s">
        <v>118</v>
      </c>
      <c r="C13" s="268" t="s">
        <v>119</v>
      </c>
      <c r="D13" s="267">
        <v>620836684.05687141</v>
      </c>
      <c r="E13" s="158">
        <v>0.41964000000000001</v>
      </c>
      <c r="F13" s="159">
        <f>ROUND(D13*E13,2)</f>
        <v>260527906.09999999</v>
      </c>
      <c r="H13" s="150">
        <f>ROUND((N12-I12-I20-I32)/D13, 5)</f>
        <v>0.45612999999999998</v>
      </c>
      <c r="I13" s="159">
        <f>ROUND(D13*H13,2)</f>
        <v>283182236.69999999</v>
      </c>
      <c r="J13" s="159"/>
      <c r="K13" s="159">
        <f>I13-F13</f>
        <v>22654330.599999994</v>
      </c>
      <c r="L13" s="131">
        <f>IFERROR(ROUND(K13/F13,5), )</f>
        <v>8.6959999999999996E-2</v>
      </c>
      <c r="M13" s="268"/>
      <c r="N13" s="133" t="s">
        <v>143</v>
      </c>
    </row>
    <row r="14" spans="2:23" x14ac:dyDescent="0.2">
      <c r="B14" s="88"/>
      <c r="C14" s="200"/>
      <c r="D14" s="264"/>
      <c r="E14" s="262"/>
      <c r="F14" s="128">
        <f>SUM(F12:F13)</f>
        <v>371517318.81579328</v>
      </c>
      <c r="H14" s="262"/>
      <c r="I14" s="128">
        <f>SUM(I12:I13)</f>
        <v>403613457.09474093</v>
      </c>
      <c r="J14" s="159"/>
      <c r="K14" s="128">
        <f>SUM(K12:K13)</f>
        <v>32096138.278947696</v>
      </c>
      <c r="L14" s="129">
        <f>IFERROR(ROUND(K14/F14,5), )</f>
        <v>8.6389999999999995E-2</v>
      </c>
      <c r="M14" s="268"/>
      <c r="N14" s="202">
        <f>I37-N12</f>
        <v>1468.8492261171341</v>
      </c>
    </row>
    <row r="15" spans="2:23" x14ac:dyDescent="0.2">
      <c r="B15" s="88"/>
      <c r="C15" s="89"/>
      <c r="D15" s="262"/>
      <c r="E15" s="158"/>
      <c r="F15" s="90"/>
      <c r="H15" s="262"/>
      <c r="I15" s="159"/>
      <c r="J15" s="159"/>
      <c r="K15" s="159"/>
      <c r="L15" s="199"/>
      <c r="M15" s="113"/>
    </row>
    <row r="16" spans="2:23" x14ac:dyDescent="0.2">
      <c r="B16" s="165" t="s">
        <v>289</v>
      </c>
      <c r="C16" s="200"/>
      <c r="D16" s="267"/>
      <c r="E16" s="262"/>
      <c r="F16" s="128">
        <f>F14</f>
        <v>371517318.81579328</v>
      </c>
      <c r="H16" s="262"/>
      <c r="I16" s="128">
        <f>I14</f>
        <v>403613457.09474093</v>
      </c>
      <c r="J16" s="159"/>
      <c r="K16" s="128">
        <f>K14</f>
        <v>32096138.278947696</v>
      </c>
      <c r="L16" s="129">
        <f>IFERROR(ROUND(K16/F16,5), )</f>
        <v>8.6389999999999995E-2</v>
      </c>
      <c r="M16" s="113"/>
      <c r="N16" s="450">
        <v>8.0480791636416082E-2</v>
      </c>
      <c r="O16" s="268"/>
      <c r="W16" s="268"/>
    </row>
    <row r="17" spans="1:23" s="260" customFormat="1" x14ac:dyDescent="0.2">
      <c r="B17" s="167"/>
      <c r="C17" s="174"/>
      <c r="D17" s="174"/>
      <c r="E17" s="174"/>
      <c r="F17" s="175"/>
      <c r="G17" s="263"/>
      <c r="H17" s="174"/>
      <c r="I17" s="175"/>
      <c r="J17" s="175"/>
      <c r="K17" s="175"/>
      <c r="L17" s="168"/>
      <c r="M17" s="262"/>
      <c r="N17" s="262"/>
      <c r="O17" s="262"/>
      <c r="W17" s="262"/>
    </row>
    <row r="18" spans="1:23" x14ac:dyDescent="0.2">
      <c r="A18" s="260"/>
      <c r="B18" s="148" t="s">
        <v>144</v>
      </c>
      <c r="C18" s="451"/>
      <c r="D18" s="443"/>
      <c r="E18" s="443"/>
      <c r="F18" s="446"/>
      <c r="G18" s="445"/>
      <c r="H18" s="443"/>
      <c r="I18" s="446"/>
      <c r="J18" s="446"/>
      <c r="K18" s="446"/>
      <c r="L18" s="452"/>
      <c r="M18" s="268"/>
      <c r="N18" s="268"/>
      <c r="O18" s="268"/>
      <c r="W18" s="268"/>
    </row>
    <row r="19" spans="1:23" s="260" customFormat="1" x14ac:dyDescent="0.2">
      <c r="B19" s="153"/>
      <c r="C19" s="262"/>
      <c r="D19" s="262"/>
      <c r="E19" s="262"/>
      <c r="F19" s="176"/>
      <c r="G19" s="154"/>
      <c r="H19" s="262"/>
      <c r="I19" s="176"/>
      <c r="J19" s="176"/>
      <c r="K19" s="176"/>
      <c r="L19" s="220"/>
      <c r="M19" s="218"/>
      <c r="N19" s="233"/>
      <c r="O19" s="262"/>
      <c r="W19" s="262"/>
    </row>
    <row r="20" spans="1:23" s="260" customFormat="1" ht="13.5" customHeight="1" x14ac:dyDescent="0.2">
      <c r="B20" s="149" t="s">
        <v>116</v>
      </c>
      <c r="C20" s="170" t="s">
        <v>117</v>
      </c>
      <c r="D20" s="264">
        <v>0</v>
      </c>
      <c r="E20" s="171">
        <v>11.52</v>
      </c>
      <c r="F20" s="176">
        <f>SUM(+D20*E20)</f>
        <v>0</v>
      </c>
      <c r="G20" s="264"/>
      <c r="H20" s="448">
        <f>H12</f>
        <v>12.5</v>
      </c>
      <c r="I20" s="176">
        <f>SUM(+D20*H20)</f>
        <v>0</v>
      </c>
      <c r="J20" s="176"/>
      <c r="K20" s="176">
        <f>I20-F20</f>
        <v>0</v>
      </c>
      <c r="L20" s="131">
        <f t="shared" ref="L20:L21" si="0">IFERROR(ROUND(K20/F20,5), )</f>
        <v>0</v>
      </c>
      <c r="M20" s="218"/>
      <c r="N20" s="169"/>
      <c r="O20" s="262"/>
      <c r="W20" s="262"/>
    </row>
    <row r="21" spans="1:23" s="260" customFormat="1" ht="13.5" customHeight="1" x14ac:dyDescent="0.2">
      <c r="B21" s="173" t="s">
        <v>118</v>
      </c>
      <c r="C21" s="268" t="s">
        <v>119</v>
      </c>
      <c r="D21" s="264">
        <v>0</v>
      </c>
      <c r="E21" s="158">
        <v>0.41964000000000001</v>
      </c>
      <c r="F21" s="176">
        <f>ROUND(D21*E21,2)</f>
        <v>0</v>
      </c>
      <c r="G21" s="264"/>
      <c r="H21" s="150">
        <f>H13</f>
        <v>0.45612999999999998</v>
      </c>
      <c r="I21" s="176">
        <f>ROUND(D21*H21,2)</f>
        <v>0</v>
      </c>
      <c r="J21" s="176"/>
      <c r="K21" s="176">
        <f>I21-F21</f>
        <v>0</v>
      </c>
      <c r="L21" s="131">
        <f t="shared" si="0"/>
        <v>0</v>
      </c>
      <c r="M21" s="218"/>
      <c r="N21" s="232"/>
      <c r="O21" s="262"/>
      <c r="W21" s="262"/>
    </row>
    <row r="22" spans="1:23" s="260" customFormat="1" ht="13.5" customHeight="1" x14ac:dyDescent="0.2">
      <c r="B22" s="165" t="s">
        <v>145</v>
      </c>
      <c r="C22" s="170"/>
      <c r="D22" s="264"/>
      <c r="E22" s="262"/>
      <c r="F22" s="128">
        <f>SUM(F20:F21)</f>
        <v>0</v>
      </c>
      <c r="G22" s="264"/>
      <c r="H22" s="262"/>
      <c r="I22" s="128">
        <f>SUM(I20:I21)</f>
        <v>0</v>
      </c>
      <c r="J22" s="176"/>
      <c r="K22" s="128">
        <f>SUM(K20:K21)</f>
        <v>0</v>
      </c>
      <c r="L22" s="129">
        <f>IFERROR(ROUND(K22/F22,5), )</f>
        <v>0</v>
      </c>
      <c r="M22" s="262"/>
      <c r="N22" s="232"/>
      <c r="O22" s="262"/>
      <c r="W22" s="262"/>
    </row>
    <row r="23" spans="1:23" s="260" customFormat="1" ht="13.5" customHeight="1" x14ac:dyDescent="0.2">
      <c r="B23" s="91"/>
      <c r="C23" s="92"/>
      <c r="D23" s="262"/>
      <c r="E23" s="262"/>
      <c r="F23" s="93"/>
      <c r="G23" s="264"/>
      <c r="H23" s="262"/>
      <c r="I23" s="176"/>
      <c r="J23" s="176"/>
      <c r="K23" s="176"/>
      <c r="L23" s="220"/>
      <c r="M23" s="262"/>
      <c r="N23" s="453"/>
      <c r="O23" s="262"/>
      <c r="W23" s="262"/>
    </row>
    <row r="24" spans="1:23" s="260" customFormat="1" ht="13.5" customHeight="1" x14ac:dyDescent="0.2">
      <c r="B24" s="149" t="s">
        <v>289</v>
      </c>
      <c r="C24" s="170"/>
      <c r="D24" s="262"/>
      <c r="E24" s="262"/>
      <c r="F24" s="128">
        <f>F22</f>
        <v>0</v>
      </c>
      <c r="G24" s="264"/>
      <c r="H24" s="262"/>
      <c r="I24" s="128">
        <f>I22</f>
        <v>0</v>
      </c>
      <c r="J24" s="176"/>
      <c r="K24" s="128">
        <f>K22</f>
        <v>0</v>
      </c>
      <c r="L24" s="129">
        <f>IFERROR(ROUND(K24/F24,5), )</f>
        <v>0</v>
      </c>
      <c r="M24" s="262"/>
      <c r="N24" s="454"/>
      <c r="O24" s="262"/>
      <c r="W24" s="262"/>
    </row>
    <row r="25" spans="1:23" s="260" customFormat="1" ht="13.5" customHeight="1" x14ac:dyDescent="0.2">
      <c r="B25" s="167"/>
      <c r="C25" s="174"/>
      <c r="D25" s="174"/>
      <c r="E25" s="174"/>
      <c r="F25" s="175"/>
      <c r="G25" s="174"/>
      <c r="H25" s="174"/>
      <c r="I25" s="175"/>
      <c r="J25" s="175"/>
      <c r="K25" s="175"/>
      <c r="L25" s="168"/>
      <c r="M25" s="262"/>
      <c r="N25" s="455"/>
      <c r="O25" s="262"/>
      <c r="W25" s="262"/>
    </row>
    <row r="26" spans="1:23" ht="13.5" customHeight="1" x14ac:dyDescent="0.2">
      <c r="B26" s="148" t="s">
        <v>146</v>
      </c>
      <c r="C26" s="442"/>
      <c r="D26" s="443"/>
      <c r="E26" s="443"/>
      <c r="F26" s="446"/>
      <c r="G26" s="445"/>
      <c r="H26" s="444"/>
      <c r="I26" s="446"/>
      <c r="J26" s="446"/>
      <c r="K26" s="446"/>
      <c r="L26" s="452"/>
      <c r="M26" s="268"/>
      <c r="N26" s="260"/>
      <c r="O26" s="268"/>
      <c r="W26" s="268"/>
    </row>
    <row r="27" spans="1:23" ht="13.5" customHeight="1" x14ac:dyDescent="0.2">
      <c r="B27" s="88"/>
      <c r="C27" s="89"/>
      <c r="D27" s="262"/>
      <c r="E27" s="262"/>
      <c r="F27" s="159"/>
      <c r="G27" s="94"/>
      <c r="H27" s="268"/>
      <c r="I27" s="159"/>
      <c r="J27" s="159"/>
      <c r="K27" s="159"/>
      <c r="L27" s="199"/>
      <c r="M27" s="215"/>
      <c r="N27" s="260"/>
      <c r="O27" s="268"/>
      <c r="W27" s="268"/>
    </row>
    <row r="28" spans="1:23" ht="13.5" customHeight="1" x14ac:dyDescent="0.2">
      <c r="B28" s="153" t="s">
        <v>147</v>
      </c>
      <c r="C28" s="95" t="s">
        <v>120</v>
      </c>
      <c r="D28" s="264">
        <v>431.06668421052632</v>
      </c>
      <c r="E28" s="171">
        <v>11.24</v>
      </c>
      <c r="F28" s="159">
        <f>ROUND(D28*E28,2)</f>
        <v>4845.1899999999996</v>
      </c>
      <c r="H28" s="448">
        <f>ROUND(E28*(1+N16), 2)</f>
        <v>12.14</v>
      </c>
      <c r="I28" s="159">
        <f>ROUND(D28*H28,2)</f>
        <v>5233.1499999999996</v>
      </c>
      <c r="J28" s="159"/>
      <c r="K28" s="159">
        <f>I28-F28</f>
        <v>387.96000000000004</v>
      </c>
      <c r="L28" s="131">
        <f>IFERROR(ROUND(K28/F28,5), )</f>
        <v>8.0070000000000002E-2</v>
      </c>
      <c r="M28" s="96"/>
      <c r="N28" s="260"/>
      <c r="O28" s="268"/>
      <c r="W28" s="268"/>
    </row>
    <row r="29" spans="1:23" ht="13.5" customHeight="1" x14ac:dyDescent="0.2">
      <c r="B29" s="173"/>
      <c r="C29" s="268"/>
      <c r="D29" s="262"/>
      <c r="E29" s="262"/>
      <c r="F29" s="159"/>
      <c r="G29" s="268"/>
      <c r="H29" s="268"/>
      <c r="I29" s="159"/>
      <c r="J29" s="159"/>
      <c r="K29" s="159"/>
      <c r="L29" s="131"/>
      <c r="M29" s="96"/>
      <c r="N29" s="260"/>
      <c r="O29" s="268"/>
      <c r="W29" s="268"/>
    </row>
    <row r="30" spans="1:23" ht="13.5" customHeight="1" x14ac:dyDescent="0.2">
      <c r="B30" s="165" t="s">
        <v>148</v>
      </c>
      <c r="C30" s="200"/>
      <c r="D30" s="264">
        <v>8190.2669999999998</v>
      </c>
      <c r="E30" s="264"/>
      <c r="F30" s="90"/>
      <c r="H30" s="268"/>
      <c r="I30" s="159"/>
      <c r="J30" s="159"/>
      <c r="K30" s="159"/>
      <c r="L30" s="199"/>
      <c r="M30" s="96"/>
      <c r="N30" s="260"/>
      <c r="O30" s="268"/>
      <c r="W30" s="268"/>
    </row>
    <row r="31" spans="1:23" ht="13.5" customHeight="1" x14ac:dyDescent="0.2">
      <c r="B31" s="173"/>
      <c r="C31" s="268"/>
      <c r="D31" s="262"/>
      <c r="E31" s="262"/>
      <c r="F31" s="176"/>
      <c r="G31" s="264"/>
      <c r="H31" s="262"/>
      <c r="I31" s="176"/>
      <c r="J31" s="159"/>
      <c r="K31" s="159"/>
      <c r="L31" s="199"/>
      <c r="M31" s="113"/>
      <c r="N31" s="260"/>
      <c r="O31" s="268"/>
      <c r="W31" s="268"/>
    </row>
    <row r="32" spans="1:23" ht="13.5" customHeight="1" x14ac:dyDescent="0.2">
      <c r="B32" s="173" t="s">
        <v>289</v>
      </c>
      <c r="C32" s="268"/>
      <c r="D32" s="262"/>
      <c r="E32" s="262"/>
      <c r="F32" s="128">
        <f>F28</f>
        <v>4845.1899999999996</v>
      </c>
      <c r="H32" s="268"/>
      <c r="I32" s="128">
        <f>I28</f>
        <v>5233.1499999999996</v>
      </c>
      <c r="J32" s="159"/>
      <c r="K32" s="128">
        <f>K28</f>
        <v>387.96000000000004</v>
      </c>
      <c r="L32" s="129">
        <f>IFERROR(ROUND(K32/F32,5), )</f>
        <v>8.0070000000000002E-2</v>
      </c>
      <c r="M32" s="215"/>
      <c r="N32" s="260"/>
      <c r="O32" s="268"/>
      <c r="W32" s="268"/>
    </row>
    <row r="33" spans="2:23" ht="13.5" customHeight="1" x14ac:dyDescent="0.2">
      <c r="B33" s="97"/>
      <c r="C33" s="98"/>
      <c r="D33" s="174"/>
      <c r="E33" s="174"/>
      <c r="F33" s="99"/>
      <c r="G33" s="270"/>
      <c r="H33" s="209"/>
      <c r="I33" s="238"/>
      <c r="J33" s="238"/>
      <c r="K33" s="209"/>
      <c r="L33" s="227"/>
      <c r="M33" s="232"/>
      <c r="N33" s="260"/>
      <c r="O33" s="268"/>
      <c r="W33" s="268"/>
    </row>
    <row r="34" spans="2:23" ht="13.5" customHeight="1" x14ac:dyDescent="0.2">
      <c r="B34" s="254"/>
      <c r="K34" s="268"/>
      <c r="L34" s="246"/>
      <c r="M34" s="113"/>
      <c r="O34" s="268"/>
      <c r="W34" s="268"/>
    </row>
    <row r="35" spans="2:23" x14ac:dyDescent="0.2">
      <c r="B35" s="259" t="s">
        <v>149</v>
      </c>
      <c r="K35" s="268"/>
      <c r="L35" s="246"/>
      <c r="M35" s="232"/>
      <c r="O35" s="268"/>
      <c r="W35" s="268"/>
    </row>
    <row r="36" spans="2:23" x14ac:dyDescent="0.2">
      <c r="B36" s="254"/>
      <c r="D36" s="194" t="s">
        <v>119</v>
      </c>
      <c r="F36" s="256" t="s">
        <v>5</v>
      </c>
      <c r="I36" s="122" t="s">
        <v>1</v>
      </c>
      <c r="K36" s="122" t="s">
        <v>24</v>
      </c>
      <c r="L36" s="246"/>
      <c r="O36" s="268"/>
      <c r="W36" s="268"/>
    </row>
    <row r="37" spans="2:23" x14ac:dyDescent="0.2">
      <c r="B37" s="254" t="s">
        <v>290</v>
      </c>
      <c r="D37" s="62">
        <f>D13+D21+D30</f>
        <v>620844874.32387137</v>
      </c>
      <c r="F37" s="177">
        <f>F14+F22+F28</f>
        <v>371522164.00579327</v>
      </c>
      <c r="G37" s="177"/>
      <c r="H37" s="177"/>
      <c r="I37" s="177">
        <f>I14+I22+I28</f>
        <v>403618690.2447409</v>
      </c>
      <c r="J37" s="177"/>
      <c r="K37" s="159">
        <f>I37-F37</f>
        <v>32096526.23894763</v>
      </c>
      <c r="L37" s="178">
        <f>K37/F37</f>
        <v>8.6391955443194335E-2</v>
      </c>
    </row>
    <row r="38" spans="2:23" ht="13.5" thickBot="1" x14ac:dyDescent="0.25">
      <c r="B38" s="254"/>
      <c r="D38" s="261"/>
      <c r="F38" s="159"/>
      <c r="I38" s="159"/>
      <c r="K38" s="159"/>
      <c r="L38" s="178"/>
    </row>
    <row r="39" spans="2:23" ht="13.5" thickBot="1" x14ac:dyDescent="0.25">
      <c r="B39" s="378" t="s">
        <v>42</v>
      </c>
      <c r="C39" s="456" t="s">
        <v>291</v>
      </c>
      <c r="D39" s="457">
        <v>373297420.99925822</v>
      </c>
      <c r="E39" s="379" t="s">
        <v>292</v>
      </c>
      <c r="F39" s="458">
        <f>D39-F37</f>
        <v>1775256.9934649467</v>
      </c>
      <c r="K39" s="268"/>
      <c r="L39" s="246"/>
      <c r="N39" s="177"/>
    </row>
    <row r="40" spans="2:23" x14ac:dyDescent="0.2">
      <c r="B40" s="254"/>
      <c r="F40" s="254"/>
      <c r="L40" s="246"/>
    </row>
    <row r="41" spans="2:23" x14ac:dyDescent="0.2">
      <c r="B41" s="438"/>
      <c r="L41" s="246"/>
    </row>
    <row r="42" spans="2:23" x14ac:dyDescent="0.2">
      <c r="B42" s="254"/>
      <c r="C42" s="254"/>
      <c r="D42" s="254"/>
      <c r="F42" s="254"/>
      <c r="G42" s="254"/>
      <c r="I42" s="254"/>
      <c r="J42" s="254"/>
      <c r="L42" s="178"/>
      <c r="M42" s="254"/>
    </row>
    <row r="43" spans="2:23" x14ac:dyDescent="0.2">
      <c r="L43" s="246"/>
    </row>
    <row r="44" spans="2:23" x14ac:dyDescent="0.2">
      <c r="L44" s="246"/>
    </row>
  </sheetData>
  <dataConsolidate/>
  <printOptions horizontalCentered="1"/>
  <pageMargins left="0.5" right="0.5" top="1" bottom="1" header="0.75" footer="0.5"/>
  <pageSetup scale="75" fitToHeight="2" orientation="landscape" blackAndWhite="1" r:id="rId1"/>
  <headerFooter alignWithMargins="0">
    <oddFooter>&amp;R&amp;A
 Page &amp;P of &amp;N</oddFooter>
  </headerFooter>
  <customProperties>
    <customPr name="_pios_id" r:id="rId2"/>
    <customPr name="EpmWorksheetKeyString_GUID" r:id="rId3"/>
  </customPropertie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zoomScale="90" zoomScaleNormal="90" zoomScaleSheetLayoutView="100" workbookViewId="0">
      <pane ySplit="8" topLeftCell="A36" activePane="bottomLeft" state="frozen"/>
      <selection activeCell="G42" sqref="G42"/>
      <selection pane="bottomLeft" activeCell="G42" sqref="G42"/>
    </sheetView>
  </sheetViews>
  <sheetFormatPr defaultColWidth="9.140625" defaultRowHeight="12.75" x14ac:dyDescent="0.2"/>
  <cols>
    <col min="1" max="1" width="2.42578125" style="254" customWidth="1"/>
    <col min="2" max="2" width="31.7109375" style="254" customWidth="1"/>
    <col min="3" max="3" width="9.7109375" style="254" customWidth="1"/>
    <col min="4" max="4" width="14.5703125" style="254" bestFit="1" customWidth="1"/>
    <col min="5" max="5" width="10.42578125" style="254" customWidth="1"/>
    <col min="6" max="6" width="14.7109375" style="244" bestFit="1" customWidth="1"/>
    <col min="7" max="7" width="2.85546875" style="261" customWidth="1"/>
    <col min="8" max="8" width="10.42578125" style="260" customWidth="1"/>
    <col min="9" max="9" width="15" style="244" customWidth="1"/>
    <col min="10" max="10" width="2.85546875" style="244" customWidth="1"/>
    <col min="11" max="11" width="13.28515625" style="244" customWidth="1"/>
    <col min="12" max="12" width="10.42578125" style="178" customWidth="1"/>
    <col min="13" max="13" width="2.85546875" style="112" customWidth="1"/>
    <col min="14" max="14" width="2" style="182" customWidth="1"/>
    <col min="15" max="15" width="14.5703125" style="254" customWidth="1"/>
    <col min="16" max="16" width="15" style="254" bestFit="1" customWidth="1"/>
    <col min="17" max="16384" width="9.140625" style="254"/>
  </cols>
  <sheetData>
    <row r="1" spans="1:15" x14ac:dyDescent="0.2">
      <c r="B1" s="439" t="s">
        <v>0</v>
      </c>
    </row>
    <row r="2" spans="1:15" x14ac:dyDescent="0.2">
      <c r="B2" s="440" t="s">
        <v>293</v>
      </c>
      <c r="C2" s="253"/>
      <c r="D2" s="253"/>
      <c r="E2" s="253"/>
      <c r="F2" s="100"/>
      <c r="G2" s="101"/>
      <c r="H2" s="102"/>
      <c r="I2" s="100"/>
      <c r="J2" s="100"/>
      <c r="K2" s="100"/>
      <c r="L2" s="103"/>
      <c r="M2" s="104"/>
      <c r="N2" s="104"/>
      <c r="O2" s="253"/>
    </row>
    <row r="3" spans="1:15" x14ac:dyDescent="0.2">
      <c r="B3" s="440" t="s">
        <v>294</v>
      </c>
      <c r="C3" s="253"/>
      <c r="D3" s="253"/>
      <c r="E3" s="253"/>
      <c r="F3" s="253"/>
      <c r="G3" s="102"/>
      <c r="H3" s="102"/>
      <c r="I3" s="253"/>
      <c r="J3" s="253"/>
      <c r="K3" s="253"/>
      <c r="L3" s="103"/>
      <c r="M3" s="253"/>
      <c r="N3" s="104"/>
      <c r="O3" s="253"/>
    </row>
    <row r="4" spans="1:15" x14ac:dyDescent="0.2">
      <c r="B4" s="440" t="s">
        <v>220</v>
      </c>
      <c r="C4" s="253"/>
      <c r="D4" s="253"/>
      <c r="E4" s="253"/>
      <c r="F4" s="253"/>
      <c r="G4" s="102"/>
      <c r="H4" s="102"/>
      <c r="I4" s="253"/>
      <c r="J4" s="253"/>
      <c r="K4" s="253"/>
      <c r="L4" s="103"/>
      <c r="M4" s="253"/>
      <c r="N4" s="104"/>
      <c r="O4" s="253"/>
    </row>
    <row r="5" spans="1:15" x14ac:dyDescent="0.2">
      <c r="B5" s="440" t="s">
        <v>295</v>
      </c>
      <c r="C5" s="253"/>
      <c r="D5" s="253"/>
      <c r="E5" s="253"/>
      <c r="F5" s="253"/>
      <c r="G5" s="102"/>
      <c r="H5" s="102"/>
      <c r="I5" s="253"/>
      <c r="J5" s="253"/>
      <c r="K5" s="253"/>
      <c r="L5" s="103"/>
      <c r="M5" s="253"/>
      <c r="N5" s="105"/>
      <c r="O5" s="106"/>
    </row>
    <row r="6" spans="1:15" ht="13.5" customHeight="1" x14ac:dyDescent="0.2">
      <c r="B6" s="107"/>
      <c r="C6" s="107"/>
      <c r="D6" s="107"/>
      <c r="E6" s="107"/>
      <c r="F6" s="108"/>
      <c r="G6" s="109"/>
      <c r="H6" s="110"/>
      <c r="I6" s="108"/>
      <c r="J6" s="108"/>
      <c r="K6" s="108"/>
      <c r="L6" s="111"/>
      <c r="N6" s="113"/>
      <c r="O6" s="268"/>
    </row>
    <row r="7" spans="1:15" ht="12" customHeight="1" x14ac:dyDescent="0.2">
      <c r="B7" s="114"/>
      <c r="C7" s="115"/>
      <c r="D7" s="116" t="s">
        <v>134</v>
      </c>
      <c r="E7" s="118" t="s">
        <v>286</v>
      </c>
      <c r="F7" s="117"/>
      <c r="G7" s="258"/>
      <c r="H7" s="84" t="s">
        <v>287</v>
      </c>
      <c r="I7" s="117"/>
      <c r="J7" s="119"/>
      <c r="K7" s="657" t="s">
        <v>135</v>
      </c>
      <c r="L7" s="658"/>
      <c r="M7" s="120"/>
      <c r="N7" s="105"/>
      <c r="O7" s="87" t="s">
        <v>136</v>
      </c>
    </row>
    <row r="8" spans="1:15" x14ac:dyDescent="0.2">
      <c r="B8" s="121" t="s">
        <v>102</v>
      </c>
      <c r="C8" s="256" t="s">
        <v>115</v>
      </c>
      <c r="D8" s="257" t="s">
        <v>137</v>
      </c>
      <c r="E8" s="256" t="s">
        <v>22</v>
      </c>
      <c r="F8" s="122" t="s">
        <v>138</v>
      </c>
      <c r="G8" s="257"/>
      <c r="H8" s="257" t="s">
        <v>22</v>
      </c>
      <c r="I8" s="122" t="s">
        <v>138</v>
      </c>
      <c r="J8" s="122"/>
      <c r="K8" s="122" t="s">
        <v>139</v>
      </c>
      <c r="L8" s="123" t="s">
        <v>140</v>
      </c>
      <c r="M8" s="201"/>
      <c r="N8" s="124"/>
      <c r="O8" s="441" t="s">
        <v>141</v>
      </c>
    </row>
    <row r="9" spans="1:15" x14ac:dyDescent="0.2">
      <c r="A9" s="268"/>
      <c r="B9" s="233"/>
      <c r="C9" s="233"/>
      <c r="D9" s="233"/>
      <c r="E9" s="233"/>
      <c r="F9" s="125"/>
      <c r="G9" s="258"/>
      <c r="H9" s="258"/>
      <c r="I9" s="125"/>
      <c r="J9" s="125"/>
      <c r="K9" s="125"/>
      <c r="L9" s="126"/>
      <c r="M9" s="201"/>
      <c r="N9" s="124"/>
      <c r="O9" s="268"/>
    </row>
    <row r="10" spans="1:15" x14ac:dyDescent="0.2">
      <c r="B10" s="127" t="s">
        <v>150</v>
      </c>
      <c r="C10" s="459"/>
      <c r="D10" s="444"/>
      <c r="E10" s="444"/>
      <c r="F10" s="446"/>
      <c r="G10" s="460"/>
      <c r="H10" s="443"/>
      <c r="I10" s="446"/>
      <c r="J10" s="446"/>
      <c r="K10" s="446"/>
      <c r="L10" s="452"/>
      <c r="M10" s="130"/>
      <c r="N10" s="113"/>
      <c r="O10" s="268"/>
    </row>
    <row r="11" spans="1:15" x14ac:dyDescent="0.2">
      <c r="B11" s="173"/>
      <c r="C11" s="268"/>
      <c r="D11" s="267"/>
      <c r="E11" s="268"/>
      <c r="F11" s="159"/>
      <c r="G11" s="264"/>
      <c r="H11" s="262"/>
      <c r="I11" s="159"/>
      <c r="J11" s="159"/>
      <c r="K11" s="159"/>
      <c r="L11" s="131"/>
      <c r="M11" s="130"/>
      <c r="N11" s="113"/>
      <c r="O11" s="380" t="s">
        <v>151</v>
      </c>
    </row>
    <row r="12" spans="1:15" x14ac:dyDescent="0.2">
      <c r="B12" s="149" t="s">
        <v>116</v>
      </c>
      <c r="C12" s="170" t="s">
        <v>117</v>
      </c>
      <c r="D12" s="264">
        <v>698499.36081828561</v>
      </c>
      <c r="E12" s="171">
        <v>33.840000000000003</v>
      </c>
      <c r="F12" s="159">
        <f>ROUND(D12*E12,2)</f>
        <v>23637218.370000001</v>
      </c>
      <c r="G12" s="264"/>
      <c r="H12" s="448">
        <v>38.89</v>
      </c>
      <c r="I12" s="176">
        <f>ROUND(D12*H12,2)</f>
        <v>27164640.140000001</v>
      </c>
      <c r="J12" s="159"/>
      <c r="K12" s="159">
        <f>I12-F12</f>
        <v>3527421.7699999996</v>
      </c>
      <c r="L12" s="131">
        <f>IFERROR(ROUND(K12/F12,5), )</f>
        <v>0.14923</v>
      </c>
      <c r="M12" s="130"/>
      <c r="N12" s="113"/>
      <c r="O12" s="132">
        <v>122144166.5837137</v>
      </c>
    </row>
    <row r="13" spans="1:15" x14ac:dyDescent="0.2">
      <c r="B13" s="173" t="s">
        <v>118</v>
      </c>
      <c r="C13" s="268" t="s">
        <v>119</v>
      </c>
      <c r="D13" s="264">
        <v>222166912.14539161</v>
      </c>
      <c r="E13" s="158">
        <v>0.37956000000000001</v>
      </c>
      <c r="F13" s="159">
        <f>ROUND(D13*E13,2)</f>
        <v>84325673.170000002</v>
      </c>
      <c r="G13" s="264"/>
      <c r="H13" s="150">
        <f>ROUND((O12-I12-I14-I22)/D32,5)</f>
        <v>0.41249000000000002</v>
      </c>
      <c r="I13" s="176">
        <f>ROUND(D13*H13,2)</f>
        <v>91641629.590000004</v>
      </c>
      <c r="J13" s="159"/>
      <c r="K13" s="159">
        <f>I13-F13</f>
        <v>7315956.4200000018</v>
      </c>
      <c r="L13" s="131">
        <f>IFERROR(ROUND(K13/F13,5), )</f>
        <v>8.6760000000000004E-2</v>
      </c>
      <c r="M13" s="130"/>
      <c r="N13" s="113"/>
      <c r="O13" s="133" t="s">
        <v>143</v>
      </c>
    </row>
    <row r="14" spans="1:15" x14ac:dyDescent="0.2">
      <c r="B14" s="173" t="s">
        <v>55</v>
      </c>
      <c r="C14" s="268"/>
      <c r="D14" s="264">
        <f>D13</f>
        <v>222166912.14539161</v>
      </c>
      <c r="E14" s="158">
        <v>1.371E-2</v>
      </c>
      <c r="F14" s="159">
        <f>ROUND(D14*E14,2)</f>
        <v>3045908.37</v>
      </c>
      <c r="G14" s="264"/>
      <c r="H14" s="150">
        <v>1.4919999999999999E-2</v>
      </c>
      <c r="I14" s="159">
        <f>ROUND(D14*H14,2)</f>
        <v>3314730.33</v>
      </c>
      <c r="J14" s="134"/>
      <c r="K14" s="159">
        <f>I14-F14</f>
        <v>268821.95999999996</v>
      </c>
      <c r="L14" s="131">
        <f>IFERROR(ROUND(K14/F14,5), )</f>
        <v>8.8260000000000005E-2</v>
      </c>
      <c r="M14" s="201"/>
      <c r="N14" s="201"/>
      <c r="O14" s="136">
        <f>I36-O12</f>
        <v>815.4562863111496</v>
      </c>
    </row>
    <row r="15" spans="1:15" x14ac:dyDescent="0.2">
      <c r="B15" s="165" t="s">
        <v>145</v>
      </c>
      <c r="C15" s="200"/>
      <c r="D15" s="264"/>
      <c r="E15" s="262"/>
      <c r="F15" s="128">
        <f>SUM(F12:F14)</f>
        <v>111008799.91000001</v>
      </c>
      <c r="G15" s="264"/>
      <c r="H15" s="264"/>
      <c r="I15" s="137">
        <f>SUM(I12:I14)</f>
        <v>122121000.06</v>
      </c>
      <c r="J15" s="159"/>
      <c r="K15" s="128">
        <f>SUM(K12:K14)</f>
        <v>11112200.150000002</v>
      </c>
      <c r="L15" s="129">
        <f>IFERROR(ROUND(K15/F15,5), )</f>
        <v>0.10009999999999999</v>
      </c>
      <c r="M15" s="130"/>
      <c r="N15" s="113"/>
      <c r="O15" s="138"/>
    </row>
    <row r="16" spans="1:15" x14ac:dyDescent="0.2">
      <c r="B16" s="173"/>
      <c r="C16" s="268"/>
      <c r="D16" s="262"/>
      <c r="E16" s="262"/>
      <c r="F16" s="159"/>
      <c r="G16" s="264"/>
      <c r="H16" s="264"/>
      <c r="I16" s="176"/>
      <c r="J16" s="159"/>
      <c r="K16" s="159"/>
      <c r="L16" s="131"/>
      <c r="M16" s="130"/>
      <c r="N16" s="113"/>
      <c r="O16" s="461">
        <v>9.5490287038700439E-2</v>
      </c>
    </row>
    <row r="17" spans="1:15" x14ac:dyDescent="0.2">
      <c r="B17" s="165" t="s">
        <v>289</v>
      </c>
      <c r="C17" s="268"/>
      <c r="D17" s="262"/>
      <c r="E17" s="268"/>
      <c r="F17" s="128">
        <f>F15</f>
        <v>111008799.91000001</v>
      </c>
      <c r="G17" s="140"/>
      <c r="H17" s="269"/>
      <c r="I17" s="137">
        <f>I15</f>
        <v>122121000.06</v>
      </c>
      <c r="J17" s="159"/>
      <c r="K17" s="137">
        <f>K15</f>
        <v>11112200.150000002</v>
      </c>
      <c r="L17" s="129">
        <f>ROUND(K17/F17,5)</f>
        <v>0.10009999999999999</v>
      </c>
      <c r="M17" s="130"/>
      <c r="N17" s="113"/>
      <c r="O17" s="233"/>
    </row>
    <row r="18" spans="1:15" x14ac:dyDescent="0.2">
      <c r="B18" s="141"/>
      <c r="C18" s="142"/>
      <c r="D18" s="174"/>
      <c r="E18" s="143"/>
      <c r="F18" s="144"/>
      <c r="G18" s="174"/>
      <c r="H18" s="145"/>
      <c r="I18" s="175"/>
      <c r="J18" s="146"/>
      <c r="K18" s="146"/>
      <c r="L18" s="147"/>
      <c r="M18" s="130"/>
      <c r="N18" s="113"/>
      <c r="O18" s="268"/>
    </row>
    <row r="19" spans="1:15" x14ac:dyDescent="0.2">
      <c r="A19" s="268"/>
      <c r="B19" s="268"/>
      <c r="C19" s="268"/>
      <c r="D19" s="262"/>
      <c r="E19" s="268"/>
      <c r="F19" s="215"/>
      <c r="G19" s="140"/>
      <c r="H19" s="269"/>
      <c r="I19" s="215"/>
      <c r="J19" s="215"/>
      <c r="K19" s="159"/>
      <c r="L19" s="234"/>
      <c r="M19" s="130"/>
      <c r="N19" s="113"/>
      <c r="O19" s="268"/>
    </row>
    <row r="20" spans="1:15" x14ac:dyDescent="0.2">
      <c r="A20" s="268"/>
      <c r="B20" s="148" t="s">
        <v>152</v>
      </c>
      <c r="C20" s="459"/>
      <c r="D20" s="444"/>
      <c r="E20" s="444"/>
      <c r="F20" s="446"/>
      <c r="G20" s="460"/>
      <c r="H20" s="443"/>
      <c r="I20" s="446"/>
      <c r="J20" s="446"/>
      <c r="K20" s="446"/>
      <c r="L20" s="452"/>
      <c r="M20" s="130"/>
      <c r="N20" s="113"/>
      <c r="O20" s="268"/>
    </row>
    <row r="21" spans="1:15" x14ac:dyDescent="0.2">
      <c r="A21" s="268"/>
      <c r="B21" s="173"/>
      <c r="C21" s="268"/>
      <c r="D21" s="267"/>
      <c r="E21" s="268"/>
      <c r="F21" s="159"/>
      <c r="G21" s="264"/>
      <c r="H21" s="262"/>
      <c r="I21" s="159"/>
      <c r="J21" s="159"/>
      <c r="K21" s="159"/>
      <c r="L21" s="131"/>
      <c r="M21" s="130"/>
      <c r="N21" s="113"/>
      <c r="O21" s="268"/>
    </row>
    <row r="22" spans="1:15" x14ac:dyDescent="0.2">
      <c r="A22" s="268"/>
      <c r="B22" s="149" t="s">
        <v>116</v>
      </c>
      <c r="C22" s="170" t="s">
        <v>117</v>
      </c>
      <c r="D22" s="264">
        <v>24</v>
      </c>
      <c r="E22" s="171">
        <v>364.04</v>
      </c>
      <c r="F22" s="159">
        <f>ROUND(D22*E22,2)</f>
        <v>8736.9599999999991</v>
      </c>
      <c r="G22" s="264"/>
      <c r="H22" s="448">
        <f>E22</f>
        <v>364.04</v>
      </c>
      <c r="I22" s="176">
        <f>ROUND(D22*H22,2)</f>
        <v>8736.9599999999991</v>
      </c>
      <c r="J22" s="159"/>
      <c r="K22" s="159">
        <f>I22-F22</f>
        <v>0</v>
      </c>
      <c r="L22" s="131">
        <f>IFERROR(ROUND(K22/F22,5), )</f>
        <v>0</v>
      </c>
      <c r="M22" s="130"/>
      <c r="N22" s="113"/>
      <c r="O22" s="268"/>
    </row>
    <row r="23" spans="1:15" x14ac:dyDescent="0.2">
      <c r="A23" s="268"/>
      <c r="B23" s="173" t="s">
        <v>118</v>
      </c>
      <c r="C23" s="268" t="s">
        <v>119</v>
      </c>
      <c r="D23" s="264">
        <v>36958.529999999992</v>
      </c>
      <c r="E23" s="158">
        <v>0.37956000000000001</v>
      </c>
      <c r="F23" s="159">
        <f>ROUND(D23*E23,2)</f>
        <v>14027.98</v>
      </c>
      <c r="G23" s="264"/>
      <c r="H23" s="150">
        <f>H13</f>
        <v>0.41249000000000002</v>
      </c>
      <c r="I23" s="176">
        <f>ROUND(D23*H23,2)</f>
        <v>15245.02</v>
      </c>
      <c r="J23" s="159"/>
      <c r="K23" s="159">
        <f>I23-F23</f>
        <v>1217.0400000000009</v>
      </c>
      <c r="L23" s="131">
        <f>IFERROR(ROUND(K23/F23,5), )</f>
        <v>8.6760000000000004E-2</v>
      </c>
      <c r="M23" s="130"/>
      <c r="N23" s="113"/>
      <c r="O23" s="268"/>
    </row>
    <row r="24" spans="1:15" x14ac:dyDescent="0.2">
      <c r="A24" s="268"/>
      <c r="B24" s="165" t="s">
        <v>145</v>
      </c>
      <c r="C24" s="200"/>
      <c r="D24" s="264"/>
      <c r="E24" s="262"/>
      <c r="F24" s="128">
        <f>SUM(F22:F23)</f>
        <v>22764.94</v>
      </c>
      <c r="G24" s="264"/>
      <c r="H24" s="264"/>
      <c r="I24" s="137">
        <f>SUM(I22:I23)</f>
        <v>23981.98</v>
      </c>
      <c r="J24" s="159"/>
      <c r="K24" s="137">
        <f>SUM(K22:K23)</f>
        <v>1217.0400000000009</v>
      </c>
      <c r="L24" s="129">
        <f>IFERROR(ROUND(K24/F24,5), )</f>
        <v>5.3460000000000001E-2</v>
      </c>
      <c r="M24" s="130"/>
      <c r="N24" s="113"/>
      <c r="O24" s="268"/>
    </row>
    <row r="25" spans="1:15" x14ac:dyDescent="0.2">
      <c r="A25" s="268"/>
      <c r="B25" s="173"/>
      <c r="C25" s="268"/>
      <c r="D25" s="268"/>
      <c r="E25" s="268"/>
      <c r="F25" s="166"/>
      <c r="G25" s="264"/>
      <c r="H25" s="262"/>
      <c r="I25" s="166"/>
      <c r="J25" s="166"/>
      <c r="K25" s="166"/>
      <c r="L25" s="131"/>
      <c r="M25" s="130"/>
      <c r="N25" s="113"/>
      <c r="O25" s="268"/>
    </row>
    <row r="26" spans="1:15" x14ac:dyDescent="0.2">
      <c r="A26" s="268"/>
      <c r="B26" s="165" t="s">
        <v>289</v>
      </c>
      <c r="C26" s="268"/>
      <c r="D26" s="262"/>
      <c r="E26" s="268"/>
      <c r="F26" s="128">
        <f>F24</f>
        <v>22764.94</v>
      </c>
      <c r="G26" s="140"/>
      <c r="H26" s="269"/>
      <c r="I26" s="128">
        <f>I24</f>
        <v>23981.98</v>
      </c>
      <c r="J26" s="159"/>
      <c r="K26" s="128">
        <v>1223.6925354000009</v>
      </c>
      <c r="L26" s="129">
        <f>ROUND(K26/F26,5)</f>
        <v>5.3749999999999999E-2</v>
      </c>
      <c r="M26" s="130"/>
      <c r="N26" s="113"/>
      <c r="O26" s="268"/>
    </row>
    <row r="27" spans="1:15" x14ac:dyDescent="0.2">
      <c r="A27" s="268"/>
      <c r="B27" s="141"/>
      <c r="C27" s="142"/>
      <c r="D27" s="174"/>
      <c r="E27" s="143"/>
      <c r="F27" s="144"/>
      <c r="G27" s="174"/>
      <c r="H27" s="145"/>
      <c r="I27" s="175"/>
      <c r="J27" s="146"/>
      <c r="K27" s="146"/>
      <c r="L27" s="147"/>
      <c r="M27" s="130"/>
      <c r="N27" s="113"/>
      <c r="O27" s="268"/>
    </row>
    <row r="28" spans="1:15" x14ac:dyDescent="0.2">
      <c r="A28" s="268"/>
      <c r="B28" s="268"/>
      <c r="C28" s="268"/>
      <c r="D28" s="262"/>
      <c r="E28" s="268"/>
      <c r="F28" s="215"/>
      <c r="G28" s="140"/>
      <c r="H28" s="269"/>
      <c r="I28" s="215"/>
      <c r="J28" s="215"/>
      <c r="K28" s="159"/>
      <c r="L28" s="234"/>
      <c r="M28" s="130"/>
      <c r="N28" s="113"/>
      <c r="O28" s="268"/>
    </row>
    <row r="29" spans="1:15" x14ac:dyDescent="0.2">
      <c r="A29" s="268"/>
      <c r="B29" s="127" t="s">
        <v>153</v>
      </c>
      <c r="C29" s="459"/>
      <c r="D29" s="444"/>
      <c r="E29" s="444"/>
      <c r="F29" s="446"/>
      <c r="G29" s="460"/>
      <c r="H29" s="443"/>
      <c r="I29" s="446"/>
      <c r="J29" s="446"/>
      <c r="K29" s="446"/>
      <c r="L29" s="452"/>
      <c r="M29" s="130"/>
      <c r="N29" s="113"/>
      <c r="O29" s="268"/>
    </row>
    <row r="30" spans="1:15" x14ac:dyDescent="0.2">
      <c r="A30" s="268"/>
      <c r="B30" s="173"/>
      <c r="C30" s="268"/>
      <c r="D30" s="267"/>
      <c r="E30" s="268"/>
      <c r="F30" s="159"/>
      <c r="G30" s="264"/>
      <c r="H30" s="262"/>
      <c r="I30" s="159"/>
      <c r="J30" s="159"/>
      <c r="K30" s="159"/>
      <c r="L30" s="131"/>
      <c r="M30" s="130"/>
      <c r="N30" s="113"/>
      <c r="O30" s="268"/>
    </row>
    <row r="31" spans="1:15" x14ac:dyDescent="0.2">
      <c r="A31" s="268"/>
      <c r="B31" s="149" t="s">
        <v>116</v>
      </c>
      <c r="C31" s="170" t="s">
        <v>117</v>
      </c>
      <c r="D31" s="264">
        <f>D12+D22</f>
        <v>698523.36081828561</v>
      </c>
      <c r="E31" s="171"/>
      <c r="F31" s="159">
        <f>F12+F22</f>
        <v>23645955.330000002</v>
      </c>
      <c r="G31" s="264"/>
      <c r="H31" s="151"/>
      <c r="I31" s="159">
        <f>I12+I22</f>
        <v>27173377.100000001</v>
      </c>
      <c r="J31" s="159"/>
      <c r="K31" s="159">
        <f>I31-F31</f>
        <v>3527421.7699999996</v>
      </c>
      <c r="L31" s="131">
        <f>IFERROR(ROUND(K31/F31,5), )</f>
        <v>0.14918000000000001</v>
      </c>
      <c r="M31" s="130"/>
      <c r="N31" s="113"/>
      <c r="O31" s="268"/>
    </row>
    <row r="32" spans="1:15" x14ac:dyDescent="0.2">
      <c r="A32" s="268"/>
      <c r="B32" s="173" t="s">
        <v>118</v>
      </c>
      <c r="C32" s="268" t="s">
        <v>119</v>
      </c>
      <c r="D32" s="264">
        <f>D13+D23</f>
        <v>222203870.67539161</v>
      </c>
      <c r="E32" s="158"/>
      <c r="F32" s="159">
        <f>F13+F23</f>
        <v>84339701.150000006</v>
      </c>
      <c r="G32" s="264"/>
      <c r="H32" s="152"/>
      <c r="I32" s="159">
        <f>I13+I23</f>
        <v>91656874.609999999</v>
      </c>
      <c r="J32" s="159"/>
      <c r="K32" s="159">
        <f>I32-F32</f>
        <v>7317173.4599999934</v>
      </c>
      <c r="L32" s="131">
        <f>IFERROR(ROUND(K32/F32,5), )</f>
        <v>8.6760000000000004E-2</v>
      </c>
      <c r="M32" s="130"/>
      <c r="N32" s="113"/>
      <c r="O32" s="268"/>
    </row>
    <row r="33" spans="1:15" x14ac:dyDescent="0.2">
      <c r="A33" s="268"/>
      <c r="B33" s="173" t="s">
        <v>55</v>
      </c>
      <c r="C33" s="268" t="s">
        <v>119</v>
      </c>
      <c r="D33" s="264">
        <f>D14</f>
        <v>222166912.14539161</v>
      </c>
      <c r="E33" s="158"/>
      <c r="F33" s="159">
        <f>F14</f>
        <v>3045908.37</v>
      </c>
      <c r="G33" s="264"/>
      <c r="H33" s="152"/>
      <c r="I33" s="159">
        <f>I14</f>
        <v>3314730.33</v>
      </c>
      <c r="J33" s="159"/>
      <c r="K33" s="159">
        <f>I33-F33</f>
        <v>268821.95999999996</v>
      </c>
      <c r="L33" s="131">
        <f>IFERROR(ROUND(K33/F33,5), )</f>
        <v>8.8260000000000005E-2</v>
      </c>
      <c r="M33" s="130"/>
      <c r="N33" s="113"/>
      <c r="O33" s="268"/>
    </row>
    <row r="34" spans="1:15" x14ac:dyDescent="0.2">
      <c r="A34" s="268"/>
      <c r="B34" s="165" t="s">
        <v>145</v>
      </c>
      <c r="C34" s="200"/>
      <c r="D34" s="264"/>
      <c r="E34" s="262"/>
      <c r="F34" s="128">
        <f>SUM(F31:F33)</f>
        <v>111031564.85000001</v>
      </c>
      <c r="G34" s="264"/>
      <c r="H34" s="264"/>
      <c r="I34" s="128">
        <f>SUM(I31:I33)</f>
        <v>122144982.04000001</v>
      </c>
      <c r="J34" s="159"/>
      <c r="K34" s="128">
        <f>SUM(K31:K33)</f>
        <v>11113417.189999994</v>
      </c>
      <c r="L34" s="129">
        <f>IFERROR(ROUND(K34/F34,5), )</f>
        <v>0.10009</v>
      </c>
      <c r="M34" s="130"/>
      <c r="N34" s="113"/>
      <c r="O34" s="268"/>
    </row>
    <row r="35" spans="1:15" x14ac:dyDescent="0.2">
      <c r="A35" s="268"/>
      <c r="B35" s="165"/>
      <c r="C35" s="200"/>
      <c r="D35" s="264"/>
      <c r="E35" s="262"/>
      <c r="F35" s="159"/>
      <c r="G35" s="264"/>
      <c r="H35" s="264"/>
      <c r="I35" s="159"/>
      <c r="J35" s="159"/>
      <c r="K35" s="159"/>
      <c r="L35" s="131"/>
      <c r="M35" s="130"/>
      <c r="N35" s="113"/>
      <c r="O35" s="268"/>
    </row>
    <row r="36" spans="1:15" x14ac:dyDescent="0.2">
      <c r="A36" s="268"/>
      <c r="B36" s="165" t="s">
        <v>289</v>
      </c>
      <c r="C36" s="268"/>
      <c r="D36" s="262"/>
      <c r="E36" s="268"/>
      <c r="F36" s="128">
        <f>F34</f>
        <v>111031564.85000001</v>
      </c>
      <c r="G36" s="140"/>
      <c r="H36" s="269"/>
      <c r="I36" s="128">
        <f>I34</f>
        <v>122144982.04000001</v>
      </c>
      <c r="J36" s="159"/>
      <c r="K36" s="128">
        <f>K34</f>
        <v>11113417.189999994</v>
      </c>
      <c r="L36" s="129">
        <f>ROUND(K36/F36,5)</f>
        <v>0.10009</v>
      </c>
      <c r="M36" s="130"/>
      <c r="N36" s="113"/>
      <c r="O36" s="268"/>
    </row>
    <row r="37" spans="1:15" x14ac:dyDescent="0.2">
      <c r="A37" s="268"/>
      <c r="B37" s="141"/>
      <c r="C37" s="142"/>
      <c r="D37" s="174"/>
      <c r="E37" s="143"/>
      <c r="F37" s="144"/>
      <c r="G37" s="174"/>
      <c r="H37" s="145"/>
      <c r="I37" s="175"/>
      <c r="J37" s="146"/>
      <c r="K37" s="146"/>
      <c r="L37" s="147"/>
      <c r="M37" s="130"/>
      <c r="N37" s="113"/>
      <c r="O37" s="268"/>
    </row>
    <row r="38" spans="1:15" x14ac:dyDescent="0.2">
      <c r="A38" s="268"/>
      <c r="B38" s="268"/>
      <c r="C38" s="268"/>
      <c r="D38" s="262"/>
      <c r="E38" s="268"/>
      <c r="F38" s="215"/>
      <c r="G38" s="140"/>
      <c r="H38" s="269"/>
      <c r="I38" s="215"/>
      <c r="J38" s="215"/>
      <c r="K38" s="159"/>
      <c r="L38" s="234"/>
      <c r="M38" s="130"/>
      <c r="N38" s="113"/>
      <c r="O38" s="268"/>
    </row>
    <row r="39" spans="1:15" x14ac:dyDescent="0.2">
      <c r="B39" s="148" t="s">
        <v>154</v>
      </c>
      <c r="C39" s="459"/>
      <c r="D39" s="443"/>
      <c r="E39" s="444"/>
      <c r="F39" s="446"/>
      <c r="G39" s="443"/>
      <c r="H39" s="443"/>
      <c r="I39" s="446"/>
      <c r="J39" s="446"/>
      <c r="K39" s="446"/>
      <c r="L39" s="452"/>
      <c r="M39" s="130"/>
      <c r="N39" s="113"/>
    </row>
    <row r="40" spans="1:15" x14ac:dyDescent="0.2">
      <c r="B40" s="153"/>
      <c r="C40" s="268"/>
      <c r="D40" s="262"/>
      <c r="E40" s="262"/>
      <c r="F40" s="159"/>
      <c r="G40" s="154"/>
      <c r="H40" s="262"/>
      <c r="I40" s="159"/>
      <c r="J40" s="159"/>
      <c r="K40" s="159"/>
      <c r="L40" s="131"/>
      <c r="M40" s="130"/>
      <c r="N40" s="113"/>
      <c r="O40" s="381" t="s">
        <v>155</v>
      </c>
    </row>
    <row r="41" spans="1:15" x14ac:dyDescent="0.2">
      <c r="B41" s="149" t="s">
        <v>116</v>
      </c>
      <c r="C41" s="170" t="s">
        <v>117</v>
      </c>
      <c r="D41" s="264">
        <v>14991.599999999999</v>
      </c>
      <c r="E41" s="171">
        <v>113.4</v>
      </c>
      <c r="F41" s="159">
        <f>ROUND(D41*E41,2)</f>
        <v>1700047.44</v>
      </c>
      <c r="G41" s="264"/>
      <c r="H41" s="448">
        <v>130.33000000000001</v>
      </c>
      <c r="I41" s="159">
        <f>ROUND(D41*H41,2)</f>
        <v>1953855.23</v>
      </c>
      <c r="J41" s="159"/>
      <c r="K41" s="159">
        <f>I41-F41</f>
        <v>253807.79000000004</v>
      </c>
      <c r="L41" s="199">
        <f t="shared" ref="L41:L43" si="0">IFERROR(ROUND(K41/F41,5), )</f>
        <v>0.14929000000000001</v>
      </c>
      <c r="M41" s="130"/>
      <c r="N41" s="113"/>
      <c r="O41" s="132">
        <v>22261666.953032859</v>
      </c>
    </row>
    <row r="42" spans="1:15" x14ac:dyDescent="0.2">
      <c r="B42" s="153" t="s">
        <v>121</v>
      </c>
      <c r="C42" s="170" t="s">
        <v>117</v>
      </c>
      <c r="D42" s="264">
        <f>D41</f>
        <v>14991.599999999999</v>
      </c>
      <c r="E42" s="171">
        <v>123.82</v>
      </c>
      <c r="F42" s="215">
        <f>D42*E42</f>
        <v>1856259.9119999998</v>
      </c>
      <c r="G42" s="264"/>
      <c r="H42" s="448">
        <f>ROUND(H46*900,2)</f>
        <v>126.28</v>
      </c>
      <c r="I42" s="215">
        <f>ROUND(D42*H42,2)</f>
        <v>1893139.25</v>
      </c>
      <c r="J42" s="215"/>
      <c r="K42" s="159">
        <f>I42-F42</f>
        <v>36879.338000000222</v>
      </c>
      <c r="L42" s="199">
        <f t="shared" si="0"/>
        <v>1.9869999999999999E-2</v>
      </c>
      <c r="M42" s="130"/>
      <c r="N42" s="124"/>
      <c r="O42" s="155" t="s">
        <v>143</v>
      </c>
    </row>
    <row r="43" spans="1:15" x14ac:dyDescent="0.2">
      <c r="B43" s="153" t="s">
        <v>50</v>
      </c>
      <c r="C43" s="268" t="s">
        <v>100</v>
      </c>
      <c r="D43" s="264">
        <v>4828804.7110000001</v>
      </c>
      <c r="E43" s="171">
        <v>1.25</v>
      </c>
      <c r="F43" s="215">
        <f>ROUND(D43*E43,2)</f>
        <v>6036005.8899999997</v>
      </c>
      <c r="G43" s="264"/>
      <c r="H43" s="448">
        <f>ROUND(E43*(1+$O$45),2)</f>
        <v>1.37</v>
      </c>
      <c r="I43" s="215">
        <f>ROUND(D43*H43,2)</f>
        <v>6615462.4500000002</v>
      </c>
      <c r="J43" s="215"/>
      <c r="K43" s="159">
        <f>I43-F43</f>
        <v>579456.56000000052</v>
      </c>
      <c r="L43" s="199">
        <f t="shared" si="0"/>
        <v>9.6000000000000002E-2</v>
      </c>
      <c r="M43" s="130"/>
      <c r="N43" s="124"/>
      <c r="O43" s="136">
        <f>I86-O41</f>
        <v>130.10030537843704</v>
      </c>
    </row>
    <row r="44" spans="1:15" x14ac:dyDescent="0.2">
      <c r="B44" s="153"/>
      <c r="C44" s="268"/>
      <c r="D44" s="264"/>
      <c r="E44" s="171"/>
      <c r="F44" s="134"/>
      <c r="G44" s="264"/>
      <c r="H44" s="171"/>
      <c r="I44" s="215"/>
      <c r="J44" s="215"/>
      <c r="K44" s="232"/>
      <c r="L44" s="135"/>
      <c r="M44" s="130"/>
      <c r="N44" s="124"/>
      <c r="O44" s="156"/>
    </row>
    <row r="45" spans="1:15" x14ac:dyDescent="0.2">
      <c r="B45" s="153" t="s">
        <v>51</v>
      </c>
      <c r="C45" s="268"/>
      <c r="D45" s="264"/>
      <c r="E45" s="171"/>
      <c r="F45" s="215"/>
      <c r="G45" s="264"/>
      <c r="H45" s="171"/>
      <c r="I45" s="215"/>
      <c r="J45" s="215"/>
      <c r="K45" s="232"/>
      <c r="L45" s="135"/>
      <c r="M45" s="130"/>
      <c r="N45" s="124"/>
      <c r="O45" s="461">
        <v>9.5490287038700439E-2</v>
      </c>
    </row>
    <row r="46" spans="1:15" x14ac:dyDescent="0.2">
      <c r="B46" s="153" t="s">
        <v>81</v>
      </c>
      <c r="C46" s="268" t="s">
        <v>119</v>
      </c>
      <c r="D46" s="264">
        <v>12213411.474000001</v>
      </c>
      <c r="E46" s="158">
        <v>0.13758000000000001</v>
      </c>
      <c r="F46" s="159" t="s">
        <v>156</v>
      </c>
      <c r="G46" s="264"/>
      <c r="H46" s="150">
        <f>H47</f>
        <v>0.14030999999999999</v>
      </c>
      <c r="I46" s="159" t="s">
        <v>156</v>
      </c>
      <c r="J46" s="159"/>
      <c r="K46" s="159"/>
      <c r="L46" s="131"/>
      <c r="M46" s="130"/>
      <c r="N46" s="113"/>
    </row>
    <row r="47" spans="1:15" x14ac:dyDescent="0.2">
      <c r="B47" s="153" t="s">
        <v>82</v>
      </c>
      <c r="C47" s="268" t="s">
        <v>119</v>
      </c>
      <c r="D47" s="264">
        <v>27469287.989699997</v>
      </c>
      <c r="E47" s="158">
        <v>0.13758000000000001</v>
      </c>
      <c r="F47" s="159">
        <f>ROUND(D47*E47,2)</f>
        <v>3779224.64</v>
      </c>
      <c r="G47" s="264"/>
      <c r="H47" s="150">
        <v>0.14030999999999999</v>
      </c>
      <c r="I47" s="159">
        <f>ROUND(D47*H47,2)</f>
        <v>3854215.8</v>
      </c>
      <c r="J47" s="159"/>
      <c r="K47" s="159">
        <f>I47-F47</f>
        <v>74991.159999999683</v>
      </c>
      <c r="L47" s="199">
        <f t="shared" ref="L47:L48" si="1">IFERROR(ROUND(K47/F47,5), )</f>
        <v>1.984E-2</v>
      </c>
      <c r="M47" s="130"/>
      <c r="N47" s="113"/>
    </row>
    <row r="48" spans="1:15" x14ac:dyDescent="0.2">
      <c r="B48" s="153" t="s">
        <v>83</v>
      </c>
      <c r="C48" s="268" t="s">
        <v>119</v>
      </c>
      <c r="D48" s="264">
        <v>22835291.693248168</v>
      </c>
      <c r="E48" s="158">
        <v>0.11074000000000001</v>
      </c>
      <c r="F48" s="159">
        <f>ROUND(D48*E48,2)</f>
        <v>2528780.2000000002</v>
      </c>
      <c r="G48" s="264"/>
      <c r="H48" s="150">
        <f>ROUND(E48*(1+$O$45),5)</f>
        <v>0.12131</v>
      </c>
      <c r="I48" s="159">
        <f>ROUND(D48*H48,2)</f>
        <v>2770149.24</v>
      </c>
      <c r="J48" s="159"/>
      <c r="K48" s="159">
        <f>I48-F48</f>
        <v>241369.04000000004</v>
      </c>
      <c r="L48" s="199">
        <f t="shared" si="1"/>
        <v>9.5449999999999993E-2</v>
      </c>
      <c r="M48" s="130"/>
      <c r="N48" s="113"/>
      <c r="O48" s="176"/>
    </row>
    <row r="49" spans="1:16" s="260" customFormat="1" x14ac:dyDescent="0.2">
      <c r="A49" s="262"/>
      <c r="B49" s="149" t="s">
        <v>107</v>
      </c>
      <c r="C49" s="200"/>
      <c r="D49" s="265">
        <f>SUM(D46:D48)</f>
        <v>62517991.156948164</v>
      </c>
      <c r="E49" s="267"/>
      <c r="F49" s="215"/>
      <c r="G49" s="264"/>
      <c r="H49" s="264"/>
      <c r="I49" s="262"/>
      <c r="J49" s="262"/>
      <c r="K49" s="262"/>
      <c r="L49" s="160"/>
      <c r="M49" s="208"/>
      <c r="N49" s="161"/>
      <c r="O49" s="262"/>
    </row>
    <row r="50" spans="1:16" s="260" customFormat="1" x14ac:dyDescent="0.2">
      <c r="A50" s="262"/>
      <c r="B50" s="149" t="s">
        <v>55</v>
      </c>
      <c r="C50" s="268" t="s">
        <v>119</v>
      </c>
      <c r="D50" s="264">
        <f>D49</f>
        <v>62517991.156948164</v>
      </c>
      <c r="E50" s="462">
        <v>1.005E-2</v>
      </c>
      <c r="F50" s="215">
        <f>D50*E50</f>
        <v>628305.81112732901</v>
      </c>
      <c r="G50" s="264"/>
      <c r="H50" s="150">
        <v>1.119E-2</v>
      </c>
      <c r="I50" s="215">
        <f>D50*H50</f>
        <v>699576.32104624994</v>
      </c>
      <c r="J50" s="215"/>
      <c r="K50" s="159">
        <f>I50-F50</f>
        <v>71270.509918920929</v>
      </c>
      <c r="L50" s="199">
        <f>IFERROR(ROUND(K50/F50,5), )</f>
        <v>0.11343</v>
      </c>
      <c r="M50" s="208"/>
      <c r="N50" s="161"/>
      <c r="O50" s="262"/>
      <c r="P50" s="463"/>
    </row>
    <row r="51" spans="1:16" x14ac:dyDescent="0.2">
      <c r="B51" s="165" t="s">
        <v>145</v>
      </c>
      <c r="C51" s="200"/>
      <c r="D51" s="265"/>
      <c r="E51" s="267"/>
      <c r="F51" s="162">
        <f>SUM(F41:F50)</f>
        <v>16528623.893127328</v>
      </c>
      <c r="G51" s="264"/>
      <c r="H51" s="264"/>
      <c r="I51" s="162">
        <f>SUM(I41:I43,I47:I50)</f>
        <v>17786398.291046247</v>
      </c>
      <c r="J51" s="215"/>
      <c r="K51" s="162">
        <f>SUM(K41:K50)</f>
        <v>1257774.3979189214</v>
      </c>
      <c r="L51" s="129">
        <f>ROUND(K51/F51,5)</f>
        <v>7.6100000000000001E-2</v>
      </c>
      <c r="M51" s="130"/>
      <c r="N51" s="113"/>
      <c r="O51" s="206"/>
    </row>
    <row r="52" spans="1:16" x14ac:dyDescent="0.2">
      <c r="B52" s="149"/>
      <c r="C52" s="200"/>
      <c r="D52" s="264"/>
      <c r="E52" s="268"/>
      <c r="F52" s="159"/>
      <c r="G52" s="264"/>
      <c r="H52" s="264"/>
      <c r="I52" s="215"/>
      <c r="J52" s="215"/>
      <c r="K52" s="159"/>
      <c r="L52" s="131"/>
      <c r="M52" s="130"/>
      <c r="N52" s="113"/>
      <c r="O52" s="164"/>
    </row>
    <row r="53" spans="1:16" x14ac:dyDescent="0.2">
      <c r="B53" s="149" t="s">
        <v>289</v>
      </c>
      <c r="C53" s="200"/>
      <c r="D53" s="262"/>
      <c r="E53" s="264"/>
      <c r="F53" s="162">
        <f>+F51</f>
        <v>16528623.893127328</v>
      </c>
      <c r="G53" s="264"/>
      <c r="H53" s="264"/>
      <c r="I53" s="162">
        <f>+I51</f>
        <v>17786398.291046247</v>
      </c>
      <c r="J53" s="215"/>
      <c r="K53" s="128">
        <f>K51</f>
        <v>1257774.3979189214</v>
      </c>
      <c r="L53" s="129">
        <f>ROUND(K53/F53,5)</f>
        <v>7.6100000000000001E-2</v>
      </c>
      <c r="M53" s="130"/>
      <c r="N53" s="113"/>
      <c r="O53" s="262"/>
    </row>
    <row r="54" spans="1:16" s="260" customFormat="1" x14ac:dyDescent="0.2">
      <c r="B54" s="167"/>
      <c r="C54" s="174"/>
      <c r="D54" s="174"/>
      <c r="E54" s="174"/>
      <c r="F54" s="175"/>
      <c r="G54" s="174"/>
      <c r="H54" s="174"/>
      <c r="I54" s="144"/>
      <c r="J54" s="144"/>
      <c r="K54" s="175"/>
      <c r="L54" s="168"/>
      <c r="M54" s="208"/>
      <c r="N54" s="161"/>
      <c r="O54" s="262"/>
    </row>
    <row r="55" spans="1:16" s="260" customFormat="1" x14ac:dyDescent="0.2">
      <c r="A55" s="262"/>
      <c r="B55" s="262"/>
      <c r="C55" s="262"/>
      <c r="D55" s="262"/>
      <c r="E55" s="262"/>
      <c r="F55" s="176"/>
      <c r="G55" s="262"/>
      <c r="H55" s="262"/>
      <c r="I55" s="169"/>
      <c r="J55" s="169"/>
      <c r="K55" s="176"/>
      <c r="L55" s="271"/>
      <c r="M55" s="208"/>
      <c r="N55" s="161"/>
      <c r="O55" s="262"/>
    </row>
    <row r="56" spans="1:16" s="260" customFormat="1" x14ac:dyDescent="0.2">
      <c r="A56" s="262"/>
      <c r="B56" s="148" t="s">
        <v>157</v>
      </c>
      <c r="C56" s="459"/>
      <c r="D56" s="443"/>
      <c r="E56" s="444"/>
      <c r="F56" s="446"/>
      <c r="G56" s="443"/>
      <c r="H56" s="443"/>
      <c r="I56" s="446"/>
      <c r="J56" s="446"/>
      <c r="K56" s="446"/>
      <c r="L56" s="452"/>
      <c r="M56" s="208"/>
      <c r="N56" s="161"/>
      <c r="O56" s="262"/>
    </row>
    <row r="57" spans="1:16" s="260" customFormat="1" x14ac:dyDescent="0.2">
      <c r="A57" s="262"/>
      <c r="B57" s="153"/>
      <c r="C57" s="268"/>
      <c r="D57" s="262"/>
      <c r="E57" s="262"/>
      <c r="F57" s="159"/>
      <c r="G57" s="154"/>
      <c r="H57" s="262"/>
      <c r="I57" s="159"/>
      <c r="J57" s="159"/>
      <c r="K57" s="159"/>
      <c r="L57" s="131"/>
      <c r="M57" s="208"/>
      <c r="N57" s="161"/>
      <c r="O57" s="262"/>
    </row>
    <row r="58" spans="1:16" s="260" customFormat="1" x14ac:dyDescent="0.2">
      <c r="A58" s="262"/>
      <c r="B58" s="149" t="s">
        <v>116</v>
      </c>
      <c r="C58" s="170" t="s">
        <v>117</v>
      </c>
      <c r="D58" s="264">
        <v>1040</v>
      </c>
      <c r="E58" s="171">
        <v>422.79</v>
      </c>
      <c r="F58" s="159">
        <f>ROUND(D58*E58,2)</f>
        <v>439701.6</v>
      </c>
      <c r="G58" s="264"/>
      <c r="H58" s="448">
        <f>E58</f>
        <v>422.79</v>
      </c>
      <c r="I58" s="159">
        <f>ROUND(D58*H58,2)</f>
        <v>439701.6</v>
      </c>
      <c r="J58" s="159"/>
      <c r="K58" s="159">
        <f>I58-F58</f>
        <v>0</v>
      </c>
      <c r="L58" s="199">
        <f t="shared" ref="L58:L60" si="2">IFERROR(ROUND(K58/F58,5), )</f>
        <v>0</v>
      </c>
      <c r="M58" s="208"/>
      <c r="N58" s="161"/>
      <c r="O58" s="170"/>
    </row>
    <row r="59" spans="1:16" s="260" customFormat="1" x14ac:dyDescent="0.2">
      <c r="A59" s="262"/>
      <c r="B59" s="153" t="s">
        <v>121</v>
      </c>
      <c r="C59" s="170" t="s">
        <v>117</v>
      </c>
      <c r="D59" s="264">
        <f>D58</f>
        <v>1040</v>
      </c>
      <c r="E59" s="171">
        <v>123.82</v>
      </c>
      <c r="F59" s="215">
        <f>D59*E59</f>
        <v>128772.79999999999</v>
      </c>
      <c r="G59" s="264"/>
      <c r="H59" s="448">
        <f>H42</f>
        <v>126.28</v>
      </c>
      <c r="I59" s="215">
        <f>ROUND(D59*H59,2)</f>
        <v>131331.20000000001</v>
      </c>
      <c r="J59" s="215"/>
      <c r="K59" s="159">
        <f>I59-F59</f>
        <v>2558.4000000000233</v>
      </c>
      <c r="L59" s="199">
        <f t="shared" si="2"/>
        <v>1.9869999999999999E-2</v>
      </c>
      <c r="M59" s="208"/>
      <c r="N59" s="161"/>
      <c r="O59" s="262"/>
    </row>
    <row r="60" spans="1:16" s="260" customFormat="1" x14ac:dyDescent="0.2">
      <c r="A60" s="262"/>
      <c r="B60" s="153" t="s">
        <v>50</v>
      </c>
      <c r="C60" s="268" t="s">
        <v>100</v>
      </c>
      <c r="D60" s="264">
        <v>1163206.9669999999</v>
      </c>
      <c r="E60" s="171">
        <v>1.25</v>
      </c>
      <c r="F60" s="215">
        <f>ROUND(D60*E60,2)</f>
        <v>1454008.71</v>
      </c>
      <c r="G60" s="264"/>
      <c r="H60" s="448">
        <f>H43</f>
        <v>1.37</v>
      </c>
      <c r="I60" s="215">
        <f>ROUND(D60*H60,2)</f>
        <v>1593593.54</v>
      </c>
      <c r="J60" s="262"/>
      <c r="K60" s="159">
        <f>I60-F60</f>
        <v>139584.83000000007</v>
      </c>
      <c r="L60" s="199">
        <f t="shared" si="2"/>
        <v>9.6000000000000002E-2</v>
      </c>
      <c r="M60" s="208"/>
      <c r="N60" s="161"/>
      <c r="O60" s="262"/>
    </row>
    <row r="61" spans="1:16" s="260" customFormat="1" x14ac:dyDescent="0.2">
      <c r="A61" s="262"/>
      <c r="B61" s="153"/>
      <c r="C61" s="268"/>
      <c r="D61" s="264"/>
      <c r="E61" s="171"/>
      <c r="F61" s="215"/>
      <c r="G61" s="264"/>
      <c r="H61" s="171"/>
      <c r="I61" s="215"/>
      <c r="J61" s="215"/>
      <c r="K61" s="232"/>
      <c r="L61" s="135"/>
      <c r="M61" s="208"/>
      <c r="N61" s="161"/>
      <c r="O61" s="262"/>
    </row>
    <row r="62" spans="1:16" s="260" customFormat="1" x14ac:dyDescent="0.2">
      <c r="A62" s="262"/>
      <c r="B62" s="153" t="s">
        <v>51</v>
      </c>
      <c r="C62" s="268"/>
      <c r="D62" s="264"/>
      <c r="E62" s="171"/>
      <c r="F62" s="159"/>
      <c r="G62" s="264"/>
      <c r="H62" s="171"/>
      <c r="I62" s="215"/>
      <c r="J62" s="215"/>
      <c r="K62" s="232"/>
      <c r="L62" s="135"/>
      <c r="M62" s="208"/>
      <c r="N62" s="161"/>
      <c r="O62" s="262"/>
    </row>
    <row r="63" spans="1:16" s="260" customFormat="1" x14ac:dyDescent="0.2">
      <c r="A63" s="262"/>
      <c r="B63" s="153" t="s">
        <v>81</v>
      </c>
      <c r="C63" s="268" t="s">
        <v>119</v>
      </c>
      <c r="D63" s="264">
        <v>1057148.28</v>
      </c>
      <c r="E63" s="158">
        <v>0.13758000000000001</v>
      </c>
      <c r="F63" s="159" t="s">
        <v>156</v>
      </c>
      <c r="G63" s="264"/>
      <c r="H63" s="150">
        <f>H46</f>
        <v>0.14030999999999999</v>
      </c>
      <c r="I63" s="159" t="s">
        <v>156</v>
      </c>
      <c r="J63" s="159"/>
      <c r="K63" s="159"/>
      <c r="L63" s="131"/>
      <c r="M63" s="208"/>
      <c r="N63" s="161"/>
      <c r="O63" s="262"/>
    </row>
    <row r="64" spans="1:16" s="260" customFormat="1" x14ac:dyDescent="0.2">
      <c r="A64" s="262"/>
      <c r="B64" s="153" t="s">
        <v>82</v>
      </c>
      <c r="C64" s="268" t="s">
        <v>119</v>
      </c>
      <c r="D64" s="264">
        <v>3901926.5700000003</v>
      </c>
      <c r="E64" s="158">
        <v>0.13758000000000001</v>
      </c>
      <c r="F64" s="159">
        <f>D64*E64</f>
        <v>536827.05750060012</v>
      </c>
      <c r="G64" s="264"/>
      <c r="H64" s="150">
        <f>H47</f>
        <v>0.14030999999999999</v>
      </c>
      <c r="I64" s="159">
        <f>H64*D64</f>
        <v>547479.31703669997</v>
      </c>
      <c r="J64" s="159"/>
      <c r="K64" s="159">
        <f>I64-F64</f>
        <v>10652.259536099853</v>
      </c>
      <c r="L64" s="199">
        <f t="shared" ref="L64:L65" si="3">IFERROR(ROUND(K64/F64,5), )</f>
        <v>1.984E-2</v>
      </c>
      <c r="M64" s="208"/>
      <c r="N64" s="161"/>
      <c r="O64" s="262"/>
    </row>
    <row r="65" spans="1:15" s="260" customFormat="1" x14ac:dyDescent="0.2">
      <c r="A65" s="262"/>
      <c r="B65" s="153" t="s">
        <v>83</v>
      </c>
      <c r="C65" s="268" t="s">
        <v>119</v>
      </c>
      <c r="D65" s="264">
        <v>14535430.758019032</v>
      </c>
      <c r="E65" s="158">
        <v>0.11074000000000001</v>
      </c>
      <c r="F65" s="159">
        <f>D65*E65</f>
        <v>1609653.6021430276</v>
      </c>
      <c r="G65" s="264"/>
      <c r="H65" s="150">
        <f>H48</f>
        <v>0.12131</v>
      </c>
      <c r="I65" s="159">
        <f>H65*D65</f>
        <v>1763293.1052552888</v>
      </c>
      <c r="J65" s="159"/>
      <c r="K65" s="159">
        <f>I65-F65</f>
        <v>153639.50311226118</v>
      </c>
      <c r="L65" s="199">
        <f t="shared" si="3"/>
        <v>9.5449999999999993E-2</v>
      </c>
      <c r="M65" s="208"/>
      <c r="N65" s="161"/>
      <c r="O65" s="262"/>
    </row>
    <row r="66" spans="1:15" s="260" customFormat="1" x14ac:dyDescent="0.2">
      <c r="A66" s="262"/>
      <c r="B66" s="149" t="s">
        <v>107</v>
      </c>
      <c r="C66" s="200"/>
      <c r="D66" s="265">
        <f>SUM(D63:D65)</f>
        <v>19494505.608019032</v>
      </c>
      <c r="E66" s="267"/>
      <c r="F66" s="215"/>
      <c r="G66" s="264"/>
      <c r="H66" s="264"/>
      <c r="I66" s="262"/>
      <c r="J66" s="262"/>
      <c r="K66" s="262"/>
      <c r="L66" s="160"/>
      <c r="M66" s="208"/>
      <c r="N66" s="161"/>
      <c r="O66" s="262"/>
    </row>
    <row r="67" spans="1:15" s="260" customFormat="1" x14ac:dyDescent="0.2">
      <c r="A67" s="262"/>
      <c r="B67" s="165" t="s">
        <v>145</v>
      </c>
      <c r="C67" s="200"/>
      <c r="D67" s="264"/>
      <c r="E67" s="267"/>
      <c r="F67" s="162">
        <f>SUM(F58:F66)</f>
        <v>4168963.769643628</v>
      </c>
      <c r="G67" s="264"/>
      <c r="H67" s="264"/>
      <c r="I67" s="162">
        <f>SUM(I58:I66)</f>
        <v>4475398.7622919884</v>
      </c>
      <c r="J67" s="215"/>
      <c r="K67" s="162">
        <f>SUM(K58:K66)</f>
        <v>306434.99264836113</v>
      </c>
      <c r="L67" s="129">
        <f>ROUND(K67/F67,5)</f>
        <v>7.3499999999999996E-2</v>
      </c>
      <c r="M67" s="208"/>
      <c r="N67" s="161"/>
      <c r="O67" s="262"/>
    </row>
    <row r="68" spans="1:15" s="260" customFormat="1" x14ac:dyDescent="0.2">
      <c r="A68" s="262"/>
      <c r="B68" s="149"/>
      <c r="C68" s="200"/>
      <c r="D68" s="264"/>
      <c r="E68" s="267"/>
      <c r="F68" s="215"/>
      <c r="G68" s="264"/>
      <c r="H68" s="264"/>
      <c r="I68" s="215"/>
      <c r="J68" s="215"/>
      <c r="K68" s="159"/>
      <c r="L68" s="131"/>
      <c r="M68" s="208"/>
      <c r="N68" s="161"/>
      <c r="O68" s="172"/>
    </row>
    <row r="69" spans="1:15" s="260" customFormat="1" x14ac:dyDescent="0.2">
      <c r="A69" s="262"/>
      <c r="B69" s="153" t="s">
        <v>289</v>
      </c>
      <c r="C69" s="268"/>
      <c r="D69" s="264"/>
      <c r="E69" s="158"/>
      <c r="F69" s="162">
        <f>F67</f>
        <v>4168963.769643628</v>
      </c>
      <c r="G69" s="262"/>
      <c r="H69" s="171"/>
      <c r="I69" s="162">
        <f>I67</f>
        <v>4475398.7622919884</v>
      </c>
      <c r="J69" s="159"/>
      <c r="K69" s="128">
        <f>K67</f>
        <v>306434.99264836113</v>
      </c>
      <c r="L69" s="129">
        <f>ROUND(K69/F69,5)</f>
        <v>7.3499999999999996E-2</v>
      </c>
      <c r="M69" s="208"/>
      <c r="N69" s="161"/>
      <c r="O69" s="176"/>
    </row>
    <row r="70" spans="1:15" s="260" customFormat="1" x14ac:dyDescent="0.2">
      <c r="A70" s="262"/>
      <c r="B70" s="167"/>
      <c r="C70" s="174"/>
      <c r="D70" s="174"/>
      <c r="E70" s="174"/>
      <c r="F70" s="175"/>
      <c r="G70" s="174"/>
      <c r="H70" s="174"/>
      <c r="I70" s="144"/>
      <c r="J70" s="144"/>
      <c r="K70" s="175"/>
      <c r="L70" s="168"/>
      <c r="M70" s="208"/>
      <c r="N70" s="161"/>
      <c r="O70" s="172"/>
    </row>
    <row r="71" spans="1:15" s="260" customFormat="1" x14ac:dyDescent="0.2">
      <c r="A71" s="262"/>
      <c r="B71" s="262"/>
      <c r="C71" s="262"/>
      <c r="D71" s="262"/>
      <c r="E71" s="262"/>
      <c r="F71" s="176"/>
      <c r="G71" s="262"/>
      <c r="H71" s="262"/>
      <c r="I71" s="169"/>
      <c r="J71" s="169"/>
      <c r="K71" s="176"/>
      <c r="L71" s="271"/>
      <c r="M71" s="208"/>
      <c r="N71" s="161"/>
      <c r="O71" s="172"/>
    </row>
    <row r="72" spans="1:15" s="260" customFormat="1" x14ac:dyDescent="0.2">
      <c r="A72" s="262"/>
      <c r="B72" s="148" t="s">
        <v>158</v>
      </c>
      <c r="C72" s="459"/>
      <c r="D72" s="443"/>
      <c r="E72" s="444"/>
      <c r="F72" s="446"/>
      <c r="G72" s="443"/>
      <c r="H72" s="443"/>
      <c r="I72" s="446"/>
      <c r="J72" s="446"/>
      <c r="K72" s="446"/>
      <c r="L72" s="452"/>
      <c r="M72" s="208"/>
      <c r="N72" s="161"/>
      <c r="O72" s="172"/>
    </row>
    <row r="73" spans="1:15" s="260" customFormat="1" x14ac:dyDescent="0.2">
      <c r="A73" s="262"/>
      <c r="B73" s="173"/>
      <c r="C73" s="268"/>
      <c r="D73" s="262"/>
      <c r="E73" s="262"/>
      <c r="F73" s="159"/>
      <c r="G73" s="154"/>
      <c r="H73" s="262"/>
      <c r="I73" s="159"/>
      <c r="J73" s="159"/>
      <c r="K73" s="159"/>
      <c r="L73" s="131"/>
      <c r="M73" s="208"/>
      <c r="N73" s="161"/>
      <c r="O73" s="172"/>
    </row>
    <row r="74" spans="1:15" s="260" customFormat="1" x14ac:dyDescent="0.2">
      <c r="A74" s="262"/>
      <c r="B74" s="149" t="s">
        <v>116</v>
      </c>
      <c r="C74" s="170" t="s">
        <v>117</v>
      </c>
      <c r="D74" s="264">
        <f>D58+D41</f>
        <v>16031.599999999999</v>
      </c>
      <c r="E74" s="171"/>
      <c r="F74" s="159">
        <f>F58+F41</f>
        <v>2139749.04</v>
      </c>
      <c r="G74" s="264"/>
      <c r="H74" s="151"/>
      <c r="I74" s="159">
        <f>I58+I41</f>
        <v>2393556.83</v>
      </c>
      <c r="J74" s="159"/>
      <c r="K74" s="159">
        <f>K58+K41</f>
        <v>253807.79000000004</v>
      </c>
      <c r="L74" s="199">
        <f t="shared" ref="L74:L76" si="4">IFERROR(ROUND(K74/F74,5), )</f>
        <v>0.11862</v>
      </c>
      <c r="M74" s="208"/>
      <c r="N74" s="161"/>
      <c r="O74" s="172"/>
    </row>
    <row r="75" spans="1:15" s="260" customFormat="1" x14ac:dyDescent="0.2">
      <c r="A75" s="262"/>
      <c r="B75" s="153" t="s">
        <v>121</v>
      </c>
      <c r="C75" s="170" t="s">
        <v>117</v>
      </c>
      <c r="D75" s="264">
        <f>D74</f>
        <v>16031.599999999999</v>
      </c>
      <c r="E75" s="171"/>
      <c r="F75" s="159">
        <f>F59+F42</f>
        <v>1985032.7119999998</v>
      </c>
      <c r="G75" s="264"/>
      <c r="H75" s="171"/>
      <c r="I75" s="159">
        <f>I59+I42</f>
        <v>2024470.45</v>
      </c>
      <c r="J75" s="215"/>
      <c r="K75" s="159">
        <f>K59+K42</f>
        <v>39437.738000000245</v>
      </c>
      <c r="L75" s="199">
        <f t="shared" si="4"/>
        <v>1.9869999999999999E-2</v>
      </c>
      <c r="M75" s="208"/>
      <c r="N75" s="161"/>
      <c r="O75" s="172"/>
    </row>
    <row r="76" spans="1:15" s="260" customFormat="1" x14ac:dyDescent="0.2">
      <c r="A76" s="262"/>
      <c r="B76" s="173" t="s">
        <v>50</v>
      </c>
      <c r="C76" s="268" t="s">
        <v>100</v>
      </c>
      <c r="D76" s="264">
        <f>D60+D43</f>
        <v>5992011.6780000003</v>
      </c>
      <c r="E76" s="171"/>
      <c r="F76" s="159">
        <f>F60+F43</f>
        <v>7490014.5999999996</v>
      </c>
      <c r="G76" s="264"/>
      <c r="H76" s="151"/>
      <c r="I76" s="159">
        <f>I60+I43</f>
        <v>8209055.9900000002</v>
      </c>
      <c r="J76" s="215"/>
      <c r="K76" s="159">
        <f>K60+K43</f>
        <v>719041.3900000006</v>
      </c>
      <c r="L76" s="199">
        <f t="shared" si="4"/>
        <v>9.6000000000000002E-2</v>
      </c>
      <c r="M76" s="208"/>
      <c r="N76" s="161"/>
      <c r="O76" s="172"/>
    </row>
    <row r="77" spans="1:15" s="260" customFormat="1" x14ac:dyDescent="0.2">
      <c r="A77" s="262"/>
      <c r="B77" s="173"/>
      <c r="C77" s="268"/>
      <c r="D77" s="264"/>
      <c r="E77" s="171"/>
      <c r="F77" s="215"/>
      <c r="G77" s="264"/>
      <c r="H77" s="171"/>
      <c r="I77" s="215"/>
      <c r="J77" s="215"/>
      <c r="K77" s="232"/>
      <c r="L77" s="135"/>
      <c r="M77" s="208"/>
      <c r="N77" s="161"/>
      <c r="O77" s="172"/>
    </row>
    <row r="78" spans="1:15" s="260" customFormat="1" x14ac:dyDescent="0.2">
      <c r="A78" s="262"/>
      <c r="B78" s="173" t="s">
        <v>51</v>
      </c>
      <c r="C78" s="268"/>
      <c r="D78" s="264"/>
      <c r="E78" s="171"/>
      <c r="F78" s="159"/>
      <c r="G78" s="264"/>
      <c r="H78" s="171"/>
      <c r="I78" s="215"/>
      <c r="J78" s="215"/>
      <c r="K78" s="232"/>
      <c r="L78" s="135"/>
      <c r="M78" s="208"/>
      <c r="N78" s="161"/>
      <c r="O78" s="172"/>
    </row>
    <row r="79" spans="1:15" s="260" customFormat="1" x14ac:dyDescent="0.2">
      <c r="A79" s="262"/>
      <c r="B79" s="153" t="s">
        <v>81</v>
      </c>
      <c r="C79" s="268" t="s">
        <v>119</v>
      </c>
      <c r="D79" s="264">
        <f>D63+D46</f>
        <v>13270559.754000001</v>
      </c>
      <c r="E79" s="158"/>
      <c r="F79" s="159" t="s">
        <v>156</v>
      </c>
      <c r="G79" s="264"/>
      <c r="H79" s="158"/>
      <c r="I79" s="159" t="s">
        <v>156</v>
      </c>
      <c r="J79" s="159"/>
      <c r="K79" s="159"/>
      <c r="L79" s="131"/>
      <c r="M79" s="208"/>
      <c r="N79" s="161"/>
      <c r="O79" s="172"/>
    </row>
    <row r="80" spans="1:15" s="260" customFormat="1" x14ac:dyDescent="0.2">
      <c r="A80" s="262"/>
      <c r="B80" s="153" t="s">
        <v>82</v>
      </c>
      <c r="C80" s="268" t="s">
        <v>119</v>
      </c>
      <c r="D80" s="264">
        <f>D64+D47</f>
        <v>31371214.559699997</v>
      </c>
      <c r="E80" s="158"/>
      <c r="F80" s="159">
        <f>F64+F47</f>
        <v>4316051.6975006005</v>
      </c>
      <c r="G80" s="264"/>
      <c r="H80" s="158"/>
      <c r="I80" s="159">
        <f>I64+I47</f>
        <v>4401695.1170367002</v>
      </c>
      <c r="J80" s="159"/>
      <c r="K80" s="159">
        <f>K64+K47</f>
        <v>85643.419536099536</v>
      </c>
      <c r="L80" s="199">
        <f t="shared" ref="L80:L81" si="5">IFERROR(ROUND(K80/F80,5), )</f>
        <v>1.984E-2</v>
      </c>
      <c r="M80" s="208"/>
      <c r="N80" s="161"/>
      <c r="O80" s="172"/>
    </row>
    <row r="81" spans="1:15" s="260" customFormat="1" x14ac:dyDescent="0.2">
      <c r="A81" s="262"/>
      <c r="B81" s="153" t="s">
        <v>83</v>
      </c>
      <c r="C81" s="268" t="s">
        <v>119</v>
      </c>
      <c r="D81" s="263">
        <f>D65+D48</f>
        <v>37370722.451267198</v>
      </c>
      <c r="E81" s="158"/>
      <c r="F81" s="159">
        <f>F65+F48</f>
        <v>4138433.802143028</v>
      </c>
      <c r="G81" s="264"/>
      <c r="H81" s="158"/>
      <c r="I81" s="159">
        <f>I65+I48</f>
        <v>4533442.3452552892</v>
      </c>
      <c r="J81" s="159"/>
      <c r="K81" s="159">
        <f>K65+K48</f>
        <v>395008.54311226122</v>
      </c>
      <c r="L81" s="199">
        <f t="shared" si="5"/>
        <v>9.5449999999999993E-2</v>
      </c>
      <c r="M81" s="208"/>
      <c r="N81" s="161"/>
      <c r="O81" s="172"/>
    </row>
    <row r="82" spans="1:15" s="260" customFormat="1" x14ac:dyDescent="0.2">
      <c r="A82" s="262"/>
      <c r="B82" s="165" t="s">
        <v>107</v>
      </c>
      <c r="C82" s="200"/>
      <c r="D82" s="265">
        <f>SUM(D79:D81)</f>
        <v>82012496.764967203</v>
      </c>
      <c r="E82" s="267"/>
      <c r="F82" s="215"/>
      <c r="G82" s="264"/>
      <c r="H82" s="264"/>
      <c r="I82" s="262"/>
      <c r="J82" s="262"/>
      <c r="K82" s="262"/>
      <c r="L82" s="160"/>
      <c r="M82" s="208"/>
      <c r="N82" s="161"/>
      <c r="O82" s="172"/>
    </row>
    <row r="83" spans="1:15" s="260" customFormat="1" x14ac:dyDescent="0.2">
      <c r="A83" s="262"/>
      <c r="B83" s="173" t="s">
        <v>55</v>
      </c>
      <c r="C83" s="268" t="s">
        <v>119</v>
      </c>
      <c r="D83" s="264">
        <f>D50</f>
        <v>62517991.156948164</v>
      </c>
      <c r="E83" s="158"/>
      <c r="F83" s="159">
        <f>F50</f>
        <v>628305.81112732901</v>
      </c>
      <c r="G83" s="264"/>
      <c r="H83" s="152"/>
      <c r="I83" s="159">
        <f>I50</f>
        <v>699576.32104624994</v>
      </c>
      <c r="J83" s="159"/>
      <c r="K83" s="159">
        <f>I83-F83</f>
        <v>71270.509918920929</v>
      </c>
      <c r="L83" s="131">
        <f>IFERROR(ROUND(K83/F83,5), )</f>
        <v>0.11343</v>
      </c>
      <c r="M83" s="208"/>
      <c r="N83" s="161"/>
      <c r="O83" s="172"/>
    </row>
    <row r="84" spans="1:15" s="260" customFormat="1" x14ac:dyDescent="0.2">
      <c r="A84" s="262"/>
      <c r="B84" s="165" t="s">
        <v>145</v>
      </c>
      <c r="C84" s="200"/>
      <c r="D84" s="264"/>
      <c r="E84" s="267"/>
      <c r="F84" s="162">
        <f>SUM(F74:F83)</f>
        <v>20697587.662770957</v>
      </c>
      <c r="G84" s="264"/>
      <c r="H84" s="264"/>
      <c r="I84" s="162">
        <f>SUM(I74:I83)</f>
        <v>22261797.053338237</v>
      </c>
      <c r="J84" s="215"/>
      <c r="K84" s="162">
        <f>SUM(K74:K82)</f>
        <v>1492938.8806483615</v>
      </c>
      <c r="L84" s="129">
        <f>ROUND(K84/F84,5)</f>
        <v>7.213E-2</v>
      </c>
      <c r="M84" s="208"/>
      <c r="N84" s="161"/>
      <c r="O84" s="172"/>
    </row>
    <row r="85" spans="1:15" s="260" customFormat="1" x14ac:dyDescent="0.2">
      <c r="A85" s="262"/>
      <c r="B85" s="165"/>
      <c r="C85" s="200"/>
      <c r="D85" s="264"/>
      <c r="E85" s="267"/>
      <c r="F85" s="215"/>
      <c r="G85" s="264"/>
      <c r="H85" s="264"/>
      <c r="I85" s="215"/>
      <c r="J85" s="215"/>
      <c r="K85" s="159"/>
      <c r="L85" s="131"/>
      <c r="M85" s="208"/>
      <c r="N85" s="161"/>
      <c r="O85" s="172"/>
    </row>
    <row r="86" spans="1:15" s="260" customFormat="1" x14ac:dyDescent="0.2">
      <c r="A86" s="262"/>
      <c r="B86" s="173" t="s">
        <v>289</v>
      </c>
      <c r="C86" s="268"/>
      <c r="D86" s="264"/>
      <c r="E86" s="158"/>
      <c r="F86" s="162">
        <f>F84</f>
        <v>20697587.662770957</v>
      </c>
      <c r="G86" s="262"/>
      <c r="H86" s="171"/>
      <c r="I86" s="162">
        <f>I84</f>
        <v>22261797.053338237</v>
      </c>
      <c r="J86" s="159"/>
      <c r="K86" s="128">
        <f>K84</f>
        <v>1492938.8806483615</v>
      </c>
      <c r="L86" s="129">
        <f>ROUND(K86/F86,5)</f>
        <v>7.213E-2</v>
      </c>
      <c r="M86" s="208"/>
      <c r="N86" s="161"/>
      <c r="O86" s="268"/>
    </row>
    <row r="87" spans="1:15" s="260" customFormat="1" x14ac:dyDescent="0.2">
      <c r="A87" s="262"/>
      <c r="B87" s="167"/>
      <c r="C87" s="174"/>
      <c r="D87" s="174"/>
      <c r="E87" s="174"/>
      <c r="F87" s="175"/>
      <c r="G87" s="174"/>
      <c r="H87" s="174"/>
      <c r="I87" s="144"/>
      <c r="J87" s="144"/>
      <c r="K87" s="175"/>
      <c r="L87" s="168"/>
      <c r="M87" s="208"/>
      <c r="N87" s="161"/>
      <c r="O87" s="268"/>
    </row>
    <row r="88" spans="1:15" s="262" customFormat="1" x14ac:dyDescent="0.2">
      <c r="F88" s="176"/>
      <c r="I88" s="169"/>
      <c r="J88" s="169"/>
      <c r="K88" s="176"/>
      <c r="L88" s="271"/>
      <c r="M88" s="208"/>
      <c r="N88" s="161"/>
      <c r="O88" s="233"/>
    </row>
    <row r="89" spans="1:15" x14ac:dyDescent="0.2">
      <c r="B89" s="268"/>
      <c r="F89" s="177"/>
      <c r="I89" s="177"/>
      <c r="J89" s="177"/>
      <c r="K89" s="177"/>
      <c r="M89" s="130"/>
      <c r="N89" s="113"/>
      <c r="O89" s="233"/>
    </row>
    <row r="90" spans="1:15" x14ac:dyDescent="0.2">
      <c r="B90" s="259" t="s">
        <v>159</v>
      </c>
      <c r="F90" s="177"/>
      <c r="I90" s="177"/>
      <c r="J90" s="177"/>
      <c r="K90" s="177"/>
      <c r="M90" s="130"/>
      <c r="N90" s="113"/>
      <c r="O90" s="179"/>
    </row>
    <row r="91" spans="1:15" x14ac:dyDescent="0.2">
      <c r="D91" s="194" t="s">
        <v>119</v>
      </c>
      <c r="F91" s="180" t="s">
        <v>5</v>
      </c>
      <c r="I91" s="180" t="s">
        <v>1</v>
      </c>
      <c r="J91" s="177"/>
      <c r="K91" s="180" t="s">
        <v>24</v>
      </c>
      <c r="M91" s="130"/>
      <c r="N91" s="113"/>
    </row>
    <row r="92" spans="1:15" x14ac:dyDescent="0.2">
      <c r="B92" s="259" t="s">
        <v>289</v>
      </c>
      <c r="C92" s="157"/>
      <c r="D92" s="267"/>
      <c r="E92" s="157"/>
      <c r="F92" s="157"/>
      <c r="G92" s="181"/>
      <c r="H92" s="181"/>
      <c r="I92" s="157"/>
      <c r="J92" s="157"/>
      <c r="K92" s="184"/>
      <c r="M92" s="185"/>
    </row>
    <row r="93" spans="1:15" x14ac:dyDescent="0.2">
      <c r="B93" s="254" t="s">
        <v>161</v>
      </c>
      <c r="C93" s="157"/>
      <c r="D93" s="267">
        <f>D32</f>
        <v>222203870.67539161</v>
      </c>
      <c r="E93" s="157"/>
      <c r="F93" s="157">
        <f>F15+F24</f>
        <v>111031564.85000001</v>
      </c>
      <c r="G93" s="157"/>
      <c r="H93" s="181"/>
      <c r="I93" s="157">
        <f>I15+I24</f>
        <v>122144982.04000001</v>
      </c>
      <c r="J93" s="157"/>
      <c r="K93" s="184">
        <f>I93-F93</f>
        <v>11113417.189999998</v>
      </c>
      <c r="L93" s="178">
        <f>K93/F93</f>
        <v>0.10009241250462297</v>
      </c>
      <c r="M93" s="185"/>
    </row>
    <row r="94" spans="1:15" x14ac:dyDescent="0.2">
      <c r="B94" s="254" t="s">
        <v>160</v>
      </c>
      <c r="C94" s="157"/>
      <c r="D94" s="266">
        <f>D66</f>
        <v>19494505.608019032</v>
      </c>
      <c r="E94" s="157"/>
      <c r="F94" s="157">
        <f>F51+F67</f>
        <v>20697587.662770957</v>
      </c>
      <c r="G94" s="157"/>
      <c r="H94" s="181"/>
      <c r="I94" s="157">
        <f>I51+I67</f>
        <v>22261797.053338237</v>
      </c>
      <c r="J94" s="157"/>
      <c r="K94" s="184">
        <f>I94-F94</f>
        <v>1564209.3905672804</v>
      </c>
      <c r="L94" s="178">
        <f>K94/F94</f>
        <v>7.5574478342751314E-2</v>
      </c>
      <c r="M94" s="185"/>
    </row>
    <row r="95" spans="1:15" x14ac:dyDescent="0.2">
      <c r="B95" s="254" t="s">
        <v>6</v>
      </c>
      <c r="C95" s="157"/>
      <c r="D95" s="464">
        <f>SUM(D93:D94)</f>
        <v>241698376.28341064</v>
      </c>
      <c r="E95" s="157"/>
      <c r="F95" s="186">
        <f>SUM(F93:F94)</f>
        <v>131729152.51277097</v>
      </c>
      <c r="G95" s="157"/>
      <c r="H95" s="181"/>
      <c r="I95" s="186">
        <f>SUM(I93:I94)</f>
        <v>144406779.09333825</v>
      </c>
      <c r="J95" s="157"/>
      <c r="K95" s="186">
        <f>SUM(K93:K94)</f>
        <v>12677626.580567278</v>
      </c>
      <c r="L95" s="178">
        <f>K95/F95</f>
        <v>9.624009825264912E-2</v>
      </c>
      <c r="M95" s="185"/>
    </row>
    <row r="96" spans="1:15" ht="13.5" thickBot="1" x14ac:dyDescent="0.25">
      <c r="C96" s="157"/>
      <c r="D96" s="266"/>
      <c r="E96" s="157"/>
      <c r="F96" s="157"/>
      <c r="G96" s="157"/>
      <c r="H96" s="157"/>
      <c r="I96" s="157"/>
      <c r="J96" s="157"/>
      <c r="K96" s="157"/>
      <c r="M96" s="185"/>
    </row>
    <row r="97" spans="2:13" ht="13.5" thickBot="1" x14ac:dyDescent="0.25">
      <c r="B97" s="378" t="s">
        <v>42</v>
      </c>
      <c r="C97" s="456" t="s">
        <v>291</v>
      </c>
      <c r="D97" s="457">
        <v>131691503.15920852</v>
      </c>
      <c r="E97" s="456" t="s">
        <v>292</v>
      </c>
      <c r="F97" s="465">
        <f>D97-F95</f>
        <v>-37649.353562444448</v>
      </c>
      <c r="G97" s="181"/>
      <c r="H97" s="181"/>
      <c r="I97" s="157"/>
      <c r="J97" s="157"/>
      <c r="K97" s="157"/>
      <c r="M97" s="185"/>
    </row>
    <row r="98" spans="2:13" x14ac:dyDescent="0.2">
      <c r="C98" s="157"/>
      <c r="D98" s="157"/>
      <c r="E98" s="157"/>
      <c r="F98" s="157"/>
      <c r="G98" s="181"/>
      <c r="H98" s="181"/>
      <c r="I98" s="157"/>
      <c r="J98" s="157"/>
      <c r="K98" s="157"/>
      <c r="M98" s="185"/>
    </row>
    <row r="99" spans="2:13" x14ac:dyDescent="0.2">
      <c r="D99" s="62"/>
      <c r="F99" s="254"/>
      <c r="G99" s="181"/>
      <c r="H99" s="181"/>
      <c r="I99" s="157"/>
      <c r="J99" s="157"/>
      <c r="K99" s="157"/>
      <c r="M99" s="185"/>
    </row>
    <row r="100" spans="2:13" x14ac:dyDescent="0.2">
      <c r="C100" s="157"/>
      <c r="D100" s="157"/>
      <c r="E100" s="157"/>
      <c r="F100" s="157"/>
      <c r="G100" s="181"/>
      <c r="H100" s="181"/>
      <c r="I100" s="157"/>
      <c r="J100" s="157"/>
      <c r="K100" s="157"/>
      <c r="M100" s="185"/>
    </row>
    <row r="101" spans="2:13" x14ac:dyDescent="0.2">
      <c r="C101" s="157"/>
      <c r="D101" s="157"/>
      <c r="E101" s="157"/>
      <c r="F101" s="157"/>
      <c r="G101" s="181"/>
      <c r="H101" s="181"/>
      <c r="I101" s="157"/>
      <c r="J101" s="157"/>
      <c r="K101" s="157"/>
      <c r="M101" s="185"/>
    </row>
    <row r="102" spans="2:13" x14ac:dyDescent="0.2">
      <c r="C102" s="157"/>
      <c r="D102" s="157"/>
      <c r="E102" s="157"/>
      <c r="F102" s="157"/>
      <c r="G102" s="181"/>
      <c r="H102" s="181"/>
      <c r="I102" s="157"/>
      <c r="J102" s="157"/>
      <c r="K102" s="157"/>
      <c r="M102" s="185"/>
    </row>
    <row r="103" spans="2:13" x14ac:dyDescent="0.2">
      <c r="C103" s="157"/>
      <c r="D103" s="157"/>
      <c r="E103" s="157"/>
      <c r="F103" s="157"/>
      <c r="G103" s="181"/>
      <c r="H103" s="181"/>
      <c r="I103" s="157"/>
      <c r="J103" s="157"/>
      <c r="K103" s="157"/>
      <c r="M103" s="185"/>
    </row>
    <row r="104" spans="2:13" x14ac:dyDescent="0.2">
      <c r="C104" s="157"/>
      <c r="D104" s="157"/>
      <c r="E104" s="157"/>
      <c r="F104" s="157"/>
      <c r="G104" s="181"/>
      <c r="H104" s="181"/>
      <c r="I104" s="157"/>
      <c r="J104" s="157"/>
      <c r="K104" s="157"/>
      <c r="M104" s="185"/>
    </row>
    <row r="105" spans="2:13" x14ac:dyDescent="0.2">
      <c r="C105" s="157"/>
      <c r="D105" s="157"/>
      <c r="E105" s="157"/>
      <c r="F105" s="157"/>
      <c r="G105" s="181"/>
      <c r="H105" s="181"/>
      <c r="I105" s="157"/>
      <c r="J105" s="157"/>
      <c r="K105" s="157"/>
      <c r="M105" s="185"/>
    </row>
    <row r="106" spans="2:13" x14ac:dyDescent="0.2">
      <c r="C106" s="157"/>
      <c r="D106" s="157"/>
      <c r="E106" s="157"/>
      <c r="F106" s="157"/>
      <c r="G106" s="181"/>
      <c r="H106" s="181"/>
      <c r="I106" s="157"/>
      <c r="J106" s="157"/>
      <c r="K106" s="157"/>
      <c r="M106" s="185"/>
    </row>
    <row r="107" spans="2:13" x14ac:dyDescent="0.2">
      <c r="C107" s="157"/>
      <c r="D107" s="157"/>
      <c r="E107" s="157"/>
      <c r="F107" s="157"/>
      <c r="G107" s="181"/>
      <c r="H107" s="181"/>
      <c r="I107" s="157"/>
      <c r="J107" s="157"/>
      <c r="K107" s="157"/>
      <c r="M107" s="185"/>
    </row>
    <row r="108" spans="2:13" x14ac:dyDescent="0.2">
      <c r="C108" s="157"/>
      <c r="D108" s="157"/>
      <c r="E108" s="157"/>
      <c r="F108" s="157"/>
      <c r="G108" s="181"/>
      <c r="H108" s="181"/>
      <c r="I108" s="157"/>
      <c r="J108" s="157"/>
      <c r="K108" s="157"/>
      <c r="M108" s="185"/>
    </row>
    <row r="109" spans="2:13" x14ac:dyDescent="0.2">
      <c r="C109" s="157"/>
      <c r="D109" s="157"/>
      <c r="E109" s="157"/>
      <c r="F109" s="157"/>
      <c r="G109" s="181"/>
      <c r="H109" s="181"/>
      <c r="I109" s="157"/>
      <c r="J109" s="157"/>
      <c r="K109" s="157"/>
      <c r="M109" s="185"/>
    </row>
    <row r="110" spans="2:13" x14ac:dyDescent="0.2">
      <c r="C110" s="157"/>
      <c r="D110" s="157"/>
      <c r="E110" s="157"/>
      <c r="F110" s="157"/>
      <c r="G110" s="181"/>
      <c r="H110" s="181"/>
      <c r="I110" s="157"/>
      <c r="J110" s="157"/>
      <c r="K110" s="157"/>
      <c r="M110" s="185"/>
    </row>
    <row r="111" spans="2:13" x14ac:dyDescent="0.2">
      <c r="C111" s="157"/>
      <c r="D111" s="157"/>
      <c r="E111" s="157"/>
      <c r="F111" s="157"/>
      <c r="G111" s="181"/>
      <c r="H111" s="181"/>
      <c r="I111" s="157"/>
      <c r="J111" s="157"/>
      <c r="K111" s="157"/>
      <c r="M111" s="185"/>
    </row>
    <row r="112" spans="2:13" x14ac:dyDescent="0.2">
      <c r="C112" s="157"/>
      <c r="D112" s="157"/>
      <c r="E112" s="157"/>
      <c r="F112" s="157"/>
      <c r="G112" s="181"/>
      <c r="H112" s="181"/>
      <c r="I112" s="157"/>
      <c r="J112" s="157"/>
      <c r="K112" s="157"/>
      <c r="M112" s="185"/>
    </row>
    <row r="113" spans="3:13" x14ac:dyDescent="0.2">
      <c r="C113" s="157"/>
      <c r="D113" s="157"/>
      <c r="E113" s="157"/>
      <c r="F113" s="157"/>
      <c r="G113" s="181"/>
      <c r="H113" s="181"/>
      <c r="I113" s="157"/>
      <c r="J113" s="157"/>
      <c r="K113" s="157"/>
      <c r="M113" s="185"/>
    </row>
    <row r="114" spans="3:13" x14ac:dyDescent="0.2">
      <c r="C114" s="157"/>
      <c r="D114" s="157"/>
      <c r="E114" s="157"/>
      <c r="F114" s="157"/>
      <c r="G114" s="181"/>
      <c r="H114" s="181"/>
      <c r="I114" s="157"/>
      <c r="J114" s="157"/>
      <c r="K114" s="157"/>
      <c r="M114" s="185"/>
    </row>
    <row r="115" spans="3:13" x14ac:dyDescent="0.2">
      <c r="C115" s="157"/>
      <c r="D115" s="157"/>
      <c r="E115" s="157"/>
      <c r="F115" s="157"/>
      <c r="G115" s="181"/>
      <c r="H115" s="181"/>
      <c r="I115" s="157"/>
      <c r="J115" s="157"/>
      <c r="K115" s="157"/>
      <c r="M115" s="185"/>
    </row>
    <row r="116" spans="3:13" x14ac:dyDescent="0.2">
      <c r="C116" s="157"/>
      <c r="D116" s="157"/>
      <c r="E116" s="157"/>
      <c r="F116" s="157"/>
      <c r="G116" s="181"/>
      <c r="H116" s="181"/>
      <c r="I116" s="157"/>
      <c r="J116" s="157"/>
      <c r="K116" s="157"/>
      <c r="M116" s="185"/>
    </row>
    <row r="117" spans="3:13" x14ac:dyDescent="0.2">
      <c r="M117" s="185"/>
    </row>
    <row r="118" spans="3:13" x14ac:dyDescent="0.2">
      <c r="M118" s="185"/>
    </row>
  </sheetData>
  <mergeCells count="1">
    <mergeCell ref="K7:L7"/>
  </mergeCells>
  <printOptions horizontalCentered="1"/>
  <pageMargins left="0.5" right="0.5" top="1" bottom="1" header="0.75" footer="0.5"/>
  <pageSetup scale="65" fitToHeight="8" orientation="landscape" blackAndWhite="1" r:id="rId1"/>
  <headerFooter alignWithMargins="0">
    <oddFooter>&amp;R&amp;A
 Page &amp;P of &amp;N</oddFooter>
  </headerFooter>
  <rowBreaks count="2" manualBreakCount="2">
    <brk id="38" max="16383" man="1"/>
    <brk id="87" max="16383" man="1"/>
  </rowBreaks>
  <customProperties>
    <customPr name="_pios_id" r:id="rId2"/>
    <customPr name="EpmWorksheetKeyString_GUID" r:id="rId3"/>
  </customPropertie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7"/>
  <sheetViews>
    <sheetView zoomScale="90" zoomScaleNormal="90" zoomScaleSheetLayoutView="90" workbookViewId="0">
      <pane ySplit="8" topLeftCell="A138" activePane="bottomLeft" state="frozen"/>
      <selection activeCell="G42" sqref="G42"/>
      <selection pane="bottomLeft" activeCell="B171" sqref="B171"/>
    </sheetView>
  </sheetViews>
  <sheetFormatPr defaultColWidth="9.140625" defaultRowHeight="12.75" x14ac:dyDescent="0.2"/>
  <cols>
    <col min="1" max="1" width="2.42578125" style="254" customWidth="1"/>
    <col min="2" max="2" width="31.7109375" style="254" customWidth="1"/>
    <col min="3" max="3" width="9.7109375" style="254" customWidth="1"/>
    <col min="4" max="4" width="15.140625" style="261" bestFit="1" customWidth="1"/>
    <col min="5" max="5" width="10.42578125" style="249" customWidth="1"/>
    <col min="6" max="6" width="13.5703125" style="244" customWidth="1"/>
    <col min="7" max="7" width="3" style="264" customWidth="1"/>
    <col min="8" max="8" width="10.42578125" style="250" customWidth="1"/>
    <col min="9" max="9" width="14" style="244" bestFit="1" customWidth="1"/>
    <col min="10" max="10" width="2.85546875" style="244" customWidth="1"/>
    <col min="11" max="11" width="13.140625" style="244" customWidth="1"/>
    <col min="12" max="12" width="10.42578125" style="243" customWidth="1"/>
    <col min="13" max="13" width="2.85546875" style="112" customWidth="1"/>
    <col min="14" max="14" width="2.140625" style="191" customWidth="1"/>
    <col min="15" max="15" width="14.5703125" style="254" bestFit="1" customWidth="1"/>
    <col min="16" max="16" width="2.85546875" style="254" customWidth="1"/>
    <col min="17" max="16384" width="9.140625" style="254"/>
  </cols>
  <sheetData>
    <row r="1" spans="1:16" x14ac:dyDescent="0.2">
      <c r="B1" s="439" t="s">
        <v>0</v>
      </c>
      <c r="C1" s="253"/>
      <c r="D1" s="101"/>
      <c r="E1" s="187"/>
      <c r="F1" s="100"/>
      <c r="G1" s="188"/>
      <c r="H1" s="189"/>
      <c r="I1" s="100"/>
      <c r="J1" s="100"/>
      <c r="K1" s="100"/>
      <c r="L1" s="104"/>
      <c r="M1" s="104"/>
      <c r="N1" s="105"/>
      <c r="O1" s="253"/>
      <c r="P1" s="253"/>
    </row>
    <row r="2" spans="1:16" x14ac:dyDescent="0.2">
      <c r="B2" s="440" t="s">
        <v>293</v>
      </c>
      <c r="C2" s="255"/>
      <c r="D2" s="189"/>
      <c r="E2" s="100"/>
      <c r="F2" s="100"/>
      <c r="G2" s="189"/>
      <c r="H2" s="189"/>
      <c r="I2" s="100"/>
      <c r="J2" s="100"/>
      <c r="K2" s="100"/>
      <c r="L2" s="100"/>
      <c r="M2" s="104"/>
      <c r="N2" s="105"/>
      <c r="O2" s="253"/>
      <c r="P2" s="253"/>
    </row>
    <row r="3" spans="1:16" x14ac:dyDescent="0.2">
      <c r="B3" s="440" t="s">
        <v>294</v>
      </c>
      <c r="C3" s="255"/>
      <c r="D3" s="189"/>
      <c r="E3" s="100"/>
      <c r="F3" s="100"/>
      <c r="G3" s="189"/>
      <c r="H3" s="189"/>
      <c r="I3" s="100"/>
      <c r="J3" s="100"/>
      <c r="K3" s="100"/>
      <c r="L3" s="100"/>
      <c r="M3" s="104"/>
      <c r="N3" s="105"/>
      <c r="O3" s="253"/>
      <c r="P3" s="253"/>
    </row>
    <row r="4" spans="1:16" x14ac:dyDescent="0.2">
      <c r="B4" s="440" t="s">
        <v>221</v>
      </c>
      <c r="C4" s="255"/>
      <c r="D4" s="189"/>
      <c r="E4" s="100"/>
      <c r="F4" s="100"/>
      <c r="G4" s="189"/>
      <c r="H4" s="189"/>
      <c r="I4" s="100"/>
      <c r="J4" s="100"/>
      <c r="K4" s="100"/>
      <c r="L4" s="100"/>
      <c r="M4" s="104"/>
      <c r="N4" s="105"/>
      <c r="O4" s="253"/>
      <c r="P4" s="253"/>
    </row>
    <row r="5" spans="1:16" x14ac:dyDescent="0.2">
      <c r="B5" s="440" t="s">
        <v>295</v>
      </c>
      <c r="C5" s="255"/>
      <c r="D5" s="101"/>
      <c r="E5" s="187"/>
      <c r="F5" s="100"/>
      <c r="G5" s="188"/>
      <c r="H5" s="189"/>
      <c r="I5" s="100"/>
      <c r="J5" s="100"/>
      <c r="K5" s="100"/>
      <c r="L5" s="104"/>
      <c r="M5" s="104"/>
      <c r="N5" s="105"/>
      <c r="O5" s="106"/>
      <c r="P5" s="253"/>
    </row>
    <row r="6" spans="1:16" s="268" customFormat="1" x14ac:dyDescent="0.2">
      <c r="B6" s="190"/>
      <c r="C6" s="106"/>
      <c r="D6" s="264"/>
      <c r="E6" s="139"/>
      <c r="F6" s="166"/>
      <c r="G6" s="264"/>
      <c r="H6" s="171"/>
      <c r="I6" s="166"/>
      <c r="J6" s="166"/>
      <c r="K6" s="166"/>
      <c r="L6" s="191"/>
      <c r="M6" s="201"/>
      <c r="N6" s="201"/>
    </row>
    <row r="7" spans="1:16" x14ac:dyDescent="0.2">
      <c r="B7" s="114"/>
      <c r="C7" s="115"/>
      <c r="D7" s="192" t="s">
        <v>134</v>
      </c>
      <c r="E7" s="118" t="s">
        <v>286</v>
      </c>
      <c r="F7" s="117"/>
      <c r="G7" s="258"/>
      <c r="H7" s="84" t="s">
        <v>287</v>
      </c>
      <c r="I7" s="117"/>
      <c r="J7" s="119"/>
      <c r="K7" s="657" t="s">
        <v>135</v>
      </c>
      <c r="L7" s="658"/>
      <c r="M7" s="201"/>
      <c r="N7" s="105"/>
      <c r="O7" s="87" t="s">
        <v>136</v>
      </c>
    </row>
    <row r="8" spans="1:16" x14ac:dyDescent="0.2">
      <c r="B8" s="121" t="s">
        <v>102</v>
      </c>
      <c r="C8" s="193" t="s">
        <v>115</v>
      </c>
      <c r="D8" s="194" t="s">
        <v>137</v>
      </c>
      <c r="E8" s="195" t="s">
        <v>22</v>
      </c>
      <c r="F8" s="122" t="s">
        <v>138</v>
      </c>
      <c r="G8" s="194"/>
      <c r="H8" s="143" t="s">
        <v>22</v>
      </c>
      <c r="I8" s="122" t="s">
        <v>138</v>
      </c>
      <c r="J8" s="122"/>
      <c r="K8" s="122" t="s">
        <v>139</v>
      </c>
      <c r="L8" s="196" t="s">
        <v>140</v>
      </c>
      <c r="M8" s="201"/>
      <c r="N8" s="124"/>
      <c r="O8" s="441" t="s">
        <v>141</v>
      </c>
    </row>
    <row r="9" spans="1:16" x14ac:dyDescent="0.2">
      <c r="A9" s="268"/>
      <c r="B9" s="165"/>
      <c r="C9" s="200"/>
      <c r="D9" s="264"/>
      <c r="E9" s="139"/>
      <c r="F9" s="166"/>
      <c r="G9" s="154"/>
      <c r="H9" s="171"/>
      <c r="I9" s="134"/>
      <c r="J9" s="134"/>
      <c r="K9" s="166"/>
      <c r="L9" s="197"/>
      <c r="M9" s="201"/>
      <c r="O9" s="268"/>
    </row>
    <row r="10" spans="1:16" x14ac:dyDescent="0.2">
      <c r="B10" s="127" t="s">
        <v>162</v>
      </c>
      <c r="C10" s="459"/>
      <c r="D10" s="460"/>
      <c r="E10" s="466"/>
      <c r="F10" s="446"/>
      <c r="G10" s="467"/>
      <c r="H10" s="468"/>
      <c r="I10" s="469"/>
      <c r="J10" s="469"/>
      <c r="K10" s="446"/>
      <c r="L10" s="447"/>
      <c r="M10" s="201"/>
      <c r="N10" s="201"/>
    </row>
    <row r="11" spans="1:16" x14ac:dyDescent="0.2">
      <c r="B11" s="173"/>
      <c r="C11" s="268"/>
      <c r="D11" s="264"/>
      <c r="E11" s="139"/>
      <c r="F11" s="159"/>
      <c r="G11" s="154"/>
      <c r="H11" s="171"/>
      <c r="I11" s="215"/>
      <c r="J11" s="134"/>
      <c r="K11" s="159"/>
      <c r="L11" s="199"/>
      <c r="M11" s="201"/>
      <c r="N11" s="201"/>
      <c r="O11" s="380" t="s">
        <v>163</v>
      </c>
    </row>
    <row r="12" spans="1:16" x14ac:dyDescent="0.2">
      <c r="B12" s="165" t="s">
        <v>116</v>
      </c>
      <c r="C12" s="200" t="s">
        <v>117</v>
      </c>
      <c r="D12" s="264">
        <v>368.56669691470051</v>
      </c>
      <c r="E12" s="171">
        <v>595.08000000000004</v>
      </c>
      <c r="F12" s="159">
        <f>ROUND(D12*E12,2)</f>
        <v>219326.67</v>
      </c>
      <c r="H12" s="448">
        <v>701.68</v>
      </c>
      <c r="I12" s="215">
        <f>ROUND(D12*H12,2)</f>
        <v>258615.88</v>
      </c>
      <c r="J12" s="134"/>
      <c r="K12" s="159">
        <f>I12-F12</f>
        <v>39289.209999999992</v>
      </c>
      <c r="L12" s="199">
        <f>IFERROR(K12/F12, )</f>
        <v>0.17913557890611292</v>
      </c>
      <c r="M12" s="201"/>
      <c r="N12" s="201"/>
      <c r="O12" s="132">
        <v>9611898.688954046</v>
      </c>
    </row>
    <row r="13" spans="1:16" x14ac:dyDescent="0.2">
      <c r="B13" s="173" t="s">
        <v>50</v>
      </c>
      <c r="C13" s="268" t="s">
        <v>100</v>
      </c>
      <c r="D13" s="264">
        <v>96766.635999999999</v>
      </c>
      <c r="E13" s="171">
        <v>1.3</v>
      </c>
      <c r="F13" s="159">
        <f>ROUND(D13*E13,2)</f>
        <v>125796.63</v>
      </c>
      <c r="H13" s="448">
        <f>ROUND(E13*(1+$O$16),2)</f>
        <v>1.44</v>
      </c>
      <c r="I13" s="215">
        <f>ROUND(D13*H13,2)</f>
        <v>139343.96</v>
      </c>
      <c r="J13" s="134"/>
      <c r="K13" s="159">
        <f>I13-F13</f>
        <v>13547.329999999987</v>
      </c>
      <c r="L13" s="199">
        <f t="shared" ref="L13:L15" si="0">IFERROR(K13/F13, )</f>
        <v>0.10769231258420824</v>
      </c>
      <c r="M13" s="201"/>
      <c r="N13" s="201"/>
      <c r="O13" s="133" t="s">
        <v>143</v>
      </c>
    </row>
    <row r="14" spans="1:16" x14ac:dyDescent="0.2">
      <c r="B14" s="173" t="s">
        <v>55</v>
      </c>
      <c r="C14" s="268" t="s">
        <v>119</v>
      </c>
      <c r="D14" s="264">
        <f>D21</f>
        <v>19992939.502740219</v>
      </c>
      <c r="E14" s="158">
        <v>7.0499999999999998E-3</v>
      </c>
      <c r="F14" s="159">
        <f>E14*D14</f>
        <v>140950.22349431855</v>
      </c>
      <c r="H14" s="150">
        <f>ROUND(E14*(1+$O$16),5)</f>
        <v>7.7999999999999996E-3</v>
      </c>
      <c r="I14" s="215">
        <f>ROUND(D14*H14,2)</f>
        <v>155944.93</v>
      </c>
      <c r="J14" s="166"/>
      <c r="K14" s="159">
        <f>I14-F14</f>
        <v>14994.706505681446</v>
      </c>
      <c r="L14" s="199">
        <f t="shared" si="0"/>
        <v>0.10638299205170013</v>
      </c>
      <c r="M14" s="201"/>
      <c r="N14" s="201"/>
      <c r="O14" s="202">
        <f>I54-O12</f>
        <v>91.681045953184366</v>
      </c>
    </row>
    <row r="15" spans="1:16" x14ac:dyDescent="0.2">
      <c r="B15" s="173" t="s">
        <v>122</v>
      </c>
      <c r="C15" s="268"/>
      <c r="D15" s="264"/>
      <c r="E15" s="158"/>
      <c r="F15" s="218">
        <v>9677.49</v>
      </c>
      <c r="H15" s="158"/>
      <c r="I15" s="176">
        <f>F15</f>
        <v>9677.49</v>
      </c>
      <c r="J15" s="166"/>
      <c r="K15" s="159">
        <f>I15-F15</f>
        <v>0</v>
      </c>
      <c r="L15" s="199">
        <f t="shared" si="0"/>
        <v>0</v>
      </c>
      <c r="M15" s="201"/>
      <c r="N15" s="201"/>
      <c r="O15" s="138"/>
    </row>
    <row r="16" spans="1:16" x14ac:dyDescent="0.2">
      <c r="B16" s="173"/>
      <c r="C16" s="268"/>
      <c r="D16" s="264"/>
      <c r="E16" s="158"/>
      <c r="F16" s="176"/>
      <c r="H16" s="158"/>
      <c r="I16" s="218"/>
      <c r="J16" s="134"/>
      <c r="K16" s="159"/>
      <c r="L16" s="199"/>
      <c r="M16" s="201"/>
      <c r="N16" s="201"/>
      <c r="O16" s="461">
        <v>0.10610240784340896</v>
      </c>
    </row>
    <row r="17" spans="2:16" x14ac:dyDescent="0.2">
      <c r="B17" s="173" t="s">
        <v>51</v>
      </c>
      <c r="C17" s="268"/>
      <c r="D17" s="264"/>
      <c r="E17" s="158"/>
      <c r="F17" s="176"/>
      <c r="H17" s="158"/>
      <c r="I17" s="218"/>
      <c r="J17" s="134"/>
      <c r="K17" s="159"/>
      <c r="L17" s="199"/>
      <c r="M17" s="201"/>
      <c r="N17" s="201"/>
      <c r="O17" s="203"/>
    </row>
    <row r="18" spans="2:16" x14ac:dyDescent="0.2">
      <c r="B18" s="173" t="s">
        <v>109</v>
      </c>
      <c r="C18" s="268" t="s">
        <v>119</v>
      </c>
      <c r="D18" s="264">
        <v>8259556.7221568692</v>
      </c>
      <c r="E18" s="158">
        <v>0.1084</v>
      </c>
      <c r="F18" s="176">
        <f>ROUND(D18*E18,2)</f>
        <v>895335.95</v>
      </c>
      <c r="H18" s="150">
        <f>ROUND((O12-SUM(I12:I15,I19:I20, I28:I30,I34:I35))/SUM(D18,D33),5)</f>
        <v>0.12488</v>
      </c>
      <c r="I18" s="218">
        <f>ROUND(D18*H18,2)</f>
        <v>1031453.44</v>
      </c>
      <c r="J18" s="134"/>
      <c r="K18" s="159">
        <f>I18-F18</f>
        <v>136117.49</v>
      </c>
      <c r="L18" s="199">
        <f t="shared" ref="L18:L20" si="1">IFERROR(K18/F18, )</f>
        <v>0.15202951473131399</v>
      </c>
      <c r="M18" s="201"/>
      <c r="N18" s="201"/>
      <c r="O18" s="470"/>
      <c r="P18" s="204"/>
    </row>
    <row r="19" spans="2:16" x14ac:dyDescent="0.2">
      <c r="B19" s="173" t="s">
        <v>110</v>
      </c>
      <c r="C19" s="268" t="s">
        <v>119</v>
      </c>
      <c r="D19" s="264">
        <v>4347559.727</v>
      </c>
      <c r="E19" s="158">
        <v>5.3650000000000003E-2</v>
      </c>
      <c r="F19" s="176">
        <f>ROUND(D19*E19,2)</f>
        <v>233246.58</v>
      </c>
      <c r="H19" s="150">
        <f>ROUND(E19*(1+$O$16),5)</f>
        <v>5.9339999999999997E-2</v>
      </c>
      <c r="I19" s="218">
        <f>ROUND(D19*H19,2)</f>
        <v>257984.19</v>
      </c>
      <c r="J19" s="134"/>
      <c r="K19" s="159">
        <f>I19-F19</f>
        <v>24737.610000000015</v>
      </c>
      <c r="L19" s="199">
        <f t="shared" si="1"/>
        <v>0.10605776084691153</v>
      </c>
      <c r="M19" s="201"/>
      <c r="N19" s="201"/>
      <c r="O19" s="152"/>
      <c r="P19" s="152"/>
    </row>
    <row r="20" spans="2:16" x14ac:dyDescent="0.2">
      <c r="B20" s="173" t="s">
        <v>111</v>
      </c>
      <c r="C20" s="268" t="s">
        <v>119</v>
      </c>
      <c r="D20" s="264">
        <v>7385823.0535833519</v>
      </c>
      <c r="E20" s="158">
        <v>5.1319999999999998E-2</v>
      </c>
      <c r="F20" s="176">
        <f>ROUND(D20*E20,2)</f>
        <v>379040.44</v>
      </c>
      <c r="H20" s="150">
        <f>ROUND(E20*(1+$O$16),5)</f>
        <v>5.6770000000000001E-2</v>
      </c>
      <c r="I20" s="218">
        <f>ROUND(D20*H20,2)</f>
        <v>419293.17</v>
      </c>
      <c r="J20" s="134"/>
      <c r="K20" s="159">
        <f>I20-F20</f>
        <v>40252.729999999981</v>
      </c>
      <c r="L20" s="199">
        <f t="shared" si="1"/>
        <v>0.10619639951874259</v>
      </c>
      <c r="M20" s="201"/>
      <c r="N20" s="201"/>
      <c r="O20" s="152"/>
      <c r="P20" s="152"/>
    </row>
    <row r="21" spans="2:16" x14ac:dyDescent="0.2">
      <c r="B21" s="165" t="s">
        <v>145</v>
      </c>
      <c r="C21" s="200"/>
      <c r="D21" s="265">
        <f>SUM(D18:D20)</f>
        <v>19992939.502740219</v>
      </c>
      <c r="E21" s="166"/>
      <c r="F21" s="219">
        <f>SUM(F12:F20)</f>
        <v>2003373.9834943186</v>
      </c>
      <c r="H21" s="171"/>
      <c r="I21" s="219">
        <f>SUM(I12:I20)</f>
        <v>2272313.06</v>
      </c>
      <c r="J21" s="134"/>
      <c r="K21" s="162">
        <f>SUM(K12:K20)</f>
        <v>268939.07650568138</v>
      </c>
      <c r="L21" s="205">
        <f>IFERROR(K21/F21, )</f>
        <v>0.13424307129944521</v>
      </c>
      <c r="M21" s="201"/>
      <c r="N21" s="201"/>
      <c r="O21" s="206"/>
      <c r="P21" s="163"/>
    </row>
    <row r="22" spans="2:16" ht="12.75" customHeight="1" x14ac:dyDescent="0.2">
      <c r="B22" s="165"/>
      <c r="C22" s="200"/>
      <c r="D22" s="264"/>
      <c r="E22" s="166"/>
      <c r="F22" s="218"/>
      <c r="H22" s="171"/>
      <c r="I22" s="218"/>
      <c r="J22" s="134"/>
      <c r="K22" s="159"/>
      <c r="L22" s="199"/>
      <c r="M22" s="201"/>
      <c r="N22" s="201"/>
      <c r="O22" s="207"/>
      <c r="P22" s="251"/>
    </row>
    <row r="23" spans="2:16" x14ac:dyDescent="0.2">
      <c r="B23" s="173" t="s">
        <v>289</v>
      </c>
      <c r="C23" s="268"/>
      <c r="D23" s="264"/>
      <c r="E23" s="158"/>
      <c r="F23" s="219">
        <f>F21</f>
        <v>2003373.9834943186</v>
      </c>
      <c r="H23" s="171"/>
      <c r="I23" s="219">
        <f>I21</f>
        <v>2272313.06</v>
      </c>
      <c r="J23" s="134"/>
      <c r="K23" s="162">
        <f>K21</f>
        <v>268939.07650568138</v>
      </c>
      <c r="L23" s="205">
        <f>IFERROR(K23/F23, )</f>
        <v>0.13424307129944521</v>
      </c>
      <c r="M23" s="201"/>
      <c r="N23" s="201"/>
    </row>
    <row r="24" spans="2:16" x14ac:dyDescent="0.2">
      <c r="B24" s="141"/>
      <c r="C24" s="209"/>
      <c r="D24" s="263"/>
      <c r="E24" s="210"/>
      <c r="F24" s="175"/>
      <c r="G24" s="263"/>
      <c r="H24" s="211"/>
      <c r="I24" s="175"/>
      <c r="J24" s="212"/>
      <c r="K24" s="146"/>
      <c r="L24" s="147"/>
      <c r="M24" s="201"/>
      <c r="N24" s="201"/>
    </row>
    <row r="25" spans="2:16" x14ac:dyDescent="0.2">
      <c r="B25" s="262"/>
      <c r="C25" s="262"/>
      <c r="D25" s="264"/>
      <c r="E25" s="158"/>
      <c r="F25" s="176"/>
      <c r="H25" s="171"/>
      <c r="I25" s="218"/>
      <c r="J25" s="213"/>
      <c r="K25" s="176"/>
      <c r="L25" s="271"/>
      <c r="M25" s="201"/>
      <c r="N25" s="201"/>
    </row>
    <row r="26" spans="2:16" x14ac:dyDescent="0.2">
      <c r="B26" s="127" t="s">
        <v>164</v>
      </c>
      <c r="C26" s="459"/>
      <c r="D26" s="460"/>
      <c r="E26" s="466"/>
      <c r="F26" s="471"/>
      <c r="G26" s="467"/>
      <c r="H26" s="468"/>
      <c r="I26" s="472"/>
      <c r="J26" s="469"/>
      <c r="K26" s="446"/>
      <c r="L26" s="447"/>
      <c r="M26" s="201"/>
      <c r="N26" s="201"/>
      <c r="O26" s="214"/>
      <c r="P26" s="170"/>
    </row>
    <row r="27" spans="2:16" x14ac:dyDescent="0.2">
      <c r="B27" s="173"/>
      <c r="C27" s="268"/>
      <c r="D27" s="264"/>
      <c r="E27" s="139"/>
      <c r="F27" s="176"/>
      <c r="G27" s="154"/>
      <c r="H27" s="171"/>
      <c r="I27" s="218"/>
      <c r="J27" s="134"/>
      <c r="K27" s="159"/>
      <c r="L27" s="199"/>
      <c r="M27" s="201"/>
      <c r="N27" s="201"/>
      <c r="O27" s="262"/>
      <c r="P27" s="262"/>
    </row>
    <row r="28" spans="2:16" x14ac:dyDescent="0.2">
      <c r="B28" s="165" t="s">
        <v>116</v>
      </c>
      <c r="C28" s="200" t="s">
        <v>117</v>
      </c>
      <c r="D28" s="264">
        <v>884.03333362675562</v>
      </c>
      <c r="E28" s="171">
        <v>903.09</v>
      </c>
      <c r="F28" s="176">
        <f>ROUND(D28*E28,2)</f>
        <v>798361.66</v>
      </c>
      <c r="H28" s="448">
        <f>E28</f>
        <v>903.09</v>
      </c>
      <c r="I28" s="218">
        <f>ROUND(D28*H28,2)</f>
        <v>798361.66</v>
      </c>
      <c r="J28" s="134"/>
      <c r="K28" s="159">
        <f>I28-F28</f>
        <v>0</v>
      </c>
      <c r="L28" s="199">
        <f t="shared" ref="L28:L30" si="2">IFERROR(K28/F28, )</f>
        <v>0</v>
      </c>
      <c r="M28" s="201"/>
      <c r="N28" s="201"/>
      <c r="O28" s="170"/>
      <c r="P28" s="170"/>
    </row>
    <row r="29" spans="2:16" x14ac:dyDescent="0.2">
      <c r="B29" s="173" t="s">
        <v>50</v>
      </c>
      <c r="C29" s="268" t="s">
        <v>100</v>
      </c>
      <c r="D29" s="264">
        <v>651309.33499999996</v>
      </c>
      <c r="E29" s="171">
        <v>1.3</v>
      </c>
      <c r="F29" s="176">
        <f>ROUND(D29*E29,2)</f>
        <v>846702.14</v>
      </c>
      <c r="H29" s="448">
        <f>$H$13</f>
        <v>1.44</v>
      </c>
      <c r="I29" s="218">
        <f>ROUND(D29*H29,2)</f>
        <v>937885.44</v>
      </c>
      <c r="J29" s="134"/>
      <c r="K29" s="159">
        <f>I29-F29</f>
        <v>91183.29999999993</v>
      </c>
      <c r="L29" s="199">
        <f t="shared" si="2"/>
        <v>0.10769229897068634</v>
      </c>
      <c r="M29" s="201"/>
      <c r="N29" s="201"/>
      <c r="O29" s="262"/>
      <c r="P29" s="262"/>
    </row>
    <row r="30" spans="2:16" x14ac:dyDescent="0.2">
      <c r="B30" s="173" t="s">
        <v>122</v>
      </c>
      <c r="C30" s="268"/>
      <c r="D30" s="264"/>
      <c r="E30" s="171"/>
      <c r="F30" s="218">
        <v>-10601.630000000003</v>
      </c>
      <c r="H30" s="448"/>
      <c r="I30" s="218">
        <f>F30</f>
        <v>-10601.630000000003</v>
      </c>
      <c r="J30" s="134"/>
      <c r="K30" s="159">
        <f>I30-F30</f>
        <v>0</v>
      </c>
      <c r="L30" s="199">
        <f t="shared" si="2"/>
        <v>0</v>
      </c>
      <c r="M30" s="201"/>
      <c r="N30" s="201"/>
      <c r="O30" s="262"/>
      <c r="P30" s="262"/>
    </row>
    <row r="31" spans="2:16" x14ac:dyDescent="0.2">
      <c r="B31" s="173"/>
      <c r="C31" s="268"/>
      <c r="D31" s="264"/>
      <c r="E31" s="158"/>
      <c r="F31" s="262"/>
      <c r="H31" s="150"/>
      <c r="I31" s="262"/>
      <c r="J31" s="166"/>
      <c r="K31" s="159"/>
      <c r="L31" s="199"/>
      <c r="M31" s="201"/>
      <c r="N31" s="201"/>
      <c r="O31" s="262"/>
      <c r="P31" s="262"/>
    </row>
    <row r="32" spans="2:16" x14ac:dyDescent="0.2">
      <c r="B32" s="173" t="s">
        <v>51</v>
      </c>
      <c r="C32" s="268"/>
      <c r="D32" s="264"/>
      <c r="E32" s="158"/>
      <c r="F32" s="176"/>
      <c r="H32" s="150"/>
      <c r="I32" s="218"/>
      <c r="J32" s="134"/>
      <c r="K32" s="159"/>
      <c r="L32" s="199"/>
      <c r="M32" s="201"/>
      <c r="N32" s="201"/>
      <c r="O32" s="262"/>
      <c r="P32" s="262"/>
    </row>
    <row r="33" spans="2:16" x14ac:dyDescent="0.2">
      <c r="B33" s="173" t="s">
        <v>109</v>
      </c>
      <c r="C33" s="268" t="s">
        <v>119</v>
      </c>
      <c r="D33" s="264">
        <v>24354615.889999997</v>
      </c>
      <c r="E33" s="158">
        <v>0.1084</v>
      </c>
      <c r="F33" s="176">
        <f>ROUND(D33*E33,2)</f>
        <v>2640040.36</v>
      </c>
      <c r="H33" s="150">
        <f>H18</f>
        <v>0.12488</v>
      </c>
      <c r="I33" s="218">
        <f>ROUND(D33*H33,2)</f>
        <v>3041404.43</v>
      </c>
      <c r="J33" s="134"/>
      <c r="K33" s="159">
        <f>I33-F33</f>
        <v>401364.0700000003</v>
      </c>
      <c r="L33" s="199">
        <f t="shared" ref="L33:L35" si="3">IFERROR(K33/F33, )</f>
        <v>0.1520295204880884</v>
      </c>
      <c r="M33" s="201"/>
      <c r="N33" s="201"/>
      <c r="O33" s="262"/>
      <c r="P33" s="262"/>
    </row>
    <row r="34" spans="2:16" x14ac:dyDescent="0.2">
      <c r="B34" s="173" t="s">
        <v>110</v>
      </c>
      <c r="C34" s="268" t="s">
        <v>119</v>
      </c>
      <c r="D34" s="264">
        <v>17329118.52</v>
      </c>
      <c r="E34" s="158">
        <v>5.3650000000000003E-2</v>
      </c>
      <c r="F34" s="176">
        <f>ROUND(D34*E34,2)</f>
        <v>929707.21</v>
      </c>
      <c r="H34" s="150">
        <f>H19</f>
        <v>5.9339999999999997E-2</v>
      </c>
      <c r="I34" s="218">
        <f>ROUND(D34*H34,2)</f>
        <v>1028309.89</v>
      </c>
      <c r="J34" s="134"/>
      <c r="K34" s="159">
        <f>I34-F34</f>
        <v>98602.680000000051</v>
      </c>
      <c r="L34" s="199">
        <f t="shared" si="3"/>
        <v>0.10605777705004574</v>
      </c>
      <c r="M34" s="201"/>
      <c r="N34" s="201"/>
      <c r="O34" s="262"/>
      <c r="P34" s="262"/>
    </row>
    <row r="35" spans="2:16" x14ac:dyDescent="0.2">
      <c r="B35" s="173" t="s">
        <v>112</v>
      </c>
      <c r="C35" s="268" t="s">
        <v>119</v>
      </c>
      <c r="D35" s="264">
        <v>27203056.60995879</v>
      </c>
      <c r="E35" s="158">
        <v>5.1319999999999998E-2</v>
      </c>
      <c r="F35" s="175">
        <f>ROUND(D35*E35,2)</f>
        <v>1396060.87</v>
      </c>
      <c r="H35" s="150">
        <f>H20</f>
        <v>5.6770000000000001E-2</v>
      </c>
      <c r="I35" s="218">
        <f>ROUND(D35*H35,2)</f>
        <v>1544317.52</v>
      </c>
      <c r="J35" s="134"/>
      <c r="K35" s="159">
        <f>I35-F35</f>
        <v>148256.64999999991</v>
      </c>
      <c r="L35" s="199">
        <f t="shared" si="3"/>
        <v>0.10619640818383506</v>
      </c>
      <c r="M35" s="201"/>
      <c r="N35" s="201"/>
      <c r="O35" s="262"/>
      <c r="P35" s="262"/>
    </row>
    <row r="36" spans="2:16" x14ac:dyDescent="0.2">
      <c r="B36" s="165" t="s">
        <v>145</v>
      </c>
      <c r="C36" s="200"/>
      <c r="D36" s="265">
        <f>SUM(D33:D35)</f>
        <v>68886791.019958794</v>
      </c>
      <c r="E36" s="166"/>
      <c r="F36" s="219">
        <f>SUM(F28:F35)</f>
        <v>6600270.6100000003</v>
      </c>
      <c r="H36" s="171"/>
      <c r="I36" s="219">
        <f>SUM(I28:I35)</f>
        <v>7339677.3100000005</v>
      </c>
      <c r="J36" s="134"/>
      <c r="K36" s="162">
        <f>SUM(K28:K35)</f>
        <v>739406.70000000019</v>
      </c>
      <c r="L36" s="205">
        <f>IFERROR(K36/F36, )</f>
        <v>0.11202672491635918</v>
      </c>
      <c r="M36" s="201"/>
      <c r="N36" s="201"/>
      <c r="O36" s="262"/>
      <c r="P36" s="262"/>
    </row>
    <row r="37" spans="2:16" x14ac:dyDescent="0.2">
      <c r="B37" s="165"/>
      <c r="C37" s="200"/>
      <c r="D37" s="264"/>
      <c r="E37" s="166"/>
      <c r="F37" s="218"/>
      <c r="H37" s="171"/>
      <c r="I37" s="218"/>
      <c r="J37" s="134"/>
      <c r="K37" s="159"/>
      <c r="L37" s="199"/>
      <c r="M37" s="201"/>
      <c r="N37" s="201"/>
      <c r="O37" s="170"/>
      <c r="P37" s="262"/>
    </row>
    <row r="38" spans="2:16" x14ac:dyDescent="0.2">
      <c r="B38" s="165" t="s">
        <v>289</v>
      </c>
      <c r="C38" s="268"/>
      <c r="D38" s="264"/>
      <c r="E38" s="171"/>
      <c r="F38" s="219">
        <f>F36</f>
        <v>6600270.6100000003</v>
      </c>
      <c r="G38" s="262"/>
      <c r="H38" s="171"/>
      <c r="I38" s="219">
        <f>I36</f>
        <v>7339677.3100000005</v>
      </c>
      <c r="J38" s="166"/>
      <c r="K38" s="162">
        <f>K36</f>
        <v>739406.70000000019</v>
      </c>
      <c r="L38" s="205">
        <f>IFERROR(K38/F38, )</f>
        <v>0.11202672491635918</v>
      </c>
      <c r="M38" s="201"/>
      <c r="N38" s="201"/>
      <c r="O38" s="216"/>
      <c r="P38" s="262"/>
    </row>
    <row r="39" spans="2:16" x14ac:dyDescent="0.2">
      <c r="B39" s="141"/>
      <c r="C39" s="209"/>
      <c r="D39" s="263"/>
      <c r="E39" s="210"/>
      <c r="F39" s="175"/>
      <c r="G39" s="263"/>
      <c r="H39" s="211"/>
      <c r="I39" s="222"/>
      <c r="J39" s="212"/>
      <c r="K39" s="146"/>
      <c r="L39" s="147"/>
      <c r="M39" s="201"/>
      <c r="N39" s="201"/>
      <c r="O39" s="262"/>
      <c r="P39" s="262"/>
    </row>
    <row r="40" spans="2:16" x14ac:dyDescent="0.2">
      <c r="B40" s="268"/>
      <c r="C40" s="268"/>
      <c r="D40" s="264"/>
      <c r="E40" s="139"/>
      <c r="F40" s="176"/>
      <c r="H40" s="171"/>
      <c r="I40" s="218"/>
      <c r="J40" s="134"/>
      <c r="K40" s="159"/>
      <c r="L40" s="234"/>
      <c r="M40" s="201"/>
      <c r="N40" s="201"/>
      <c r="O40" s="262"/>
      <c r="P40" s="262"/>
    </row>
    <row r="41" spans="2:16" x14ac:dyDescent="0.2">
      <c r="B41" s="148" t="s">
        <v>165</v>
      </c>
      <c r="C41" s="459"/>
      <c r="D41" s="460"/>
      <c r="E41" s="466"/>
      <c r="F41" s="471"/>
      <c r="G41" s="467"/>
      <c r="H41" s="468"/>
      <c r="I41" s="472"/>
      <c r="J41" s="469"/>
      <c r="K41" s="446"/>
      <c r="L41" s="447"/>
      <c r="M41" s="201"/>
      <c r="N41" s="201"/>
      <c r="O41" s="262"/>
      <c r="P41" s="262"/>
    </row>
    <row r="42" spans="2:16" x14ac:dyDescent="0.2">
      <c r="B42" s="173"/>
      <c r="C42" s="268"/>
      <c r="D42" s="264"/>
      <c r="E42" s="158"/>
      <c r="F42" s="176"/>
      <c r="G42" s="154"/>
      <c r="H42" s="171"/>
      <c r="I42" s="218"/>
      <c r="J42" s="213"/>
      <c r="K42" s="176"/>
      <c r="L42" s="220"/>
      <c r="M42" s="217"/>
      <c r="N42" s="201"/>
      <c r="O42" s="262"/>
      <c r="P42" s="262"/>
    </row>
    <row r="43" spans="2:16" x14ac:dyDescent="0.2">
      <c r="B43" s="165" t="s">
        <v>116</v>
      </c>
      <c r="C43" s="200" t="s">
        <v>117</v>
      </c>
      <c r="D43" s="264">
        <f>D28+D12</f>
        <v>1252.6000305414561</v>
      </c>
      <c r="E43" s="171"/>
      <c r="F43" s="176">
        <f>F12+F28</f>
        <v>1017688.3300000001</v>
      </c>
      <c r="H43" s="171"/>
      <c r="I43" s="176">
        <f>I12+I28</f>
        <v>1056977.54</v>
      </c>
      <c r="J43" s="213"/>
      <c r="K43" s="176">
        <f>I43-F43</f>
        <v>39289.209999999963</v>
      </c>
      <c r="L43" s="220">
        <f t="shared" ref="L43:L46" si="4">IFERROR(K43/F43, )</f>
        <v>3.860632852103154E-2</v>
      </c>
      <c r="M43" s="217"/>
      <c r="N43" s="201"/>
      <c r="O43" s="262"/>
      <c r="P43" s="262"/>
    </row>
    <row r="44" spans="2:16" x14ac:dyDescent="0.2">
      <c r="B44" s="173" t="s">
        <v>50</v>
      </c>
      <c r="C44" s="268" t="s">
        <v>100</v>
      </c>
      <c r="D44" s="264">
        <f>D29+D13</f>
        <v>748075.9709999999</v>
      </c>
      <c r="E44" s="171"/>
      <c r="F44" s="176">
        <f>F13+F29</f>
        <v>972498.77</v>
      </c>
      <c r="H44" s="171"/>
      <c r="I44" s="176">
        <f>I13+I29</f>
        <v>1077229.3999999999</v>
      </c>
      <c r="J44" s="213"/>
      <c r="K44" s="176">
        <f>I44-F44</f>
        <v>104730.62999999989</v>
      </c>
      <c r="L44" s="220">
        <f t="shared" si="4"/>
        <v>0.10769230073165016</v>
      </c>
      <c r="M44" s="217"/>
      <c r="N44" s="201"/>
      <c r="O44" s="262"/>
      <c r="P44" s="262"/>
    </row>
    <row r="45" spans="2:16" x14ac:dyDescent="0.2">
      <c r="B45" s="173" t="s">
        <v>55</v>
      </c>
      <c r="C45" s="268" t="s">
        <v>119</v>
      </c>
      <c r="D45" s="264">
        <f>D30+D14</f>
        <v>19992939.502740219</v>
      </c>
      <c r="E45" s="171"/>
      <c r="F45" s="176">
        <f>F14</f>
        <v>140950.22349431855</v>
      </c>
      <c r="H45" s="171"/>
      <c r="I45" s="176">
        <f>I14</f>
        <v>155944.93</v>
      </c>
      <c r="J45" s="213"/>
      <c r="K45" s="176">
        <f>I45-F45</f>
        <v>14994.706505681446</v>
      </c>
      <c r="L45" s="220">
        <f t="shared" si="4"/>
        <v>0.10638299205170013</v>
      </c>
      <c r="M45" s="217"/>
      <c r="N45" s="201"/>
      <c r="O45" s="262"/>
      <c r="P45" s="262"/>
    </row>
    <row r="46" spans="2:16" x14ac:dyDescent="0.2">
      <c r="B46" s="173" t="s">
        <v>122</v>
      </c>
      <c r="C46" s="268"/>
      <c r="D46" s="264"/>
      <c r="E46" s="171"/>
      <c r="F46" s="218">
        <f>F15+F30</f>
        <v>-924.14000000000306</v>
      </c>
      <c r="H46" s="171"/>
      <c r="I46" s="218">
        <f>I15+I30</f>
        <v>-924.14000000000306</v>
      </c>
      <c r="J46" s="213"/>
      <c r="K46" s="176">
        <f>I46-F46</f>
        <v>0</v>
      </c>
      <c r="L46" s="220">
        <f t="shared" si="4"/>
        <v>0</v>
      </c>
      <c r="M46" s="217"/>
      <c r="N46" s="201"/>
      <c r="O46" s="262"/>
      <c r="P46" s="262"/>
    </row>
    <row r="47" spans="2:16" x14ac:dyDescent="0.2">
      <c r="B47" s="173"/>
      <c r="C47" s="268"/>
      <c r="D47" s="264"/>
      <c r="E47" s="158"/>
      <c r="F47" s="262"/>
      <c r="H47" s="158"/>
      <c r="I47" s="262"/>
      <c r="J47" s="171"/>
      <c r="K47" s="176"/>
      <c r="L47" s="220"/>
      <c r="M47" s="217"/>
      <c r="N47" s="201"/>
      <c r="O47" s="262"/>
      <c r="P47" s="262"/>
    </row>
    <row r="48" spans="2:16" x14ac:dyDescent="0.2">
      <c r="B48" s="173" t="s">
        <v>51</v>
      </c>
      <c r="C48" s="268"/>
      <c r="D48" s="264"/>
      <c r="E48" s="158"/>
      <c r="F48" s="176"/>
      <c r="H48" s="158"/>
      <c r="I48" s="176"/>
      <c r="J48" s="213"/>
      <c r="K48" s="176"/>
      <c r="L48" s="220"/>
      <c r="M48" s="217"/>
      <c r="N48" s="201"/>
      <c r="O48" s="262"/>
      <c r="P48" s="262"/>
    </row>
    <row r="49" spans="1:16" x14ac:dyDescent="0.2">
      <c r="B49" s="173" t="s">
        <v>109</v>
      </c>
      <c r="C49" s="268" t="s">
        <v>119</v>
      </c>
      <c r="D49" s="264">
        <f>D33+D18</f>
        <v>32614172.612156868</v>
      </c>
      <c r="E49" s="158"/>
      <c r="F49" s="176">
        <f>F18+F33</f>
        <v>3535376.3099999996</v>
      </c>
      <c r="H49" s="152"/>
      <c r="I49" s="176">
        <f>I18+I33</f>
        <v>4072857.87</v>
      </c>
      <c r="J49" s="213"/>
      <c r="K49" s="176">
        <f>I49-F49</f>
        <v>537481.56000000052</v>
      </c>
      <c r="L49" s="220">
        <f t="shared" ref="L49:L51" si="5">IFERROR(K49/F49, )</f>
        <v>0.15202951903018228</v>
      </c>
      <c r="M49" s="217"/>
      <c r="N49" s="201"/>
      <c r="O49" s="262"/>
      <c r="P49" s="262"/>
    </row>
    <row r="50" spans="1:16" x14ac:dyDescent="0.2">
      <c r="B50" s="173" t="s">
        <v>110</v>
      </c>
      <c r="C50" s="268" t="s">
        <v>119</v>
      </c>
      <c r="D50" s="264">
        <f>D34+D19</f>
        <v>21676678.247000001</v>
      </c>
      <c r="E50" s="158"/>
      <c r="F50" s="176">
        <f>F19+F34</f>
        <v>1162953.79</v>
      </c>
      <c r="H50" s="152"/>
      <c r="I50" s="176">
        <f>I19+I34</f>
        <v>1286294.08</v>
      </c>
      <c r="J50" s="213"/>
      <c r="K50" s="176">
        <f>I50-F50</f>
        <v>123340.29000000004</v>
      </c>
      <c r="L50" s="220">
        <f t="shared" si="5"/>
        <v>0.10605777380028146</v>
      </c>
      <c r="M50" s="217"/>
      <c r="N50" s="201"/>
      <c r="O50" s="262"/>
      <c r="P50" s="262"/>
    </row>
    <row r="51" spans="1:16" x14ac:dyDescent="0.2">
      <c r="B51" s="173" t="s">
        <v>111</v>
      </c>
      <c r="C51" s="268" t="s">
        <v>119</v>
      </c>
      <c r="D51" s="264">
        <f>D35+D20</f>
        <v>34588879.663542144</v>
      </c>
      <c r="E51" s="158"/>
      <c r="F51" s="175">
        <f>F20+F35</f>
        <v>1775101.31</v>
      </c>
      <c r="H51" s="158"/>
      <c r="I51" s="175">
        <f>I20+I35</f>
        <v>1963610.69</v>
      </c>
      <c r="J51" s="213"/>
      <c r="K51" s="176">
        <f>I51-F51</f>
        <v>188509.37999999989</v>
      </c>
      <c r="L51" s="220">
        <f t="shared" si="5"/>
        <v>0.10619640633356295</v>
      </c>
      <c r="M51" s="217"/>
      <c r="N51" s="201"/>
      <c r="O51" s="262"/>
      <c r="P51" s="262"/>
    </row>
    <row r="52" spans="1:16" x14ac:dyDescent="0.2">
      <c r="B52" s="165" t="s">
        <v>145</v>
      </c>
      <c r="C52" s="200"/>
      <c r="D52" s="265">
        <f>SUM(D49:D51)</f>
        <v>88879730.522699013</v>
      </c>
      <c r="E52" s="171"/>
      <c r="F52" s="219">
        <f>SUM(F43:F51)</f>
        <v>8603644.5934943184</v>
      </c>
      <c r="H52" s="171"/>
      <c r="I52" s="219">
        <f>SUM(I43:I51)</f>
        <v>9611990.3699999992</v>
      </c>
      <c r="J52" s="213"/>
      <c r="K52" s="219">
        <f>SUM(K43:K51)</f>
        <v>1008345.7765056817</v>
      </c>
      <c r="L52" s="205">
        <f>IFERROR(K52/F52, )</f>
        <v>0.11719984078237571</v>
      </c>
      <c r="M52" s="217"/>
      <c r="N52" s="201"/>
      <c r="O52" s="262"/>
      <c r="P52" s="262"/>
    </row>
    <row r="53" spans="1:16" x14ac:dyDescent="0.2">
      <c r="B53" s="165"/>
      <c r="C53" s="200"/>
      <c r="D53" s="264"/>
      <c r="E53" s="171"/>
      <c r="F53" s="218"/>
      <c r="H53" s="171"/>
      <c r="I53" s="218"/>
      <c r="J53" s="213"/>
      <c r="K53" s="176"/>
      <c r="L53" s="220"/>
      <c r="M53" s="217"/>
      <c r="N53" s="201"/>
      <c r="O53" s="262"/>
      <c r="P53" s="262"/>
    </row>
    <row r="54" spans="1:16" x14ac:dyDescent="0.2">
      <c r="B54" s="173" t="s">
        <v>289</v>
      </c>
      <c r="C54" s="268"/>
      <c r="D54" s="264"/>
      <c r="E54" s="171"/>
      <c r="F54" s="219">
        <f>F52</f>
        <v>8603644.5934943184</v>
      </c>
      <c r="H54" s="171"/>
      <c r="I54" s="219">
        <f>I52</f>
        <v>9611990.3699999992</v>
      </c>
      <c r="J54" s="213"/>
      <c r="K54" s="219">
        <f>K52</f>
        <v>1008345.7765056817</v>
      </c>
      <c r="L54" s="205">
        <f>IFERROR(K54/F54, )</f>
        <v>0.11719984078237571</v>
      </c>
      <c r="M54" s="217"/>
      <c r="N54" s="201"/>
    </row>
    <row r="55" spans="1:16" x14ac:dyDescent="0.2">
      <c r="B55" s="141"/>
      <c r="C55" s="209"/>
      <c r="D55" s="263"/>
      <c r="E55" s="221"/>
      <c r="F55" s="175"/>
      <c r="G55" s="263"/>
      <c r="H55" s="211"/>
      <c r="I55" s="222"/>
      <c r="J55" s="223"/>
      <c r="K55" s="175"/>
      <c r="L55" s="168"/>
      <c r="M55" s="217"/>
      <c r="N55" s="201"/>
    </row>
    <row r="56" spans="1:16" x14ac:dyDescent="0.2">
      <c r="A56" s="268"/>
      <c r="B56" s="268"/>
      <c r="C56" s="268"/>
      <c r="D56" s="264"/>
      <c r="E56" s="139"/>
      <c r="F56" s="176"/>
      <c r="H56" s="171"/>
      <c r="I56" s="218"/>
      <c r="J56" s="134"/>
      <c r="K56" s="159"/>
      <c r="L56" s="234"/>
      <c r="M56" s="201"/>
      <c r="N56" s="201"/>
      <c r="O56" s="268"/>
    </row>
    <row r="57" spans="1:16" x14ac:dyDescent="0.2">
      <c r="B57" s="127" t="s">
        <v>166</v>
      </c>
      <c r="C57" s="459"/>
      <c r="D57" s="460"/>
      <c r="E57" s="466"/>
      <c r="F57" s="471"/>
      <c r="G57" s="460"/>
      <c r="H57" s="468"/>
      <c r="I57" s="473"/>
      <c r="J57" s="469"/>
      <c r="K57" s="446"/>
      <c r="L57" s="452"/>
      <c r="M57" s="201"/>
      <c r="N57" s="201"/>
      <c r="O57" s="268"/>
    </row>
    <row r="58" spans="1:16" x14ac:dyDescent="0.2">
      <c r="B58" s="173"/>
      <c r="C58" s="268"/>
      <c r="D58" s="264"/>
      <c r="E58" s="139"/>
      <c r="F58" s="176"/>
      <c r="G58" s="154"/>
      <c r="H58" s="171"/>
      <c r="I58" s="218"/>
      <c r="J58" s="134"/>
      <c r="K58" s="159"/>
      <c r="L58" s="199"/>
      <c r="M58" s="201"/>
      <c r="N58" s="201"/>
      <c r="O58" s="380" t="s">
        <v>167</v>
      </c>
    </row>
    <row r="59" spans="1:16" x14ac:dyDescent="0.2">
      <c r="B59" s="165" t="s">
        <v>116</v>
      </c>
      <c r="C59" s="200" t="s">
        <v>117</v>
      </c>
      <c r="D59" s="264">
        <v>1364.2999596828383</v>
      </c>
      <c r="E59" s="171">
        <v>148.82</v>
      </c>
      <c r="F59" s="176">
        <f>ROUND(D59*E59,2)</f>
        <v>203035.12</v>
      </c>
      <c r="H59" s="448">
        <f>E59</f>
        <v>148.82</v>
      </c>
      <c r="I59" s="218">
        <f>ROUND(D59*H59,2)</f>
        <v>203035.12</v>
      </c>
      <c r="J59" s="134"/>
      <c r="K59" s="159">
        <f>I59-F59</f>
        <v>0</v>
      </c>
      <c r="L59" s="199">
        <f t="shared" ref="L59:L62" si="6">IFERROR(K59/F59, )</f>
        <v>0</v>
      </c>
      <c r="M59" s="201"/>
      <c r="N59" s="201"/>
      <c r="O59" s="132">
        <v>1560028.5146650348</v>
      </c>
    </row>
    <row r="60" spans="1:16" x14ac:dyDescent="0.2">
      <c r="B60" s="173" t="s">
        <v>50</v>
      </c>
      <c r="C60" s="268" t="s">
        <v>100</v>
      </c>
      <c r="D60" s="264">
        <v>39087.972999999998</v>
      </c>
      <c r="E60" s="171">
        <v>1.35</v>
      </c>
      <c r="F60" s="176">
        <f>ROUND(D60*E60,2)</f>
        <v>52768.76</v>
      </c>
      <c r="H60" s="448">
        <f>E60</f>
        <v>1.35</v>
      </c>
      <c r="I60" s="218">
        <f>ROUND(D60*H60,2)</f>
        <v>52768.76</v>
      </c>
      <c r="J60" s="134"/>
      <c r="K60" s="159">
        <f>I60-F60</f>
        <v>0</v>
      </c>
      <c r="L60" s="199">
        <f t="shared" si="6"/>
        <v>0</v>
      </c>
      <c r="M60" s="201"/>
      <c r="N60" s="201"/>
      <c r="O60" s="133" t="s">
        <v>143</v>
      </c>
    </row>
    <row r="61" spans="1:16" x14ac:dyDescent="0.2">
      <c r="B61" s="173" t="s">
        <v>55</v>
      </c>
      <c r="C61" s="268" t="s">
        <v>119</v>
      </c>
      <c r="D61" s="264">
        <f>D67</f>
        <v>5773170.4876905456</v>
      </c>
      <c r="E61" s="158">
        <v>1.222E-2</v>
      </c>
      <c r="F61" s="176">
        <f>ROUND(D61*E61,2)</f>
        <v>70548.14</v>
      </c>
      <c r="H61" s="150">
        <f>E61</f>
        <v>1.222E-2</v>
      </c>
      <c r="I61" s="218">
        <f>ROUND(D67*H61,2)</f>
        <v>70548.14</v>
      </c>
      <c r="J61" s="134"/>
      <c r="K61" s="159">
        <f>I61-F61</f>
        <v>0</v>
      </c>
      <c r="L61" s="199">
        <f t="shared" si="6"/>
        <v>0</v>
      </c>
      <c r="M61" s="201"/>
      <c r="N61" s="201"/>
      <c r="O61" s="202">
        <f>I98-O59</f>
        <v>2.5053349651861936</v>
      </c>
    </row>
    <row r="62" spans="1:16" x14ac:dyDescent="0.2">
      <c r="B62" s="173" t="s">
        <v>122</v>
      </c>
      <c r="C62" s="268"/>
      <c r="D62" s="264"/>
      <c r="E62" s="158"/>
      <c r="F62" s="218">
        <v>7612.77</v>
      </c>
      <c r="H62" s="150"/>
      <c r="I62" s="218">
        <f>F62</f>
        <v>7612.77</v>
      </c>
      <c r="J62" s="224"/>
      <c r="K62" s="159">
        <f>I62-F62</f>
        <v>0</v>
      </c>
      <c r="L62" s="199">
        <f t="shared" si="6"/>
        <v>0</v>
      </c>
      <c r="M62" s="201"/>
      <c r="N62" s="201"/>
      <c r="O62" s="203"/>
    </row>
    <row r="63" spans="1:16" x14ac:dyDescent="0.2">
      <c r="B63" s="173"/>
      <c r="C63" s="268"/>
      <c r="D63" s="264"/>
      <c r="E63" s="158"/>
      <c r="F63" s="176"/>
      <c r="H63" s="150"/>
      <c r="I63" s="218"/>
      <c r="J63" s="134"/>
      <c r="K63" s="159"/>
      <c r="L63" s="199"/>
      <c r="M63" s="201"/>
      <c r="N63" s="201"/>
      <c r="O63" s="461">
        <v>4.2429683015157149E-2</v>
      </c>
      <c r="P63" s="251"/>
    </row>
    <row r="64" spans="1:16" x14ac:dyDescent="0.2">
      <c r="B64" s="173" t="s">
        <v>51</v>
      </c>
      <c r="C64" s="268"/>
      <c r="D64" s="264"/>
      <c r="E64" s="158"/>
      <c r="F64" s="176"/>
      <c r="H64" s="150"/>
      <c r="I64" s="218"/>
      <c r="J64" s="134"/>
      <c r="K64" s="159"/>
      <c r="L64" s="199"/>
      <c r="M64" s="201"/>
      <c r="N64" s="201"/>
      <c r="O64" s="225"/>
      <c r="P64" s="233"/>
    </row>
    <row r="65" spans="1:16" x14ac:dyDescent="0.2">
      <c r="B65" s="153" t="s">
        <v>59</v>
      </c>
      <c r="C65" s="262" t="s">
        <v>119</v>
      </c>
      <c r="D65" s="264">
        <v>1063981.5778999999</v>
      </c>
      <c r="E65" s="158">
        <v>0.18382000000000001</v>
      </c>
      <c r="F65" s="176">
        <f>ROUND(D65*E65,2)</f>
        <v>195581.09</v>
      </c>
      <c r="H65" s="150">
        <f>ROUND(E65*(1+$O$65),5)</f>
        <v>0.1951</v>
      </c>
      <c r="I65" s="218">
        <f>ROUND(D65*H65,2)</f>
        <v>207582.81</v>
      </c>
      <c r="J65" s="134"/>
      <c r="K65" s="159">
        <f>I65-F65</f>
        <v>12001.720000000001</v>
      </c>
      <c r="L65" s="199">
        <f t="shared" ref="L65:L66" si="7">IFERROR(K65/F65, )</f>
        <v>6.1364419228873313E-2</v>
      </c>
      <c r="M65" s="201"/>
      <c r="N65" s="201"/>
      <c r="O65" s="474">
        <f>(O59-SUM(I88:I91))/SUM(F94:F95)-1</f>
        <v>6.1383682309006371E-2</v>
      </c>
      <c r="P65" s="251"/>
    </row>
    <row r="66" spans="1:16" ht="12.75" customHeight="1" x14ac:dyDescent="0.2">
      <c r="B66" s="153" t="s">
        <v>89</v>
      </c>
      <c r="C66" s="262" t="s">
        <v>119</v>
      </c>
      <c r="D66" s="264">
        <v>4709188.9097905457</v>
      </c>
      <c r="E66" s="158">
        <v>0.13031000000000001</v>
      </c>
      <c r="F66" s="176">
        <f>ROUND(D66*E66,2)</f>
        <v>613654.41</v>
      </c>
      <c r="H66" s="150">
        <f>ROUND(E66*(1+$O$65),5)</f>
        <v>0.13830999999999999</v>
      </c>
      <c r="I66" s="218">
        <f>ROUND(D66*H66,2)</f>
        <v>651327.92000000004</v>
      </c>
      <c r="J66" s="134"/>
      <c r="K66" s="159">
        <f>I66-F66</f>
        <v>37673.510000000009</v>
      </c>
      <c r="L66" s="199">
        <f t="shared" si="7"/>
        <v>6.1392062675798269E-2</v>
      </c>
      <c r="M66" s="201"/>
      <c r="N66" s="201"/>
      <c r="O66" s="225"/>
      <c r="P66" s="251"/>
    </row>
    <row r="67" spans="1:16" ht="12.75" customHeight="1" x14ac:dyDescent="0.2">
      <c r="B67" s="165" t="s">
        <v>145</v>
      </c>
      <c r="C67" s="268" t="s">
        <v>119</v>
      </c>
      <c r="D67" s="265">
        <f>SUM(D65:D66)</f>
        <v>5773170.4876905456</v>
      </c>
      <c r="E67" s="139"/>
      <c r="F67" s="219">
        <f>SUM(F59:F66)</f>
        <v>1143200.29</v>
      </c>
      <c r="H67" s="171"/>
      <c r="I67" s="219">
        <f>SUM(I59:I66)</f>
        <v>1192875.52</v>
      </c>
      <c r="J67" s="134"/>
      <c r="K67" s="162">
        <f>SUM(K59:K66)</f>
        <v>49675.23000000001</v>
      </c>
      <c r="L67" s="198">
        <f>IFERROR(K67/F67, )</f>
        <v>4.3452779390040226E-2</v>
      </c>
      <c r="M67" s="201"/>
      <c r="N67" s="201"/>
      <c r="O67" s="179"/>
      <c r="P67" s="251"/>
    </row>
    <row r="68" spans="1:16" x14ac:dyDescent="0.2">
      <c r="B68" s="165"/>
      <c r="C68" s="200"/>
      <c r="D68" s="264"/>
      <c r="E68" s="139"/>
      <c r="F68" s="218"/>
      <c r="H68" s="171"/>
      <c r="I68" s="218"/>
      <c r="J68" s="134"/>
      <c r="K68" s="159"/>
      <c r="L68" s="131"/>
      <c r="M68" s="201"/>
      <c r="N68" s="208"/>
      <c r="O68" s="207"/>
      <c r="P68" s="251"/>
    </row>
    <row r="69" spans="1:16" s="268" customFormat="1" x14ac:dyDescent="0.2">
      <c r="B69" s="173" t="s">
        <v>289</v>
      </c>
      <c r="D69" s="264"/>
      <c r="E69" s="166"/>
      <c r="F69" s="219">
        <f>F67</f>
        <v>1143200.29</v>
      </c>
      <c r="G69" s="264"/>
      <c r="H69" s="171"/>
      <c r="I69" s="219">
        <f>I67</f>
        <v>1192875.52</v>
      </c>
      <c r="J69" s="134"/>
      <c r="K69" s="162">
        <f>K67</f>
        <v>49675.23000000001</v>
      </c>
      <c r="L69" s="198">
        <f>IFERROR(K69/F69, )</f>
        <v>4.3452779390040226E-2</v>
      </c>
      <c r="M69" s="201"/>
      <c r="N69" s="201"/>
    </row>
    <row r="70" spans="1:16" x14ac:dyDescent="0.2">
      <c r="A70" s="268"/>
      <c r="B70" s="141"/>
      <c r="C70" s="209"/>
      <c r="D70" s="263"/>
      <c r="E70" s="226"/>
      <c r="F70" s="175"/>
      <c r="G70" s="263"/>
      <c r="H70" s="211"/>
      <c r="I70" s="222"/>
      <c r="J70" s="212"/>
      <c r="K70" s="146"/>
      <c r="L70" s="227"/>
      <c r="M70" s="201"/>
      <c r="N70" s="201"/>
    </row>
    <row r="71" spans="1:16" s="268" customFormat="1" x14ac:dyDescent="0.2">
      <c r="D71" s="264"/>
      <c r="E71" s="228"/>
      <c r="F71" s="176"/>
      <c r="G71" s="264"/>
      <c r="H71" s="171"/>
      <c r="I71" s="218"/>
      <c r="J71" s="134"/>
      <c r="K71" s="159"/>
      <c r="L71" s="229"/>
      <c r="M71" s="201"/>
      <c r="N71" s="201"/>
    </row>
    <row r="72" spans="1:16" x14ac:dyDescent="0.2">
      <c r="A72" s="268"/>
      <c r="B72" s="127" t="s">
        <v>168</v>
      </c>
      <c r="C72" s="459"/>
      <c r="D72" s="460"/>
      <c r="E72" s="466"/>
      <c r="F72" s="471"/>
      <c r="G72" s="460"/>
      <c r="H72" s="468"/>
      <c r="I72" s="473"/>
      <c r="J72" s="469"/>
      <c r="K72" s="446"/>
      <c r="L72" s="452"/>
      <c r="M72" s="201"/>
      <c r="N72" s="201"/>
    </row>
    <row r="73" spans="1:16" x14ac:dyDescent="0.2">
      <c r="A73" s="268"/>
      <c r="B73" s="173"/>
      <c r="C73" s="268"/>
      <c r="D73" s="264"/>
      <c r="E73" s="139"/>
      <c r="F73" s="176"/>
      <c r="G73" s="154"/>
      <c r="H73" s="171"/>
      <c r="I73" s="218"/>
      <c r="J73" s="134"/>
      <c r="K73" s="159"/>
      <c r="L73" s="199"/>
      <c r="M73" s="201"/>
      <c r="N73" s="201"/>
    </row>
    <row r="74" spans="1:16" x14ac:dyDescent="0.2">
      <c r="A74" s="268"/>
      <c r="B74" s="165" t="s">
        <v>116</v>
      </c>
      <c r="C74" s="200" t="s">
        <v>117</v>
      </c>
      <c r="D74" s="264">
        <v>135.03332221112262</v>
      </c>
      <c r="E74" s="171">
        <v>457.76</v>
      </c>
      <c r="F74" s="176">
        <f>ROUND(D74*E74,2)</f>
        <v>61812.85</v>
      </c>
      <c r="H74" s="448">
        <f>E74</f>
        <v>457.76</v>
      </c>
      <c r="I74" s="218">
        <f>ROUND(D74*H74,2)</f>
        <v>61812.85</v>
      </c>
      <c r="J74" s="134"/>
      <c r="K74" s="159">
        <f>I74-F74</f>
        <v>0</v>
      </c>
      <c r="L74" s="199">
        <f t="shared" ref="L74:L76" si="8">IFERROR(K74/F74, )</f>
        <v>0</v>
      </c>
      <c r="M74" s="201"/>
      <c r="N74" s="201"/>
    </row>
    <row r="75" spans="1:16" x14ac:dyDescent="0.2">
      <c r="A75" s="268"/>
      <c r="B75" s="173" t="s">
        <v>50</v>
      </c>
      <c r="C75" s="268" t="s">
        <v>100</v>
      </c>
      <c r="D75" s="264">
        <v>43385</v>
      </c>
      <c r="E75" s="171">
        <v>1.35</v>
      </c>
      <c r="F75" s="176">
        <f>ROUND(D75*E75,2)</f>
        <v>58569.75</v>
      </c>
      <c r="H75" s="448">
        <f>H60</f>
        <v>1.35</v>
      </c>
      <c r="I75" s="218">
        <f>ROUND(D75*H75,2)</f>
        <v>58569.75</v>
      </c>
      <c r="J75" s="134"/>
      <c r="K75" s="159">
        <f>I75-F75</f>
        <v>0</v>
      </c>
      <c r="L75" s="199">
        <f t="shared" si="8"/>
        <v>0</v>
      </c>
      <c r="M75" s="201"/>
      <c r="N75" s="201"/>
    </row>
    <row r="76" spans="1:16" x14ac:dyDescent="0.2">
      <c r="A76" s="268"/>
      <c r="B76" s="173" t="s">
        <v>122</v>
      </c>
      <c r="C76" s="268"/>
      <c r="D76" s="264"/>
      <c r="E76" s="158"/>
      <c r="F76" s="218">
        <v>0</v>
      </c>
      <c r="H76" s="150"/>
      <c r="I76" s="218">
        <f>F76</f>
        <v>0</v>
      </c>
      <c r="J76" s="224"/>
      <c r="K76" s="159">
        <f>I76-F76</f>
        <v>0</v>
      </c>
      <c r="L76" s="199">
        <f t="shared" si="8"/>
        <v>0</v>
      </c>
      <c r="M76" s="201"/>
      <c r="N76" s="201"/>
    </row>
    <row r="77" spans="1:16" x14ac:dyDescent="0.2">
      <c r="A77" s="268"/>
      <c r="B77" s="173"/>
      <c r="C77" s="268"/>
      <c r="D77" s="264"/>
      <c r="E77" s="158"/>
      <c r="F77" s="176"/>
      <c r="H77" s="150"/>
      <c r="I77" s="218"/>
      <c r="J77" s="134"/>
      <c r="K77" s="159"/>
      <c r="L77" s="199"/>
      <c r="M77" s="201"/>
      <c r="N77" s="201"/>
    </row>
    <row r="78" spans="1:16" x14ac:dyDescent="0.2">
      <c r="A78" s="268"/>
      <c r="B78" s="173" t="s">
        <v>51</v>
      </c>
      <c r="C78" s="268"/>
      <c r="D78" s="264"/>
      <c r="E78" s="158"/>
      <c r="F78" s="176"/>
      <c r="H78" s="150"/>
      <c r="I78" s="218"/>
      <c r="J78" s="134"/>
      <c r="K78" s="159"/>
      <c r="L78" s="199"/>
      <c r="M78" s="201"/>
      <c r="N78" s="201"/>
    </row>
    <row r="79" spans="1:16" x14ac:dyDescent="0.2">
      <c r="A79" s="268"/>
      <c r="B79" s="153" t="s">
        <v>59</v>
      </c>
      <c r="C79" s="262" t="s">
        <v>119</v>
      </c>
      <c r="D79" s="264">
        <v>160051.62</v>
      </c>
      <c r="E79" s="158">
        <v>0.18382000000000001</v>
      </c>
      <c r="F79" s="176">
        <f>ROUND(D79*E79,2)</f>
        <v>29420.69</v>
      </c>
      <c r="H79" s="150">
        <f>H65</f>
        <v>0.1951</v>
      </c>
      <c r="I79" s="218">
        <f>ROUND(D79*H79,2)</f>
        <v>31226.07</v>
      </c>
      <c r="J79" s="134"/>
      <c r="K79" s="159">
        <f>I79-F79</f>
        <v>1805.380000000001</v>
      </c>
      <c r="L79" s="199">
        <f t="shared" ref="L79:L80" si="9">IFERROR(K79/F79, )</f>
        <v>6.1364298390010605E-2</v>
      </c>
      <c r="M79" s="201"/>
      <c r="N79" s="201"/>
    </row>
    <row r="80" spans="1:16" x14ac:dyDescent="0.2">
      <c r="A80" s="268"/>
      <c r="B80" s="153" t="s">
        <v>89</v>
      </c>
      <c r="C80" s="262" t="s">
        <v>119</v>
      </c>
      <c r="D80" s="264">
        <v>1558432.7200000002</v>
      </c>
      <c r="E80" s="158">
        <v>0.13031000000000001</v>
      </c>
      <c r="F80" s="176">
        <f>ROUND(D80*E80,2)</f>
        <v>203079.37</v>
      </c>
      <c r="H80" s="150">
        <f>H66</f>
        <v>0.13830999999999999</v>
      </c>
      <c r="I80" s="218">
        <f>ROUND(D80*H80,2)</f>
        <v>215546.83</v>
      </c>
      <c r="J80" s="134"/>
      <c r="K80" s="159">
        <f>I80-F80</f>
        <v>12467.459999999992</v>
      </c>
      <c r="L80" s="199">
        <f t="shared" si="9"/>
        <v>6.1392055726783044E-2</v>
      </c>
      <c r="M80" s="201"/>
      <c r="N80" s="201"/>
    </row>
    <row r="81" spans="1:14" x14ac:dyDescent="0.2">
      <c r="A81" s="268"/>
      <c r="B81" s="165" t="s">
        <v>145</v>
      </c>
      <c r="C81" s="268" t="s">
        <v>119</v>
      </c>
      <c r="D81" s="265">
        <f>SUM(D79:D80)</f>
        <v>1718484.3400000003</v>
      </c>
      <c r="E81" s="139"/>
      <c r="F81" s="219">
        <f>SUM(F74:F80)</f>
        <v>352882.66000000003</v>
      </c>
      <c r="H81" s="171"/>
      <c r="I81" s="219">
        <f>SUM(I74:I80)</f>
        <v>367155.5</v>
      </c>
      <c r="J81" s="134"/>
      <c r="K81" s="162">
        <f>SUM(K74:K80)</f>
        <v>14272.839999999993</v>
      </c>
      <c r="L81" s="198">
        <f>IFERROR(K81/F81, )</f>
        <v>4.044641921481773E-2</v>
      </c>
      <c r="M81" s="201"/>
      <c r="N81" s="201"/>
    </row>
    <row r="82" spans="1:14" x14ac:dyDescent="0.2">
      <c r="A82" s="268"/>
      <c r="B82" s="165"/>
      <c r="C82" s="200"/>
      <c r="D82" s="264"/>
      <c r="E82" s="139"/>
      <c r="F82" s="218"/>
      <c r="H82" s="171"/>
      <c r="I82" s="218"/>
      <c r="J82" s="134"/>
      <c r="K82" s="159"/>
      <c r="L82" s="131"/>
      <c r="M82" s="201"/>
      <c r="N82" s="201"/>
    </row>
    <row r="83" spans="1:14" x14ac:dyDescent="0.2">
      <c r="A83" s="268"/>
      <c r="B83" s="165" t="s">
        <v>289</v>
      </c>
      <c r="C83" s="268"/>
      <c r="D83" s="264"/>
      <c r="E83" s="171"/>
      <c r="F83" s="219">
        <f>+F81</f>
        <v>352882.66000000003</v>
      </c>
      <c r="G83" s="219"/>
      <c r="H83" s="171"/>
      <c r="I83" s="219">
        <f>+I81</f>
        <v>367155.5</v>
      </c>
      <c r="J83" s="166"/>
      <c r="K83" s="162">
        <f>+K81</f>
        <v>14272.839999999993</v>
      </c>
      <c r="L83" s="198">
        <f>IFERROR(K83/F83, )</f>
        <v>4.044641921481773E-2</v>
      </c>
      <c r="M83" s="201"/>
      <c r="N83" s="201"/>
    </row>
    <row r="84" spans="1:14" x14ac:dyDescent="0.2">
      <c r="A84" s="268"/>
      <c r="B84" s="141"/>
      <c r="C84" s="209"/>
      <c r="D84" s="263"/>
      <c r="E84" s="210"/>
      <c r="F84" s="175"/>
      <c r="G84" s="263"/>
      <c r="H84" s="211"/>
      <c r="I84" s="222"/>
      <c r="J84" s="212"/>
      <c r="K84" s="146"/>
      <c r="L84" s="147"/>
      <c r="M84" s="201"/>
      <c r="N84" s="201"/>
    </row>
    <row r="85" spans="1:14" s="268" customFormat="1" x14ac:dyDescent="0.2">
      <c r="D85" s="264"/>
      <c r="E85" s="228"/>
      <c r="F85" s="176"/>
      <c r="G85" s="264"/>
      <c r="H85" s="171"/>
      <c r="I85" s="218"/>
      <c r="J85" s="134"/>
      <c r="K85" s="159"/>
      <c r="L85" s="229"/>
      <c r="M85" s="201"/>
      <c r="N85" s="201"/>
    </row>
    <row r="86" spans="1:14" x14ac:dyDescent="0.2">
      <c r="A86" s="268"/>
      <c r="B86" s="127" t="s">
        <v>169</v>
      </c>
      <c r="C86" s="459"/>
      <c r="D86" s="460"/>
      <c r="E86" s="466"/>
      <c r="F86" s="471"/>
      <c r="G86" s="460"/>
      <c r="H86" s="468"/>
      <c r="I86" s="473"/>
      <c r="J86" s="469"/>
      <c r="K86" s="446"/>
      <c r="L86" s="452"/>
      <c r="M86" s="201"/>
      <c r="N86" s="201"/>
    </row>
    <row r="87" spans="1:14" x14ac:dyDescent="0.2">
      <c r="A87" s="268"/>
      <c r="B87" s="173"/>
      <c r="C87" s="268"/>
      <c r="D87" s="264"/>
      <c r="E87" s="139"/>
      <c r="F87" s="176"/>
      <c r="G87" s="154"/>
      <c r="H87" s="171"/>
      <c r="I87" s="218"/>
      <c r="J87" s="134"/>
      <c r="K87" s="159"/>
      <c r="L87" s="199"/>
      <c r="M87" s="201"/>
      <c r="N87" s="201"/>
    </row>
    <row r="88" spans="1:14" x14ac:dyDescent="0.2">
      <c r="A88" s="268"/>
      <c r="B88" s="165" t="s">
        <v>116</v>
      </c>
      <c r="C88" s="200" t="s">
        <v>117</v>
      </c>
      <c r="D88" s="264">
        <f>D59+D74</f>
        <v>1499.3332818939609</v>
      </c>
      <c r="E88" s="171"/>
      <c r="F88" s="176">
        <f>F59+F74</f>
        <v>264847.96999999997</v>
      </c>
      <c r="H88" s="151"/>
      <c r="I88" s="176">
        <f>I59+I74</f>
        <v>264847.96999999997</v>
      </c>
      <c r="J88" s="134"/>
      <c r="K88" s="159">
        <f>I88-F88</f>
        <v>0</v>
      </c>
      <c r="L88" s="199">
        <f t="shared" ref="L88:L91" si="10">IFERROR(K88/F88, )</f>
        <v>0</v>
      </c>
      <c r="M88" s="201"/>
      <c r="N88" s="201"/>
    </row>
    <row r="89" spans="1:14" x14ac:dyDescent="0.2">
      <c r="A89" s="268"/>
      <c r="B89" s="173" t="s">
        <v>50</v>
      </c>
      <c r="C89" s="268" t="s">
        <v>100</v>
      </c>
      <c r="D89" s="264">
        <f>D60+D75</f>
        <v>82472.972999999998</v>
      </c>
      <c r="E89" s="171"/>
      <c r="F89" s="176">
        <f>F60+F75</f>
        <v>111338.51000000001</v>
      </c>
      <c r="H89" s="151"/>
      <c r="I89" s="176">
        <f>I60+I75</f>
        <v>111338.51000000001</v>
      </c>
      <c r="J89" s="134"/>
      <c r="K89" s="159">
        <f>I89-F89</f>
        <v>0</v>
      </c>
      <c r="L89" s="199">
        <f t="shared" si="10"/>
        <v>0</v>
      </c>
      <c r="M89" s="201"/>
      <c r="N89" s="201"/>
    </row>
    <row r="90" spans="1:14" x14ac:dyDescent="0.2">
      <c r="A90" s="268"/>
      <c r="B90" s="173" t="s">
        <v>55</v>
      </c>
      <c r="C90" s="268" t="s">
        <v>119</v>
      </c>
      <c r="D90" s="264">
        <f>D61</f>
        <v>5773170.4876905456</v>
      </c>
      <c r="E90" s="158"/>
      <c r="F90" s="176">
        <f>F61</f>
        <v>70548.14</v>
      </c>
      <c r="H90" s="152"/>
      <c r="I90" s="176">
        <f>I61</f>
        <v>70548.14</v>
      </c>
      <c r="J90" s="134"/>
      <c r="K90" s="159">
        <f>I90-F90</f>
        <v>0</v>
      </c>
      <c r="L90" s="199">
        <f t="shared" si="10"/>
        <v>0</v>
      </c>
      <c r="M90" s="201"/>
      <c r="N90" s="201"/>
    </row>
    <row r="91" spans="1:14" x14ac:dyDescent="0.2">
      <c r="A91" s="268"/>
      <c r="B91" s="173" t="s">
        <v>122</v>
      </c>
      <c r="C91" s="268"/>
      <c r="D91" s="264"/>
      <c r="E91" s="158"/>
      <c r="F91" s="218">
        <f>F62+F76</f>
        <v>7612.77</v>
      </c>
      <c r="H91" s="158"/>
      <c r="I91" s="218">
        <f>I62+I76</f>
        <v>7612.77</v>
      </c>
      <c r="J91" s="224"/>
      <c r="K91" s="159">
        <f>I91-F91</f>
        <v>0</v>
      </c>
      <c r="L91" s="199">
        <f t="shared" si="10"/>
        <v>0</v>
      </c>
      <c r="M91" s="201"/>
      <c r="N91" s="201"/>
    </row>
    <row r="92" spans="1:14" x14ac:dyDescent="0.2">
      <c r="A92" s="268"/>
      <c r="B92" s="173"/>
      <c r="C92" s="268"/>
      <c r="D92" s="264"/>
      <c r="E92" s="158"/>
      <c r="F92" s="176"/>
      <c r="H92" s="158"/>
      <c r="I92" s="176"/>
      <c r="J92" s="134"/>
      <c r="K92" s="159"/>
      <c r="L92" s="199"/>
      <c r="M92" s="201"/>
      <c r="N92" s="201"/>
    </row>
    <row r="93" spans="1:14" x14ac:dyDescent="0.2">
      <c r="A93" s="268"/>
      <c r="B93" s="173" t="s">
        <v>51</v>
      </c>
      <c r="C93" s="268"/>
      <c r="D93" s="264"/>
      <c r="E93" s="158"/>
      <c r="F93" s="176"/>
      <c r="H93" s="158"/>
      <c r="I93" s="176"/>
      <c r="J93" s="134"/>
      <c r="K93" s="159"/>
      <c r="L93" s="199"/>
      <c r="M93" s="201"/>
      <c r="N93" s="201"/>
    </row>
    <row r="94" spans="1:14" x14ac:dyDescent="0.2">
      <c r="A94" s="268"/>
      <c r="B94" s="153" t="s">
        <v>59</v>
      </c>
      <c r="C94" s="262" t="s">
        <v>119</v>
      </c>
      <c r="D94" s="264">
        <f>D65+D79</f>
        <v>1224033.1979</v>
      </c>
      <c r="E94" s="158"/>
      <c r="F94" s="176">
        <f>F65+F79</f>
        <v>225001.78</v>
      </c>
      <c r="H94" s="158"/>
      <c r="I94" s="176">
        <f>I65+I79</f>
        <v>238808.88</v>
      </c>
      <c r="J94" s="134"/>
      <c r="K94" s="159">
        <f>I94-F94</f>
        <v>13807.100000000006</v>
      </c>
      <c r="L94" s="199">
        <f t="shared" ref="L94:L95" si="11">IFERROR(K94/F94, )</f>
        <v>6.1364403428275129E-2</v>
      </c>
      <c r="M94" s="201"/>
      <c r="N94" s="201"/>
    </row>
    <row r="95" spans="1:14" x14ac:dyDescent="0.2">
      <c r="A95" s="268"/>
      <c r="B95" s="153" t="s">
        <v>89</v>
      </c>
      <c r="C95" s="262" t="s">
        <v>119</v>
      </c>
      <c r="D95" s="264">
        <f>D66+D80</f>
        <v>6267621.6297905464</v>
      </c>
      <c r="E95" s="158"/>
      <c r="F95" s="176">
        <f>F66+F80</f>
        <v>816733.78</v>
      </c>
      <c r="H95" s="158"/>
      <c r="I95" s="176">
        <f>I66+I80</f>
        <v>866874.75</v>
      </c>
      <c r="J95" s="134"/>
      <c r="K95" s="159">
        <f>I95-F95</f>
        <v>50140.969999999972</v>
      </c>
      <c r="L95" s="199">
        <f t="shared" si="11"/>
        <v>6.1392060947938226E-2</v>
      </c>
      <c r="M95" s="201"/>
      <c r="N95" s="201"/>
    </row>
    <row r="96" spans="1:14" x14ac:dyDescent="0.2">
      <c r="A96" s="268"/>
      <c r="B96" s="165" t="s">
        <v>145</v>
      </c>
      <c r="C96" s="268" t="s">
        <v>119</v>
      </c>
      <c r="D96" s="265">
        <f>SUM(D94:D95)</f>
        <v>7491654.8276905464</v>
      </c>
      <c r="E96" s="139"/>
      <c r="F96" s="219">
        <f>SUM(F88:F95)</f>
        <v>1496082.9500000002</v>
      </c>
      <c r="H96" s="171"/>
      <c r="I96" s="219">
        <f>SUM(I88:I95)</f>
        <v>1560031.02</v>
      </c>
      <c r="J96" s="134"/>
      <c r="K96" s="162">
        <f>SUM(K88:K95)</f>
        <v>63948.069999999978</v>
      </c>
      <c r="L96" s="198">
        <f>IFERROR(K96/F96, )</f>
        <v>4.2743666051404415E-2</v>
      </c>
      <c r="M96" s="201"/>
      <c r="N96" s="201"/>
    </row>
    <row r="97" spans="1:16" x14ac:dyDescent="0.2">
      <c r="A97" s="268"/>
      <c r="B97" s="165"/>
      <c r="C97" s="200"/>
      <c r="D97" s="264"/>
      <c r="E97" s="139"/>
      <c r="F97" s="218"/>
      <c r="H97" s="171"/>
      <c r="I97" s="218"/>
      <c r="J97" s="134"/>
      <c r="K97" s="159"/>
      <c r="L97" s="131"/>
      <c r="M97" s="201"/>
      <c r="N97" s="201"/>
    </row>
    <row r="98" spans="1:16" x14ac:dyDescent="0.2">
      <c r="A98" s="268"/>
      <c r="B98" s="165" t="s">
        <v>289</v>
      </c>
      <c r="C98" s="200"/>
      <c r="D98" s="262"/>
      <c r="E98" s="166"/>
      <c r="F98" s="219">
        <f>F96</f>
        <v>1496082.9500000002</v>
      </c>
      <c r="G98" s="262"/>
      <c r="H98" s="171"/>
      <c r="I98" s="219">
        <f>I96</f>
        <v>1560031.02</v>
      </c>
      <c r="J98" s="134"/>
      <c r="K98" s="162">
        <f>K96</f>
        <v>63948.069999999978</v>
      </c>
      <c r="L98" s="198">
        <f>IFERROR(K98/F98, )</f>
        <v>4.2743666051404415E-2</v>
      </c>
      <c r="M98" s="201"/>
      <c r="N98" s="201"/>
    </row>
    <row r="99" spans="1:16" x14ac:dyDescent="0.2">
      <c r="A99" s="268"/>
      <c r="B99" s="141"/>
      <c r="C99" s="209"/>
      <c r="D99" s="263"/>
      <c r="E99" s="210"/>
      <c r="F99" s="175"/>
      <c r="G99" s="263"/>
      <c r="H99" s="211"/>
      <c r="I99" s="222"/>
      <c r="J99" s="212"/>
      <c r="K99" s="146"/>
      <c r="L99" s="227"/>
      <c r="M99" s="201"/>
      <c r="N99" s="201"/>
    </row>
    <row r="100" spans="1:16" s="268" customFormat="1" x14ac:dyDescent="0.2">
      <c r="B100" s="262"/>
      <c r="C100" s="262"/>
      <c r="D100" s="264"/>
      <c r="E100" s="228"/>
      <c r="F100" s="176"/>
      <c r="G100" s="264"/>
      <c r="H100" s="171"/>
      <c r="I100" s="218"/>
      <c r="J100" s="213"/>
      <c r="K100" s="176"/>
      <c r="L100" s="230"/>
      <c r="M100" s="201"/>
      <c r="N100" s="201"/>
    </row>
    <row r="101" spans="1:16" s="268" customFormat="1" x14ac:dyDescent="0.2">
      <c r="B101" s="262"/>
      <c r="C101" s="262"/>
      <c r="D101" s="264"/>
      <c r="E101" s="158"/>
      <c r="F101" s="176"/>
      <c r="G101" s="264"/>
      <c r="H101" s="171"/>
      <c r="I101" s="218"/>
      <c r="J101" s="213"/>
      <c r="K101" s="176"/>
      <c r="L101" s="230"/>
      <c r="M101" s="201"/>
      <c r="N101" s="201"/>
    </row>
    <row r="102" spans="1:16" x14ac:dyDescent="0.2">
      <c r="B102" s="127" t="s">
        <v>170</v>
      </c>
      <c r="C102" s="459"/>
      <c r="D102" s="460"/>
      <c r="E102" s="466"/>
      <c r="F102" s="471"/>
      <c r="G102" s="460"/>
      <c r="H102" s="468"/>
      <c r="I102" s="473"/>
      <c r="J102" s="469"/>
      <c r="K102" s="446"/>
      <c r="L102" s="447"/>
      <c r="M102" s="201"/>
      <c r="N102" s="201"/>
      <c r="O102" s="268"/>
    </row>
    <row r="103" spans="1:16" x14ac:dyDescent="0.2">
      <c r="B103" s="173"/>
      <c r="C103" s="268"/>
      <c r="D103" s="264"/>
      <c r="E103" s="139"/>
      <c r="F103" s="176"/>
      <c r="H103" s="171"/>
      <c r="I103" s="218"/>
      <c r="J103" s="134"/>
      <c r="K103" s="159"/>
      <c r="L103" s="199"/>
      <c r="M103" s="201"/>
      <c r="N103" s="201"/>
      <c r="O103" s="87" t="s">
        <v>171</v>
      </c>
    </row>
    <row r="104" spans="1:16" x14ac:dyDescent="0.2">
      <c r="B104" s="165" t="s">
        <v>116</v>
      </c>
      <c r="C104" s="200" t="s">
        <v>117</v>
      </c>
      <c r="D104" s="264">
        <v>61</v>
      </c>
      <c r="E104" s="171">
        <v>606.5</v>
      </c>
      <c r="F104" s="176">
        <f>ROUND(D104*E104,2)</f>
        <v>36996.5</v>
      </c>
      <c r="H104" s="448">
        <v>715.15</v>
      </c>
      <c r="I104" s="218">
        <f>ROUND(D104*H104,2)</f>
        <v>43624.15</v>
      </c>
      <c r="J104" s="134"/>
      <c r="K104" s="159">
        <f>I104-F104</f>
        <v>6627.6500000000015</v>
      </c>
      <c r="L104" s="199">
        <f t="shared" ref="L104:L107" si="12">IFERROR(K104/F104, )</f>
        <v>0.17914262159934052</v>
      </c>
      <c r="M104" s="201"/>
      <c r="N104" s="201"/>
      <c r="O104" s="382">
        <v>6299755.2809057441</v>
      </c>
    </row>
    <row r="105" spans="1:16" x14ac:dyDescent="0.2">
      <c r="B105" s="173" t="s">
        <v>50</v>
      </c>
      <c r="C105" s="268" t="s">
        <v>100</v>
      </c>
      <c r="D105" s="264">
        <v>0</v>
      </c>
      <c r="E105" s="171">
        <v>1.45</v>
      </c>
      <c r="F105" s="176">
        <f>ROUND(D105*E105,2)</f>
        <v>0</v>
      </c>
      <c r="H105" s="448">
        <f>E105</f>
        <v>1.45</v>
      </c>
      <c r="I105" s="218">
        <f>ROUND(D105*H105,2)</f>
        <v>0</v>
      </c>
      <c r="J105" s="134"/>
      <c r="K105" s="159">
        <f>I105-F105</f>
        <v>0</v>
      </c>
      <c r="L105" s="199">
        <f>IFERROR(K105/F105, )</f>
        <v>0</v>
      </c>
      <c r="M105" s="201"/>
      <c r="N105" s="201"/>
      <c r="O105" s="133" t="s">
        <v>143</v>
      </c>
    </row>
    <row r="106" spans="1:16" x14ac:dyDescent="0.2">
      <c r="B106" s="173" t="s">
        <v>55</v>
      </c>
      <c r="C106" s="268"/>
      <c r="D106" s="264">
        <f>D116</f>
        <v>21819455.762355208</v>
      </c>
      <c r="E106" s="158">
        <v>8.43E-3</v>
      </c>
      <c r="F106" s="176">
        <f>ROUND(D106*E106,2)</f>
        <v>183938.01</v>
      </c>
      <c r="H106" s="150">
        <f>ROUND(E106*(1+$O$108),5)</f>
        <v>9.3200000000000002E-3</v>
      </c>
      <c r="I106" s="176">
        <f>ROUND(D106*H106,2)</f>
        <v>203357.33</v>
      </c>
      <c r="J106" s="134"/>
      <c r="K106" s="159">
        <f>I106-F106</f>
        <v>19419.319999999978</v>
      </c>
      <c r="L106" s="199">
        <f t="shared" si="12"/>
        <v>0.10557535117401769</v>
      </c>
      <c r="M106" s="201"/>
      <c r="N106" s="201"/>
      <c r="O106" s="202">
        <f>I155-O104</f>
        <v>151.2490942561999</v>
      </c>
    </row>
    <row r="107" spans="1:16" x14ac:dyDescent="0.2">
      <c r="B107" s="153" t="s">
        <v>122</v>
      </c>
      <c r="C107" s="262"/>
      <c r="D107" s="264"/>
      <c r="E107" s="171"/>
      <c r="F107" s="218">
        <v>51086.770000000004</v>
      </c>
      <c r="H107" s="158" t="s">
        <v>172</v>
      </c>
      <c r="I107" s="218">
        <f>F107</f>
        <v>51086.770000000004</v>
      </c>
      <c r="J107" s="134"/>
      <c r="K107" s="159">
        <f>I107-F107</f>
        <v>0</v>
      </c>
      <c r="L107" s="199">
        <f t="shared" si="12"/>
        <v>0</v>
      </c>
      <c r="M107" s="201"/>
      <c r="N107" s="201"/>
      <c r="O107" s="231"/>
    </row>
    <row r="108" spans="1:16" x14ac:dyDescent="0.2">
      <c r="B108" s="173"/>
      <c r="C108" s="268"/>
      <c r="D108" s="264"/>
      <c r="E108" s="166"/>
      <c r="F108" s="176"/>
      <c r="H108" s="158"/>
      <c r="I108" s="218"/>
      <c r="J108" s="134"/>
      <c r="K108" s="232"/>
      <c r="L108" s="135"/>
      <c r="M108" s="201"/>
      <c r="N108" s="201"/>
      <c r="O108" s="475">
        <v>0.10610240784340896</v>
      </c>
    </row>
    <row r="109" spans="1:16" x14ac:dyDescent="0.2">
      <c r="B109" s="173" t="s">
        <v>51</v>
      </c>
      <c r="C109" s="268"/>
      <c r="D109" s="264"/>
      <c r="E109" s="166"/>
      <c r="F109" s="176"/>
      <c r="H109" s="158"/>
      <c r="I109" s="218"/>
      <c r="J109" s="134"/>
      <c r="K109" s="232"/>
      <c r="L109" s="135"/>
      <c r="M109" s="201"/>
      <c r="N109" s="201"/>
      <c r="O109" s="476">
        <f>(O104-SUM(I141:I144,I152))/SUM(F147:F151)-1</f>
        <v>0.18370474105037182</v>
      </c>
      <c r="P109" s="251"/>
    </row>
    <row r="110" spans="1:16" x14ac:dyDescent="0.2">
      <c r="B110" s="173" t="s">
        <v>109</v>
      </c>
      <c r="C110" s="268" t="s">
        <v>119</v>
      </c>
      <c r="D110" s="264">
        <v>1512193</v>
      </c>
      <c r="E110" s="158">
        <v>0.17533000000000001</v>
      </c>
      <c r="F110" s="176">
        <f t="shared" ref="F110:F115" si="13">ROUND(D110*E110,2)</f>
        <v>265132.79999999999</v>
      </c>
      <c r="H110" s="150">
        <f>ROUND(E110*(1+$O$109),5)</f>
        <v>0.20754</v>
      </c>
      <c r="I110" s="218">
        <f t="shared" ref="I110:I115" si="14">ROUND(D110*H110,2)</f>
        <v>313840.53999999998</v>
      </c>
      <c r="J110" s="134"/>
      <c r="K110" s="159">
        <f t="shared" ref="K110:K116" si="15">I110-F110</f>
        <v>48707.739999999991</v>
      </c>
      <c r="L110" s="199">
        <f t="shared" ref="L110:L115" si="16">IFERROR(K110/F110, )</f>
        <v>0.18371072911386291</v>
      </c>
      <c r="M110" s="201"/>
      <c r="N110" s="201"/>
      <c r="O110" s="476">
        <f>O108*0.33</f>
        <v>3.5013794588324959E-2</v>
      </c>
      <c r="P110" s="233"/>
    </row>
    <row r="111" spans="1:16" x14ac:dyDescent="0.2">
      <c r="B111" s="173" t="s">
        <v>110</v>
      </c>
      <c r="C111" s="268" t="s">
        <v>119</v>
      </c>
      <c r="D111" s="264">
        <v>1398016.115</v>
      </c>
      <c r="E111" s="158">
        <v>0.10595</v>
      </c>
      <c r="F111" s="176">
        <f t="shared" si="13"/>
        <v>148119.81</v>
      </c>
      <c r="H111" s="150">
        <f t="shared" ref="H111:H114" si="17">ROUND(E111*(1+$O$109),5)</f>
        <v>0.12540999999999999</v>
      </c>
      <c r="I111" s="218">
        <f t="shared" si="14"/>
        <v>175325.2</v>
      </c>
      <c r="J111" s="134"/>
      <c r="K111" s="159">
        <f t="shared" si="15"/>
        <v>27205.390000000014</v>
      </c>
      <c r="L111" s="199">
        <f t="shared" si="16"/>
        <v>0.18367151564669179</v>
      </c>
      <c r="M111" s="201"/>
      <c r="N111" s="201"/>
      <c r="O111" s="169"/>
      <c r="P111" s="268"/>
    </row>
    <row r="112" spans="1:16" x14ac:dyDescent="0.2">
      <c r="B112" s="173" t="s">
        <v>112</v>
      </c>
      <c r="C112" s="268" t="s">
        <v>119</v>
      </c>
      <c r="D112" s="264">
        <v>2316890.0959999999</v>
      </c>
      <c r="E112" s="158">
        <v>6.7419999999999994E-2</v>
      </c>
      <c r="F112" s="176">
        <f t="shared" si="13"/>
        <v>156204.73000000001</v>
      </c>
      <c r="H112" s="150">
        <f t="shared" si="17"/>
        <v>7.9810000000000006E-2</v>
      </c>
      <c r="I112" s="218">
        <f t="shared" si="14"/>
        <v>184911</v>
      </c>
      <c r="J112" s="134"/>
      <c r="K112" s="159">
        <f t="shared" si="15"/>
        <v>28706.26999999999</v>
      </c>
      <c r="L112" s="199">
        <f t="shared" si="16"/>
        <v>0.18377337229160723</v>
      </c>
      <c r="M112" s="201"/>
      <c r="N112" s="201"/>
      <c r="O112" s="200"/>
      <c r="P112" s="200"/>
    </row>
    <row r="113" spans="1:16" x14ac:dyDescent="0.2">
      <c r="B113" s="173" t="s">
        <v>63</v>
      </c>
      <c r="C113" s="268" t="s">
        <v>119</v>
      </c>
      <c r="D113" s="264">
        <v>3045256.8779999996</v>
      </c>
      <c r="E113" s="158">
        <v>4.3229999999999998E-2</v>
      </c>
      <c r="F113" s="176">
        <f t="shared" si="13"/>
        <v>131646.45000000001</v>
      </c>
      <c r="H113" s="150">
        <f t="shared" si="17"/>
        <v>5.117E-2</v>
      </c>
      <c r="I113" s="218">
        <f t="shared" si="14"/>
        <v>155825.79</v>
      </c>
      <c r="J113" s="134"/>
      <c r="K113" s="159">
        <f t="shared" si="15"/>
        <v>24179.339999999997</v>
      </c>
      <c r="L113" s="199">
        <f t="shared" si="16"/>
        <v>0.18366875825364068</v>
      </c>
      <c r="M113" s="201"/>
      <c r="N113" s="201"/>
      <c r="O113" s="268"/>
      <c r="P113" s="268"/>
    </row>
    <row r="114" spans="1:16" x14ac:dyDescent="0.2">
      <c r="B114" s="173" t="s">
        <v>64</v>
      </c>
      <c r="C114" s="268" t="s">
        <v>119</v>
      </c>
      <c r="D114" s="264">
        <v>3792042.2029999997</v>
      </c>
      <c r="E114" s="158">
        <v>3.1109999999999999E-2</v>
      </c>
      <c r="F114" s="176">
        <f t="shared" si="13"/>
        <v>117970.43</v>
      </c>
      <c r="H114" s="150">
        <f t="shared" si="17"/>
        <v>3.6830000000000002E-2</v>
      </c>
      <c r="I114" s="218">
        <f t="shared" si="14"/>
        <v>139660.91</v>
      </c>
      <c r="J114" s="134"/>
      <c r="K114" s="159">
        <f t="shared" si="15"/>
        <v>21690.48000000001</v>
      </c>
      <c r="L114" s="199">
        <f t="shared" si="16"/>
        <v>0.18386370211586084</v>
      </c>
      <c r="M114" s="201"/>
      <c r="N114" s="201"/>
      <c r="P114" s="268"/>
    </row>
    <row r="115" spans="1:16" x14ac:dyDescent="0.2">
      <c r="B115" s="173" t="s">
        <v>91</v>
      </c>
      <c r="C115" s="268" t="s">
        <v>119</v>
      </c>
      <c r="D115" s="264">
        <v>9755057.4703552071</v>
      </c>
      <c r="E115" s="158">
        <v>2.3990000000000001E-2</v>
      </c>
      <c r="F115" s="176">
        <f t="shared" si="13"/>
        <v>234023.83</v>
      </c>
      <c r="H115" s="150">
        <f>ROUND(E115*(1+$O$110),5)</f>
        <v>2.4830000000000001E-2</v>
      </c>
      <c r="I115" s="218">
        <f t="shared" si="14"/>
        <v>242218.08</v>
      </c>
      <c r="J115" s="134"/>
      <c r="K115" s="159">
        <f t="shared" si="15"/>
        <v>8194.25</v>
      </c>
      <c r="L115" s="199">
        <f t="shared" si="16"/>
        <v>3.501459659044124E-2</v>
      </c>
      <c r="M115" s="201"/>
      <c r="N115" s="201"/>
      <c r="O115" s="268"/>
      <c r="P115" s="200"/>
    </row>
    <row r="116" spans="1:16" x14ac:dyDescent="0.2">
      <c r="B116" s="165" t="s">
        <v>145</v>
      </c>
      <c r="C116" s="268" t="s">
        <v>119</v>
      </c>
      <c r="D116" s="265">
        <f>SUM(D110:D115)</f>
        <v>21819455.762355208</v>
      </c>
      <c r="E116" s="139"/>
      <c r="F116" s="219">
        <f>SUM(F104:F115)</f>
        <v>1325119.33</v>
      </c>
      <c r="H116" s="171"/>
      <c r="I116" s="219">
        <f>SUM(I104:I115)</f>
        <v>1509849.77</v>
      </c>
      <c r="J116" s="134"/>
      <c r="K116" s="162">
        <f t="shared" si="15"/>
        <v>184730.43999999994</v>
      </c>
      <c r="L116" s="198">
        <f>IFERROR(K116/F116, )</f>
        <v>0.13940664498494632</v>
      </c>
      <c r="M116" s="201"/>
      <c r="N116" s="201"/>
      <c r="O116" s="268"/>
      <c r="P116" s="234"/>
    </row>
    <row r="117" spans="1:16" x14ac:dyDescent="0.2">
      <c r="B117" s="165"/>
      <c r="C117" s="200"/>
      <c r="D117" s="264"/>
      <c r="E117" s="139"/>
      <c r="F117" s="176"/>
      <c r="H117" s="171"/>
      <c r="I117" s="218"/>
      <c r="J117" s="134"/>
      <c r="K117" s="159"/>
      <c r="L117" s="131"/>
      <c r="M117" s="201"/>
      <c r="N117" s="208"/>
      <c r="O117" s="235"/>
      <c r="P117" s="268"/>
    </row>
    <row r="118" spans="1:16" x14ac:dyDescent="0.2">
      <c r="B118" s="173" t="s">
        <v>289</v>
      </c>
      <c r="C118" s="268"/>
      <c r="D118" s="264"/>
      <c r="E118" s="166"/>
      <c r="F118" s="219">
        <f>F116</f>
        <v>1325119.33</v>
      </c>
      <c r="H118" s="171"/>
      <c r="I118" s="219">
        <f>I116</f>
        <v>1509849.77</v>
      </c>
      <c r="J118" s="134"/>
      <c r="K118" s="162">
        <f>K116</f>
        <v>184730.43999999994</v>
      </c>
      <c r="L118" s="198">
        <f>IFERROR(K118/F118, )</f>
        <v>0.13940664498494632</v>
      </c>
      <c r="M118" s="201"/>
      <c r="N118" s="201"/>
      <c r="O118" s="268"/>
      <c r="P118" s="268"/>
    </row>
    <row r="119" spans="1:16" x14ac:dyDescent="0.2">
      <c r="A119" s="268"/>
      <c r="B119" s="141"/>
      <c r="C119" s="209"/>
      <c r="D119" s="263"/>
      <c r="E119" s="221"/>
      <c r="F119" s="175"/>
      <c r="G119" s="263"/>
      <c r="H119" s="211"/>
      <c r="I119" s="222"/>
      <c r="J119" s="212"/>
      <c r="K119" s="146"/>
      <c r="L119" s="227"/>
      <c r="M119" s="201"/>
      <c r="N119" s="201"/>
      <c r="O119" s="200"/>
      <c r="P119" s="268"/>
    </row>
    <row r="120" spans="1:16" x14ac:dyDescent="0.2">
      <c r="A120" s="268"/>
      <c r="B120" s="268"/>
      <c r="C120" s="268"/>
      <c r="D120" s="264"/>
      <c r="E120" s="158"/>
      <c r="F120" s="176"/>
      <c r="H120" s="171"/>
      <c r="I120" s="218"/>
      <c r="J120" s="134"/>
      <c r="K120" s="159"/>
      <c r="L120" s="229"/>
      <c r="M120" s="201"/>
      <c r="N120" s="201"/>
      <c r="O120" s="268"/>
      <c r="P120" s="268"/>
    </row>
    <row r="121" spans="1:16" x14ac:dyDescent="0.2">
      <c r="A121" s="268"/>
      <c r="B121" s="127" t="s">
        <v>173</v>
      </c>
      <c r="C121" s="459"/>
      <c r="D121" s="460"/>
      <c r="E121" s="466"/>
      <c r="F121" s="471"/>
      <c r="G121" s="460"/>
      <c r="H121" s="468"/>
      <c r="I121" s="473"/>
      <c r="J121" s="469"/>
      <c r="K121" s="446"/>
      <c r="L121" s="447"/>
      <c r="M121" s="201"/>
      <c r="N121" s="201"/>
      <c r="O121" s="268"/>
      <c r="P121" s="268"/>
    </row>
    <row r="122" spans="1:16" x14ac:dyDescent="0.2">
      <c r="A122" s="268"/>
      <c r="B122" s="173"/>
      <c r="C122" s="268"/>
      <c r="D122" s="264"/>
      <c r="E122" s="139"/>
      <c r="F122" s="176"/>
      <c r="H122" s="171"/>
      <c r="I122" s="218"/>
      <c r="J122" s="134"/>
      <c r="K122" s="159"/>
      <c r="L122" s="199"/>
      <c r="M122" s="201"/>
      <c r="N122" s="201"/>
      <c r="O122" s="268"/>
      <c r="P122" s="268"/>
    </row>
    <row r="123" spans="1:16" x14ac:dyDescent="0.2">
      <c r="A123" s="268"/>
      <c r="B123" s="165" t="s">
        <v>116</v>
      </c>
      <c r="C123" s="200" t="s">
        <v>117</v>
      </c>
      <c r="D123" s="264">
        <v>120.00000000000001</v>
      </c>
      <c r="E123" s="171">
        <v>918.31</v>
      </c>
      <c r="F123" s="176">
        <f>ROUND(D123*E123,2)</f>
        <v>110197.2</v>
      </c>
      <c r="H123" s="448">
        <v>1082.81</v>
      </c>
      <c r="I123" s="218">
        <f>ROUND(D123*H123,2)</f>
        <v>129937.2</v>
      </c>
      <c r="J123" s="134"/>
      <c r="K123" s="159">
        <f>I123-F123</f>
        <v>19740</v>
      </c>
      <c r="L123" s="199">
        <f t="shared" ref="L123:L124" si="18">IFERROR(K123/F123, )</f>
        <v>0.179133408108373</v>
      </c>
      <c r="M123" s="201"/>
      <c r="N123" s="201"/>
      <c r="O123" s="268"/>
      <c r="P123" s="268"/>
    </row>
    <row r="124" spans="1:16" x14ac:dyDescent="0.2">
      <c r="A124" s="268"/>
      <c r="B124" s="173" t="s">
        <v>50</v>
      </c>
      <c r="C124" s="268" t="s">
        <v>100</v>
      </c>
      <c r="D124" s="264">
        <v>296082</v>
      </c>
      <c r="E124" s="171">
        <v>1.45</v>
      </c>
      <c r="F124" s="176">
        <f>ROUND(D124*E124,2)</f>
        <v>429318.9</v>
      </c>
      <c r="H124" s="448">
        <f>H105</f>
        <v>1.45</v>
      </c>
      <c r="I124" s="218">
        <f>ROUND(D124*H124,2)</f>
        <v>429318.9</v>
      </c>
      <c r="J124" s="134"/>
      <c r="K124" s="159">
        <f>I124-F124</f>
        <v>0</v>
      </c>
      <c r="L124" s="199">
        <f t="shared" si="18"/>
        <v>0</v>
      </c>
      <c r="M124" s="201"/>
      <c r="N124" s="201"/>
    </row>
    <row r="125" spans="1:16" x14ac:dyDescent="0.2">
      <c r="A125" s="268"/>
      <c r="B125" s="173" t="s">
        <v>122</v>
      </c>
      <c r="C125" s="268"/>
      <c r="D125" s="264"/>
      <c r="E125" s="171"/>
      <c r="F125" s="218">
        <v>19447.379999999997</v>
      </c>
      <c r="H125" s="448"/>
      <c r="I125" s="218">
        <f>F125</f>
        <v>19447.379999999997</v>
      </c>
      <c r="J125" s="134"/>
      <c r="K125" s="232"/>
      <c r="L125" s="199">
        <f>IFERROR(K125/F125, )</f>
        <v>0</v>
      </c>
      <c r="M125" s="201"/>
      <c r="N125" s="201"/>
    </row>
    <row r="126" spans="1:16" x14ac:dyDescent="0.2">
      <c r="A126" s="268"/>
      <c r="B126" s="153"/>
      <c r="C126" s="268"/>
      <c r="D126" s="264"/>
      <c r="E126" s="158"/>
      <c r="F126" s="176"/>
      <c r="H126" s="150"/>
      <c r="I126" s="218"/>
      <c r="J126" s="134"/>
      <c r="K126" s="232"/>
      <c r="L126" s="135"/>
      <c r="M126" s="201"/>
      <c r="N126" s="201"/>
    </row>
    <row r="127" spans="1:16" x14ac:dyDescent="0.2">
      <c r="A127" s="268"/>
      <c r="B127" s="173" t="s">
        <v>51</v>
      </c>
      <c r="C127" s="268"/>
      <c r="D127" s="264"/>
      <c r="E127" s="166"/>
      <c r="F127" s="176"/>
      <c r="H127" s="150"/>
      <c r="I127" s="218"/>
      <c r="J127" s="134"/>
      <c r="K127" s="232"/>
      <c r="L127" s="135"/>
      <c r="M127" s="201"/>
      <c r="N127" s="201"/>
    </row>
    <row r="128" spans="1:16" x14ac:dyDescent="0.2">
      <c r="A128" s="268"/>
      <c r="B128" s="173" t="s">
        <v>109</v>
      </c>
      <c r="C128" s="268" t="s">
        <v>119</v>
      </c>
      <c r="D128" s="264">
        <v>2998789.67</v>
      </c>
      <c r="E128" s="158">
        <v>0.17533000000000001</v>
      </c>
      <c r="F128" s="176">
        <f t="shared" ref="F128:F133" si="19">ROUND(D128*E128,2)</f>
        <v>525777.79</v>
      </c>
      <c r="H128" s="150">
        <f t="shared" ref="H128:H133" si="20">H110</f>
        <v>0.20754</v>
      </c>
      <c r="I128" s="218">
        <f t="shared" ref="I128:I133" si="21">ROUND(D128*H128,2)</f>
        <v>622368.81000000006</v>
      </c>
      <c r="J128" s="134"/>
      <c r="K128" s="159">
        <f t="shared" ref="K128:K133" si="22">I128-F128</f>
        <v>96591.020000000019</v>
      </c>
      <c r="L128" s="199">
        <f t="shared" ref="L128:L133" si="23">IFERROR(K128/F128, )</f>
        <v>0.18371072692134829</v>
      </c>
      <c r="M128" s="201"/>
      <c r="N128" s="201"/>
    </row>
    <row r="129" spans="1:15" x14ac:dyDescent="0.2">
      <c r="A129" s="268"/>
      <c r="B129" s="173" t="s">
        <v>110</v>
      </c>
      <c r="C129" s="268" t="s">
        <v>119</v>
      </c>
      <c r="D129" s="264">
        <v>3000000</v>
      </c>
      <c r="E129" s="158">
        <v>0.10595</v>
      </c>
      <c r="F129" s="176">
        <f t="shared" si="19"/>
        <v>317850</v>
      </c>
      <c r="H129" s="150">
        <f t="shared" si="20"/>
        <v>0.12540999999999999</v>
      </c>
      <c r="I129" s="218">
        <f t="shared" si="21"/>
        <v>376230</v>
      </c>
      <c r="J129" s="134"/>
      <c r="K129" s="159">
        <f t="shared" si="22"/>
        <v>58380</v>
      </c>
      <c r="L129" s="199">
        <f t="shared" si="23"/>
        <v>0.18367154318074563</v>
      </c>
      <c r="M129" s="201"/>
      <c r="N129" s="201"/>
    </row>
    <row r="130" spans="1:15" x14ac:dyDescent="0.2">
      <c r="A130" s="268"/>
      <c r="B130" s="173" t="s">
        <v>112</v>
      </c>
      <c r="C130" s="268" t="s">
        <v>119</v>
      </c>
      <c r="D130" s="264">
        <v>6000000</v>
      </c>
      <c r="E130" s="158">
        <v>6.7419999999999994E-2</v>
      </c>
      <c r="F130" s="176">
        <f t="shared" si="19"/>
        <v>404520</v>
      </c>
      <c r="H130" s="150">
        <f t="shared" si="20"/>
        <v>7.9810000000000006E-2</v>
      </c>
      <c r="I130" s="218">
        <f t="shared" si="21"/>
        <v>478860</v>
      </c>
      <c r="J130" s="134"/>
      <c r="K130" s="159">
        <f t="shared" si="22"/>
        <v>74340</v>
      </c>
      <c r="L130" s="199">
        <f t="shared" si="23"/>
        <v>0.18377336102046871</v>
      </c>
      <c r="M130" s="201"/>
      <c r="N130" s="201"/>
    </row>
    <row r="131" spans="1:15" x14ac:dyDescent="0.2">
      <c r="A131" s="268"/>
      <c r="B131" s="173" t="s">
        <v>63</v>
      </c>
      <c r="C131" s="268" t="s">
        <v>119</v>
      </c>
      <c r="D131" s="264">
        <v>11463691.02</v>
      </c>
      <c r="E131" s="158">
        <v>4.3229999999999998E-2</v>
      </c>
      <c r="F131" s="176">
        <f t="shared" si="19"/>
        <v>495575.36</v>
      </c>
      <c r="H131" s="150">
        <f t="shared" si="20"/>
        <v>5.117E-2</v>
      </c>
      <c r="I131" s="218">
        <f t="shared" si="21"/>
        <v>586597.06999999995</v>
      </c>
      <c r="J131" s="134"/>
      <c r="K131" s="159">
        <f t="shared" si="22"/>
        <v>91021.709999999963</v>
      </c>
      <c r="L131" s="199">
        <f t="shared" si="23"/>
        <v>0.18366875625131962</v>
      </c>
      <c r="M131" s="201"/>
      <c r="N131" s="201"/>
    </row>
    <row r="132" spans="1:15" x14ac:dyDescent="0.2">
      <c r="A132" s="268"/>
      <c r="B132" s="173" t="s">
        <v>64</v>
      </c>
      <c r="C132" s="268" t="s">
        <v>119</v>
      </c>
      <c r="D132" s="264">
        <v>25744602.149999999</v>
      </c>
      <c r="E132" s="158">
        <v>3.1109999999999999E-2</v>
      </c>
      <c r="F132" s="176">
        <f t="shared" si="19"/>
        <v>800914.57</v>
      </c>
      <c r="H132" s="150">
        <f t="shared" si="20"/>
        <v>3.6830000000000002E-2</v>
      </c>
      <c r="I132" s="218">
        <f t="shared" si="21"/>
        <v>948173.7</v>
      </c>
      <c r="J132" s="134"/>
      <c r="K132" s="159">
        <f t="shared" si="22"/>
        <v>147259.13</v>
      </c>
      <c r="L132" s="199">
        <f t="shared" si="23"/>
        <v>0.18386371720020028</v>
      </c>
      <c r="M132" s="201"/>
      <c r="N132" s="201"/>
    </row>
    <row r="133" spans="1:15" x14ac:dyDescent="0.2">
      <c r="A133" s="268"/>
      <c r="B133" s="173" t="s">
        <v>91</v>
      </c>
      <c r="C133" s="268" t="s">
        <v>119</v>
      </c>
      <c r="D133" s="264">
        <v>48293342.805479579</v>
      </c>
      <c r="E133" s="158">
        <v>2.3990000000000001E-2</v>
      </c>
      <c r="F133" s="176">
        <f t="shared" si="19"/>
        <v>1158557.29</v>
      </c>
      <c r="H133" s="150">
        <f t="shared" si="20"/>
        <v>2.4830000000000001E-2</v>
      </c>
      <c r="I133" s="218">
        <f t="shared" si="21"/>
        <v>1199123.7</v>
      </c>
      <c r="J133" s="134"/>
      <c r="K133" s="159">
        <f t="shared" si="22"/>
        <v>40566.409999999916</v>
      </c>
      <c r="L133" s="199">
        <f t="shared" si="23"/>
        <v>3.501459129397038E-2</v>
      </c>
      <c r="M133" s="201"/>
      <c r="N133" s="201"/>
    </row>
    <row r="134" spans="1:15" x14ac:dyDescent="0.2">
      <c r="A134" s="268"/>
      <c r="B134" s="165" t="s">
        <v>145</v>
      </c>
      <c r="C134" s="268"/>
      <c r="D134" s="265">
        <f>SUM(D128:D133)</f>
        <v>97500425.645479575</v>
      </c>
      <c r="E134" s="158"/>
      <c r="F134" s="219">
        <f>SUM(F123:F133)</f>
        <v>4262158.49</v>
      </c>
      <c r="H134" s="158"/>
      <c r="I134" s="219">
        <f>SUM(I123:I133)</f>
        <v>4790056.76</v>
      </c>
      <c r="J134" s="134"/>
      <c r="K134" s="219">
        <f>SUM(K123:K133)</f>
        <v>527898.2699999999</v>
      </c>
      <c r="L134" s="198">
        <f>IFERROR(K134/F134, )</f>
        <v>0.12385702484752037</v>
      </c>
      <c r="M134" s="201"/>
      <c r="N134" s="201"/>
    </row>
    <row r="135" spans="1:15" x14ac:dyDescent="0.2">
      <c r="A135" s="268"/>
      <c r="B135" s="173"/>
      <c r="C135" s="200"/>
      <c r="D135" s="264"/>
      <c r="E135" s="158"/>
      <c r="F135" s="176"/>
      <c r="H135" s="171"/>
      <c r="I135" s="218"/>
      <c r="J135" s="134"/>
      <c r="K135" s="159"/>
      <c r="L135" s="131"/>
      <c r="M135" s="201"/>
      <c r="N135" s="201"/>
    </row>
    <row r="136" spans="1:15" x14ac:dyDescent="0.2">
      <c r="A136" s="268"/>
      <c r="B136" s="173" t="s">
        <v>289</v>
      </c>
      <c r="C136" s="268"/>
      <c r="D136" s="264"/>
      <c r="E136" s="166"/>
      <c r="F136" s="219">
        <f>F134</f>
        <v>4262158.49</v>
      </c>
      <c r="H136" s="171"/>
      <c r="I136" s="219">
        <f>I134</f>
        <v>4790056.76</v>
      </c>
      <c r="J136" s="134"/>
      <c r="K136" s="162">
        <f>K134</f>
        <v>527898.2699999999</v>
      </c>
      <c r="L136" s="198">
        <f>IFERROR(K136/F136, )</f>
        <v>0.12385702484752037</v>
      </c>
      <c r="M136" s="201"/>
      <c r="N136" s="201"/>
      <c r="O136" s="177"/>
    </row>
    <row r="137" spans="1:15" s="268" customFormat="1" x14ac:dyDescent="0.2">
      <c r="B137" s="141"/>
      <c r="C137" s="209"/>
      <c r="D137" s="263"/>
      <c r="E137" s="221"/>
      <c r="F137" s="175"/>
      <c r="G137" s="263"/>
      <c r="H137" s="211"/>
      <c r="I137" s="222"/>
      <c r="J137" s="212"/>
      <c r="K137" s="146"/>
      <c r="L137" s="227"/>
      <c r="M137" s="201"/>
      <c r="N137" s="201"/>
    </row>
    <row r="138" spans="1:15" s="268" customFormat="1" x14ac:dyDescent="0.2">
      <c r="D138" s="264"/>
      <c r="E138" s="158"/>
      <c r="F138" s="176"/>
      <c r="G138" s="264"/>
      <c r="H138" s="171"/>
      <c r="I138" s="218"/>
      <c r="J138" s="134"/>
      <c r="K138" s="159"/>
      <c r="L138" s="229"/>
      <c r="M138" s="201"/>
      <c r="N138" s="201"/>
    </row>
    <row r="139" spans="1:15" x14ac:dyDescent="0.2">
      <c r="A139" s="268"/>
      <c r="B139" s="148" t="s">
        <v>174</v>
      </c>
      <c r="C139" s="477"/>
      <c r="D139" s="460"/>
      <c r="E139" s="478"/>
      <c r="F139" s="471"/>
      <c r="G139" s="460"/>
      <c r="H139" s="468"/>
      <c r="I139" s="473"/>
      <c r="J139" s="472"/>
      <c r="K139" s="471"/>
      <c r="L139" s="479"/>
      <c r="M139" s="201"/>
      <c r="N139" s="201"/>
    </row>
    <row r="140" spans="1:15" x14ac:dyDescent="0.2">
      <c r="A140" s="268"/>
      <c r="B140" s="153"/>
      <c r="C140" s="262"/>
      <c r="D140" s="264"/>
      <c r="E140" s="158"/>
      <c r="F140" s="176"/>
      <c r="H140" s="171"/>
      <c r="I140" s="218"/>
      <c r="J140" s="213"/>
      <c r="K140" s="176"/>
      <c r="L140" s="220"/>
      <c r="M140" s="201"/>
      <c r="N140" s="201"/>
    </row>
    <row r="141" spans="1:15" x14ac:dyDescent="0.2">
      <c r="A141" s="268"/>
      <c r="B141" s="149" t="s">
        <v>116</v>
      </c>
      <c r="C141" s="170" t="s">
        <v>117</v>
      </c>
      <c r="D141" s="264">
        <f>D123+D104</f>
        <v>181</v>
      </c>
      <c r="E141" s="171"/>
      <c r="F141" s="176">
        <f>F123+F104</f>
        <v>147193.70000000001</v>
      </c>
      <c r="H141" s="151"/>
      <c r="I141" s="176">
        <f>I123+I104</f>
        <v>173561.35</v>
      </c>
      <c r="J141" s="213"/>
      <c r="K141" s="218">
        <f>I141-F141</f>
        <v>26367.649999999994</v>
      </c>
      <c r="L141" s="220">
        <f t="shared" ref="L141:L144" si="24">IFERROR(K141/F141, )</f>
        <v>0.17913572387948665</v>
      </c>
      <c r="M141" s="201"/>
      <c r="N141" s="201"/>
    </row>
    <row r="142" spans="1:15" x14ac:dyDescent="0.2">
      <c r="A142" s="268"/>
      <c r="B142" s="153" t="s">
        <v>50</v>
      </c>
      <c r="C142" s="262" t="s">
        <v>100</v>
      </c>
      <c r="D142" s="264">
        <f>D124+D105</f>
        <v>296082</v>
      </c>
      <c r="E142" s="171"/>
      <c r="F142" s="176">
        <f>F124+F105</f>
        <v>429318.9</v>
      </c>
      <c r="H142" s="151"/>
      <c r="I142" s="176">
        <f>I124+I105</f>
        <v>429318.9</v>
      </c>
      <c r="J142" s="213"/>
      <c r="K142" s="218">
        <f>I142-F142</f>
        <v>0</v>
      </c>
      <c r="L142" s="220">
        <f t="shared" si="24"/>
        <v>0</v>
      </c>
      <c r="M142" s="201"/>
      <c r="N142" s="201"/>
    </row>
    <row r="143" spans="1:15" x14ac:dyDescent="0.2">
      <c r="A143" s="268"/>
      <c r="B143" s="153" t="s">
        <v>55</v>
      </c>
      <c r="C143" s="262"/>
      <c r="D143" s="264"/>
      <c r="E143" s="171"/>
      <c r="F143" s="176">
        <f>F106</f>
        <v>183938.01</v>
      </c>
      <c r="H143" s="151"/>
      <c r="I143" s="176">
        <f>I106</f>
        <v>203357.33</v>
      </c>
      <c r="J143" s="213"/>
      <c r="K143" s="218">
        <f>I143-F143</f>
        <v>19419.319999999978</v>
      </c>
      <c r="L143" s="220">
        <f t="shared" si="24"/>
        <v>0.10557535117401769</v>
      </c>
      <c r="M143" s="201"/>
      <c r="N143" s="201"/>
    </row>
    <row r="144" spans="1:15" x14ac:dyDescent="0.2">
      <c r="A144" s="268"/>
      <c r="B144" s="153" t="s">
        <v>122</v>
      </c>
      <c r="C144" s="262"/>
      <c r="D144" s="264"/>
      <c r="E144" s="171"/>
      <c r="F144" s="218">
        <f>F125+F107</f>
        <v>70534.149999999994</v>
      </c>
      <c r="H144" s="171"/>
      <c r="I144" s="218">
        <f>I125+I107</f>
        <v>70534.149999999994</v>
      </c>
      <c r="J144" s="213"/>
      <c r="K144" s="218">
        <f>I144-F144</f>
        <v>0</v>
      </c>
      <c r="L144" s="220">
        <f t="shared" si="24"/>
        <v>0</v>
      </c>
      <c r="M144" s="201"/>
      <c r="N144" s="201"/>
    </row>
    <row r="145" spans="1:16" x14ac:dyDescent="0.2">
      <c r="A145" s="268"/>
      <c r="B145" s="153"/>
      <c r="C145" s="262"/>
      <c r="D145" s="264"/>
      <c r="E145" s="171"/>
      <c r="F145" s="218"/>
      <c r="H145" s="158"/>
      <c r="I145" s="237"/>
      <c r="J145" s="213"/>
      <c r="K145" s="218"/>
      <c r="L145" s="236"/>
      <c r="M145" s="201"/>
      <c r="N145" s="201"/>
    </row>
    <row r="146" spans="1:16" ht="12" customHeight="1" x14ac:dyDescent="0.2">
      <c r="A146" s="268"/>
      <c r="B146" s="153" t="s">
        <v>51</v>
      </c>
      <c r="C146" s="262"/>
      <c r="D146" s="264"/>
      <c r="E146" s="171"/>
      <c r="F146" s="176"/>
      <c r="H146" s="158"/>
      <c r="I146" s="176"/>
      <c r="J146" s="213"/>
      <c r="K146" s="218"/>
      <c r="L146" s="236"/>
      <c r="M146" s="201"/>
      <c r="N146" s="201"/>
    </row>
    <row r="147" spans="1:16" x14ac:dyDescent="0.2">
      <c r="A147" s="268"/>
      <c r="B147" s="153" t="s">
        <v>109</v>
      </c>
      <c r="C147" s="262" t="s">
        <v>119</v>
      </c>
      <c r="D147" s="264">
        <f t="shared" ref="D147:D152" si="25">D128+D110</f>
        <v>4510982.67</v>
      </c>
      <c r="E147" s="158"/>
      <c r="F147" s="176">
        <f t="shared" ref="F147:F152" si="26">F128+F110</f>
        <v>790910.59000000008</v>
      </c>
      <c r="H147" s="152"/>
      <c r="I147" s="176">
        <f t="shared" ref="I147:I152" si="27">I128+I110</f>
        <v>936209.35000000009</v>
      </c>
      <c r="J147" s="213"/>
      <c r="K147" s="218">
        <f t="shared" ref="K147:K152" si="28">I147-F147</f>
        <v>145298.76</v>
      </c>
      <c r="L147" s="220">
        <f t="shared" ref="L147:L152" si="29">IFERROR(K147/F147, )</f>
        <v>0.18371072765633342</v>
      </c>
      <c r="M147" s="201"/>
      <c r="N147" s="201"/>
    </row>
    <row r="148" spans="1:16" x14ac:dyDescent="0.2">
      <c r="A148" s="268"/>
      <c r="B148" s="153" t="s">
        <v>110</v>
      </c>
      <c r="C148" s="262" t="s">
        <v>119</v>
      </c>
      <c r="D148" s="264">
        <f t="shared" si="25"/>
        <v>4398016.1150000002</v>
      </c>
      <c r="E148" s="158"/>
      <c r="F148" s="176">
        <f t="shared" si="26"/>
        <v>465969.81</v>
      </c>
      <c r="H148" s="152"/>
      <c r="I148" s="176">
        <f t="shared" si="27"/>
        <v>551555.19999999995</v>
      </c>
      <c r="J148" s="213"/>
      <c r="K148" s="218">
        <f t="shared" si="28"/>
        <v>85585.389999999956</v>
      </c>
      <c r="L148" s="220">
        <f t="shared" si="29"/>
        <v>0.18367153442837844</v>
      </c>
      <c r="M148" s="201"/>
      <c r="N148" s="201"/>
    </row>
    <row r="149" spans="1:16" x14ac:dyDescent="0.2">
      <c r="A149" s="268"/>
      <c r="B149" s="153" t="s">
        <v>112</v>
      </c>
      <c r="C149" s="262" t="s">
        <v>119</v>
      </c>
      <c r="D149" s="264">
        <f t="shared" si="25"/>
        <v>8316890.0959999999</v>
      </c>
      <c r="E149" s="158"/>
      <c r="F149" s="176">
        <f t="shared" si="26"/>
        <v>560724.73</v>
      </c>
      <c r="H149" s="152"/>
      <c r="I149" s="176">
        <f t="shared" si="27"/>
        <v>663771</v>
      </c>
      <c r="J149" s="213"/>
      <c r="K149" s="218">
        <f t="shared" si="28"/>
        <v>103046.27000000002</v>
      </c>
      <c r="L149" s="220">
        <f t="shared" si="29"/>
        <v>0.18377336416034304</v>
      </c>
      <c r="M149" s="201"/>
      <c r="N149" s="201"/>
    </row>
    <row r="150" spans="1:16" x14ac:dyDescent="0.2">
      <c r="A150" s="268"/>
      <c r="B150" s="153" t="s">
        <v>63</v>
      </c>
      <c r="C150" s="262" t="s">
        <v>119</v>
      </c>
      <c r="D150" s="264">
        <f t="shared" si="25"/>
        <v>14508947.897999998</v>
      </c>
      <c r="E150" s="158"/>
      <c r="F150" s="176">
        <f t="shared" si="26"/>
        <v>627221.81000000006</v>
      </c>
      <c r="H150" s="152"/>
      <c r="I150" s="176">
        <f t="shared" si="27"/>
        <v>742422.86</v>
      </c>
      <c r="J150" s="213"/>
      <c r="K150" s="218">
        <f t="shared" si="28"/>
        <v>115201.04999999993</v>
      </c>
      <c r="L150" s="220">
        <f t="shared" si="29"/>
        <v>0.18366875667158308</v>
      </c>
      <c r="M150" s="201"/>
      <c r="N150" s="201"/>
    </row>
    <row r="151" spans="1:16" x14ac:dyDescent="0.2">
      <c r="A151" s="268"/>
      <c r="B151" s="153" t="s">
        <v>64</v>
      </c>
      <c r="C151" s="262" t="s">
        <v>119</v>
      </c>
      <c r="D151" s="264">
        <f t="shared" si="25"/>
        <v>29536644.353</v>
      </c>
      <c r="E151" s="158"/>
      <c r="F151" s="176">
        <f t="shared" si="26"/>
        <v>918885</v>
      </c>
      <c r="H151" s="152"/>
      <c r="I151" s="176">
        <f t="shared" si="27"/>
        <v>1087834.6099999999</v>
      </c>
      <c r="J151" s="213"/>
      <c r="K151" s="218">
        <f t="shared" si="28"/>
        <v>168949.60999999987</v>
      </c>
      <c r="L151" s="220">
        <f t="shared" si="29"/>
        <v>0.18386371526360737</v>
      </c>
      <c r="M151" s="201"/>
      <c r="N151" s="201"/>
    </row>
    <row r="152" spans="1:16" x14ac:dyDescent="0.2">
      <c r="A152" s="268"/>
      <c r="B152" s="153" t="s">
        <v>91</v>
      </c>
      <c r="C152" s="262" t="s">
        <v>119</v>
      </c>
      <c r="D152" s="264">
        <f t="shared" si="25"/>
        <v>58048400.275834784</v>
      </c>
      <c r="E152" s="158"/>
      <c r="F152" s="176">
        <f t="shared" si="26"/>
        <v>1392581.12</v>
      </c>
      <c r="H152" s="152"/>
      <c r="I152" s="176">
        <f t="shared" si="27"/>
        <v>1441341.78</v>
      </c>
      <c r="J152" s="213"/>
      <c r="K152" s="218">
        <f t="shared" si="28"/>
        <v>48760.659999999916</v>
      </c>
      <c r="L152" s="220">
        <f t="shared" si="29"/>
        <v>3.5014592184044485E-2</v>
      </c>
      <c r="M152" s="201"/>
      <c r="N152" s="201"/>
    </row>
    <row r="153" spans="1:16" x14ac:dyDescent="0.2">
      <c r="A153" s="268"/>
      <c r="B153" s="165" t="s">
        <v>145</v>
      </c>
      <c r="C153" s="262" t="s">
        <v>119</v>
      </c>
      <c r="D153" s="265">
        <f>SUM(D147:D152)</f>
        <v>119319881.40783478</v>
      </c>
      <c r="E153" s="158"/>
      <c r="F153" s="137">
        <f>SUM(F141:F152)</f>
        <v>5587277.8200000003</v>
      </c>
      <c r="H153" s="171"/>
      <c r="I153" s="137">
        <f>SUM(I141:I152)</f>
        <v>6299906.5300000003</v>
      </c>
      <c r="J153" s="213"/>
      <c r="K153" s="137">
        <f>SUM(K141:K152)</f>
        <v>712628.70999999973</v>
      </c>
      <c r="L153" s="205">
        <f>IFERROR(K153/F153, )</f>
        <v>0.12754488553425819</v>
      </c>
      <c r="M153" s="201"/>
      <c r="N153" s="201"/>
      <c r="P153" s="234"/>
    </row>
    <row r="154" spans="1:16" x14ac:dyDescent="0.2">
      <c r="A154" s="268"/>
      <c r="B154" s="149"/>
      <c r="C154" s="170"/>
      <c r="D154" s="264"/>
      <c r="E154" s="158"/>
      <c r="F154" s="176"/>
      <c r="H154" s="171"/>
      <c r="I154" s="218"/>
      <c r="J154" s="213"/>
      <c r="K154" s="176"/>
      <c r="L154" s="160"/>
      <c r="M154" s="201"/>
      <c r="N154" s="201"/>
    </row>
    <row r="155" spans="1:16" x14ac:dyDescent="0.2">
      <c r="A155" s="268"/>
      <c r="B155" s="149" t="s">
        <v>289</v>
      </c>
      <c r="C155" s="170"/>
      <c r="D155" s="176"/>
      <c r="E155" s="171"/>
      <c r="F155" s="137">
        <f>F153</f>
        <v>5587277.8200000003</v>
      </c>
      <c r="G155" s="262"/>
      <c r="H155" s="171"/>
      <c r="I155" s="137">
        <f>I153</f>
        <v>6299906.5300000003</v>
      </c>
      <c r="J155" s="171"/>
      <c r="K155" s="137">
        <f>K153</f>
        <v>712628.70999999973</v>
      </c>
      <c r="L155" s="205">
        <f>IFERROR(K155/F155, )</f>
        <v>0.12754488553425819</v>
      </c>
      <c r="M155" s="201"/>
      <c r="N155" s="201"/>
    </row>
    <row r="156" spans="1:16" x14ac:dyDescent="0.2">
      <c r="A156" s="268"/>
      <c r="B156" s="141"/>
      <c r="C156" s="209"/>
      <c r="D156" s="263"/>
      <c r="E156" s="238"/>
      <c r="F156" s="222"/>
      <c r="G156" s="263"/>
      <c r="H156" s="211"/>
      <c r="I156" s="222"/>
      <c r="J156" s="212"/>
      <c r="K156" s="146"/>
      <c r="L156" s="147"/>
      <c r="M156" s="201"/>
      <c r="N156" s="201"/>
    </row>
    <row r="157" spans="1:16" x14ac:dyDescent="0.2">
      <c r="A157" s="268"/>
      <c r="B157" s="268"/>
      <c r="C157" s="268"/>
      <c r="D157" s="264"/>
      <c r="E157" s="158"/>
      <c r="F157" s="176"/>
      <c r="H157" s="171"/>
      <c r="I157" s="218"/>
      <c r="J157" s="134"/>
      <c r="K157" s="159"/>
      <c r="L157" s="229"/>
      <c r="M157" s="201"/>
      <c r="N157" s="201"/>
    </row>
    <row r="158" spans="1:16" x14ac:dyDescent="0.2">
      <c r="B158" s="259" t="s">
        <v>175</v>
      </c>
      <c r="C158" s="268"/>
      <c r="D158" s="264"/>
      <c r="E158" s="139"/>
      <c r="F158" s="171"/>
      <c r="H158" s="158"/>
      <c r="I158" s="171"/>
      <c r="J158" s="166"/>
      <c r="K158" s="166"/>
      <c r="L158" s="234"/>
      <c r="M158" s="201"/>
      <c r="N158" s="201"/>
      <c r="O158" s="138"/>
    </row>
    <row r="159" spans="1:16" x14ac:dyDescent="0.2">
      <c r="C159" s="268"/>
      <c r="D159" s="194" t="s">
        <v>119</v>
      </c>
      <c r="E159" s="139"/>
      <c r="F159" s="144" t="s">
        <v>5</v>
      </c>
      <c r="G159" s="261"/>
      <c r="H159" s="260"/>
      <c r="I159" s="144" t="s">
        <v>1</v>
      </c>
      <c r="J159" s="177"/>
      <c r="K159" s="180" t="s">
        <v>24</v>
      </c>
      <c r="L159" s="234"/>
      <c r="M159" s="201"/>
      <c r="N159" s="201"/>
      <c r="O159" s="138"/>
    </row>
    <row r="160" spans="1:16" x14ac:dyDescent="0.2">
      <c r="B160" s="259" t="s">
        <v>289</v>
      </c>
      <c r="C160" s="268"/>
      <c r="D160" s="267"/>
      <c r="E160" s="139"/>
      <c r="F160" s="240"/>
      <c r="G160" s="240"/>
      <c r="H160" s="240"/>
      <c r="I160" s="240"/>
      <c r="J160" s="239"/>
      <c r="K160" s="239"/>
      <c r="L160" s="234"/>
      <c r="M160" s="201"/>
      <c r="N160" s="201"/>
      <c r="O160" s="138"/>
    </row>
    <row r="161" spans="2:15" x14ac:dyDescent="0.2">
      <c r="B161" s="254" t="s">
        <v>176</v>
      </c>
      <c r="C161" s="268"/>
      <c r="D161" s="267">
        <f>D52</f>
        <v>88879730.522699013</v>
      </c>
      <c r="E161" s="139"/>
      <c r="F161" s="240">
        <f>F21+F36</f>
        <v>8603644.5934943184</v>
      </c>
      <c r="G161" s="240"/>
      <c r="H161" s="240"/>
      <c r="I161" s="240">
        <f>I21+I36</f>
        <v>9611990.370000001</v>
      </c>
      <c r="J161" s="239"/>
      <c r="K161" s="239">
        <f>I161-F161</f>
        <v>1008345.7765056826</v>
      </c>
      <c r="L161" s="229">
        <f t="shared" ref="L161:L163" si="30">IFERROR(K161/F161, )</f>
        <v>0.11719984078237582</v>
      </c>
      <c r="M161" s="201"/>
      <c r="N161" s="201"/>
      <c r="O161" s="138"/>
    </row>
    <row r="162" spans="2:15" x14ac:dyDescent="0.2">
      <c r="B162" s="254" t="s">
        <v>177</v>
      </c>
      <c r="C162" s="268"/>
      <c r="D162" s="267">
        <f>D96</f>
        <v>7491654.8276905464</v>
      </c>
      <c r="E162" s="139"/>
      <c r="F162" s="240">
        <f>F67+F81</f>
        <v>1496082.9500000002</v>
      </c>
      <c r="G162" s="240"/>
      <c r="H162" s="240"/>
      <c r="I162" s="240">
        <f>I67+I81</f>
        <v>1560031.02</v>
      </c>
      <c r="J162" s="239"/>
      <c r="K162" s="239">
        <f>I162-F162</f>
        <v>63948.069999999832</v>
      </c>
      <c r="L162" s="229">
        <f t="shared" si="30"/>
        <v>4.2743666051404318E-2</v>
      </c>
      <c r="M162" s="201"/>
      <c r="N162" s="201"/>
      <c r="O162" s="138"/>
    </row>
    <row r="163" spans="2:15" x14ac:dyDescent="0.2">
      <c r="B163" s="254" t="s">
        <v>178</v>
      </c>
      <c r="C163" s="268"/>
      <c r="D163" s="267">
        <f>D153</f>
        <v>119319881.40783478</v>
      </c>
      <c r="E163" s="139"/>
      <c r="F163" s="240">
        <f>F116+F134</f>
        <v>5587277.8200000003</v>
      </c>
      <c r="G163" s="240"/>
      <c r="H163" s="240"/>
      <c r="I163" s="240">
        <f>I116+I134</f>
        <v>6299906.5299999993</v>
      </c>
      <c r="J163" s="239"/>
      <c r="K163" s="239">
        <f>I163-F163</f>
        <v>712628.70999999903</v>
      </c>
      <c r="L163" s="229">
        <f t="shared" si="30"/>
        <v>0.12754488553425808</v>
      </c>
      <c r="M163" s="201"/>
      <c r="N163" s="201"/>
      <c r="O163" s="138"/>
    </row>
    <row r="164" spans="2:15" x14ac:dyDescent="0.2">
      <c r="B164" s="254" t="s">
        <v>6</v>
      </c>
      <c r="C164" s="268"/>
      <c r="D164" s="265">
        <f>SUM(D161:D163)</f>
        <v>215691266.75822434</v>
      </c>
      <c r="E164" s="139"/>
      <c r="F164" s="480">
        <f>SUM(F161:F163)</f>
        <v>15687005.363494318</v>
      </c>
      <c r="G164" s="240"/>
      <c r="H164" s="240"/>
      <c r="I164" s="480">
        <f>SUM(I161:I163)</f>
        <v>17471927.920000002</v>
      </c>
      <c r="J164" s="239"/>
      <c r="K164" s="247">
        <f>SUM(K161:K163)</f>
        <v>1784922.5565056815</v>
      </c>
      <c r="L164" s="229">
        <f>IFERROR(K164/F164, )</f>
        <v>0.11378351158465376</v>
      </c>
      <c r="M164" s="201"/>
      <c r="N164" s="201"/>
      <c r="O164" s="138"/>
    </row>
    <row r="165" spans="2:15" x14ac:dyDescent="0.2">
      <c r="C165" s="268"/>
      <c r="D165" s="267"/>
      <c r="E165" s="139"/>
      <c r="F165" s="240"/>
      <c r="G165" s="240"/>
      <c r="H165" s="240"/>
      <c r="I165" s="240"/>
      <c r="J165" s="239"/>
      <c r="K165" s="239"/>
      <c r="L165" s="234"/>
      <c r="M165" s="201"/>
      <c r="N165" s="201"/>
      <c r="O165" s="138"/>
    </row>
    <row r="166" spans="2:15" x14ac:dyDescent="0.2">
      <c r="B166" s="259" t="s">
        <v>179</v>
      </c>
      <c r="E166" s="266"/>
      <c r="F166" s="242"/>
      <c r="G166" s="241"/>
      <c r="H166" s="242"/>
      <c r="I166" s="242"/>
      <c r="J166" s="245"/>
      <c r="K166" s="245"/>
      <c r="L166" s="246"/>
      <c r="O166" s="177"/>
    </row>
    <row r="167" spans="2:15" x14ac:dyDescent="0.2">
      <c r="B167" s="244" t="s">
        <v>6</v>
      </c>
      <c r="D167" s="266">
        <f>'Exh JDT-5 (JDT-RES_RD)'!D13+'Exh JDT-5 (JDT-RES_RD)'!D21+'Exh JDT-5 (JDT-RES_RD)'!D30+'Exh JDT-5 (JDT-C&amp;I-RD)'!D32+'Exh JDT-5 (JDT-C&amp;I-RD)'!D82+'Exh JDT-5 (JDT-INTRPL-RD)'!D52+'Exh JDT-5 (JDT-INTRPL-RD)'!D96+'Exh JDT-5 (JDT-INTRPL-RD)'!D153</f>
        <v>1140752508.5224547</v>
      </c>
      <c r="E167" s="264"/>
      <c r="F167" s="242">
        <f>'Exh JDT-5 (JDT-RES_RD)'!F16+'Exh JDT-5 (JDT-RES_RD)'!F24+'Exh JDT-5 (JDT-RES_RD)'!F32+'Exh JDT-5 (JDT-C&amp;I-RD)'!F36+'Exh JDT-5 (JDT-C&amp;I-RD)'!F86+'Exh JDT-5 (JDT-INTRPL-RD)'!F54+'Exh JDT-5 (JDT-INTRPL-RD)'!F98+'Exh JDT-5 (JDT-INTRPL-RD)'!F155</f>
        <v>518938321.8820585</v>
      </c>
      <c r="G167" s="240"/>
      <c r="H167" s="242"/>
      <c r="I167" s="481">
        <f>'Exh JDT-5 (JDT-RES_RD)'!I16+'Exh JDT-5 (JDT-RES_RD)'!I24+'Exh JDT-5 (JDT-RES_RD)'!I32+'Exh JDT-5 (JDT-C&amp;I-RD)'!I36+'Exh JDT-5 (JDT-C&amp;I-RD)'!I86+'Exh JDT-5 (JDT-INTRPL-RD)'!I54+'Exh JDT-5 (JDT-INTRPL-RD)'!I98+'Exh JDT-5 (JDT-INTRPL-RD)'!I155</f>
        <v>565497397.25807917</v>
      </c>
      <c r="J167" s="245"/>
      <c r="K167" s="245">
        <f>I167-F167</f>
        <v>46559075.37602067</v>
      </c>
      <c r="L167" s="246">
        <f t="shared" ref="L167:L168" si="31">IFERROR(K167/F167, )</f>
        <v>8.971986344574176E-2</v>
      </c>
      <c r="O167" s="177"/>
    </row>
    <row r="168" spans="2:15" x14ac:dyDescent="0.2">
      <c r="B168" s="244" t="s">
        <v>180</v>
      </c>
      <c r="D168" s="261">
        <v>32154478.538398605</v>
      </c>
      <c r="E168" s="264"/>
      <c r="F168" s="242">
        <v>1679324.4523564125</v>
      </c>
      <c r="G168" s="240"/>
      <c r="H168" s="242"/>
      <c r="I168" s="482">
        <v>1699064.4523564125</v>
      </c>
      <c r="J168" s="245"/>
      <c r="K168" s="483">
        <f>I168-F168</f>
        <v>19740</v>
      </c>
      <c r="L168" s="246">
        <f t="shared" si="31"/>
        <v>1.1754726713054773E-2</v>
      </c>
      <c r="O168" s="177"/>
    </row>
    <row r="169" spans="2:15" x14ac:dyDescent="0.2">
      <c r="B169" s="244" t="s">
        <v>181</v>
      </c>
      <c r="D169" s="265">
        <f>SUM(D167:D168)</f>
        <v>1172906987.0608532</v>
      </c>
      <c r="E169" s="264"/>
      <c r="F169" s="480">
        <f>SUM(F167:F168)</f>
        <v>520617646.3344149</v>
      </c>
      <c r="G169" s="240"/>
      <c r="H169" s="242"/>
      <c r="I169" s="480">
        <f>SUM(I167:I168)</f>
        <v>567196461.71043563</v>
      </c>
      <c r="J169" s="245"/>
      <c r="K169" s="247">
        <f>SUM(K167:K168)</f>
        <v>46578815.37602067</v>
      </c>
      <c r="L169" s="246">
        <f>IFERROR(K169/F169, )</f>
        <v>8.9468376079786416E-2</v>
      </c>
      <c r="O169" s="177"/>
    </row>
    <row r="170" spans="2:15" x14ac:dyDescent="0.2">
      <c r="B170" s="250"/>
      <c r="C170" s="260"/>
      <c r="E170" s="264"/>
      <c r="F170" s="484"/>
      <c r="G170" s="240"/>
      <c r="H170" s="242"/>
      <c r="I170" s="248"/>
      <c r="J170" s="245"/>
      <c r="K170" s="248"/>
      <c r="L170" s="246"/>
    </row>
    <row r="171" spans="2:15" x14ac:dyDescent="0.2">
      <c r="B171" s="254" t="s">
        <v>219</v>
      </c>
      <c r="E171" s="264"/>
      <c r="F171" s="239"/>
      <c r="G171" s="240"/>
      <c r="H171" s="242"/>
      <c r="I171" s="239"/>
      <c r="J171" s="245"/>
      <c r="K171" s="239"/>
      <c r="L171" s="246"/>
    </row>
    <row r="172" spans="2:15" ht="13.5" thickBot="1" x14ac:dyDescent="0.25">
      <c r="F172" s="239"/>
      <c r="G172" s="240"/>
      <c r="H172" s="242"/>
      <c r="I172" s="239"/>
      <c r="J172" s="245"/>
      <c r="K172" s="239"/>
      <c r="L172" s="246"/>
    </row>
    <row r="173" spans="2:15" x14ac:dyDescent="0.2">
      <c r="B173" s="383" t="s">
        <v>42</v>
      </c>
      <c r="C173" s="384" t="s">
        <v>291</v>
      </c>
      <c r="D173" s="485">
        <v>15675792.294814982</v>
      </c>
      <c r="E173" s="384" t="s">
        <v>292</v>
      </c>
      <c r="F173" s="486">
        <f>D173-F164</f>
        <v>-11213.068679336458</v>
      </c>
      <c r="G173" s="240"/>
      <c r="H173" s="242" t="s">
        <v>42</v>
      </c>
      <c r="I173" s="245">
        <v>567193801.86914253</v>
      </c>
      <c r="J173" s="245"/>
      <c r="K173" s="245">
        <v>44570424.507699192</v>
      </c>
      <c r="L173" s="246"/>
    </row>
    <row r="174" spans="2:15" ht="13.5" thickBot="1" x14ac:dyDescent="0.25">
      <c r="B174" s="385" t="s">
        <v>42</v>
      </c>
      <c r="C174" s="386" t="s">
        <v>291</v>
      </c>
      <c r="D174" s="487">
        <v>522623377.36144328</v>
      </c>
      <c r="E174" s="386" t="s">
        <v>292</v>
      </c>
      <c r="F174" s="488">
        <f>D174-F169</f>
        <v>2005731.0270283818</v>
      </c>
      <c r="H174" s="250" t="s">
        <v>292</v>
      </c>
      <c r="I174" s="177">
        <f>I173-I169</f>
        <v>-2659.8412930965424</v>
      </c>
      <c r="K174" s="177">
        <f>K173-K169</f>
        <v>-2008390.8683214784</v>
      </c>
      <c r="L174" s="246"/>
    </row>
    <row r="175" spans="2:15" x14ac:dyDescent="0.2">
      <c r="L175" s="246"/>
    </row>
    <row r="176" spans="2:15" x14ac:dyDescent="0.2">
      <c r="B176" s="438"/>
      <c r="D176" s="249"/>
      <c r="L176" s="246"/>
    </row>
    <row r="177" spans="12:12" x14ac:dyDescent="0.2">
      <c r="L177" s="246"/>
    </row>
  </sheetData>
  <mergeCells count="1">
    <mergeCell ref="K7:L7"/>
  </mergeCells>
  <printOptions horizontalCentered="1"/>
  <pageMargins left="0.5" right="0.5" top="1" bottom="1" header="0.75" footer="0.5"/>
  <pageSetup scale="60" fitToHeight="2" orientation="landscape" blackAndWhite="1" r:id="rId1"/>
  <headerFooter alignWithMargins="0">
    <oddFooter>&amp;R&amp;A
 Page &amp;P of &amp;N</oddFooter>
  </headerFooter>
  <rowBreaks count="3" manualBreakCount="3">
    <brk id="56" max="16383" man="1"/>
    <brk id="101" max="16383" man="1"/>
    <brk id="153" max="15" man="1"/>
  </rowBreaks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J21" sqref="J21"/>
    </sheetView>
  </sheetViews>
  <sheetFormatPr defaultRowHeight="15" x14ac:dyDescent="0.25"/>
  <sheetData/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zoomScale="90" zoomScaleNormal="90" workbookViewId="0">
      <selection activeCell="H39" sqref="H39"/>
    </sheetView>
  </sheetViews>
  <sheetFormatPr defaultRowHeight="15" x14ac:dyDescent="0.25"/>
  <cols>
    <col min="1" max="1" width="2.85546875" customWidth="1"/>
    <col min="2" max="2" width="37.85546875" customWidth="1"/>
    <col min="3" max="3" width="9.140625" bestFit="1" customWidth="1"/>
    <col min="4" max="5" width="19" bestFit="1" customWidth="1"/>
    <col min="6" max="6" width="13.42578125" bestFit="1" customWidth="1"/>
    <col min="7" max="7" width="2.5703125" customWidth="1"/>
    <col min="8" max="9" width="19" bestFit="1" customWidth="1"/>
    <col min="10" max="10" width="13.42578125" bestFit="1" customWidth="1"/>
    <col min="11" max="11" width="2.5703125" customWidth="1"/>
    <col min="12" max="12" width="11.140625" bestFit="1" customWidth="1"/>
    <col min="13" max="14" width="9.140625" customWidth="1"/>
  </cols>
  <sheetData>
    <row r="1" spans="2:14" x14ac:dyDescent="0.25">
      <c r="B1" s="634" t="s">
        <v>0</v>
      </c>
      <c r="C1" s="634"/>
      <c r="D1" s="634"/>
      <c r="E1" s="634"/>
      <c r="F1" s="634"/>
      <c r="G1" s="634"/>
      <c r="H1" s="634"/>
      <c r="I1" s="634"/>
      <c r="J1" s="634"/>
      <c r="K1" s="634"/>
      <c r="L1" s="634"/>
    </row>
    <row r="2" spans="2:14" x14ac:dyDescent="0.25">
      <c r="B2" s="634" t="str">
        <f>'Rate Impacts Combined '!B2:W2</f>
        <v>2023 Gas Schedules 88T, 141D, 141LNG, 141N Filings</v>
      </c>
      <c r="C2" s="634"/>
      <c r="D2" s="634"/>
      <c r="E2" s="634"/>
      <c r="F2" s="634"/>
      <c r="G2" s="634"/>
      <c r="H2" s="634"/>
      <c r="I2" s="634"/>
      <c r="J2" s="634"/>
      <c r="K2" s="634"/>
      <c r="L2" s="634"/>
    </row>
    <row r="3" spans="2:14" x14ac:dyDescent="0.25">
      <c r="B3" s="635" t="s">
        <v>334</v>
      </c>
      <c r="C3" s="635"/>
      <c r="D3" s="635"/>
      <c r="E3" s="635"/>
      <c r="F3" s="635"/>
      <c r="G3" s="635"/>
      <c r="H3" s="635"/>
      <c r="I3" s="635"/>
      <c r="J3" s="635"/>
      <c r="K3" s="635"/>
      <c r="L3" s="635"/>
    </row>
    <row r="4" spans="2:14" x14ac:dyDescent="0.25">
      <c r="B4" s="635" t="str">
        <f>'Rate Impacts Combined '!B4:W4</f>
        <v>Proposed Rates Effective May 11, 2024</v>
      </c>
      <c r="C4" s="635"/>
      <c r="D4" s="635"/>
      <c r="E4" s="635"/>
      <c r="F4" s="635"/>
      <c r="G4" s="635"/>
      <c r="H4" s="635"/>
      <c r="I4" s="635"/>
      <c r="J4" s="635"/>
      <c r="K4" s="635"/>
      <c r="L4" s="635"/>
    </row>
    <row r="5" spans="2:14" x14ac:dyDescent="0.25">
      <c r="B5" s="431"/>
      <c r="C5" s="431"/>
      <c r="D5" s="431"/>
      <c r="E5" s="431"/>
      <c r="F5" s="431"/>
      <c r="G5" s="431"/>
      <c r="H5" s="431"/>
      <c r="I5" s="431"/>
      <c r="J5" s="431"/>
      <c r="K5" s="431"/>
      <c r="L5" s="431"/>
    </row>
    <row r="7" spans="2:14" ht="17.25" x14ac:dyDescent="0.25">
      <c r="B7" s="4"/>
      <c r="C7" s="4"/>
      <c r="D7" s="638" t="s">
        <v>326</v>
      </c>
      <c r="E7" s="638"/>
      <c r="F7" s="638"/>
      <c r="G7" s="431"/>
      <c r="H7" s="638" t="s">
        <v>182</v>
      </c>
      <c r="I7" s="638"/>
      <c r="J7" s="638"/>
      <c r="K7" s="4"/>
      <c r="L7" s="4"/>
    </row>
    <row r="8" spans="2:14" x14ac:dyDescent="0.25">
      <c r="B8" s="4"/>
      <c r="C8" s="4" t="s">
        <v>17</v>
      </c>
      <c r="D8" s="4" t="s">
        <v>15</v>
      </c>
      <c r="E8" s="291" t="s">
        <v>15</v>
      </c>
      <c r="F8" s="4" t="s">
        <v>335</v>
      </c>
      <c r="G8" s="4"/>
      <c r="H8" s="4" t="s">
        <v>15</v>
      </c>
      <c r="I8" s="291" t="s">
        <v>15</v>
      </c>
      <c r="J8" s="4" t="s">
        <v>335</v>
      </c>
      <c r="K8" s="4"/>
      <c r="L8" s="4" t="s">
        <v>6</v>
      </c>
    </row>
    <row r="9" spans="2:14" x14ac:dyDescent="0.25">
      <c r="B9" s="432" t="s">
        <v>4</v>
      </c>
      <c r="C9" s="432" t="s">
        <v>21</v>
      </c>
      <c r="D9" s="4" t="s">
        <v>3</v>
      </c>
      <c r="E9" s="4" t="s">
        <v>2</v>
      </c>
      <c r="F9" s="432" t="s">
        <v>336</v>
      </c>
      <c r="G9" s="4"/>
      <c r="H9" s="4" t="s">
        <v>3</v>
      </c>
      <c r="I9" s="4" t="s">
        <v>2</v>
      </c>
      <c r="J9" s="432" t="s">
        <v>336</v>
      </c>
      <c r="K9" s="4"/>
      <c r="L9" s="432" t="s">
        <v>328</v>
      </c>
      <c r="N9" s="536" t="s">
        <v>70</v>
      </c>
    </row>
    <row r="10" spans="2:14" x14ac:dyDescent="0.25">
      <c r="B10" s="4" t="s">
        <v>25</v>
      </c>
      <c r="C10" s="4" t="s">
        <v>26</v>
      </c>
      <c r="D10" s="606" t="s">
        <v>27</v>
      </c>
      <c r="E10" s="606" t="s">
        <v>28</v>
      </c>
      <c r="F10" s="273" t="s">
        <v>329</v>
      </c>
      <c r="G10" s="4"/>
      <c r="H10" s="606" t="s">
        <v>330</v>
      </c>
      <c r="I10" s="606" t="s">
        <v>337</v>
      </c>
      <c r="J10" s="273" t="s">
        <v>338</v>
      </c>
      <c r="K10" s="273"/>
      <c r="L10" s="5" t="s">
        <v>339</v>
      </c>
    </row>
    <row r="11" spans="2:14" x14ac:dyDescent="0.25">
      <c r="B11" t="s">
        <v>7</v>
      </c>
      <c r="C11" s="431" t="s">
        <v>30</v>
      </c>
      <c r="D11" s="537">
        <f>'Current Revenue Calc.'!G11</f>
        <v>639464549</v>
      </c>
      <c r="E11" s="516">
        <f>'Current Revenue Calc.'!T11</f>
        <v>952029785.9474839</v>
      </c>
      <c r="F11" s="538">
        <f>E11/D11</f>
        <v>1.4887921268446798</v>
      </c>
      <c r="G11" s="6"/>
      <c r="H11" s="537">
        <f>'Current Revenue Calc.'!G11</f>
        <v>639464549</v>
      </c>
      <c r="I11" s="516">
        <f>'Rate Impacts Combined '!U11</f>
        <v>979270975.7348839</v>
      </c>
      <c r="J11" s="538">
        <f>I11/H11</f>
        <v>1.5313921268446797</v>
      </c>
      <c r="K11" s="539"/>
      <c r="L11" s="74">
        <f>(I11-E11)/E11</f>
        <v>2.8613799893129281E-2</v>
      </c>
      <c r="N11" s="540">
        <f>L11-'Rate Impacts Combined '!W11</f>
        <v>0</v>
      </c>
    </row>
    <row r="12" spans="2:14" x14ac:dyDescent="0.25">
      <c r="B12" t="s">
        <v>31</v>
      </c>
      <c r="C12" s="431">
        <v>16</v>
      </c>
      <c r="D12" s="537">
        <f>'Current Revenue Calc.'!G12</f>
        <v>8832</v>
      </c>
      <c r="E12" s="516">
        <f>'Current Revenue Calc.'!T12</f>
        <v>12327.858207126519</v>
      </c>
      <c r="F12" s="538">
        <f t="shared" ref="F12:F24" si="0">E12/D12</f>
        <v>1.3958172788866077</v>
      </c>
      <c r="G12" s="6"/>
      <c r="H12" s="537">
        <f>'Current Revenue Calc.'!G12</f>
        <v>8832</v>
      </c>
      <c r="I12" s="516">
        <f>'Rate Impacts Combined '!U12</f>
        <v>12704.101407126518</v>
      </c>
      <c r="J12" s="538">
        <f t="shared" ref="J12:J24" si="1">I12/H12</f>
        <v>1.4384172788866076</v>
      </c>
      <c r="K12" s="539"/>
      <c r="L12" s="74">
        <f t="shared" ref="L12:L24" si="2">(I12-E12)/E12</f>
        <v>3.0519754013921038E-2</v>
      </c>
      <c r="N12" s="540">
        <f>L12-'Rate Impacts Combined '!W12</f>
        <v>0</v>
      </c>
    </row>
    <row r="13" spans="2:14" x14ac:dyDescent="0.25">
      <c r="B13" t="s">
        <v>8</v>
      </c>
      <c r="C13" s="431">
        <v>31</v>
      </c>
      <c r="D13" s="537">
        <f>'Current Revenue Calc.'!G13</f>
        <v>245936243</v>
      </c>
      <c r="E13" s="516">
        <f>'Current Revenue Calc.'!T13</f>
        <v>315187293.32090545</v>
      </c>
      <c r="F13" s="538">
        <f t="shared" si="0"/>
        <v>1.2815813134175</v>
      </c>
      <c r="G13" s="6"/>
      <c r="H13" s="537">
        <f>'Current Revenue Calc.'!G13</f>
        <v>245936243</v>
      </c>
      <c r="I13" s="516">
        <f>'Rate Impacts Combined '!U13</f>
        <v>324009026.35731542</v>
      </c>
      <c r="J13" s="538">
        <f t="shared" si="1"/>
        <v>1.3174513134174999</v>
      </c>
      <c r="K13" s="539"/>
      <c r="L13" s="74">
        <f t="shared" si="2"/>
        <v>2.7988860031321748E-2</v>
      </c>
      <c r="N13" s="540">
        <f>L13-'Rate Impacts Combined '!W13</f>
        <v>0</v>
      </c>
    </row>
    <row r="14" spans="2:14" x14ac:dyDescent="0.25">
      <c r="B14" t="s">
        <v>9</v>
      </c>
      <c r="C14" s="431">
        <v>41</v>
      </c>
      <c r="D14" s="537">
        <f>'Current Revenue Calc.'!G14</f>
        <v>66890541</v>
      </c>
      <c r="E14" s="516">
        <f>'Current Revenue Calc.'!T14</f>
        <v>62066538.066148505</v>
      </c>
      <c r="F14" s="538">
        <f t="shared" si="0"/>
        <v>0.92788213607284931</v>
      </c>
      <c r="G14" s="6"/>
      <c r="H14" s="537">
        <f>'Current Revenue Calc.'!G14</f>
        <v>66890541</v>
      </c>
      <c r="I14" s="516">
        <f>'Rate Impacts Combined '!U14</f>
        <v>63729003.687002659</v>
      </c>
      <c r="J14" s="538">
        <f t="shared" si="1"/>
        <v>0.95273565939618665</v>
      </c>
      <c r="K14" s="539"/>
      <c r="L14" s="74">
        <f t="shared" si="2"/>
        <v>2.6785215877230855E-2</v>
      </c>
      <c r="N14" s="540">
        <f>L14-'Rate Impacts Combined '!W14</f>
        <v>0</v>
      </c>
    </row>
    <row r="15" spans="2:14" x14ac:dyDescent="0.25">
      <c r="B15" t="s">
        <v>10</v>
      </c>
      <c r="C15" s="431">
        <v>85</v>
      </c>
      <c r="D15" s="537">
        <f>'Current Revenue Calc.'!G15</f>
        <v>10745378</v>
      </c>
      <c r="E15" s="516">
        <f>'Current Revenue Calc.'!T15</f>
        <v>8029125.9815825764</v>
      </c>
      <c r="F15" s="538">
        <f t="shared" si="0"/>
        <v>0.74721670857763933</v>
      </c>
      <c r="G15" s="6"/>
      <c r="H15" s="537">
        <f>'Current Revenue Calc.'!G15</f>
        <v>10745378</v>
      </c>
      <c r="I15" s="516">
        <f>'Rate Impacts Combined '!U15</f>
        <v>8532604.906414235</v>
      </c>
      <c r="J15" s="538">
        <f t="shared" si="1"/>
        <v>0.79407210303948683</v>
      </c>
      <c r="K15" s="539"/>
      <c r="L15" s="74">
        <f t="shared" si="2"/>
        <v>6.2706566815186604E-2</v>
      </c>
      <c r="N15" s="540">
        <f>L15-'Rate Impacts Combined '!W15</f>
        <v>0</v>
      </c>
    </row>
    <row r="16" spans="2:14" x14ac:dyDescent="0.25">
      <c r="B16" t="s">
        <v>11</v>
      </c>
      <c r="C16" s="431">
        <v>86</v>
      </c>
      <c r="D16" s="537">
        <f>'Current Revenue Calc.'!G16</f>
        <v>5489408</v>
      </c>
      <c r="E16" s="516">
        <f>'Current Revenue Calc.'!T16</f>
        <v>4514485.2738359496</v>
      </c>
      <c r="F16" s="538">
        <f t="shared" si="0"/>
        <v>0.82239929585047233</v>
      </c>
      <c r="G16" s="6"/>
      <c r="H16" s="537">
        <f>'Current Revenue Calc.'!G16</f>
        <v>5489408</v>
      </c>
      <c r="I16" s="516">
        <f>'Rate Impacts Combined '!U16</f>
        <v>4739221.7871772517</v>
      </c>
      <c r="J16" s="538">
        <f>I16/H16</f>
        <v>0.86333932314327</v>
      </c>
      <c r="K16" s="539"/>
      <c r="L16" s="74">
        <f t="shared" si="2"/>
        <v>4.9781204214748465E-2</v>
      </c>
      <c r="N16" s="540">
        <f>L16-'Rate Impacts Combined '!W16</f>
        <v>0</v>
      </c>
    </row>
    <row r="17" spans="2:14" x14ac:dyDescent="0.25">
      <c r="B17" t="s">
        <v>12</v>
      </c>
      <c r="C17" s="431">
        <v>87</v>
      </c>
      <c r="D17" s="537">
        <f>'Current Revenue Calc.'!G17</f>
        <v>21819455.762355205</v>
      </c>
      <c r="E17" s="516">
        <f>'Current Revenue Calc.'!T17</f>
        <v>15113168.412335569</v>
      </c>
      <c r="F17" s="538">
        <f t="shared" si="0"/>
        <v>0.69264644255747676</v>
      </c>
      <c r="G17" s="6"/>
      <c r="H17" s="537">
        <f>'Current Revenue Calc.'!G17</f>
        <v>21819455.762355205</v>
      </c>
      <c r="I17" s="516">
        <f>'Rate Impacts Combined '!U17</f>
        <v>15501519.588496072</v>
      </c>
      <c r="J17" s="538">
        <f t="shared" si="1"/>
        <v>0.71044483223273713</v>
      </c>
      <c r="K17" s="539"/>
      <c r="L17" s="74">
        <f t="shared" si="2"/>
        <v>2.5696211778036285E-2</v>
      </c>
      <c r="N17" s="540">
        <f>L17-'Rate Impacts Combined '!W17</f>
        <v>0</v>
      </c>
    </row>
    <row r="18" spans="2:14" x14ac:dyDescent="0.25">
      <c r="B18" t="s">
        <v>32</v>
      </c>
      <c r="C18" s="431" t="s">
        <v>33</v>
      </c>
      <c r="D18" s="537">
        <f>'Current Revenue Calc.'!G18</f>
        <v>33867</v>
      </c>
      <c r="E18" s="516">
        <f>'Current Revenue Calc.'!T18</f>
        <v>23751.224378720741</v>
      </c>
      <c r="F18" s="538">
        <f t="shared" si="0"/>
        <v>0.70130877782858658</v>
      </c>
      <c r="G18" s="6"/>
      <c r="H18" s="537">
        <f>'Current Revenue Calc.'!G18</f>
        <v>33867</v>
      </c>
      <c r="I18" s="516">
        <f>'Rate Impacts Combined '!U18</f>
        <v>23751.224378720741</v>
      </c>
      <c r="J18" s="538">
        <f t="shared" si="1"/>
        <v>0.70130877782858658</v>
      </c>
      <c r="K18" s="539"/>
      <c r="L18" s="74">
        <f t="shared" si="2"/>
        <v>0</v>
      </c>
      <c r="N18" s="540">
        <f>L18-'Rate Impacts Combined '!W18</f>
        <v>0</v>
      </c>
    </row>
    <row r="19" spans="2:14" x14ac:dyDescent="0.25">
      <c r="B19" t="s">
        <v>34</v>
      </c>
      <c r="C19" s="431" t="s">
        <v>35</v>
      </c>
      <c r="D19" s="537">
        <f>'Current Revenue Calc.'!G19</f>
        <v>26510234</v>
      </c>
      <c r="E19" s="516">
        <f>'Current Revenue Calc.'!T19</f>
        <v>6163623.1921409192</v>
      </c>
      <c r="F19" s="538">
        <f t="shared" si="0"/>
        <v>0.23249976564299354</v>
      </c>
      <c r="G19" s="6"/>
      <c r="H19" s="537">
        <f>'Current Revenue Calc.'!G19</f>
        <v>26510234</v>
      </c>
      <c r="I19" s="516">
        <f>'Rate Impacts Combined '!U19</f>
        <v>6163623.1921409192</v>
      </c>
      <c r="J19" s="538">
        <f t="shared" si="1"/>
        <v>0.23249976564299354</v>
      </c>
      <c r="K19" s="539"/>
      <c r="L19" s="74">
        <f t="shared" si="2"/>
        <v>0</v>
      </c>
      <c r="N19" s="540">
        <f>L19-'Rate Impacts Combined '!W19</f>
        <v>0</v>
      </c>
    </row>
    <row r="20" spans="2:14" x14ac:dyDescent="0.25">
      <c r="B20" t="s">
        <v>36</v>
      </c>
      <c r="C20" s="431" t="s">
        <v>37</v>
      </c>
      <c r="D20" s="537">
        <f>'Current Revenue Calc.'!G20</f>
        <v>62288926</v>
      </c>
      <c r="E20" s="516">
        <f>'Current Revenue Calc.'!T20</f>
        <v>7753470.9746755483</v>
      </c>
      <c r="F20" s="538">
        <f t="shared" si="0"/>
        <v>0.12447591365880266</v>
      </c>
      <c r="G20" s="6"/>
      <c r="H20" s="537">
        <f>'Current Revenue Calc.'!G20</f>
        <v>62288926</v>
      </c>
      <c r="I20" s="516">
        <f>'Rate Impacts Combined '!U20</f>
        <v>7753470.9746755483</v>
      </c>
      <c r="J20" s="538">
        <f t="shared" si="1"/>
        <v>0.12447591365880266</v>
      </c>
      <c r="K20" s="539"/>
      <c r="L20" s="74">
        <f t="shared" si="2"/>
        <v>0</v>
      </c>
      <c r="N20" s="540">
        <f>L20-'Rate Impacts Combined '!W20</f>
        <v>0</v>
      </c>
    </row>
    <row r="21" spans="2:14" x14ac:dyDescent="0.25">
      <c r="B21" t="s">
        <v>38</v>
      </c>
      <c r="C21" s="431" t="s">
        <v>39</v>
      </c>
      <c r="D21" s="537">
        <f>'Current Revenue Calc.'!G21</f>
        <v>578702</v>
      </c>
      <c r="E21" s="516">
        <f>'Current Revenue Calc.'!T21</f>
        <v>116861.26120743662</v>
      </c>
      <c r="F21" s="538">
        <f t="shared" si="0"/>
        <v>0.20193685386854826</v>
      </c>
      <c r="G21" s="6"/>
      <c r="H21" s="537">
        <f>'Current Revenue Calc.'!G21</f>
        <v>578702</v>
      </c>
      <c r="I21" s="516">
        <f>'Rate Impacts Combined '!U21</f>
        <v>116861.26120743662</v>
      </c>
      <c r="J21" s="538">
        <f t="shared" si="1"/>
        <v>0.20193685386854826</v>
      </c>
      <c r="K21" s="539"/>
      <c r="L21" s="74">
        <f t="shared" si="2"/>
        <v>0</v>
      </c>
      <c r="N21" s="540">
        <f>L21-'Rate Impacts Combined '!W21</f>
        <v>0</v>
      </c>
    </row>
    <row r="22" spans="2:14" x14ac:dyDescent="0.25">
      <c r="B22" t="s">
        <v>40</v>
      </c>
      <c r="C22" s="431" t="s">
        <v>41</v>
      </c>
      <c r="D22" s="537">
        <f>'Current Revenue Calc.'!G22</f>
        <v>97500425.645479575</v>
      </c>
      <c r="E22" s="516">
        <f>'Current Revenue Calc.'!T22</f>
        <v>5573277.3660647767</v>
      </c>
      <c r="F22" s="538">
        <f t="shared" si="0"/>
        <v>5.7161569594882805E-2</v>
      </c>
      <c r="G22" s="6"/>
      <c r="H22" s="537">
        <f>'Current Revenue Calc.'!G22</f>
        <v>97500425.645479575</v>
      </c>
      <c r="I22" s="516">
        <f>'Rate Impacts Combined '!U22</f>
        <v>5573277.3660647767</v>
      </c>
      <c r="J22" s="538">
        <f t="shared" si="1"/>
        <v>5.7161569594882805E-2</v>
      </c>
      <c r="K22" s="539"/>
      <c r="L22" s="74">
        <f t="shared" si="2"/>
        <v>0</v>
      </c>
      <c r="N22" s="540">
        <f>L22-'Rate Impacts Combined '!W22</f>
        <v>0</v>
      </c>
    </row>
    <row r="23" spans="2:14" x14ac:dyDescent="0.25">
      <c r="B23" t="s">
        <v>448</v>
      </c>
      <c r="C23" s="586" t="s">
        <v>343</v>
      </c>
      <c r="D23" s="537">
        <f>'Current Revenue Calc.'!G23</f>
        <v>44508541</v>
      </c>
      <c r="E23" s="516">
        <f>'Current Revenue Calc.'!T23</f>
        <v>1310923.79</v>
      </c>
      <c r="F23" s="538">
        <f t="shared" si="0"/>
        <v>2.9453308523413518E-2</v>
      </c>
      <c r="G23" s="6"/>
      <c r="H23" s="537">
        <f>'Current Revenue Calc.'!G23</f>
        <v>44508541</v>
      </c>
      <c r="I23" s="516">
        <f>'Rate Impacts Combined '!U23</f>
        <v>4924986.9142700005</v>
      </c>
      <c r="J23" s="538">
        <f t="shared" si="1"/>
        <v>0.11065262539767369</v>
      </c>
      <c r="K23" s="539"/>
      <c r="L23" s="74">
        <f t="shared" si="2"/>
        <v>2.7568827050350504</v>
      </c>
      <c r="N23" s="540">
        <f>L23-'Rate Impacts Combined '!W23</f>
        <v>0</v>
      </c>
    </row>
    <row r="24" spans="2:14" x14ac:dyDescent="0.25">
      <c r="B24" t="s">
        <v>13</v>
      </c>
      <c r="C24" s="431"/>
      <c r="D24" s="537">
        <f>'Current Revenue Calc.'!G24</f>
        <v>30967900</v>
      </c>
      <c r="E24" s="516">
        <f>'Current Revenue Calc.'!T24</f>
        <v>1663306.9106786461</v>
      </c>
      <c r="F24" s="538">
        <f t="shared" si="0"/>
        <v>5.3710678175744757E-2</v>
      </c>
      <c r="G24" s="519"/>
      <c r="H24" s="537">
        <f>'Current Revenue Calc.'!G24</f>
        <v>30967900</v>
      </c>
      <c r="I24" s="516">
        <f>'Rate Impacts Combined '!U24</f>
        <v>1663306.9106786461</v>
      </c>
      <c r="J24" s="538">
        <f t="shared" si="1"/>
        <v>5.3710678175744757E-2</v>
      </c>
      <c r="K24" s="539"/>
      <c r="L24" s="74">
        <f t="shared" si="2"/>
        <v>0</v>
      </c>
      <c r="M24" s="522"/>
      <c r="N24" s="540">
        <f>L24-'Rate Impacts Combined '!W24</f>
        <v>0</v>
      </c>
    </row>
    <row r="25" spans="2:14" x14ac:dyDescent="0.25">
      <c r="B25" t="s">
        <v>6</v>
      </c>
      <c r="D25" s="541">
        <f>SUM(D11:D24)</f>
        <v>1252743002.407835</v>
      </c>
      <c r="E25" s="11">
        <f>SUM(E11:E24)</f>
        <v>1379557939.5796452</v>
      </c>
      <c r="F25" s="373">
        <f>E25/D25</f>
        <v>1.101229810845533</v>
      </c>
      <c r="G25" s="519"/>
      <c r="H25" s="541">
        <f>SUM(H11:H24)</f>
        <v>1252743002.407835</v>
      </c>
      <c r="I25" s="11">
        <f>SUM(I11:I24)</f>
        <v>1422014334.0061126</v>
      </c>
      <c r="J25" s="373">
        <f>I25/H25</f>
        <v>1.1351205564692275</v>
      </c>
      <c r="K25" s="46"/>
      <c r="L25" s="75">
        <f>(I25-E25)/E25</f>
        <v>3.0775361591122437E-2</v>
      </c>
      <c r="M25" s="523"/>
      <c r="N25" s="540">
        <f>L25-'Rate Impacts Combined '!W25</f>
        <v>-1.3530843112619095E-16</v>
      </c>
    </row>
    <row r="26" spans="2:14" s="13" customFormat="1" x14ac:dyDescent="0.25">
      <c r="B26" s="12"/>
      <c r="C26" s="524"/>
      <c r="D26" s="524"/>
      <c r="E26" s="524"/>
      <c r="F26" s="525"/>
      <c r="G26" s="527"/>
      <c r="H26" s="524"/>
      <c r="I26" s="524"/>
      <c r="J26" s="525"/>
      <c r="K26" s="525"/>
      <c r="L26" s="526"/>
      <c r="M26" s="20"/>
      <c r="N26" s="542"/>
    </row>
    <row r="27" spans="2:14" x14ac:dyDescent="0.25">
      <c r="F27" s="376"/>
      <c r="G27" s="522"/>
      <c r="J27" s="376"/>
      <c r="K27" s="46"/>
      <c r="L27" s="303"/>
      <c r="M27" s="522"/>
      <c r="N27" s="542"/>
    </row>
    <row r="28" spans="2:14" s="13" customFormat="1" x14ac:dyDescent="0.25">
      <c r="B28" s="334" t="s">
        <v>214</v>
      </c>
      <c r="C28" s="16"/>
      <c r="D28" s="16"/>
      <c r="E28" s="16"/>
      <c r="F28" s="530"/>
      <c r="G28" s="20"/>
      <c r="H28" s="16"/>
      <c r="I28" s="16"/>
      <c r="J28" s="530"/>
      <c r="K28" s="530"/>
      <c r="L28" s="531"/>
      <c r="M28" s="20"/>
      <c r="N28" s="542"/>
    </row>
    <row r="29" spans="2:14" s="13" customFormat="1" x14ac:dyDescent="0.25">
      <c r="B29" s="63" t="s">
        <v>7</v>
      </c>
      <c r="C29" s="513" t="s">
        <v>256</v>
      </c>
      <c r="D29" s="411">
        <f>D11+D12</f>
        <v>639473381</v>
      </c>
      <c r="E29" s="17">
        <f>E11+E12</f>
        <v>952042113.805691</v>
      </c>
      <c r="F29" s="543">
        <f>E29/D29</f>
        <v>1.4887908427351584</v>
      </c>
      <c r="G29" s="532"/>
      <c r="H29" s="411">
        <f>H11+H12</f>
        <v>639473381</v>
      </c>
      <c r="I29" s="17">
        <f>I11+I12</f>
        <v>979283679.83629107</v>
      </c>
      <c r="J29" s="543">
        <f>I29/H29</f>
        <v>1.5313908427351586</v>
      </c>
      <c r="K29" s="525"/>
      <c r="L29" s="74">
        <f>(I29-E29)/E29</f>
        <v>2.8613824573058746E-2</v>
      </c>
      <c r="M29" s="18"/>
      <c r="N29" s="540">
        <f>L29-'Rate Impacts Combined '!W29</f>
        <v>6.9388939039072284E-17</v>
      </c>
    </row>
    <row r="30" spans="2:14" s="13" customFormat="1" x14ac:dyDescent="0.25">
      <c r="B30" s="19" t="s">
        <v>48</v>
      </c>
      <c r="C30" s="513" t="s">
        <v>257</v>
      </c>
      <c r="D30" s="411">
        <f t="shared" ref="D30:E34" si="3">D13+D18</f>
        <v>245970110</v>
      </c>
      <c r="E30" s="17">
        <f t="shared" si="3"/>
        <v>315211044.54528415</v>
      </c>
      <c r="F30" s="543">
        <f t="shared" ref="F30:F36" si="4">E30/D30</f>
        <v>1.2815014171652164</v>
      </c>
      <c r="G30" s="532"/>
      <c r="H30" s="411">
        <f t="shared" ref="H30:I34" si="5">H13+H18</f>
        <v>245970110</v>
      </c>
      <c r="I30" s="17">
        <f t="shared" si="5"/>
        <v>324032777.58169413</v>
      </c>
      <c r="J30" s="543">
        <f t="shared" ref="J30:J36" si="6">I30/H30</f>
        <v>1.3173664783159795</v>
      </c>
      <c r="K30" s="525"/>
      <c r="L30" s="74">
        <f t="shared" ref="L30:L37" si="7">(I30-E30)/E30</f>
        <v>2.7986751064309923E-2</v>
      </c>
      <c r="M30" s="20"/>
      <c r="N30" s="540">
        <f>L30-'Rate Impacts Combined '!W30</f>
        <v>0</v>
      </c>
    </row>
    <row r="31" spans="2:14" s="13" customFormat="1" x14ac:dyDescent="0.25">
      <c r="B31" s="63" t="s">
        <v>49</v>
      </c>
      <c r="C31" s="513" t="s">
        <v>258</v>
      </c>
      <c r="D31" s="411">
        <f t="shared" si="3"/>
        <v>93400775</v>
      </c>
      <c r="E31" s="17">
        <f t="shared" si="3"/>
        <v>68230161.258289427</v>
      </c>
      <c r="F31" s="543">
        <f t="shared" si="4"/>
        <v>0.73050958365484042</v>
      </c>
      <c r="G31" s="532"/>
      <c r="H31" s="411">
        <f t="shared" si="5"/>
        <v>93400775</v>
      </c>
      <c r="I31" s="17">
        <f t="shared" si="5"/>
        <v>69892626.879143581</v>
      </c>
      <c r="J31" s="543">
        <f t="shared" si="6"/>
        <v>0.74830885374498857</v>
      </c>
      <c r="K31" s="525"/>
      <c r="L31" s="74">
        <f t="shared" si="7"/>
        <v>2.4365553154136476E-2</v>
      </c>
      <c r="M31" s="20"/>
      <c r="N31" s="540">
        <f>L31-'Rate Impacts Combined '!W31</f>
        <v>0</v>
      </c>
    </row>
    <row r="32" spans="2:14" s="13" customFormat="1" x14ac:dyDescent="0.25">
      <c r="B32" s="63" t="s">
        <v>10</v>
      </c>
      <c r="C32" s="513" t="s">
        <v>259</v>
      </c>
      <c r="D32" s="411">
        <f t="shared" si="3"/>
        <v>73034304</v>
      </c>
      <c r="E32" s="17">
        <f t="shared" si="3"/>
        <v>15782596.956258126</v>
      </c>
      <c r="F32" s="543">
        <f t="shared" si="4"/>
        <v>0.21609840981380649</v>
      </c>
      <c r="G32" s="532"/>
      <c r="H32" s="411">
        <f t="shared" si="5"/>
        <v>73034304</v>
      </c>
      <c r="I32" s="17">
        <f t="shared" si="5"/>
        <v>16286075.881089784</v>
      </c>
      <c r="J32" s="543">
        <f t="shared" si="6"/>
        <v>0.2229921418993708</v>
      </c>
      <c r="K32" s="525"/>
      <c r="L32" s="74">
        <f t="shared" si="7"/>
        <v>3.1900892243973751E-2</v>
      </c>
      <c r="M32" s="20"/>
      <c r="N32" s="540">
        <f>L32-'Rate Impacts Combined '!W32</f>
        <v>0</v>
      </c>
    </row>
    <row r="33" spans="2:14" s="13" customFormat="1" x14ac:dyDescent="0.25">
      <c r="B33" s="63" t="s">
        <v>262</v>
      </c>
      <c r="C33" s="513" t="s">
        <v>260</v>
      </c>
      <c r="D33" s="411">
        <f t="shared" si="3"/>
        <v>6068110</v>
      </c>
      <c r="E33" s="17">
        <f t="shared" si="3"/>
        <v>4631346.5350433858</v>
      </c>
      <c r="F33" s="543">
        <f t="shared" si="4"/>
        <v>0.76322718853866955</v>
      </c>
      <c r="G33" s="532"/>
      <c r="H33" s="411">
        <f t="shared" si="5"/>
        <v>6068110</v>
      </c>
      <c r="I33" s="17">
        <f t="shared" si="5"/>
        <v>4856083.0483846879</v>
      </c>
      <c r="J33" s="543">
        <f t="shared" si="6"/>
        <v>0.80026285752642712</v>
      </c>
      <c r="K33" s="525"/>
      <c r="L33" s="74">
        <f t="shared" si="7"/>
        <v>4.8525091275467849E-2</v>
      </c>
      <c r="M33" s="20"/>
      <c r="N33" s="540">
        <f>L33-'Rate Impacts Combined '!W33</f>
        <v>0</v>
      </c>
    </row>
    <row r="34" spans="2:14" s="13" customFormat="1" x14ac:dyDescent="0.25">
      <c r="B34" s="12" t="s">
        <v>263</v>
      </c>
      <c r="C34" s="513" t="s">
        <v>261</v>
      </c>
      <c r="D34" s="411">
        <f t="shared" si="3"/>
        <v>119319881.40783478</v>
      </c>
      <c r="E34" s="17">
        <f t="shared" si="3"/>
        <v>20686445.778400347</v>
      </c>
      <c r="F34" s="543">
        <f t="shared" si="4"/>
        <v>0.17336964749147021</v>
      </c>
      <c r="G34" s="532"/>
      <c r="H34" s="411">
        <f t="shared" si="5"/>
        <v>119319881.40783478</v>
      </c>
      <c r="I34" s="17">
        <f t="shared" si="5"/>
        <v>21074796.95456085</v>
      </c>
      <c r="J34" s="543">
        <f t="shared" si="6"/>
        <v>0.17662435384533526</v>
      </c>
      <c r="K34" s="525"/>
      <c r="L34" s="74">
        <f t="shared" si="7"/>
        <v>1.8773218962824353E-2</v>
      </c>
      <c r="M34" s="20"/>
      <c r="N34" s="540">
        <f>L34-'Rate Impacts Combined '!W34</f>
        <v>0</v>
      </c>
    </row>
    <row r="35" spans="2:14" s="13" customFormat="1" x14ac:dyDescent="0.25">
      <c r="B35" t="s">
        <v>449</v>
      </c>
      <c r="C35" s="586" t="s">
        <v>343</v>
      </c>
      <c r="D35" s="411">
        <f>D23</f>
        <v>44508541</v>
      </c>
      <c r="E35" s="17">
        <f>E23</f>
        <v>1310923.79</v>
      </c>
      <c r="F35" s="543">
        <f t="shared" si="4"/>
        <v>2.9453308523413518E-2</v>
      </c>
      <c r="G35" s="532"/>
      <c r="H35" s="411">
        <f>H23</f>
        <v>44508541</v>
      </c>
      <c r="I35" s="17">
        <f>I23</f>
        <v>4924986.9142700005</v>
      </c>
      <c r="J35" s="543">
        <f t="shared" si="6"/>
        <v>0.11065262539767369</v>
      </c>
      <c r="K35" s="525"/>
      <c r="L35" s="74">
        <f t="shared" si="7"/>
        <v>2.7568827050350504</v>
      </c>
      <c r="M35" s="20"/>
      <c r="N35" s="540">
        <f>L35-'Rate Impacts Combined '!W35</f>
        <v>0</v>
      </c>
    </row>
    <row r="36" spans="2:14" s="13" customFormat="1" x14ac:dyDescent="0.25">
      <c r="B36" s="12" t="s">
        <v>13</v>
      </c>
      <c r="C36" s="513"/>
      <c r="D36" s="411">
        <f>D24</f>
        <v>30967900</v>
      </c>
      <c r="E36" s="17">
        <f>E24</f>
        <v>1663306.9106786461</v>
      </c>
      <c r="F36" s="543">
        <f t="shared" si="4"/>
        <v>5.3710678175744757E-2</v>
      </c>
      <c r="G36" s="532"/>
      <c r="H36" s="411">
        <f>H24</f>
        <v>30967900</v>
      </c>
      <c r="I36" s="17">
        <f>I24</f>
        <v>1663306.9106786461</v>
      </c>
      <c r="J36" s="543">
        <f t="shared" si="6"/>
        <v>5.3710678175744757E-2</v>
      </c>
      <c r="K36" s="525"/>
      <c r="L36" s="74">
        <f t="shared" si="7"/>
        <v>0</v>
      </c>
      <c r="M36" s="20"/>
      <c r="N36" s="540">
        <f>L36-'Rate Impacts Combined '!W36</f>
        <v>0</v>
      </c>
    </row>
    <row r="37" spans="2:14" s="13" customFormat="1" x14ac:dyDescent="0.25">
      <c r="B37" s="12" t="s">
        <v>6</v>
      </c>
      <c r="C37" s="12"/>
      <c r="D37" s="544">
        <f>SUM(D29:D36)</f>
        <v>1252743002.4078348</v>
      </c>
      <c r="E37" s="533">
        <f>SUM(E29:E36)</f>
        <v>1379557939.5796449</v>
      </c>
      <c r="F37" s="545">
        <f>E37/D37</f>
        <v>1.101229810845533</v>
      </c>
      <c r="G37" s="532"/>
      <c r="H37" s="544">
        <f>SUM(H29:H36)</f>
        <v>1252743002.4078348</v>
      </c>
      <c r="I37" s="533">
        <f>SUM(I29:I36)</f>
        <v>1422014334.0061123</v>
      </c>
      <c r="J37" s="545">
        <f>I37/H37</f>
        <v>1.1351205564692275</v>
      </c>
      <c r="K37" s="525"/>
      <c r="L37" s="75">
        <f t="shared" si="7"/>
        <v>3.077536159112244E-2</v>
      </c>
      <c r="M37" s="20"/>
      <c r="N37" s="540">
        <f>L37-'Rate Impacts Combined '!W37</f>
        <v>-1.3530843112619095E-16</v>
      </c>
    </row>
    <row r="38" spans="2:14" s="13" customFormat="1" x14ac:dyDescent="0.25">
      <c r="B38" s="12"/>
      <c r="C38" s="12"/>
      <c r="D38" s="12"/>
      <c r="E38" s="12"/>
      <c r="F38" s="17"/>
      <c r="G38" s="532"/>
      <c r="H38" s="12"/>
      <c r="I38" s="12"/>
      <c r="J38" s="17"/>
      <c r="K38" s="525"/>
      <c r="L38" s="535"/>
      <c r="M38" s="20"/>
      <c r="N38" s="540"/>
    </row>
    <row r="39" spans="2:14" x14ac:dyDescent="0.25">
      <c r="B39" s="63" t="str">
        <f>'Rate Impacts Combined '!B39</f>
        <v>(1) Rates effective May 1, 2023</v>
      </c>
      <c r="F39" s="15"/>
    </row>
    <row r="40" spans="2:14" x14ac:dyDescent="0.25">
      <c r="B40" s="546"/>
    </row>
  </sheetData>
  <mergeCells count="6">
    <mergeCell ref="B1:L1"/>
    <mergeCell ref="B2:L2"/>
    <mergeCell ref="B3:L3"/>
    <mergeCell ref="B4:L4"/>
    <mergeCell ref="D7:F7"/>
    <mergeCell ref="H7:J7"/>
  </mergeCells>
  <printOptions horizontalCentered="1"/>
  <pageMargins left="0.7" right="0.7" top="0.75" bottom="0.75" header="0.3" footer="0.3"/>
  <pageSetup scale="73" orientation="landscape" blackAndWhite="1" r:id="rId1"/>
  <headerFooter>
    <oddFooter>&amp;L&amp;F 
&amp;A&amp;C&amp;P&amp;R&amp;D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39"/>
  <sheetViews>
    <sheetView zoomScale="90" zoomScaleNormal="90" workbookViewId="0">
      <pane xSplit="3" ySplit="9" topLeftCell="D10" activePane="bottomRight" state="frozenSplit"/>
      <selection activeCell="D40" sqref="D40"/>
      <selection pane="topRight" activeCell="D40" sqref="D40"/>
      <selection pane="bottomLeft" activeCell="D40" sqref="D40"/>
      <selection pane="bottomRight" activeCell="M39" sqref="M39"/>
    </sheetView>
  </sheetViews>
  <sheetFormatPr defaultRowHeight="15" x14ac:dyDescent="0.25"/>
  <cols>
    <col min="1" max="1" width="2.85546875" customWidth="1"/>
    <col min="2" max="2" width="37.5703125" customWidth="1"/>
    <col min="3" max="3" width="8.42578125" bestFit="1" customWidth="1"/>
    <col min="4" max="4" width="15" bestFit="1" customWidth="1"/>
    <col min="5" max="5" width="14.5703125" bestFit="1" customWidth="1"/>
    <col min="6" max="6" width="10.5703125" bestFit="1" customWidth="1"/>
    <col min="7" max="7" width="15" customWidth="1"/>
    <col min="8" max="9" width="14.5703125" bestFit="1" customWidth="1"/>
    <col min="10" max="11" width="13.28515625" bestFit="1" customWidth="1"/>
    <col min="12" max="12" width="12.140625" bestFit="1" customWidth="1"/>
    <col min="13" max="13" width="13.28515625" bestFit="1" customWidth="1"/>
    <col min="14" max="14" width="14" bestFit="1" customWidth="1"/>
    <col min="15" max="17" width="14" customWidth="1"/>
    <col min="18" max="18" width="12.85546875" bestFit="1" customWidth="1"/>
    <col min="19" max="19" width="13.28515625" bestFit="1" customWidth="1"/>
    <col min="20" max="20" width="16.140625" bestFit="1" customWidth="1"/>
    <col min="21" max="21" width="13.7109375" bestFit="1" customWidth="1"/>
  </cols>
  <sheetData>
    <row r="1" spans="2:20" x14ac:dyDescent="0.25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2:20" x14ac:dyDescent="0.25">
      <c r="B2" s="47" t="str">
        <f>'Rate Impacts Combined '!B2:W2</f>
        <v>2023 Gas Schedules 88T, 141D, 141LNG, 141N Filings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3" spans="2:20" x14ac:dyDescent="0.25">
      <c r="B3" s="419" t="s">
        <v>420</v>
      </c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419"/>
      <c r="R3" s="419"/>
      <c r="S3" s="419"/>
      <c r="T3" s="419"/>
    </row>
    <row r="4" spans="2:20" x14ac:dyDescent="0.25">
      <c r="B4" s="419" t="s">
        <v>459</v>
      </c>
      <c r="C4" s="419"/>
      <c r="D4" s="419"/>
      <c r="E4" s="419"/>
      <c r="F4" s="419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419"/>
      <c r="R4" s="419"/>
      <c r="S4" s="419"/>
      <c r="T4" s="419"/>
    </row>
    <row r="5" spans="2:20" x14ac:dyDescent="0.25">
      <c r="F5" s="374"/>
      <c r="N5" s="374"/>
      <c r="O5" s="431"/>
      <c r="P5" s="431"/>
      <c r="Q5" s="431"/>
    </row>
    <row r="6" spans="2:20" x14ac:dyDescent="0.25">
      <c r="F6" s="374"/>
      <c r="G6" s="4" t="s">
        <v>15</v>
      </c>
      <c r="N6" s="374"/>
      <c r="O6" s="431"/>
      <c r="P6" s="431"/>
      <c r="Q6" s="431"/>
    </row>
    <row r="7" spans="2:20" x14ac:dyDescent="0.25">
      <c r="B7" s="4"/>
      <c r="C7" s="4"/>
      <c r="D7" s="4" t="s">
        <v>278</v>
      </c>
      <c r="E7" s="4" t="str">
        <f>D7</f>
        <v>UG-220067</v>
      </c>
      <c r="F7" s="4" t="s">
        <v>255</v>
      </c>
      <c r="G7" s="4" t="s">
        <v>119</v>
      </c>
      <c r="H7" s="37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78" t="s">
        <v>313</v>
      </c>
    </row>
    <row r="8" spans="2:20" x14ac:dyDescent="0.25">
      <c r="B8" s="4"/>
      <c r="C8" s="4" t="s">
        <v>17</v>
      </c>
      <c r="D8" s="4" t="s">
        <v>185</v>
      </c>
      <c r="E8" s="4" t="s">
        <v>252</v>
      </c>
      <c r="F8" s="4" t="s">
        <v>17</v>
      </c>
      <c r="G8" s="78" t="s">
        <v>311</v>
      </c>
      <c r="H8" s="374" t="s">
        <v>252</v>
      </c>
      <c r="I8" s="4" t="s">
        <v>237</v>
      </c>
      <c r="J8" s="4" t="s">
        <v>238</v>
      </c>
      <c r="K8" s="4" t="s">
        <v>239</v>
      </c>
      <c r="L8" s="4" t="s">
        <v>253</v>
      </c>
      <c r="M8" s="4" t="s">
        <v>240</v>
      </c>
      <c r="N8" s="4" t="s">
        <v>282</v>
      </c>
      <c r="O8" s="4" t="s">
        <v>314</v>
      </c>
      <c r="P8" s="4" t="s">
        <v>283</v>
      </c>
      <c r="Q8" s="4" t="s">
        <v>284</v>
      </c>
      <c r="R8" s="4" t="s">
        <v>254</v>
      </c>
      <c r="S8" s="4" t="s">
        <v>241</v>
      </c>
      <c r="T8" s="4" t="s">
        <v>186</v>
      </c>
    </row>
    <row r="9" spans="2:20" ht="17.25" x14ac:dyDescent="0.25">
      <c r="B9" s="375" t="s">
        <v>4</v>
      </c>
      <c r="C9" s="375" t="s">
        <v>21</v>
      </c>
      <c r="D9" s="375" t="s">
        <v>187</v>
      </c>
      <c r="E9" s="375" t="s">
        <v>188</v>
      </c>
      <c r="F9" s="375" t="s">
        <v>189</v>
      </c>
      <c r="G9" s="418" t="s">
        <v>312</v>
      </c>
      <c r="H9" s="375" t="s">
        <v>2</v>
      </c>
      <c r="I9" s="375" t="s">
        <v>2</v>
      </c>
      <c r="J9" s="375" t="s">
        <v>2</v>
      </c>
      <c r="K9" s="375" t="s">
        <v>2</v>
      </c>
      <c r="L9" s="375" t="s">
        <v>2</v>
      </c>
      <c r="M9" s="375" t="s">
        <v>2</v>
      </c>
      <c r="N9" s="375" t="s">
        <v>2</v>
      </c>
      <c r="O9" s="432" t="s">
        <v>2</v>
      </c>
      <c r="P9" s="432" t="s">
        <v>2</v>
      </c>
      <c r="Q9" s="432" t="s">
        <v>2</v>
      </c>
      <c r="R9" s="375" t="s">
        <v>2</v>
      </c>
      <c r="S9" s="375" t="s">
        <v>2</v>
      </c>
      <c r="T9" s="333" t="s">
        <v>223</v>
      </c>
    </row>
    <row r="10" spans="2:20" x14ac:dyDescent="0.25">
      <c r="B10" s="4" t="s">
        <v>25</v>
      </c>
      <c r="C10" s="4" t="s">
        <v>26</v>
      </c>
      <c r="D10" s="273" t="s">
        <v>27</v>
      </c>
      <c r="E10" s="5" t="s">
        <v>28</v>
      </c>
      <c r="F10" s="4" t="s">
        <v>190</v>
      </c>
      <c r="G10" s="4" t="s">
        <v>191</v>
      </c>
      <c r="H10" s="4" t="s">
        <v>192</v>
      </c>
      <c r="I10" s="4" t="s">
        <v>72</v>
      </c>
      <c r="J10" s="4" t="s">
        <v>130</v>
      </c>
      <c r="K10" s="4" t="s">
        <v>29</v>
      </c>
      <c r="L10" s="5" t="s">
        <v>44</v>
      </c>
      <c r="M10" s="4" t="s">
        <v>73</v>
      </c>
      <c r="N10" s="5" t="s">
        <v>131</v>
      </c>
      <c r="O10" s="5" t="s">
        <v>74</v>
      </c>
      <c r="P10" s="5" t="s">
        <v>132</v>
      </c>
      <c r="Q10" s="5" t="s">
        <v>133</v>
      </c>
      <c r="R10" s="5" t="s">
        <v>285</v>
      </c>
      <c r="S10" s="5" t="s">
        <v>319</v>
      </c>
      <c r="T10" s="332" t="s">
        <v>320</v>
      </c>
    </row>
    <row r="11" spans="2:20" x14ac:dyDescent="0.25">
      <c r="B11" t="s">
        <v>7</v>
      </c>
      <c r="C11" s="414" t="s">
        <v>30</v>
      </c>
      <c r="D11" s="299">
        <f>'Exh JDT-5 (JDT-RES_RD)'!D13+'Exh JDT-5 (JDT-RES_RD)'!D21</f>
        <v>620836684.05687141</v>
      </c>
      <c r="E11" s="43">
        <f>'Exh JDT-5 (JDT-RES_RD)'!I16+'Exh JDT-5 (JDT-RES_RD)'!I24</f>
        <v>403613457.09474093</v>
      </c>
      <c r="F11" s="6">
        <f t="shared" ref="F11:F16" si="0">(E11)/D11</f>
        <v>0.6501121268436002</v>
      </c>
      <c r="G11" s="299">
        <f>SUM(Therms!P10,Therms!P11)</f>
        <v>639464549</v>
      </c>
      <c r="H11" s="8">
        <f>F11*G11</f>
        <v>415723657.99147362</v>
      </c>
      <c r="I11" s="43">
        <f>'Sch. 101'!G10</f>
        <v>441352037.06999999</v>
      </c>
      <c r="J11" s="43">
        <f>'Sch. 106'!L10</f>
        <v>25808789.199999999</v>
      </c>
      <c r="K11" s="43">
        <f>'Sch. 120'!F9</f>
        <v>18384605.783750001</v>
      </c>
      <c r="L11" s="43">
        <f>'Sch. 129'!G9</f>
        <v>2020707.97484</v>
      </c>
      <c r="M11" s="43">
        <f>'Sch. 140'!F9</f>
        <v>14611764.94465</v>
      </c>
      <c r="N11" s="43">
        <f>'Sch. 141D'!L10</f>
        <v>2014313.32935</v>
      </c>
      <c r="O11" s="43">
        <f>'Sch. 141LNG'!F9</f>
        <v>0</v>
      </c>
      <c r="P11" s="43">
        <f>'Sch. 141N'!J10</f>
        <v>-1087089.7333</v>
      </c>
      <c r="Q11" s="43">
        <f>'Sch. 141R'!F9</f>
        <v>31109950.308849998</v>
      </c>
      <c r="R11" s="43">
        <f>'Sch. 141Z'!F9</f>
        <v>-876066.43212999997</v>
      </c>
      <c r="S11" s="43">
        <f>'Sch. 142'!G10</f>
        <v>2967115.51</v>
      </c>
      <c r="T11" s="302">
        <f t="shared" ref="T11:T24" si="1">SUM(H11:S11)</f>
        <v>952029785.9474839</v>
      </c>
    </row>
    <row r="12" spans="2:20" x14ac:dyDescent="0.25">
      <c r="B12" t="s">
        <v>31</v>
      </c>
      <c r="C12" s="414">
        <v>16</v>
      </c>
      <c r="D12" s="299">
        <f>'Exh JDT-5 (JDT-RES_RD)'!D30</f>
        <v>8190.2669999999998</v>
      </c>
      <c r="E12" s="43">
        <f>'Exh JDT-5 (JDT-RES_RD)'!I32</f>
        <v>5233.1499999999996</v>
      </c>
      <c r="F12" s="6">
        <f t="shared" si="0"/>
        <v>0.63894742381414427</v>
      </c>
      <c r="G12" s="299">
        <f>Therms!P9</f>
        <v>8832</v>
      </c>
      <c r="H12" s="8">
        <f t="shared" ref="H12:H24" si="2">F12*G12</f>
        <v>5643.1836471265224</v>
      </c>
      <c r="I12" s="43">
        <f>'Sch. 101'!G13</f>
        <v>5442.1</v>
      </c>
      <c r="J12" s="43">
        <f>'Sch. 106'!L11</f>
        <v>356.46</v>
      </c>
      <c r="K12" s="43">
        <f>'Sch. 120'!F10</f>
        <v>253.92000000000002</v>
      </c>
      <c r="L12" s="43"/>
      <c r="M12" s="43">
        <f>'Sch. 140'!F10</f>
        <v>201.81119999999999</v>
      </c>
      <c r="N12" s="43">
        <f>'Sch. 141D'!L11</f>
        <v>27.820799999999998</v>
      </c>
      <c r="O12" s="43">
        <f>'Sch. 141LNG'!F10</f>
        <v>0</v>
      </c>
      <c r="P12" s="43">
        <f>'Sch. 141N'!J11</f>
        <v>-15.014399999999998</v>
      </c>
      <c r="Q12" s="43">
        <f>'Sch. 141R'!F10</f>
        <v>429.67680000000001</v>
      </c>
      <c r="R12" s="43">
        <f>'Sch. 141Z'!F10</f>
        <v>-12.099839999999999</v>
      </c>
      <c r="S12" s="43"/>
      <c r="T12" s="302">
        <f t="shared" si="1"/>
        <v>12327.858207126519</v>
      </c>
    </row>
    <row r="13" spans="2:20" x14ac:dyDescent="0.25">
      <c r="B13" t="s">
        <v>8</v>
      </c>
      <c r="C13" s="414">
        <v>31</v>
      </c>
      <c r="D13" s="299">
        <f>'Exh JDT-5 (JDT-C&amp;I-RD)'!D13</f>
        <v>222166912.14539161</v>
      </c>
      <c r="E13" s="43">
        <f>'Exh JDT-5 (JDT-C&amp;I-RD)'!I17</f>
        <v>122121000.06</v>
      </c>
      <c r="F13" s="6">
        <f t="shared" si="0"/>
        <v>0.54968131339054194</v>
      </c>
      <c r="G13" s="299">
        <f>Therms!P12</f>
        <v>245936243</v>
      </c>
      <c r="H13" s="8">
        <f t="shared" si="2"/>
        <v>135186557.06257549</v>
      </c>
      <c r="I13" s="43">
        <f>'Sch. 101'!G16</f>
        <v>149541532.56</v>
      </c>
      <c r="J13" s="43">
        <f>'Sch. 106'!L12</f>
        <v>9923527.4100000001</v>
      </c>
      <c r="K13" s="43">
        <f>'Sch. 120'!F11</f>
        <v>7070666.9862500001</v>
      </c>
      <c r="L13" s="43">
        <f>'Sch. 129'!G11</f>
        <v>656649.76881000004</v>
      </c>
      <c r="M13" s="43">
        <f>'Sch. 140'!F11</f>
        <v>6180377.7865899997</v>
      </c>
      <c r="N13" s="43">
        <f>'Sch. 141D'!L12</f>
        <v>710755.74227000005</v>
      </c>
      <c r="O13" s="43">
        <f>'Sch. 141LNG'!F11</f>
        <v>0</v>
      </c>
      <c r="P13" s="43">
        <f>'Sch. 141N'!J12</f>
        <v>-386119.90151</v>
      </c>
      <c r="Q13" s="43">
        <f>'Sch. 141R'!F11</f>
        <v>11044996.67313</v>
      </c>
      <c r="R13" s="43">
        <f>'Sch. 141Z'!F11</f>
        <v>-361526.27720999997</v>
      </c>
      <c r="S13" s="43">
        <f>'Sch. 142'!G15</f>
        <v>-4380124.49</v>
      </c>
      <c r="T13" s="302">
        <f t="shared" si="1"/>
        <v>315187293.32090545</v>
      </c>
    </row>
    <row r="14" spans="2:20" x14ac:dyDescent="0.25">
      <c r="B14" t="s">
        <v>9</v>
      </c>
      <c r="C14" s="414">
        <v>41</v>
      </c>
      <c r="D14" s="299">
        <f>'Exh JDT-5 (JDT-C&amp;I-RD)'!D49</f>
        <v>62517991.156948164</v>
      </c>
      <c r="E14" s="43">
        <f>'Exh JDT-5 (JDT-C&amp;I-RD)'!I53</f>
        <v>17786398.291046247</v>
      </c>
      <c r="F14" s="6">
        <f t="shared" si="0"/>
        <v>0.28450047677306872</v>
      </c>
      <c r="G14" s="299">
        <f>Therms!P13</f>
        <v>66890541</v>
      </c>
      <c r="H14" s="8">
        <f t="shared" si="2"/>
        <v>19030390.806108501</v>
      </c>
      <c r="I14" s="43">
        <f>'Sch. 101'!G21</f>
        <v>38416438.039999999</v>
      </c>
      <c r="J14" s="43">
        <f>'Sch. 106'!L13</f>
        <v>2694350.99</v>
      </c>
      <c r="K14" s="43">
        <f>'Sch. 120'!F12</f>
        <v>1923103.0537500002</v>
      </c>
      <c r="L14" s="43">
        <f>'Sch. 129'!G14</f>
        <v>86288.797889999987</v>
      </c>
      <c r="M14" s="43">
        <f>'Sch. 140'!F12</f>
        <v>671581.03164000006</v>
      </c>
      <c r="N14" s="43">
        <f>'Sch. 141D'!L13</f>
        <v>147159.19020000001</v>
      </c>
      <c r="O14" s="43">
        <f>'Sch. 141LNG'!F17</f>
        <v>0</v>
      </c>
      <c r="P14" s="43">
        <f>'Sch. 141N'!J13</f>
        <v>-50167.905749999998</v>
      </c>
      <c r="Q14" s="43">
        <f>'Sch. 141R'!F12</f>
        <v>1436139.91527</v>
      </c>
      <c r="R14" s="43">
        <f>'Sch. 141Z'!F12</f>
        <v>-37458.702959999995</v>
      </c>
      <c r="S14" s="43">
        <f>'Sch. 142'!G27</f>
        <v>-2251287.1500000004</v>
      </c>
      <c r="T14" s="302">
        <f t="shared" si="1"/>
        <v>62066538.066148505</v>
      </c>
    </row>
    <row r="15" spans="2:20" x14ac:dyDescent="0.25">
      <c r="B15" t="s">
        <v>10</v>
      </c>
      <c r="C15" s="414">
        <v>85</v>
      </c>
      <c r="D15" s="299">
        <f>'Exh JDT-5 (JDT-INTRPL-RD)'!D21</f>
        <v>19992939.502740219</v>
      </c>
      <c r="E15" s="43">
        <f>'Exh JDT-5 (JDT-INTRPL-RD)'!I23</f>
        <v>2272313.06</v>
      </c>
      <c r="F15" s="6">
        <f t="shared" si="0"/>
        <v>0.11365577631486147</v>
      </c>
      <c r="G15" s="299">
        <f>Therms!P14</f>
        <v>10745378</v>
      </c>
      <c r="H15" s="8">
        <f t="shared" si="2"/>
        <v>1221274.2783866336</v>
      </c>
      <c r="I15" s="43">
        <f>'Sch. 101'!G26</f>
        <v>5885111.5800000001</v>
      </c>
      <c r="J15" s="43">
        <f>'Sch. 106'!L14</f>
        <v>432179.1</v>
      </c>
      <c r="K15" s="43">
        <f>'Sch. 120'!F13</f>
        <v>277660.56751999998</v>
      </c>
      <c r="L15" s="43">
        <f>'Sch. 129'!G21</f>
        <v>6696.6518559416609</v>
      </c>
      <c r="M15" s="43">
        <f>'Sch. 140'!F13</f>
        <v>56843.049620000005</v>
      </c>
      <c r="N15" s="43">
        <f>'Sch. 141D'!L14</f>
        <v>19878.9493</v>
      </c>
      <c r="O15" s="43">
        <f>'Sch. 141LNG'!F23</f>
        <v>0</v>
      </c>
      <c r="P15" s="43">
        <f>'Sch. 141N'!J14</f>
        <v>-4835.4201000000003</v>
      </c>
      <c r="Q15" s="43">
        <f>'Sch. 141R'!F13</f>
        <v>137218.47706</v>
      </c>
      <c r="R15" s="43">
        <f>'Sch. 141Z'!F13</f>
        <v>-2901.2520600000003</v>
      </c>
      <c r="S15" s="43"/>
      <c r="T15" s="302">
        <f t="shared" si="1"/>
        <v>8029125.9815825764</v>
      </c>
    </row>
    <row r="16" spans="2:20" x14ac:dyDescent="0.25">
      <c r="B16" t="s">
        <v>11</v>
      </c>
      <c r="C16" s="414">
        <v>86</v>
      </c>
      <c r="D16" s="299">
        <f>'Exh JDT-5 (JDT-INTRPL-RD)'!D67</f>
        <v>5773170.4876905456</v>
      </c>
      <c r="E16" s="43">
        <f>'Exh JDT-5 (JDT-INTRPL-RD)'!I69</f>
        <v>1192875.52</v>
      </c>
      <c r="F16" s="6">
        <f t="shared" si="0"/>
        <v>0.20662398980654192</v>
      </c>
      <c r="G16" s="299">
        <f>Therms!P15</f>
        <v>5489408</v>
      </c>
      <c r="H16" s="8">
        <f t="shared" si="2"/>
        <v>1134243.3826359496</v>
      </c>
      <c r="I16" s="43">
        <f>'Sch. 101'!G31</f>
        <v>3064043.3800000004</v>
      </c>
      <c r="J16" s="43">
        <f>'Sch. 106'!L15</f>
        <v>220948.67</v>
      </c>
      <c r="K16" s="43">
        <f>'Sch. 120'!F14</f>
        <v>141846.30271999998</v>
      </c>
      <c r="L16" s="43">
        <f>'Sch. 129'!G23</f>
        <v>6148.1369599999998</v>
      </c>
      <c r="M16" s="43">
        <f>'Sch. 140'!F14</f>
        <v>36943.715839999997</v>
      </c>
      <c r="N16" s="43">
        <f>'Sch. 141D'!L15</f>
        <v>2689.8099199999997</v>
      </c>
      <c r="O16" s="43">
        <f>'Sch. 141LNG'!F28</f>
        <v>0</v>
      </c>
      <c r="P16" s="43">
        <f>'Sch. 141N'!J15</f>
        <v>-1976.1868800000002</v>
      </c>
      <c r="Q16" s="43">
        <f>'Sch. 141R'!F14</f>
        <v>57144.737280000001</v>
      </c>
      <c r="R16" s="43">
        <f>'Sch. 141Z'!F14</f>
        <v>-1811.5046399999999</v>
      </c>
      <c r="S16" s="43">
        <f>'Sch. 142'!G43</f>
        <v>-145735.16999999998</v>
      </c>
      <c r="T16" s="302">
        <f t="shared" si="1"/>
        <v>4514485.2738359496</v>
      </c>
    </row>
    <row r="17" spans="2:21" x14ac:dyDescent="0.25">
      <c r="B17" t="s">
        <v>12</v>
      </c>
      <c r="C17" s="414">
        <v>87</v>
      </c>
      <c r="D17" s="299">
        <f>'Exh JDT-5 (JDT-INTRPL-RD)'!D116</f>
        <v>21819455.762355208</v>
      </c>
      <c r="E17" s="43">
        <f>'Exh JDT-5 (JDT-INTRPL-RD)'!I118</f>
        <v>1509849.77</v>
      </c>
      <c r="F17" s="6">
        <f>(E17)/D17</f>
        <v>6.9197407416775353E-2</v>
      </c>
      <c r="G17" s="299">
        <f>Therms!P16</f>
        <v>21819455.762355205</v>
      </c>
      <c r="H17" s="8">
        <f t="shared" si="2"/>
        <v>1509849.7699999998</v>
      </c>
      <c r="I17" s="43">
        <f>'Sch. 101'!G36</f>
        <v>11933060.359999999</v>
      </c>
      <c r="J17" s="43">
        <f>'Sch. 106'!L16</f>
        <v>877578.51</v>
      </c>
      <c r="K17" s="43">
        <f>'Sch. 120'!F15</f>
        <v>563814.73689925845</v>
      </c>
      <c r="L17" s="43">
        <f>'Sch. 129'!G33</f>
        <v>5961.2948485432808</v>
      </c>
      <c r="M17" s="43">
        <f>'Sch. 140'!F15</f>
        <v>82259.34822407912</v>
      </c>
      <c r="N17" s="43">
        <f>'Sch. 141D'!L24</f>
        <v>16910.521851609072</v>
      </c>
      <c r="O17" s="43">
        <f>'Sch. 141LNG'!F37</f>
        <v>0</v>
      </c>
      <c r="P17" s="43">
        <f>'Sch. 141N'!J24</f>
        <v>-4525.2510166006559</v>
      </c>
      <c r="Q17" s="43">
        <f>'Sch. 141R'!F23</f>
        <v>131313.84533541059</v>
      </c>
      <c r="R17" s="43">
        <f>'Sch. 141Z'!F15</f>
        <v>-3054.7238067297285</v>
      </c>
      <c r="S17" s="43"/>
      <c r="T17" s="302">
        <f t="shared" si="1"/>
        <v>15113168.412335569</v>
      </c>
    </row>
    <row r="18" spans="2:21" x14ac:dyDescent="0.25">
      <c r="B18" t="s">
        <v>32</v>
      </c>
      <c r="C18" s="414" t="s">
        <v>33</v>
      </c>
      <c r="D18" s="299">
        <f>'Exh JDT-5 (JDT-C&amp;I-RD)'!D23</f>
        <v>36958.529999999992</v>
      </c>
      <c r="E18" s="43">
        <f>'Exh JDT-5 (JDT-C&amp;I-RD)'!I26</f>
        <v>23981.98</v>
      </c>
      <c r="F18" s="6">
        <f>(E18)/D18</f>
        <v>0.64888890331947735</v>
      </c>
      <c r="G18" s="299">
        <f>Therms!P17</f>
        <v>33867</v>
      </c>
      <c r="H18" s="8">
        <f t="shared" si="2"/>
        <v>21975.920488720738</v>
      </c>
      <c r="I18" s="68"/>
      <c r="J18" s="68"/>
      <c r="K18" s="43"/>
      <c r="L18" s="43">
        <f>'Sch. 129'!G12</f>
        <v>90.424890000000005</v>
      </c>
      <c r="M18" s="43">
        <f>'Sch. 140'!F16</f>
        <v>851.07771000000002</v>
      </c>
      <c r="N18" s="43"/>
      <c r="O18" s="43"/>
      <c r="P18" s="43">
        <f>'Sch. 141N'!J26</f>
        <v>-53.171190000000003</v>
      </c>
      <c r="Q18" s="43">
        <f>'Sch. 141R'!F25</f>
        <v>1520.9669699999999</v>
      </c>
      <c r="R18" s="43">
        <f>'Sch. 141Z'!F16</f>
        <v>-49.784489999999998</v>
      </c>
      <c r="S18" s="43">
        <f>'Sch. 142'!G18</f>
        <v>-584.21</v>
      </c>
      <c r="T18" s="302">
        <f t="shared" si="1"/>
        <v>23751.224378720741</v>
      </c>
    </row>
    <row r="19" spans="2:21" x14ac:dyDescent="0.25">
      <c r="B19" t="s">
        <v>34</v>
      </c>
      <c r="C19" s="414" t="s">
        <v>35</v>
      </c>
      <c r="D19" s="299">
        <f>'Exh JDT-5 (JDT-C&amp;I-RD)'!D66</f>
        <v>19494505.608019032</v>
      </c>
      <c r="E19" s="43">
        <f>'Exh JDT-5 (JDT-C&amp;I-RD)'!I69</f>
        <v>4475398.7622919884</v>
      </c>
      <c r="F19" s="6">
        <f t="shared" ref="F19:F25" si="3">(E19)/D19</f>
        <v>0.22957231397810063</v>
      </c>
      <c r="G19" s="299">
        <f>Therms!P18</f>
        <v>26510234</v>
      </c>
      <c r="H19" s="8">
        <f>F19*G19</f>
        <v>6086015.7634809185</v>
      </c>
      <c r="I19" s="68"/>
      <c r="J19" s="68"/>
      <c r="K19" s="43"/>
      <c r="L19" s="43">
        <f>'Sch. 129'!G15</f>
        <v>34198.201860000001</v>
      </c>
      <c r="M19" s="43">
        <f>'Sch. 140'!F17</f>
        <v>266162.74936000002</v>
      </c>
      <c r="N19" s="43"/>
      <c r="O19" s="43"/>
      <c r="P19" s="43">
        <f>'Sch. 141N'!J27</f>
        <v>-19882.675500000001</v>
      </c>
      <c r="Q19" s="43">
        <f>'Sch. 141R'!F26</f>
        <v>569174.72398000001</v>
      </c>
      <c r="R19" s="43">
        <f>'Sch. 141Z'!F17</f>
        <v>-14845.731039999999</v>
      </c>
      <c r="S19" s="43">
        <f>'Sch. 142'!G35</f>
        <v>-757199.84000000008</v>
      </c>
      <c r="T19" s="302">
        <f t="shared" si="1"/>
        <v>6163623.1921409192</v>
      </c>
    </row>
    <row r="20" spans="2:21" x14ac:dyDescent="0.25">
      <c r="B20" t="s">
        <v>36</v>
      </c>
      <c r="C20" s="414" t="s">
        <v>37</v>
      </c>
      <c r="D20" s="299">
        <f>'Exh JDT-5 (JDT-INTRPL-RD)'!D36</f>
        <v>68886791.019958794</v>
      </c>
      <c r="E20" s="43">
        <f>'Exh JDT-5 (JDT-INTRPL-RD)'!I38</f>
        <v>7339677.3100000005</v>
      </c>
      <c r="F20" s="6">
        <f t="shared" si="3"/>
        <v>0.1065469475544804</v>
      </c>
      <c r="G20" s="299">
        <f>Therms!P19</f>
        <v>62288926</v>
      </c>
      <c r="H20" s="8">
        <f t="shared" si="2"/>
        <v>6636694.9317469103</v>
      </c>
      <c r="I20" s="68"/>
      <c r="J20" s="68"/>
      <c r="K20" s="43"/>
      <c r="L20" s="43">
        <f>'Sch. 129'!G39</f>
        <v>36686.066088637577</v>
      </c>
      <c r="M20" s="43">
        <f>'Sch. 140'!F18</f>
        <v>329508.41854000004</v>
      </c>
      <c r="N20" s="43"/>
      <c r="O20" s="43"/>
      <c r="P20" s="43">
        <f>'Sch. 141N'!J28</f>
        <v>-28030.0167</v>
      </c>
      <c r="Q20" s="43">
        <f>'Sch. 141R'!F27</f>
        <v>795429.58502</v>
      </c>
      <c r="R20" s="43">
        <f>'Sch. 141Z'!F18</f>
        <v>-16818.010020000002</v>
      </c>
      <c r="S20" s="43"/>
      <c r="T20" s="302">
        <f t="shared" si="1"/>
        <v>7753470.9746755483</v>
      </c>
    </row>
    <row r="21" spans="2:21" x14ac:dyDescent="0.25">
      <c r="B21" t="s">
        <v>38</v>
      </c>
      <c r="C21" s="414" t="s">
        <v>39</v>
      </c>
      <c r="D21" s="299">
        <f>'Exh JDT-5 (JDT-INTRPL-RD)'!D81</f>
        <v>1718484.3400000003</v>
      </c>
      <c r="E21" s="43">
        <f>'Exh JDT-5 (JDT-INTRPL-RD)'!I83</f>
        <v>367155.5</v>
      </c>
      <c r="F21" s="6">
        <f t="shared" si="3"/>
        <v>0.21365076856039314</v>
      </c>
      <c r="G21" s="299">
        <f>Therms!P20</f>
        <v>578702</v>
      </c>
      <c r="H21" s="8">
        <f t="shared" si="2"/>
        <v>123640.12706743662</v>
      </c>
      <c r="I21" s="68"/>
      <c r="J21" s="68"/>
      <c r="K21" s="43"/>
      <c r="L21" s="43">
        <f>'Sch. 129'!G24</f>
        <v>648.14623999999992</v>
      </c>
      <c r="M21" s="43">
        <f>'Sch. 140'!F19</f>
        <v>3894.66446</v>
      </c>
      <c r="N21" s="43"/>
      <c r="O21" s="43"/>
      <c r="P21" s="43">
        <f>'Sch. 141N'!J29</f>
        <v>-208.33272000000002</v>
      </c>
      <c r="Q21" s="43">
        <f>'Sch. 141R'!F28</f>
        <v>6024.2878200000005</v>
      </c>
      <c r="R21" s="43">
        <f>'Sch. 141Z'!F19</f>
        <v>-190.97165999999999</v>
      </c>
      <c r="S21" s="43">
        <f>'Sch. 142'!G50</f>
        <v>-16946.66</v>
      </c>
      <c r="T21" s="302">
        <f t="shared" si="1"/>
        <v>116861.26120743662</v>
      </c>
    </row>
    <row r="22" spans="2:21" x14ac:dyDescent="0.25">
      <c r="B22" t="s">
        <v>40</v>
      </c>
      <c r="C22" s="414" t="s">
        <v>41</v>
      </c>
      <c r="D22" s="299">
        <f>'Exh JDT-5 (JDT-INTRPL-RD)'!D134</f>
        <v>97500425.645479575</v>
      </c>
      <c r="E22" s="43">
        <f>'Exh JDT-5 (JDT-INTRPL-RD)'!I136</f>
        <v>4790056.76</v>
      </c>
      <c r="F22" s="6">
        <f>(E22)/D22</f>
        <v>4.9128572806616068E-2</v>
      </c>
      <c r="G22" s="299">
        <f>Therms!P21</f>
        <v>97500425.645479575</v>
      </c>
      <c r="H22" s="8">
        <f t="shared" si="2"/>
        <v>4790056.76</v>
      </c>
      <c r="I22" s="43"/>
      <c r="J22" s="43"/>
      <c r="K22" s="43"/>
      <c r="L22" s="43">
        <f>'Sch. 129'!G48</f>
        <v>21630.297184021932</v>
      </c>
      <c r="M22" s="43">
        <f>'Sch. 140'!F20</f>
        <v>367576.60468345799</v>
      </c>
      <c r="N22" s="43"/>
      <c r="O22" s="43"/>
      <c r="P22" s="43">
        <f>'Sch. 141N'!J38</f>
        <v>-14568.847252264382</v>
      </c>
      <c r="Q22" s="43">
        <f>'Sch. 141R'!F37</f>
        <v>422232.6110399288</v>
      </c>
      <c r="R22" s="43">
        <f>'Sch. 141Z'!F20</f>
        <v>-13650.05959036714</v>
      </c>
      <c r="S22" s="43"/>
      <c r="T22" s="302">
        <f t="shared" si="1"/>
        <v>5573277.3660647767</v>
      </c>
    </row>
    <row r="23" spans="2:21" x14ac:dyDescent="0.25">
      <c r="B23" t="s">
        <v>448</v>
      </c>
      <c r="C23" s="431" t="s">
        <v>343</v>
      </c>
      <c r="D23" s="299"/>
      <c r="E23" s="43"/>
      <c r="F23" s="6"/>
      <c r="G23" s="299">
        <f>Therms!P22</f>
        <v>44508541</v>
      </c>
      <c r="H23" s="43">
        <f>'[1]Sch. 88T Rate Design'!$F$26</f>
        <v>1310923.79</v>
      </c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302">
        <f t="shared" si="1"/>
        <v>1310923.79</v>
      </c>
    </row>
    <row r="24" spans="2:21" x14ac:dyDescent="0.25">
      <c r="B24" t="s">
        <v>13</v>
      </c>
      <c r="D24" s="299">
        <f>'Exh JDT-5 (JDT-INTRPL-RD)'!D168</f>
        <v>32154478.538398605</v>
      </c>
      <c r="E24" s="43">
        <f>'Exh JDT-5 (JDT-INTRPL-RD)'!I168</f>
        <v>1699064.4523564125</v>
      </c>
      <c r="F24" s="274">
        <f t="shared" si="3"/>
        <v>5.2840678175744761E-2</v>
      </c>
      <c r="G24" s="299">
        <f>Therms!P23</f>
        <v>30967900</v>
      </c>
      <c r="H24" s="8">
        <f t="shared" si="2"/>
        <v>1636364.8376786462</v>
      </c>
      <c r="I24" s="43"/>
      <c r="J24" s="43"/>
      <c r="K24" s="43"/>
      <c r="L24" s="43"/>
      <c r="M24" s="43">
        <f>'Sch. 140'!F21</f>
        <v>29109.826000000001</v>
      </c>
      <c r="N24" s="43"/>
      <c r="O24" s="43"/>
      <c r="P24" s="43">
        <f>'Sch. 141N'!J40</f>
        <v>0</v>
      </c>
      <c r="Q24" s="43">
        <f>'Sch. 141R'!F39</f>
        <v>0</v>
      </c>
      <c r="R24" s="43">
        <f>'Sch. 141Z'!F21</f>
        <v>-2167.7529999999997</v>
      </c>
      <c r="S24" s="43"/>
      <c r="T24" s="302">
        <f t="shared" si="1"/>
        <v>1663306.9106786461</v>
      </c>
    </row>
    <row r="25" spans="2:21" x14ac:dyDescent="0.25">
      <c r="B25" t="s">
        <v>6</v>
      </c>
      <c r="D25" s="10">
        <f>SUM(D11:D24)</f>
        <v>1172906987.060853</v>
      </c>
      <c r="E25" s="11">
        <f>SUM(E11:E24)</f>
        <v>567196461.71043551</v>
      </c>
      <c r="F25" s="6">
        <f t="shared" si="3"/>
        <v>0.48358179119706113</v>
      </c>
      <c r="G25" s="10">
        <f>SUM(G11:G24)</f>
        <v>1252743002.407835</v>
      </c>
      <c r="H25" s="11">
        <f>SUM(H11:H24)</f>
        <v>594417288.60528994</v>
      </c>
      <c r="I25" s="11">
        <f t="shared" ref="I25:K25" si="4">SUM(I11:I24)</f>
        <v>650197665.09000003</v>
      </c>
      <c r="J25" s="11">
        <f t="shared" si="4"/>
        <v>39957730.340000004</v>
      </c>
      <c r="K25" s="11">
        <f t="shared" si="4"/>
        <v>28361951.350889262</v>
      </c>
      <c r="L25" s="11">
        <f>SUM(L11:L24)</f>
        <v>2875705.7614671448</v>
      </c>
      <c r="M25" s="11">
        <f>SUM(M11:M24)</f>
        <v>22637075.028517537</v>
      </c>
      <c r="N25" s="11">
        <f>SUM(N11:N24)</f>
        <v>2911735.3636916094</v>
      </c>
      <c r="O25" s="11">
        <f>SUM(O11:O24)</f>
        <v>0</v>
      </c>
      <c r="P25" s="11">
        <f t="shared" ref="P25:Q25" si="5">SUM(P11:P24)</f>
        <v>-1597472.4563188648</v>
      </c>
      <c r="Q25" s="11">
        <f t="shared" si="5"/>
        <v>45711575.808555327</v>
      </c>
      <c r="R25" s="11">
        <f>SUM(R11:R24)</f>
        <v>-1330553.3024470967</v>
      </c>
      <c r="S25" s="11">
        <f t="shared" ref="S25:T25" si="6">SUM(S11:S24)</f>
        <v>-4584762.0100000007</v>
      </c>
      <c r="T25" s="308">
        <f t="shared" si="6"/>
        <v>1379557939.5796452</v>
      </c>
      <c r="U25" s="8"/>
    </row>
    <row r="26" spans="2:21" x14ac:dyDescent="0.25">
      <c r="D26" s="15"/>
      <c r="E26" s="8"/>
      <c r="G26" s="15"/>
      <c r="L26" s="8"/>
      <c r="R26" s="8"/>
      <c r="S26" s="8"/>
      <c r="T26" s="8"/>
    </row>
    <row r="27" spans="2:21" s="13" customFormat="1" x14ac:dyDescent="0.25">
      <c r="B27" s="334" t="s">
        <v>214</v>
      </c>
      <c r="C27" s="16"/>
      <c r="D27" s="275"/>
      <c r="E27" s="276"/>
    </row>
    <row r="28" spans="2:21" s="13" customFormat="1" x14ac:dyDescent="0.25">
      <c r="B28" s="63" t="s">
        <v>7</v>
      </c>
      <c r="C28" s="415" t="s">
        <v>256</v>
      </c>
      <c r="D28" s="277">
        <f>D11+D12</f>
        <v>620844874.32387137</v>
      </c>
      <c r="E28" s="17">
        <f>E11+E12</f>
        <v>403618690.2447409</v>
      </c>
      <c r="F28" s="6">
        <f t="shared" ref="F28:F36" si="7">(E28)/D28</f>
        <v>0.65011197955737365</v>
      </c>
      <c r="G28" s="411">
        <f>G11+G12</f>
        <v>639473381</v>
      </c>
      <c r="H28" s="17">
        <f>H11+H12</f>
        <v>415729301.17512077</v>
      </c>
      <c r="I28" s="17">
        <f t="shared" ref="I28:S28" si="8">I11+I12</f>
        <v>441357479.17000002</v>
      </c>
      <c r="J28" s="17">
        <f t="shared" si="8"/>
        <v>25809145.66</v>
      </c>
      <c r="K28" s="17">
        <f t="shared" si="8"/>
        <v>18384859.703750003</v>
      </c>
      <c r="L28" s="17">
        <f t="shared" si="8"/>
        <v>2020707.97484</v>
      </c>
      <c r="M28" s="17">
        <f t="shared" si="8"/>
        <v>14611966.75585</v>
      </c>
      <c r="N28" s="17">
        <f t="shared" si="8"/>
        <v>2014341.1501500001</v>
      </c>
      <c r="O28" s="17">
        <f t="shared" ref="O28" si="9">O11+O12</f>
        <v>0</v>
      </c>
      <c r="P28" s="17">
        <f t="shared" ref="P28:Q28" si="10">P11+P12</f>
        <v>-1087104.7476999999</v>
      </c>
      <c r="Q28" s="17">
        <f t="shared" si="10"/>
        <v>31110379.985649999</v>
      </c>
      <c r="R28" s="17">
        <f t="shared" si="8"/>
        <v>-876078.53197000001</v>
      </c>
      <c r="S28" s="17">
        <f t="shared" si="8"/>
        <v>2967115.51</v>
      </c>
      <c r="T28" s="17">
        <f>T11+T12</f>
        <v>952042113.805691</v>
      </c>
      <c r="U28" s="18"/>
    </row>
    <row r="29" spans="2:21" s="13" customFormat="1" x14ac:dyDescent="0.25">
      <c r="B29" s="19" t="s">
        <v>48</v>
      </c>
      <c r="C29" s="415" t="s">
        <v>257</v>
      </c>
      <c r="D29" s="277">
        <f t="shared" ref="D29:E33" si="11">D13+D18</f>
        <v>222203870.67539161</v>
      </c>
      <c r="E29" s="17">
        <f t="shared" si="11"/>
        <v>122144982.04000001</v>
      </c>
      <c r="F29" s="6">
        <f t="shared" si="7"/>
        <v>0.54969781430331843</v>
      </c>
      <c r="G29" s="411">
        <f t="shared" ref="G29:H33" si="12">G13+G18</f>
        <v>245970110</v>
      </c>
      <c r="H29" s="17">
        <f t="shared" si="12"/>
        <v>135208532.9830642</v>
      </c>
      <c r="I29" s="17">
        <f t="shared" ref="I29:S29" si="13">I13+I18</f>
        <v>149541532.56</v>
      </c>
      <c r="J29" s="17">
        <f t="shared" si="13"/>
        <v>9923527.4100000001</v>
      </c>
      <c r="K29" s="17">
        <f t="shared" si="13"/>
        <v>7070666.9862500001</v>
      </c>
      <c r="L29" s="17">
        <f t="shared" si="13"/>
        <v>656740.19370000006</v>
      </c>
      <c r="M29" s="17">
        <f t="shared" si="13"/>
        <v>6181228.8642999995</v>
      </c>
      <c r="N29" s="17">
        <f t="shared" si="13"/>
        <v>710755.74227000005</v>
      </c>
      <c r="O29" s="17">
        <f t="shared" ref="O29" si="14">O13+O18</f>
        <v>0</v>
      </c>
      <c r="P29" s="17">
        <f t="shared" ref="P29:Q29" si="15">P13+P18</f>
        <v>-386173.07270000002</v>
      </c>
      <c r="Q29" s="17">
        <f t="shared" si="15"/>
        <v>11046517.6401</v>
      </c>
      <c r="R29" s="17">
        <f t="shared" si="13"/>
        <v>-361576.06169999996</v>
      </c>
      <c r="S29" s="17">
        <f t="shared" si="13"/>
        <v>-4380708.7</v>
      </c>
      <c r="T29" s="17">
        <f>T13+T18</f>
        <v>315211044.54528415</v>
      </c>
    </row>
    <row r="30" spans="2:21" s="13" customFormat="1" x14ac:dyDescent="0.25">
      <c r="B30" s="63" t="s">
        <v>49</v>
      </c>
      <c r="C30" s="415" t="s">
        <v>258</v>
      </c>
      <c r="D30" s="277">
        <f t="shared" si="11"/>
        <v>82012496.764967203</v>
      </c>
      <c r="E30" s="17">
        <f t="shared" si="11"/>
        <v>22261797.053338237</v>
      </c>
      <c r="F30" s="6">
        <f t="shared" si="7"/>
        <v>0.27144396197492282</v>
      </c>
      <c r="G30" s="411">
        <f t="shared" si="12"/>
        <v>93400775</v>
      </c>
      <c r="H30" s="17">
        <f t="shared" si="12"/>
        <v>25116406.569589421</v>
      </c>
      <c r="I30" s="17">
        <f t="shared" ref="I30:S30" si="16">I14+I19</f>
        <v>38416438.039999999</v>
      </c>
      <c r="J30" s="17">
        <f t="shared" si="16"/>
        <v>2694350.99</v>
      </c>
      <c r="K30" s="17">
        <f t="shared" si="16"/>
        <v>1923103.0537500002</v>
      </c>
      <c r="L30" s="17">
        <f t="shared" si="16"/>
        <v>120486.99974999999</v>
      </c>
      <c r="M30" s="17">
        <f t="shared" si="16"/>
        <v>937743.78100000008</v>
      </c>
      <c r="N30" s="17">
        <f t="shared" si="16"/>
        <v>147159.19020000001</v>
      </c>
      <c r="O30" s="17">
        <f t="shared" ref="O30" si="17">O14+O19</f>
        <v>0</v>
      </c>
      <c r="P30" s="17">
        <f t="shared" ref="P30:Q30" si="18">P14+P19</f>
        <v>-70050.581250000003</v>
      </c>
      <c r="Q30" s="17">
        <f t="shared" si="18"/>
        <v>2005314.63925</v>
      </c>
      <c r="R30" s="17">
        <f t="shared" si="16"/>
        <v>-52304.433999999994</v>
      </c>
      <c r="S30" s="17">
        <f t="shared" si="16"/>
        <v>-3008486.99</v>
      </c>
      <c r="T30" s="17">
        <f>T14+T19</f>
        <v>68230161.258289427</v>
      </c>
    </row>
    <row r="31" spans="2:21" s="13" customFormat="1" x14ac:dyDescent="0.25">
      <c r="B31" s="63" t="s">
        <v>10</v>
      </c>
      <c r="C31" s="415" t="s">
        <v>259</v>
      </c>
      <c r="D31" s="277">
        <f t="shared" si="11"/>
        <v>88879730.522699013</v>
      </c>
      <c r="E31" s="17">
        <f t="shared" si="11"/>
        <v>9611990.370000001</v>
      </c>
      <c r="F31" s="6">
        <f t="shared" si="7"/>
        <v>0.10814603412355298</v>
      </c>
      <c r="G31" s="411">
        <f t="shared" si="12"/>
        <v>73034304</v>
      </c>
      <c r="H31" s="17">
        <f t="shared" si="12"/>
        <v>7857969.2101335442</v>
      </c>
      <c r="I31" s="17">
        <f t="shared" ref="I31:S31" si="19">I15+I20</f>
        <v>5885111.5800000001</v>
      </c>
      <c r="J31" s="17">
        <f t="shared" si="19"/>
        <v>432179.1</v>
      </c>
      <c r="K31" s="17">
        <f t="shared" si="19"/>
        <v>277660.56751999998</v>
      </c>
      <c r="L31" s="17">
        <f t="shared" si="19"/>
        <v>43382.717944579235</v>
      </c>
      <c r="M31" s="17">
        <f t="shared" si="19"/>
        <v>386351.46816000005</v>
      </c>
      <c r="N31" s="17">
        <f t="shared" si="19"/>
        <v>19878.9493</v>
      </c>
      <c r="O31" s="17">
        <f t="shared" ref="O31" si="20">O15+O20</f>
        <v>0</v>
      </c>
      <c r="P31" s="17">
        <f t="shared" ref="P31:Q31" si="21">P15+P20</f>
        <v>-32865.436800000003</v>
      </c>
      <c r="Q31" s="17">
        <f t="shared" si="21"/>
        <v>932648.06208000006</v>
      </c>
      <c r="R31" s="17">
        <f t="shared" si="19"/>
        <v>-19719.26208</v>
      </c>
      <c r="S31" s="17">
        <f t="shared" si="19"/>
        <v>0</v>
      </c>
      <c r="T31" s="17">
        <f>T15+T20</f>
        <v>15782596.956258126</v>
      </c>
    </row>
    <row r="32" spans="2:21" s="13" customFormat="1" x14ac:dyDescent="0.25">
      <c r="B32" s="63" t="s">
        <v>262</v>
      </c>
      <c r="C32" s="415" t="s">
        <v>260</v>
      </c>
      <c r="D32" s="277">
        <f t="shared" si="11"/>
        <v>7491654.8276905455</v>
      </c>
      <c r="E32" s="17">
        <f t="shared" si="11"/>
        <v>1560031.02</v>
      </c>
      <c r="F32" s="6">
        <f t="shared" si="7"/>
        <v>0.20823583785972574</v>
      </c>
      <c r="G32" s="411">
        <f t="shared" si="12"/>
        <v>6068110</v>
      </c>
      <c r="H32" s="17">
        <f t="shared" si="12"/>
        <v>1257883.5097033863</v>
      </c>
      <c r="I32" s="17">
        <f t="shared" ref="I32:S32" si="22">I16+I21</f>
        <v>3064043.3800000004</v>
      </c>
      <c r="J32" s="17">
        <f t="shared" si="22"/>
        <v>220948.67</v>
      </c>
      <c r="K32" s="17">
        <f t="shared" si="22"/>
        <v>141846.30271999998</v>
      </c>
      <c r="L32" s="17">
        <f t="shared" si="22"/>
        <v>6796.2831999999999</v>
      </c>
      <c r="M32" s="17">
        <f t="shared" si="22"/>
        <v>40838.380299999997</v>
      </c>
      <c r="N32" s="17">
        <f t="shared" si="22"/>
        <v>2689.8099199999997</v>
      </c>
      <c r="O32" s="17">
        <f t="shared" ref="O32" si="23">O16+O21</f>
        <v>0</v>
      </c>
      <c r="P32" s="17">
        <f t="shared" ref="P32:Q32" si="24">P16+P21</f>
        <v>-2184.5196000000001</v>
      </c>
      <c r="Q32" s="17">
        <f t="shared" si="24"/>
        <v>63169.025099999999</v>
      </c>
      <c r="R32" s="17">
        <f t="shared" si="22"/>
        <v>-2002.4762999999998</v>
      </c>
      <c r="S32" s="17">
        <f t="shared" si="22"/>
        <v>-162681.82999999999</v>
      </c>
      <c r="T32" s="17">
        <f>T16+T21</f>
        <v>4631346.5350433858</v>
      </c>
    </row>
    <row r="33" spans="2:20" s="13" customFormat="1" x14ac:dyDescent="0.25">
      <c r="B33" s="12" t="s">
        <v>263</v>
      </c>
      <c r="C33" s="415" t="s">
        <v>261</v>
      </c>
      <c r="D33" s="277">
        <f t="shared" si="11"/>
        <v>119319881.40783478</v>
      </c>
      <c r="E33" s="17">
        <f t="shared" si="11"/>
        <v>6299906.5299999993</v>
      </c>
      <c r="F33" s="6">
        <f t="shared" si="7"/>
        <v>5.2798464561550719E-2</v>
      </c>
      <c r="G33" s="411">
        <f t="shared" si="12"/>
        <v>119319881.40783478</v>
      </c>
      <c r="H33" s="17">
        <f t="shared" si="12"/>
        <v>6299906.5299999993</v>
      </c>
      <c r="I33" s="17">
        <f t="shared" ref="I33:S33" si="25">I17+I22</f>
        <v>11933060.359999999</v>
      </c>
      <c r="J33" s="17">
        <f t="shared" si="25"/>
        <v>877578.51</v>
      </c>
      <c r="K33" s="17">
        <f t="shared" si="25"/>
        <v>563814.73689925845</v>
      </c>
      <c r="L33" s="17">
        <f t="shared" si="25"/>
        <v>27591.592032565211</v>
      </c>
      <c r="M33" s="17">
        <f t="shared" si="25"/>
        <v>449835.95290753711</v>
      </c>
      <c r="N33" s="17">
        <f t="shared" si="25"/>
        <v>16910.521851609072</v>
      </c>
      <c r="O33" s="17">
        <f t="shared" ref="O33" si="26">O17+O22</f>
        <v>0</v>
      </c>
      <c r="P33" s="17">
        <f t="shared" ref="P33:Q33" si="27">P17+P22</f>
        <v>-19094.09826886504</v>
      </c>
      <c r="Q33" s="17">
        <f t="shared" si="27"/>
        <v>553546.45637533942</v>
      </c>
      <c r="R33" s="17">
        <f t="shared" si="25"/>
        <v>-16704.783397096868</v>
      </c>
      <c r="S33" s="17">
        <f t="shared" si="25"/>
        <v>0</v>
      </c>
      <c r="T33" s="17">
        <f>T17+T22</f>
        <v>20686445.778400347</v>
      </c>
    </row>
    <row r="34" spans="2:20" s="13" customFormat="1" x14ac:dyDescent="0.25">
      <c r="B34" t="s">
        <v>449</v>
      </c>
      <c r="C34" s="431" t="s">
        <v>343</v>
      </c>
      <c r="D34" s="411">
        <f>D23</f>
        <v>0</v>
      </c>
      <c r="E34" s="411">
        <f t="shared" ref="E34:T34" si="28">E23</f>
        <v>0</v>
      </c>
      <c r="F34" s="411">
        <f t="shared" si="28"/>
        <v>0</v>
      </c>
      <c r="G34" s="411">
        <f t="shared" si="28"/>
        <v>44508541</v>
      </c>
      <c r="H34" s="411">
        <f t="shared" si="28"/>
        <v>1310923.79</v>
      </c>
      <c r="I34" s="411">
        <f t="shared" si="28"/>
        <v>0</v>
      </c>
      <c r="J34" s="411">
        <f t="shared" si="28"/>
        <v>0</v>
      </c>
      <c r="K34" s="411">
        <f t="shared" si="28"/>
        <v>0</v>
      </c>
      <c r="L34" s="411">
        <f t="shared" si="28"/>
        <v>0</v>
      </c>
      <c r="M34" s="411">
        <f t="shared" si="28"/>
        <v>0</v>
      </c>
      <c r="N34" s="411">
        <f t="shared" si="28"/>
        <v>0</v>
      </c>
      <c r="O34" s="411">
        <f t="shared" si="28"/>
        <v>0</v>
      </c>
      <c r="P34" s="411">
        <f t="shared" si="28"/>
        <v>0</v>
      </c>
      <c r="Q34" s="411">
        <f t="shared" si="28"/>
        <v>0</v>
      </c>
      <c r="R34" s="411">
        <f t="shared" si="28"/>
        <v>0</v>
      </c>
      <c r="S34" s="411">
        <f t="shared" si="28"/>
        <v>0</v>
      </c>
      <c r="T34" s="411">
        <f t="shared" si="28"/>
        <v>1310923.79</v>
      </c>
    </row>
    <row r="35" spans="2:20" s="13" customFormat="1" x14ac:dyDescent="0.25">
      <c r="B35" s="12" t="s">
        <v>13</v>
      </c>
      <c r="C35" s="63"/>
      <c r="D35" s="277">
        <f>D24</f>
        <v>32154478.538398605</v>
      </c>
      <c r="E35" s="17">
        <f>E24</f>
        <v>1699064.4523564125</v>
      </c>
      <c r="F35" s="6">
        <f t="shared" si="7"/>
        <v>5.2840678175744761E-2</v>
      </c>
      <c r="G35" s="411">
        <f>G24</f>
        <v>30967900</v>
      </c>
      <c r="H35" s="17">
        <f>H24</f>
        <v>1636364.8376786462</v>
      </c>
      <c r="I35" s="17">
        <f t="shared" ref="I35:S35" si="29">I24</f>
        <v>0</v>
      </c>
      <c r="J35" s="17">
        <f t="shared" si="29"/>
        <v>0</v>
      </c>
      <c r="K35" s="17">
        <f t="shared" si="29"/>
        <v>0</v>
      </c>
      <c r="L35" s="17">
        <f t="shared" si="29"/>
        <v>0</v>
      </c>
      <c r="M35" s="17">
        <f t="shared" si="29"/>
        <v>29109.826000000001</v>
      </c>
      <c r="N35" s="17">
        <f t="shared" si="29"/>
        <v>0</v>
      </c>
      <c r="O35" s="17">
        <f t="shared" ref="O35" si="30">O24</f>
        <v>0</v>
      </c>
      <c r="P35" s="17">
        <f t="shared" ref="P35:Q35" si="31">P24</f>
        <v>0</v>
      </c>
      <c r="Q35" s="17">
        <f t="shared" si="31"/>
        <v>0</v>
      </c>
      <c r="R35" s="17">
        <f t="shared" si="29"/>
        <v>-2167.7529999999997</v>
      </c>
      <c r="S35" s="17">
        <f t="shared" si="29"/>
        <v>0</v>
      </c>
      <c r="T35" s="17">
        <f>T24</f>
        <v>1663306.9106786461</v>
      </c>
    </row>
    <row r="36" spans="2:20" s="13" customFormat="1" x14ac:dyDescent="0.25">
      <c r="B36" s="12" t="s">
        <v>6</v>
      </c>
      <c r="C36" s="12"/>
      <c r="D36" s="278">
        <f>SUM(D28:D35)</f>
        <v>1172906987.0608532</v>
      </c>
      <c r="E36" s="21">
        <f>SUM(E28:E35)</f>
        <v>567196461.71043563</v>
      </c>
      <c r="F36" s="372">
        <f t="shared" si="7"/>
        <v>0.48358179119706113</v>
      </c>
      <c r="G36" s="412">
        <f>SUM(G28:G35)</f>
        <v>1252743002.4078348</v>
      </c>
      <c r="H36" s="21">
        <f>SUM(H28:H35)</f>
        <v>594417288.60528994</v>
      </c>
      <c r="I36" s="21">
        <f t="shared" ref="I36:S36" si="32">SUM(I28:I35)</f>
        <v>650197665.09000003</v>
      </c>
      <c r="J36" s="21">
        <f t="shared" si="32"/>
        <v>39957730.340000004</v>
      </c>
      <c r="K36" s="21">
        <f t="shared" si="32"/>
        <v>28361951.350889262</v>
      </c>
      <c r="L36" s="21">
        <f t="shared" si="32"/>
        <v>2875705.7614671444</v>
      </c>
      <c r="M36" s="21">
        <f t="shared" si="32"/>
        <v>22637075.028517537</v>
      </c>
      <c r="N36" s="21">
        <f t="shared" si="32"/>
        <v>2911735.3636916094</v>
      </c>
      <c r="O36" s="21">
        <f t="shared" ref="O36" si="33">SUM(O28:O35)</f>
        <v>0</v>
      </c>
      <c r="P36" s="21">
        <f t="shared" ref="P36:Q36" si="34">SUM(P28:P35)</f>
        <v>-1597472.4563188653</v>
      </c>
      <c r="Q36" s="21">
        <f t="shared" si="34"/>
        <v>45711575.808555342</v>
      </c>
      <c r="R36" s="21">
        <f t="shared" si="32"/>
        <v>-1330553.3024470967</v>
      </c>
      <c r="S36" s="21">
        <f t="shared" si="32"/>
        <v>-4584762.0100000007</v>
      </c>
      <c r="T36" s="21">
        <f>SUM(T28:T35)</f>
        <v>1379557939.5796449</v>
      </c>
    </row>
    <row r="37" spans="2:20" s="13" customFormat="1" x14ac:dyDescent="0.25">
      <c r="B37" s="14"/>
      <c r="C37" s="14"/>
      <c r="D37" s="14"/>
      <c r="E37" s="14"/>
      <c r="F37" s="14"/>
      <c r="I37" s="20"/>
      <c r="L37" s="14"/>
      <c r="N37" s="14"/>
      <c r="O37" s="14"/>
      <c r="P37" s="14"/>
      <c r="Q37" s="14"/>
      <c r="R37" s="14"/>
      <c r="S37" s="14"/>
      <c r="T37" s="14"/>
    </row>
    <row r="38" spans="2:20" ht="17.25" x14ac:dyDescent="0.25">
      <c r="B38" t="s">
        <v>277</v>
      </c>
    </row>
    <row r="39" spans="2:20" ht="17.25" x14ac:dyDescent="0.25">
      <c r="B39" t="s">
        <v>308</v>
      </c>
    </row>
  </sheetData>
  <printOptions horizontalCentered="1"/>
  <pageMargins left="0.45" right="0.45" top="0.75" bottom="0.75" header="0.3" footer="0.3"/>
  <pageSetup paperSize="5" scale="59" orientation="landscape" blackAndWhite="1" r:id="rId1"/>
  <headerFooter>
    <oddFooter>&amp;L&amp;F 
&amp;A&amp;C&amp;P&amp;R&amp;D</oddFooter>
  </headerFooter>
  <customProperties>
    <customPr name="_pios_id" r:id="rId2"/>
    <customPr name="EpmWorksheetKeyString_GUID" r:id="rId3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zoomScale="90" zoomScaleNormal="90" workbookViewId="0">
      <pane ySplit="8" topLeftCell="A9" activePane="bottomLeft" state="frozen"/>
      <selection activeCell="D40" sqref="D40"/>
      <selection pane="bottomLeft" activeCell="L4" sqref="L4"/>
    </sheetView>
  </sheetViews>
  <sheetFormatPr defaultColWidth="8.7109375" defaultRowHeight="15" x14ac:dyDescent="0.25"/>
  <cols>
    <col min="1" max="1" width="3.28515625" style="1" customWidth="1"/>
    <col min="2" max="2" width="38.7109375" style="1" customWidth="1"/>
    <col min="3" max="3" width="9.140625" style="1" bestFit="1" customWidth="1"/>
    <col min="4" max="4" width="18.5703125" style="1" bestFit="1" customWidth="1"/>
    <col min="5" max="6" width="13.7109375" style="1" customWidth="1"/>
    <col min="7" max="9" width="14.42578125" style="1" customWidth="1"/>
    <col min="10" max="10" width="7.85546875" style="1" bestFit="1" customWidth="1"/>
    <col min="11" max="11" width="8.7109375" style="1"/>
    <col min="12" max="12" width="12.28515625" style="1" bestFit="1" customWidth="1"/>
    <col min="13" max="16384" width="8.7109375" style="1"/>
  </cols>
  <sheetData>
    <row r="1" spans="1:12" s="58" customFormat="1" ht="15" customHeight="1" x14ac:dyDescent="0.25">
      <c r="A1" s="639" t="s">
        <v>0</v>
      </c>
      <c r="B1" s="639"/>
      <c r="C1" s="639"/>
      <c r="D1" s="639"/>
      <c r="E1" s="639"/>
      <c r="F1" s="639"/>
      <c r="G1" s="639"/>
      <c r="H1" s="639"/>
      <c r="I1" s="639"/>
      <c r="J1" s="639"/>
      <c r="K1" s="47"/>
    </row>
    <row r="2" spans="1:12" s="58" customFormat="1" ht="15" customHeight="1" x14ac:dyDescent="0.25">
      <c r="A2" s="639" t="s">
        <v>201</v>
      </c>
      <c r="B2" s="639"/>
      <c r="C2" s="639"/>
      <c r="D2" s="639"/>
      <c r="E2" s="639"/>
      <c r="F2" s="639"/>
      <c r="G2" s="639"/>
      <c r="H2" s="639"/>
      <c r="I2" s="639"/>
      <c r="J2" s="639"/>
      <c r="K2" s="47"/>
    </row>
    <row r="3" spans="1:12" s="58" customFormat="1" ht="15" customHeight="1" x14ac:dyDescent="0.25">
      <c r="A3" s="639" t="s">
        <v>202</v>
      </c>
      <c r="B3" s="639"/>
      <c r="C3" s="639"/>
      <c r="D3" s="639"/>
      <c r="E3" s="639"/>
      <c r="F3" s="639"/>
      <c r="G3" s="639"/>
      <c r="H3" s="639"/>
      <c r="I3" s="639"/>
      <c r="J3" s="639"/>
      <c r="K3" s="47"/>
    </row>
    <row r="4" spans="1:12" s="58" customFormat="1" ht="15" customHeight="1" x14ac:dyDescent="0.25">
      <c r="A4" s="634" t="s">
        <v>266</v>
      </c>
      <c r="B4" s="634"/>
      <c r="C4" s="634"/>
      <c r="D4" s="634"/>
      <c r="E4" s="634"/>
      <c r="F4" s="634"/>
      <c r="G4" s="634"/>
      <c r="H4" s="634"/>
      <c r="I4" s="634"/>
      <c r="J4" s="634"/>
      <c r="K4" s="47"/>
    </row>
    <row r="5" spans="1:12" x14ac:dyDescent="0.25">
      <c r="E5" s="338"/>
      <c r="F5" s="338"/>
    </row>
    <row r="6" spans="1:12" x14ac:dyDescent="0.25">
      <c r="B6" s="288"/>
      <c r="C6" s="288"/>
      <c r="D6" s="288" t="s">
        <v>15</v>
      </c>
      <c r="E6" s="288" t="s">
        <v>5</v>
      </c>
      <c r="F6" s="288" t="s">
        <v>1</v>
      </c>
      <c r="G6" s="288" t="s">
        <v>15</v>
      </c>
      <c r="H6" s="288" t="s">
        <v>15</v>
      </c>
      <c r="I6" s="288" t="s">
        <v>18</v>
      </c>
      <c r="J6" s="288"/>
    </row>
    <row r="7" spans="1:12" x14ac:dyDescent="0.25">
      <c r="B7" s="288"/>
      <c r="C7" s="288"/>
      <c r="D7" s="288" t="s">
        <v>3</v>
      </c>
      <c r="E7" s="288" t="s">
        <v>18</v>
      </c>
      <c r="F7" s="288" t="s">
        <v>18</v>
      </c>
      <c r="G7" s="288" t="s">
        <v>2</v>
      </c>
      <c r="H7" s="288" t="s">
        <v>2</v>
      </c>
      <c r="I7" s="288" t="s">
        <v>2</v>
      </c>
      <c r="J7" s="288" t="s">
        <v>20</v>
      </c>
    </row>
    <row r="8" spans="1:12" x14ac:dyDescent="0.25">
      <c r="A8" s="280"/>
      <c r="B8" s="272" t="s">
        <v>102</v>
      </c>
      <c r="C8" s="272" t="s">
        <v>115</v>
      </c>
      <c r="D8" s="252" t="str">
        <f>'Current Revenue Calc.'!$T$7</f>
        <v>12ME Oct. 2024</v>
      </c>
      <c r="E8" s="333" t="s">
        <v>22</v>
      </c>
      <c r="F8" s="333" t="s">
        <v>22</v>
      </c>
      <c r="G8" s="333" t="s">
        <v>23</v>
      </c>
      <c r="H8" s="333" t="s">
        <v>182</v>
      </c>
      <c r="I8" s="339" t="s">
        <v>24</v>
      </c>
      <c r="J8" s="333" t="s">
        <v>24</v>
      </c>
    </row>
    <row r="9" spans="1:12" x14ac:dyDescent="0.25">
      <c r="A9" s="50" t="s">
        <v>103</v>
      </c>
      <c r="B9" s="58"/>
      <c r="C9" s="50"/>
      <c r="D9" s="288"/>
      <c r="E9" s="288"/>
      <c r="F9" s="288"/>
      <c r="G9" s="332"/>
      <c r="H9" s="332"/>
      <c r="I9" s="288"/>
      <c r="J9" s="288"/>
    </row>
    <row r="10" spans="1:12" x14ac:dyDescent="0.25">
      <c r="A10" s="58"/>
      <c r="B10" s="59" t="s">
        <v>118</v>
      </c>
      <c r="C10" s="59" t="s">
        <v>119</v>
      </c>
      <c r="D10" s="54">
        <f>Therms!P10</f>
        <v>639464549</v>
      </c>
      <c r="E10" s="7">
        <v>0.69018999999999997</v>
      </c>
      <c r="F10" s="7">
        <v>0.69018999999999997</v>
      </c>
      <c r="G10" s="281">
        <f>ROUND(E10*D10,2)</f>
        <v>441352037.06999999</v>
      </c>
      <c r="H10" s="281">
        <f>ROUND(F10*D10,2)</f>
        <v>441352037.06999999</v>
      </c>
      <c r="I10" s="289">
        <f>H10-G10</f>
        <v>0</v>
      </c>
      <c r="J10" s="2">
        <f>I10/G10</f>
        <v>0</v>
      </c>
      <c r="L10" s="289"/>
    </row>
    <row r="11" spans="1:12" x14ac:dyDescent="0.25">
      <c r="A11" s="58"/>
      <c r="B11" s="51"/>
      <c r="C11" s="51"/>
      <c r="D11" s="54"/>
      <c r="E11" s="284"/>
      <c r="F11" s="284"/>
      <c r="G11" s="281"/>
      <c r="H11" s="281"/>
      <c r="I11" s="289"/>
      <c r="J11" s="2"/>
    </row>
    <row r="12" spans="1:12" x14ac:dyDescent="0.25">
      <c r="A12" s="52" t="s">
        <v>104</v>
      </c>
      <c r="B12" s="58"/>
      <c r="C12" s="50"/>
      <c r="D12" s="54"/>
      <c r="E12" s="284"/>
      <c r="F12" s="284"/>
      <c r="G12" s="281"/>
      <c r="H12" s="281"/>
      <c r="I12" s="289"/>
      <c r="J12" s="2"/>
    </row>
    <row r="13" spans="1:12" x14ac:dyDescent="0.25">
      <c r="A13" s="58"/>
      <c r="B13" s="59" t="s">
        <v>118</v>
      </c>
      <c r="C13" s="57" t="s">
        <v>119</v>
      </c>
      <c r="D13" s="64">
        <f>Therms!P9</f>
        <v>8832</v>
      </c>
      <c r="E13" s="284">
        <v>0.61617999999999995</v>
      </c>
      <c r="F13" s="284">
        <v>0.61617999999999995</v>
      </c>
      <c r="G13" s="281">
        <f>ROUND(E13*D13,2)</f>
        <v>5442.1</v>
      </c>
      <c r="H13" s="281">
        <f>ROUND(F13*D13,2)</f>
        <v>5442.1</v>
      </c>
      <c r="I13" s="289">
        <f>H13-G13</f>
        <v>0</v>
      </c>
      <c r="J13" s="2">
        <f>I13/G13</f>
        <v>0</v>
      </c>
      <c r="L13" s="289"/>
    </row>
    <row r="14" spans="1:12" x14ac:dyDescent="0.25">
      <c r="A14" s="58"/>
      <c r="B14" s="298"/>
      <c r="C14" s="298"/>
      <c r="D14" s="298"/>
      <c r="E14" s="298"/>
      <c r="F14" s="70"/>
      <c r="G14" s="298"/>
      <c r="H14" s="298"/>
      <c r="I14" s="298"/>
      <c r="J14" s="298"/>
    </row>
    <row r="15" spans="1:12" x14ac:dyDescent="0.25">
      <c r="A15" s="50" t="s">
        <v>105</v>
      </c>
      <c r="B15" s="58"/>
      <c r="C15" s="51"/>
      <c r="D15" s="282"/>
      <c r="E15" s="284"/>
      <c r="F15" s="284"/>
      <c r="G15" s="281"/>
      <c r="H15" s="281"/>
      <c r="I15" s="289"/>
      <c r="J15" s="2"/>
    </row>
    <row r="16" spans="1:12" x14ac:dyDescent="0.25">
      <c r="A16" s="58"/>
      <c r="B16" s="59" t="s">
        <v>118</v>
      </c>
      <c r="C16" s="59" t="s">
        <v>119</v>
      </c>
      <c r="D16" s="54">
        <f>Therms!P12</f>
        <v>245936243</v>
      </c>
      <c r="E16" s="7">
        <v>0.60804999999999998</v>
      </c>
      <c r="F16" s="7">
        <v>0.60804999999999998</v>
      </c>
      <c r="G16" s="281">
        <f>ROUND(E16*D16,2)</f>
        <v>149541532.56</v>
      </c>
      <c r="H16" s="281">
        <f>ROUND(F16*D16,2)</f>
        <v>149541532.56</v>
      </c>
      <c r="I16" s="289">
        <f>H16-G16</f>
        <v>0</v>
      </c>
      <c r="J16" s="2">
        <f>I16/G16</f>
        <v>0</v>
      </c>
      <c r="L16" s="289"/>
    </row>
    <row r="17" spans="1:13" x14ac:dyDescent="0.25">
      <c r="A17" s="58"/>
      <c r="B17" s="59"/>
      <c r="C17" s="59"/>
      <c r="D17" s="282"/>
      <c r="E17" s="284"/>
      <c r="F17" s="284"/>
      <c r="G17" s="281"/>
      <c r="H17" s="281"/>
      <c r="I17" s="289"/>
      <c r="J17" s="2"/>
    </row>
    <row r="18" spans="1:13" x14ac:dyDescent="0.25">
      <c r="A18" s="52" t="s">
        <v>106</v>
      </c>
      <c r="B18" s="58"/>
      <c r="C18" s="51"/>
      <c r="D18" s="282"/>
      <c r="E18" s="284"/>
      <c r="F18" s="284"/>
      <c r="G18" s="281"/>
      <c r="H18" s="281"/>
      <c r="I18" s="289"/>
      <c r="J18" s="2"/>
    </row>
    <row r="19" spans="1:13" x14ac:dyDescent="0.25">
      <c r="A19" s="58"/>
      <c r="B19" s="53" t="s">
        <v>51</v>
      </c>
      <c r="C19" s="59" t="s">
        <v>119</v>
      </c>
      <c r="D19" s="299">
        <f>Therms!P13</f>
        <v>66890541</v>
      </c>
      <c r="E19" s="7">
        <v>0.50080999999999998</v>
      </c>
      <c r="F19" s="7">
        <v>0.50080999999999998</v>
      </c>
      <c r="G19" s="281">
        <f t="shared" ref="G19:G20" si="0">ROUND(E19*D19,2)</f>
        <v>33499451.84</v>
      </c>
      <c r="H19" s="281">
        <f t="shared" ref="H19:H20" si="1">ROUND(F19*D19,2)</f>
        <v>33499451.84</v>
      </c>
      <c r="I19" s="289">
        <f t="shared" ref="I19:I20" si="2">H19-G19</f>
        <v>0</v>
      </c>
      <c r="J19" s="2">
        <f t="shared" ref="J19:J20" si="3">I19/G19</f>
        <v>0</v>
      </c>
    </row>
    <row r="20" spans="1:13" x14ac:dyDescent="0.25">
      <c r="A20" s="58"/>
      <c r="B20" s="53" t="s">
        <v>50</v>
      </c>
      <c r="C20" s="59" t="s">
        <v>100</v>
      </c>
      <c r="D20" s="54">
        <f>Demand!P13</f>
        <v>4682844</v>
      </c>
      <c r="E20" s="285">
        <v>1.05</v>
      </c>
      <c r="F20" s="285">
        <v>1.05</v>
      </c>
      <c r="G20" s="281">
        <f t="shared" si="0"/>
        <v>4916986.2</v>
      </c>
      <c r="H20" s="281">
        <f t="shared" si="1"/>
        <v>4916986.2</v>
      </c>
      <c r="I20" s="289">
        <f t="shared" si="2"/>
        <v>0</v>
      </c>
      <c r="J20" s="2">
        <f t="shared" si="3"/>
        <v>0</v>
      </c>
    </row>
    <row r="21" spans="1:13" x14ac:dyDescent="0.25">
      <c r="A21" s="58"/>
      <c r="B21" s="53" t="s">
        <v>6</v>
      </c>
      <c r="C21" s="59"/>
      <c r="D21" s="282"/>
      <c r="E21" s="284"/>
      <c r="F21" s="284"/>
      <c r="G21" s="45">
        <f>SUM(G19:G20)</f>
        <v>38416438.039999999</v>
      </c>
      <c r="H21" s="45">
        <f t="shared" ref="H21:I21" si="4">SUM(H19:H20)</f>
        <v>38416438.039999999</v>
      </c>
      <c r="I21" s="45">
        <f t="shared" si="4"/>
        <v>0</v>
      </c>
      <c r="J21" s="3">
        <f>I21/G21</f>
        <v>0</v>
      </c>
      <c r="L21" s="289"/>
    </row>
    <row r="22" spans="1:13" x14ac:dyDescent="0.25">
      <c r="A22" s="58"/>
      <c r="B22" s="53"/>
      <c r="C22" s="59"/>
      <c r="D22" s="282"/>
      <c r="E22" s="284"/>
      <c r="F22" s="284"/>
      <c r="G22" s="281"/>
      <c r="H22" s="281"/>
      <c r="I22" s="289"/>
      <c r="J22" s="2"/>
      <c r="L22" s="289"/>
    </row>
    <row r="23" spans="1:13" x14ac:dyDescent="0.25">
      <c r="A23" s="50" t="s">
        <v>108</v>
      </c>
      <c r="B23" s="58"/>
      <c r="C23" s="51"/>
      <c r="D23" s="282"/>
      <c r="E23" s="362"/>
      <c r="F23" s="284"/>
      <c r="G23" s="281"/>
      <c r="H23" s="281"/>
      <c r="I23" s="289"/>
      <c r="J23" s="283"/>
    </row>
    <row r="24" spans="1:13" s="58" customFormat="1" x14ac:dyDescent="0.25">
      <c r="B24" s="53" t="s">
        <v>51</v>
      </c>
      <c r="C24" s="59" t="s">
        <v>119</v>
      </c>
      <c r="D24" s="54">
        <f>Therms!P14</f>
        <v>10745378</v>
      </c>
      <c r="E24" s="7">
        <v>0.53844999999999998</v>
      </c>
      <c r="F24" s="7">
        <v>0.53844999999999998</v>
      </c>
      <c r="G24" s="281">
        <f t="shared" ref="G24:G25" si="5">ROUND(E24*D24,2)</f>
        <v>5785848.7800000003</v>
      </c>
      <c r="H24" s="281">
        <f t="shared" ref="H24:H25" si="6">ROUND(F24*D24,2)</f>
        <v>5785848.7800000003</v>
      </c>
      <c r="I24" s="289">
        <f t="shared" ref="I24:I25" si="7">H24-G24</f>
        <v>0</v>
      </c>
      <c r="J24" s="2">
        <f t="shared" ref="J24:J25" si="8">I24/G24</f>
        <v>0</v>
      </c>
    </row>
    <row r="25" spans="1:13" s="58" customFormat="1" x14ac:dyDescent="0.25">
      <c r="B25" s="53" t="s">
        <v>50</v>
      </c>
      <c r="C25" s="59" t="s">
        <v>100</v>
      </c>
      <c r="D25" s="54">
        <f>Demand!P14</f>
        <v>94536</v>
      </c>
      <c r="E25" s="285">
        <v>1.05</v>
      </c>
      <c r="F25" s="285">
        <v>1.05</v>
      </c>
      <c r="G25" s="281">
        <f t="shared" si="5"/>
        <v>99262.8</v>
      </c>
      <c r="H25" s="281">
        <f t="shared" si="6"/>
        <v>99262.8</v>
      </c>
      <c r="I25" s="289">
        <f t="shared" si="7"/>
        <v>0</v>
      </c>
      <c r="J25" s="2">
        <f t="shared" si="8"/>
        <v>0</v>
      </c>
      <c r="K25" s="79"/>
      <c r="L25" s="367"/>
      <c r="M25" s="368"/>
    </row>
    <row r="26" spans="1:13" s="58" customFormat="1" x14ac:dyDescent="0.25">
      <c r="B26" s="51" t="s">
        <v>6</v>
      </c>
      <c r="C26" s="51"/>
      <c r="D26" s="282"/>
      <c r="E26" s="48"/>
      <c r="F26" s="430"/>
      <c r="G26" s="45">
        <f>SUM(G24:G25)</f>
        <v>5885111.5800000001</v>
      </c>
      <c r="H26" s="45">
        <f t="shared" ref="H26:I26" si="9">SUM(H24:H25)</f>
        <v>5885111.5800000001</v>
      </c>
      <c r="I26" s="45">
        <f t="shared" si="9"/>
        <v>0</v>
      </c>
      <c r="J26" s="3">
        <f>I26/G26</f>
        <v>0</v>
      </c>
      <c r="K26" s="79"/>
      <c r="L26" s="44"/>
    </row>
    <row r="27" spans="1:13" s="58" customFormat="1" x14ac:dyDescent="0.25">
      <c r="B27" s="51"/>
      <c r="C27" s="51"/>
      <c r="D27" s="282"/>
      <c r="E27" s="48"/>
      <c r="F27" s="430"/>
      <c r="G27" s="281"/>
      <c r="H27" s="281"/>
      <c r="I27" s="289"/>
      <c r="J27" s="2"/>
      <c r="K27" s="79"/>
      <c r="L27" s="44"/>
    </row>
    <row r="28" spans="1:13" x14ac:dyDescent="0.25">
      <c r="A28" s="50" t="s">
        <v>113</v>
      </c>
      <c r="B28" s="58"/>
      <c r="C28" s="51"/>
      <c r="D28" s="282"/>
      <c r="F28" s="70"/>
      <c r="G28" s="371"/>
      <c r="H28" s="371"/>
      <c r="I28" s="289"/>
    </row>
    <row r="29" spans="1:13" x14ac:dyDescent="0.25">
      <c r="A29" s="58"/>
      <c r="B29" s="53" t="s">
        <v>51</v>
      </c>
      <c r="C29" s="59" t="s">
        <v>119</v>
      </c>
      <c r="D29" s="54">
        <f>Therms!P15</f>
        <v>5489408</v>
      </c>
      <c r="E29" s="7">
        <v>0.55086999999999997</v>
      </c>
      <c r="F29" s="7">
        <v>0.55086999999999997</v>
      </c>
      <c r="G29" s="281">
        <f t="shared" ref="G29:G30" si="10">ROUND(E29*D29,2)</f>
        <v>3023950.18</v>
      </c>
      <c r="H29" s="281">
        <f t="shared" ref="H29:H30" si="11">ROUND(F29*D29,2)</f>
        <v>3023950.18</v>
      </c>
      <c r="I29" s="289">
        <f t="shared" ref="I29:I30" si="12">H29-G29</f>
        <v>0</v>
      </c>
      <c r="J29" s="2">
        <f t="shared" ref="J29:J30" si="13">I29/G29</f>
        <v>0</v>
      </c>
    </row>
    <row r="30" spans="1:13" x14ac:dyDescent="0.25">
      <c r="A30" s="58"/>
      <c r="B30" s="53" t="s">
        <v>50</v>
      </c>
      <c r="C30" s="59" t="s">
        <v>100</v>
      </c>
      <c r="D30" s="54">
        <f>Demand!P15</f>
        <v>38184</v>
      </c>
      <c r="E30" s="285">
        <v>1.05</v>
      </c>
      <c r="F30" s="285">
        <v>1.05</v>
      </c>
      <c r="G30" s="281">
        <f t="shared" si="10"/>
        <v>40093.199999999997</v>
      </c>
      <c r="H30" s="281">
        <f t="shared" si="11"/>
        <v>40093.199999999997</v>
      </c>
      <c r="I30" s="289">
        <f t="shared" si="12"/>
        <v>0</v>
      </c>
      <c r="J30" s="2">
        <f t="shared" si="13"/>
        <v>0</v>
      </c>
    </row>
    <row r="31" spans="1:13" x14ac:dyDescent="0.25">
      <c r="A31" s="59"/>
      <c r="B31" s="51" t="s">
        <v>6</v>
      </c>
      <c r="C31" s="51"/>
      <c r="D31" s="282"/>
      <c r="F31" s="70"/>
      <c r="G31" s="45">
        <f>SUM(G29:G30)</f>
        <v>3064043.3800000004</v>
      </c>
      <c r="H31" s="45">
        <f t="shared" ref="H31:I31" si="14">SUM(H29:H30)</f>
        <v>3064043.3800000004</v>
      </c>
      <c r="I31" s="45">
        <f t="shared" si="14"/>
        <v>0</v>
      </c>
      <c r="J31" s="3">
        <f>I31/G31</f>
        <v>0</v>
      </c>
      <c r="L31" s="289"/>
    </row>
    <row r="32" spans="1:13" x14ac:dyDescent="0.25">
      <c r="A32" s="59"/>
      <c r="B32" s="51"/>
      <c r="C32" s="51"/>
      <c r="D32" s="282"/>
      <c r="F32" s="70"/>
      <c r="G32" s="281"/>
      <c r="H32" s="281"/>
      <c r="I32" s="289"/>
      <c r="J32" s="2"/>
      <c r="L32" s="289"/>
    </row>
    <row r="33" spans="1:12" x14ac:dyDescent="0.25">
      <c r="A33" s="50" t="s">
        <v>114</v>
      </c>
      <c r="B33" s="58"/>
      <c r="C33" s="51"/>
      <c r="D33" s="282"/>
      <c r="F33" s="70"/>
      <c r="G33" s="354"/>
      <c r="H33" s="354"/>
      <c r="I33" s="289"/>
    </row>
    <row r="34" spans="1:12" x14ac:dyDescent="0.25">
      <c r="A34" s="58"/>
      <c r="B34" s="53" t="s">
        <v>51</v>
      </c>
      <c r="C34" s="59" t="s">
        <v>119</v>
      </c>
      <c r="D34" s="54">
        <f>Therms!P16</f>
        <v>21819455.762355205</v>
      </c>
      <c r="E34" s="7">
        <v>0.54690000000000005</v>
      </c>
      <c r="F34" s="7">
        <v>0.54690000000000005</v>
      </c>
      <c r="G34" s="281">
        <f t="shared" ref="G34:G35" si="15">ROUND(E34*D34,2)</f>
        <v>11933060.359999999</v>
      </c>
      <c r="H34" s="281">
        <f t="shared" ref="H34:H35" si="16">ROUND(F34*D34,2)</f>
        <v>11933060.359999999</v>
      </c>
      <c r="I34" s="289">
        <f t="shared" ref="I34:I35" si="17">H34-G34</f>
        <v>0</v>
      </c>
      <c r="J34" s="2">
        <f t="shared" ref="J34" si="18">I34/G34</f>
        <v>0</v>
      </c>
    </row>
    <row r="35" spans="1:12" x14ac:dyDescent="0.25">
      <c r="A35" s="58"/>
      <c r="B35" s="53" t="s">
        <v>50</v>
      </c>
      <c r="C35" s="59" t="s">
        <v>100</v>
      </c>
      <c r="D35" s="299">
        <f>Demand!P16</f>
        <v>0</v>
      </c>
      <c r="E35" s="285">
        <v>1.05</v>
      </c>
      <c r="F35" s="285">
        <v>1.05</v>
      </c>
      <c r="G35" s="281">
        <f t="shared" si="15"/>
        <v>0</v>
      </c>
      <c r="H35" s="281">
        <f t="shared" si="16"/>
        <v>0</v>
      </c>
      <c r="I35" s="289">
        <f t="shared" si="17"/>
        <v>0</v>
      </c>
      <c r="J35" s="2" t="e">
        <f>I35/G35</f>
        <v>#DIV/0!</v>
      </c>
    </row>
    <row r="36" spans="1:12" x14ac:dyDescent="0.25">
      <c r="B36" s="53" t="s">
        <v>6</v>
      </c>
      <c r="D36" s="282"/>
      <c r="G36" s="45">
        <f>SUM(G34:G35)</f>
        <v>11933060.359999999</v>
      </c>
      <c r="H36" s="45">
        <f t="shared" ref="H36:I36" si="19">SUM(H34:H35)</f>
        <v>11933060.359999999</v>
      </c>
      <c r="I36" s="45">
        <f t="shared" si="19"/>
        <v>0</v>
      </c>
      <c r="J36" s="3">
        <f>I36/G36</f>
        <v>0</v>
      </c>
      <c r="L36" s="289"/>
    </row>
    <row r="37" spans="1:12" x14ac:dyDescent="0.25">
      <c r="D37" s="282"/>
      <c r="G37" s="281"/>
      <c r="H37" s="281"/>
      <c r="I37" s="289"/>
      <c r="J37" s="2"/>
      <c r="L37" s="289"/>
    </row>
    <row r="38" spans="1:12" x14ac:dyDescent="0.25">
      <c r="A38" s="72" t="s">
        <v>6</v>
      </c>
      <c r="G38" s="363">
        <f>G10+G13+G16+G21+G26+G31+G36</f>
        <v>650197665.09000003</v>
      </c>
      <c r="H38" s="363">
        <f t="shared" ref="H38:I38" si="20">H10+H13+H16+H21+H26+H31+H36</f>
        <v>650197665.09000003</v>
      </c>
      <c r="I38" s="363">
        <f t="shared" si="20"/>
        <v>0</v>
      </c>
      <c r="J38" s="3">
        <f>I38/G38</f>
        <v>0</v>
      </c>
    </row>
    <row r="39" spans="1:12" x14ac:dyDescent="0.25">
      <c r="B39" s="1" t="s">
        <v>119</v>
      </c>
      <c r="D39" s="329">
        <f>SUM(D10,D13,D16,D19,D24,D29,D34)</f>
        <v>990354406.76235521</v>
      </c>
    </row>
    <row r="40" spans="1:12" x14ac:dyDescent="0.25">
      <c r="B40" s="1" t="s">
        <v>100</v>
      </c>
      <c r="D40" s="329">
        <f>SUM(D20,D25,D30,D35)</f>
        <v>4815564</v>
      </c>
      <c r="I40" s="289"/>
    </row>
    <row r="41" spans="1:12" x14ac:dyDescent="0.25">
      <c r="I41" s="289"/>
    </row>
    <row r="42" spans="1:12" x14ac:dyDescent="0.25">
      <c r="G42" s="324"/>
      <c r="H42" s="324"/>
    </row>
  </sheetData>
  <mergeCells count="4">
    <mergeCell ref="A1:J1"/>
    <mergeCell ref="A3:J3"/>
    <mergeCell ref="A4:J4"/>
    <mergeCell ref="A2:J2"/>
  </mergeCells>
  <printOptions horizontalCentered="1"/>
  <pageMargins left="0.7" right="0.7" top="0.75" bottom="0.75" header="0.3" footer="0.3"/>
  <pageSetup scale="82" orientation="landscape" blackAndWhite="1" r:id="rId1"/>
  <headerFooter>
    <oddFooter>&amp;L&amp;F 
&amp;A&amp;C&amp;P&amp;R&amp;D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51A869FC564E24E898CF4C8794BB580" ma:contentTypeVersion="24" ma:contentTypeDescription="" ma:contentTypeScope="" ma:versionID="49cba3d21e268f439e5e06a001ee856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2023-05-25T07:00:00+00:00</OpenedDate>
    <SignificantOrder xmlns="dc463f71-b30c-4ab2-9473-d307f9d35888">false</SignificantOrder>
    <Date1 xmlns="dc463f71-b30c-4ab2-9473-d307f9d35888">2024-05-03T07:00:00+00:00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230393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A03BC2A-5EFD-4EEF-ACCF-B73DDD9DABC4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F01317D6-D168-4C6E-BF74-BECDA74645EF}"/>
</file>

<file path=customXml/itemProps3.xml><?xml version="1.0" encoding="utf-8"?>
<ds:datastoreItem xmlns:ds="http://schemas.openxmlformats.org/officeDocument/2006/customXml" ds:itemID="{86C04F29-1F78-4403-9D06-2BD20438C9C5}"/>
</file>

<file path=customXml/itemProps4.xml><?xml version="1.0" encoding="utf-8"?>
<ds:datastoreItem xmlns:ds="http://schemas.openxmlformats.org/officeDocument/2006/customXml" ds:itemID="{43ECDC23-F5CC-4B17-8719-EA8A9F65C48A}"/>
</file>

<file path=customXml/itemProps5.xml><?xml version="1.0" encoding="utf-8"?>
<ds:datastoreItem xmlns:ds="http://schemas.openxmlformats.org/officeDocument/2006/customXml" ds:itemID="{23223F27-1C2F-4E1E-80FD-8FB3806646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25</vt:i4>
      </vt:variant>
    </vt:vector>
  </HeadingPairs>
  <TitlesOfParts>
    <vt:vector size="58" baseType="lpstr">
      <vt:lpstr>Table of Contents</vt:lpstr>
      <vt:lpstr>Rate Impacts Combined </vt:lpstr>
      <vt:lpstr>Typical Res Bill Combined</vt:lpstr>
      <vt:lpstr>Work Papers--&gt;</vt:lpstr>
      <vt:lpstr>Avg Per Therm Combined</vt:lpstr>
      <vt:lpstr>Revenue Calculations--&gt;</vt:lpstr>
      <vt:lpstr>Current Revenue Calc.</vt:lpstr>
      <vt:lpstr>Rider Revenue Calculation--&gt;</vt:lpstr>
      <vt:lpstr>Sch. 101</vt:lpstr>
      <vt:lpstr>Sch. 106</vt:lpstr>
      <vt:lpstr>Sch. 120</vt:lpstr>
      <vt:lpstr>Sch. 129</vt:lpstr>
      <vt:lpstr>Sch. 140</vt:lpstr>
      <vt:lpstr>Sch. 141D</vt:lpstr>
      <vt:lpstr>Sch. 141LNG</vt:lpstr>
      <vt:lpstr>Sch. 141N</vt:lpstr>
      <vt:lpstr>Sch. 141R</vt:lpstr>
      <vt:lpstr>Sch. 141Z</vt:lpstr>
      <vt:lpstr>Sch. 142</vt:lpstr>
      <vt:lpstr>Sch. 149</vt:lpstr>
      <vt:lpstr>Forecast--&gt;</vt:lpstr>
      <vt:lpstr>Therms</vt:lpstr>
      <vt:lpstr>Demand</vt:lpstr>
      <vt:lpstr>Data--&gt;</vt:lpstr>
      <vt:lpstr>RY#2 Therms</vt:lpstr>
      <vt:lpstr>RY#2 Therms By Block</vt:lpstr>
      <vt:lpstr>Puget LNG</vt:lpstr>
      <vt:lpstr>12ME Jun21 Bill Freq</vt:lpstr>
      <vt:lpstr>12ME Jun21 WN Therms</vt:lpstr>
      <vt:lpstr>12ME Jun21 WN Therms C&amp;I</vt:lpstr>
      <vt:lpstr>Exh JDT-5 (JDT-RES_RD)</vt:lpstr>
      <vt:lpstr>Exh JDT-5 (JDT-C&amp;I-RD)</vt:lpstr>
      <vt:lpstr>Exh JDT-5 (JDT-INTRPL-RD)</vt:lpstr>
      <vt:lpstr>'12ME Jun21 Bill Freq'!Print_Area</vt:lpstr>
      <vt:lpstr>'12ME Jun21 WN Therms C&amp;I'!Print_Area</vt:lpstr>
      <vt:lpstr>'Avg Per Therm Combined'!Print_Area</vt:lpstr>
      <vt:lpstr>'Current Revenue Calc.'!Print_Area</vt:lpstr>
      <vt:lpstr>'Rate Impacts Combined '!Print_Area</vt:lpstr>
      <vt:lpstr>'RY#2 Therms'!Print_Area</vt:lpstr>
      <vt:lpstr>'RY#2 Therms By Block'!Print_Area</vt:lpstr>
      <vt:lpstr>'Sch. 101'!Print_Area</vt:lpstr>
      <vt:lpstr>'Sch. 129'!Print_Area</vt:lpstr>
      <vt:lpstr>'Sch. 140'!Print_Area</vt:lpstr>
      <vt:lpstr>'Sch. 141D'!Print_Area</vt:lpstr>
      <vt:lpstr>'Sch. 141LNG'!Print_Area</vt:lpstr>
      <vt:lpstr>'Sch. 141N'!Print_Area</vt:lpstr>
      <vt:lpstr>'Sch. 141R'!Print_Area</vt:lpstr>
      <vt:lpstr>'Sch. 141Z'!Print_Area</vt:lpstr>
      <vt:lpstr>'Sch. 149'!Print_Area</vt:lpstr>
      <vt:lpstr>'Typical Res Bill Combined'!Print_Area</vt:lpstr>
      <vt:lpstr>'12ME Jun21 Bill Freq'!Print_Titles</vt:lpstr>
      <vt:lpstr>'12ME Jun21 WN Therms'!Print_Titles</vt:lpstr>
      <vt:lpstr>'12ME Jun21 WN Therms C&amp;I'!Print_Titles</vt:lpstr>
      <vt:lpstr>'Exh JDT-5 (JDT-C&amp;I-RD)'!Print_Titles</vt:lpstr>
      <vt:lpstr>'Exh JDT-5 (JDT-INTRPL-RD)'!Print_Titles</vt:lpstr>
      <vt:lpstr>'Puget LNG'!Print_Titles</vt:lpstr>
      <vt:lpstr>'RY#2 Therms By Block'!Print_Titles</vt:lpstr>
      <vt:lpstr>'Sch. 142'!Print_Titles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KXu;Paul.Schmidt@pse.com</dc:creator>
  <cp:lastModifiedBy>Schmidt, Paul</cp:lastModifiedBy>
  <cp:lastPrinted>2024-05-01T20:51:59Z</cp:lastPrinted>
  <dcterms:created xsi:type="dcterms:W3CDTF">2015-03-25T23:20:22Z</dcterms:created>
  <dcterms:modified xsi:type="dcterms:W3CDTF">2024-05-03T17:59:41Z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0x0101006E56B4D1795A2E4DB2F0B01679ED314A00951A869FC564E24E898CF4C8794BB580</vt:lpwstr>
  </property>
  <property fmtid="{D5CDD505-2E9C-101B-9397-08002B2CF9AE}" pid="3" name="_docset_NoMedatataSyncRequired">
    <vt:lpwstr>False</vt:lpwstr>
  </property>
</Properties>
</file>