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codeName="ThisWorkbook" defaultThemeVersion="166925"/>
  <xr:revisionPtr revIDLastSave="0" documentId="8_{BDB0243D-0F47-4917-B341-36E533E0E4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otal First Year" sheetId="6" r:id="rId1"/>
    <sheet name="APP 2885" sheetId="2" r:id="rId2"/>
  </sheets>
  <definedNames>
    <definedName name="_xlnm._FilterDatabase" localSheetId="0" hidden="1">#REF!</definedName>
    <definedName name="JR_PAGE_ANCHOR_0_1" localSheetId="0">'Total First Year'!$A$1</definedName>
    <definedName name="JR_PAGE_ANCHOR_0_1">#REF!</definedName>
    <definedName name="JR_PAGE_ANCHOR_0_2">'APP 2885'!$A$1</definedName>
    <definedName name="JR_PAGE_ANCHOR_0_3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4" i="6" l="1"/>
  <c r="J114" i="6"/>
  <c r="P114" i="6"/>
  <c r="E41" i="6" l="1"/>
  <c r="E40" i="6"/>
  <c r="G5" i="6" l="1"/>
  <c r="I5" i="6"/>
  <c r="J5" i="6"/>
  <c r="P5" i="6"/>
  <c r="G6" i="6"/>
  <c r="M6" i="6" s="1"/>
  <c r="I6" i="6"/>
  <c r="J6" i="6"/>
  <c r="P6" i="6"/>
  <c r="G7" i="6"/>
  <c r="M7" i="6" s="1"/>
  <c r="I7" i="6"/>
  <c r="J7" i="6"/>
  <c r="P7" i="6"/>
  <c r="G8" i="6"/>
  <c r="M8" i="6" s="1"/>
  <c r="I8" i="6"/>
  <c r="J8" i="6"/>
  <c r="P8" i="6"/>
  <c r="G9" i="6"/>
  <c r="M9" i="6" s="1"/>
  <c r="I9" i="6"/>
  <c r="J9" i="6"/>
  <c r="P9" i="6"/>
  <c r="G10" i="6"/>
  <c r="I10" i="6"/>
  <c r="J10" i="6"/>
  <c r="P10" i="6"/>
  <c r="G11" i="6"/>
  <c r="M11" i="6" s="1"/>
  <c r="I11" i="6"/>
  <c r="J11" i="6"/>
  <c r="P11" i="6"/>
  <c r="G12" i="6"/>
  <c r="I12" i="6"/>
  <c r="J12" i="6"/>
  <c r="P12" i="6"/>
  <c r="G13" i="6"/>
  <c r="M13" i="6" s="1"/>
  <c r="I13" i="6"/>
  <c r="J13" i="6"/>
  <c r="P13" i="6"/>
  <c r="G14" i="6"/>
  <c r="M14" i="6" s="1"/>
  <c r="I14" i="6"/>
  <c r="J14" i="6"/>
  <c r="P14" i="6"/>
  <c r="G15" i="6"/>
  <c r="M15" i="6" s="1"/>
  <c r="I15" i="6"/>
  <c r="J15" i="6"/>
  <c r="P15" i="6"/>
  <c r="G16" i="6"/>
  <c r="M16" i="6" s="1"/>
  <c r="I16" i="6"/>
  <c r="J16" i="6"/>
  <c r="P16" i="6"/>
  <c r="G17" i="6"/>
  <c r="M17" i="6" s="1"/>
  <c r="I17" i="6"/>
  <c r="J17" i="6"/>
  <c r="P17" i="6"/>
  <c r="G18" i="6"/>
  <c r="I18" i="6"/>
  <c r="J18" i="6"/>
  <c r="P18" i="6"/>
  <c r="G19" i="6"/>
  <c r="M19" i="6" s="1"/>
  <c r="I19" i="6"/>
  <c r="J19" i="6"/>
  <c r="P19" i="6"/>
  <c r="G20" i="6"/>
  <c r="I20" i="6"/>
  <c r="J20" i="6"/>
  <c r="P20" i="6"/>
  <c r="G21" i="6"/>
  <c r="M21" i="6" s="1"/>
  <c r="I21" i="6"/>
  <c r="J21" i="6"/>
  <c r="P21" i="6"/>
  <c r="G22" i="6"/>
  <c r="M22" i="6" s="1"/>
  <c r="I22" i="6"/>
  <c r="J22" i="6"/>
  <c r="P22" i="6"/>
  <c r="G23" i="6"/>
  <c r="M23" i="6" s="1"/>
  <c r="I23" i="6"/>
  <c r="J23" i="6"/>
  <c r="P23" i="6"/>
  <c r="G110" i="6"/>
  <c r="M110" i="6" s="1"/>
  <c r="T110" i="6" s="1"/>
  <c r="I110" i="6"/>
  <c r="J110" i="6"/>
  <c r="P110" i="6"/>
  <c r="G111" i="6"/>
  <c r="M111" i="6" s="1"/>
  <c r="T111" i="6" s="1"/>
  <c r="I111" i="6"/>
  <c r="J111" i="6"/>
  <c r="P111" i="6"/>
  <c r="G112" i="6"/>
  <c r="I112" i="6"/>
  <c r="J112" i="6"/>
  <c r="P112" i="6"/>
  <c r="G113" i="6"/>
  <c r="M113" i="6" s="1"/>
  <c r="T113" i="6" s="1"/>
  <c r="I113" i="6"/>
  <c r="J113" i="6"/>
  <c r="P113" i="6"/>
  <c r="G24" i="6"/>
  <c r="I24" i="6"/>
  <c r="J24" i="6"/>
  <c r="P24" i="6"/>
  <c r="G25" i="6"/>
  <c r="M25" i="6" s="1"/>
  <c r="I25" i="6"/>
  <c r="J25" i="6"/>
  <c r="P25" i="6"/>
  <c r="G26" i="6"/>
  <c r="M26" i="6" s="1"/>
  <c r="I26" i="6"/>
  <c r="J26" i="6"/>
  <c r="P26" i="6"/>
  <c r="G27" i="6"/>
  <c r="M27" i="6" s="1"/>
  <c r="I27" i="6"/>
  <c r="J27" i="6"/>
  <c r="P27" i="6"/>
  <c r="G28" i="6"/>
  <c r="M28" i="6" s="1"/>
  <c r="I28" i="6"/>
  <c r="J28" i="6"/>
  <c r="P28" i="6"/>
  <c r="E29" i="6"/>
  <c r="G29" i="6" s="1"/>
  <c r="I29" i="6"/>
  <c r="E30" i="6"/>
  <c r="G30" i="6" s="1"/>
  <c r="M30" i="6" s="1"/>
  <c r="I30" i="6"/>
  <c r="G31" i="6"/>
  <c r="M31" i="6" s="1"/>
  <c r="I31" i="6"/>
  <c r="J31" i="6"/>
  <c r="P31" i="6"/>
  <c r="G32" i="6"/>
  <c r="I32" i="6"/>
  <c r="J32" i="6"/>
  <c r="P32" i="6"/>
  <c r="G33" i="6"/>
  <c r="M33" i="6" s="1"/>
  <c r="I33" i="6"/>
  <c r="J33" i="6"/>
  <c r="P33" i="6"/>
  <c r="G34" i="6"/>
  <c r="I34" i="6"/>
  <c r="J34" i="6"/>
  <c r="P34" i="6"/>
  <c r="G35" i="6"/>
  <c r="M35" i="6" s="1"/>
  <c r="I35" i="6"/>
  <c r="J35" i="6"/>
  <c r="P35" i="6"/>
  <c r="G36" i="6"/>
  <c r="M36" i="6" s="1"/>
  <c r="I36" i="6"/>
  <c r="J36" i="6"/>
  <c r="P36" i="6"/>
  <c r="G37" i="6"/>
  <c r="I37" i="6"/>
  <c r="J37" i="6"/>
  <c r="P37" i="6"/>
  <c r="G38" i="6"/>
  <c r="M38" i="6" s="1"/>
  <c r="I38" i="6"/>
  <c r="J38" i="6"/>
  <c r="P38" i="6"/>
  <c r="G39" i="6"/>
  <c r="M39" i="6" s="1"/>
  <c r="I39" i="6"/>
  <c r="J39" i="6"/>
  <c r="P39" i="6"/>
  <c r="G40" i="6"/>
  <c r="I40" i="6"/>
  <c r="J40" i="6"/>
  <c r="P40" i="6"/>
  <c r="G41" i="6"/>
  <c r="M41" i="6" s="1"/>
  <c r="I41" i="6"/>
  <c r="J41" i="6"/>
  <c r="P41" i="6"/>
  <c r="G42" i="6"/>
  <c r="I42" i="6"/>
  <c r="J42" i="6"/>
  <c r="P42" i="6"/>
  <c r="G43" i="6"/>
  <c r="M43" i="6" s="1"/>
  <c r="I43" i="6"/>
  <c r="J43" i="6"/>
  <c r="P43" i="6"/>
  <c r="G44" i="6"/>
  <c r="M44" i="6" s="1"/>
  <c r="I44" i="6"/>
  <c r="J44" i="6"/>
  <c r="P44" i="6"/>
  <c r="G45" i="6"/>
  <c r="I45" i="6"/>
  <c r="J45" i="6"/>
  <c r="P45" i="6"/>
  <c r="G46" i="6"/>
  <c r="M46" i="6" s="1"/>
  <c r="I46" i="6"/>
  <c r="J46" i="6"/>
  <c r="P46" i="6"/>
  <c r="G47" i="6"/>
  <c r="M47" i="6" s="1"/>
  <c r="I47" i="6"/>
  <c r="J47" i="6"/>
  <c r="P47" i="6"/>
  <c r="G48" i="6"/>
  <c r="I48" i="6"/>
  <c r="J48" i="6"/>
  <c r="P48" i="6"/>
  <c r="G49" i="6"/>
  <c r="M49" i="6" s="1"/>
  <c r="I49" i="6"/>
  <c r="J49" i="6"/>
  <c r="P49" i="6"/>
  <c r="G50" i="6"/>
  <c r="I50" i="6"/>
  <c r="J50" i="6"/>
  <c r="P50" i="6"/>
  <c r="G51" i="6"/>
  <c r="M51" i="6" s="1"/>
  <c r="I51" i="6"/>
  <c r="J51" i="6"/>
  <c r="P51" i="6"/>
  <c r="G52" i="6"/>
  <c r="M52" i="6" s="1"/>
  <c r="I52" i="6"/>
  <c r="J52" i="6"/>
  <c r="P52" i="6"/>
  <c r="G53" i="6"/>
  <c r="I53" i="6"/>
  <c r="J53" i="6"/>
  <c r="P53" i="6"/>
  <c r="G54" i="6"/>
  <c r="M54" i="6" s="1"/>
  <c r="I54" i="6"/>
  <c r="J54" i="6"/>
  <c r="P54" i="6"/>
  <c r="G55" i="6"/>
  <c r="M55" i="6" s="1"/>
  <c r="I55" i="6"/>
  <c r="J55" i="6"/>
  <c r="P55" i="6"/>
  <c r="G56" i="6"/>
  <c r="I56" i="6"/>
  <c r="J56" i="6"/>
  <c r="P56" i="6"/>
  <c r="G57" i="6"/>
  <c r="M57" i="6" s="1"/>
  <c r="I57" i="6"/>
  <c r="J57" i="6"/>
  <c r="P57" i="6"/>
  <c r="G58" i="6"/>
  <c r="M58" i="6" s="1"/>
  <c r="I58" i="6"/>
  <c r="J58" i="6"/>
  <c r="P58" i="6"/>
  <c r="G59" i="6"/>
  <c r="M59" i="6" s="1"/>
  <c r="I59" i="6"/>
  <c r="J59" i="6"/>
  <c r="P59" i="6"/>
  <c r="G60" i="6"/>
  <c r="M60" i="6" s="1"/>
  <c r="I60" i="6"/>
  <c r="J60" i="6"/>
  <c r="P60" i="6"/>
  <c r="G61" i="6"/>
  <c r="I61" i="6"/>
  <c r="J61" i="6"/>
  <c r="P61" i="6"/>
  <c r="G62" i="6"/>
  <c r="M62" i="6" s="1"/>
  <c r="I62" i="6"/>
  <c r="J62" i="6"/>
  <c r="P62" i="6"/>
  <c r="G63" i="6"/>
  <c r="M63" i="6" s="1"/>
  <c r="I63" i="6"/>
  <c r="J63" i="6"/>
  <c r="P63" i="6"/>
  <c r="G64" i="6"/>
  <c r="I64" i="6"/>
  <c r="J64" i="6"/>
  <c r="P64" i="6"/>
  <c r="G65" i="6"/>
  <c r="M65" i="6" s="1"/>
  <c r="I65" i="6"/>
  <c r="J65" i="6"/>
  <c r="P65" i="6"/>
  <c r="G66" i="6"/>
  <c r="M66" i="6" s="1"/>
  <c r="I66" i="6"/>
  <c r="J66" i="6"/>
  <c r="P66" i="6"/>
  <c r="G67" i="6"/>
  <c r="M67" i="6" s="1"/>
  <c r="I67" i="6"/>
  <c r="J67" i="6"/>
  <c r="P67" i="6"/>
  <c r="G68" i="6"/>
  <c r="M68" i="6" s="1"/>
  <c r="I68" i="6"/>
  <c r="J68" i="6"/>
  <c r="P68" i="6"/>
  <c r="G69" i="6"/>
  <c r="I69" i="6"/>
  <c r="J69" i="6"/>
  <c r="P69" i="6"/>
  <c r="G70" i="6"/>
  <c r="M70" i="6" s="1"/>
  <c r="I70" i="6"/>
  <c r="J70" i="6"/>
  <c r="P70" i="6"/>
  <c r="G71" i="6"/>
  <c r="M71" i="6" s="1"/>
  <c r="I71" i="6"/>
  <c r="J71" i="6"/>
  <c r="P71" i="6"/>
  <c r="G72" i="6"/>
  <c r="I72" i="6"/>
  <c r="J72" i="6"/>
  <c r="P72" i="6"/>
  <c r="G73" i="6"/>
  <c r="M73" i="6" s="1"/>
  <c r="I73" i="6"/>
  <c r="J73" i="6"/>
  <c r="P73" i="6"/>
  <c r="G74" i="6"/>
  <c r="I74" i="6"/>
  <c r="J74" i="6"/>
  <c r="P74" i="6"/>
  <c r="G75" i="6"/>
  <c r="M75" i="6" s="1"/>
  <c r="I75" i="6"/>
  <c r="J75" i="6"/>
  <c r="P75" i="6"/>
  <c r="G76" i="6"/>
  <c r="M76" i="6" s="1"/>
  <c r="I76" i="6"/>
  <c r="J76" i="6"/>
  <c r="P76" i="6"/>
  <c r="G77" i="6"/>
  <c r="I77" i="6"/>
  <c r="J77" i="6"/>
  <c r="P77" i="6"/>
  <c r="G78" i="6"/>
  <c r="M78" i="6" s="1"/>
  <c r="I78" i="6"/>
  <c r="J78" i="6"/>
  <c r="P78" i="6"/>
  <c r="G79" i="6"/>
  <c r="M79" i="6" s="1"/>
  <c r="I79" i="6"/>
  <c r="J79" i="6"/>
  <c r="P79" i="6"/>
  <c r="G80" i="6"/>
  <c r="I80" i="6"/>
  <c r="J80" i="6"/>
  <c r="P80" i="6"/>
  <c r="G81" i="6"/>
  <c r="M81" i="6" s="1"/>
  <c r="I81" i="6"/>
  <c r="J81" i="6"/>
  <c r="P81" i="6"/>
  <c r="G82" i="6"/>
  <c r="I82" i="6"/>
  <c r="J82" i="6"/>
  <c r="P82" i="6"/>
  <c r="G83" i="6"/>
  <c r="I83" i="6"/>
  <c r="J83" i="6"/>
  <c r="P83" i="6"/>
  <c r="G84" i="6"/>
  <c r="M84" i="6" s="1"/>
  <c r="I84" i="6"/>
  <c r="J84" i="6"/>
  <c r="P84" i="6"/>
  <c r="G85" i="6"/>
  <c r="I85" i="6"/>
  <c r="J85" i="6"/>
  <c r="P85" i="6"/>
  <c r="G86" i="6"/>
  <c r="M86" i="6" s="1"/>
  <c r="I86" i="6"/>
  <c r="J86" i="6"/>
  <c r="P86" i="6"/>
  <c r="G87" i="6"/>
  <c r="M87" i="6" s="1"/>
  <c r="I87" i="6"/>
  <c r="J87" i="6"/>
  <c r="P87" i="6"/>
  <c r="E88" i="6"/>
  <c r="J88" i="6" s="1"/>
  <c r="I88" i="6"/>
  <c r="E89" i="6"/>
  <c r="P89" i="6" s="1"/>
  <c r="I89" i="6"/>
  <c r="G90" i="6"/>
  <c r="I90" i="6"/>
  <c r="J90" i="6"/>
  <c r="P90" i="6"/>
  <c r="G91" i="6"/>
  <c r="M91" i="6" s="1"/>
  <c r="I91" i="6"/>
  <c r="J91" i="6"/>
  <c r="P91" i="6"/>
  <c r="G92" i="6"/>
  <c r="M92" i="6" s="1"/>
  <c r="I92" i="6"/>
  <c r="J92" i="6"/>
  <c r="P92" i="6"/>
  <c r="G93" i="6"/>
  <c r="I93" i="6"/>
  <c r="J93" i="6"/>
  <c r="P93" i="6"/>
  <c r="G94" i="6"/>
  <c r="M94" i="6" s="1"/>
  <c r="I94" i="6"/>
  <c r="J94" i="6"/>
  <c r="P94" i="6"/>
  <c r="G95" i="6"/>
  <c r="M95" i="6" s="1"/>
  <c r="I95" i="6"/>
  <c r="J95" i="6"/>
  <c r="P95" i="6"/>
  <c r="G96" i="6"/>
  <c r="I96" i="6"/>
  <c r="J96" i="6"/>
  <c r="P96" i="6"/>
  <c r="G97" i="6"/>
  <c r="M97" i="6" s="1"/>
  <c r="I97" i="6"/>
  <c r="J97" i="6"/>
  <c r="P97" i="6"/>
  <c r="G98" i="6"/>
  <c r="M98" i="6" s="1"/>
  <c r="I98" i="6"/>
  <c r="J98" i="6"/>
  <c r="P98" i="6"/>
  <c r="G99" i="6"/>
  <c r="M99" i="6" s="1"/>
  <c r="I99" i="6"/>
  <c r="J99" i="6"/>
  <c r="P99" i="6"/>
  <c r="G100" i="6"/>
  <c r="M100" i="6" s="1"/>
  <c r="I100" i="6"/>
  <c r="J100" i="6"/>
  <c r="P100" i="6"/>
  <c r="G101" i="6"/>
  <c r="M101" i="6" s="1"/>
  <c r="I101" i="6"/>
  <c r="J101" i="6"/>
  <c r="P101" i="6"/>
  <c r="G102" i="6"/>
  <c r="I102" i="6"/>
  <c r="J102" i="6"/>
  <c r="P102" i="6"/>
  <c r="G103" i="6"/>
  <c r="M103" i="6" s="1"/>
  <c r="I103" i="6"/>
  <c r="J103" i="6"/>
  <c r="P103" i="6"/>
  <c r="G104" i="6"/>
  <c r="M104" i="6" s="1"/>
  <c r="I104" i="6"/>
  <c r="J104" i="6"/>
  <c r="P104" i="6"/>
  <c r="G105" i="6"/>
  <c r="M105" i="6" s="1"/>
  <c r="I105" i="6"/>
  <c r="J105" i="6"/>
  <c r="P105" i="6"/>
  <c r="G106" i="6"/>
  <c r="M106" i="6" s="1"/>
  <c r="I106" i="6"/>
  <c r="J106" i="6"/>
  <c r="P106" i="6"/>
  <c r="J107" i="6"/>
  <c r="G107" i="6"/>
  <c r="M107" i="6" s="1"/>
  <c r="I107" i="6"/>
  <c r="P107" i="6"/>
  <c r="G108" i="6"/>
  <c r="M108" i="6" s="1"/>
  <c r="I108" i="6"/>
  <c r="J108" i="6"/>
  <c r="P108" i="6"/>
  <c r="G109" i="6"/>
  <c r="M109" i="6" s="1"/>
  <c r="I109" i="6"/>
  <c r="J109" i="6"/>
  <c r="P109" i="6"/>
  <c r="H114" i="6"/>
  <c r="N114" i="6"/>
  <c r="S114" i="6" s="1"/>
  <c r="S113" i="6" l="1"/>
  <c r="V113" i="6"/>
  <c r="S111" i="6"/>
  <c r="V111" i="6"/>
  <c r="V112" i="6"/>
  <c r="S112" i="6"/>
  <c r="S110" i="6"/>
  <c r="V110" i="6"/>
  <c r="P29" i="6"/>
  <c r="K39" i="6"/>
  <c r="T39" i="6" s="1"/>
  <c r="Q23" i="6"/>
  <c r="J29" i="6"/>
  <c r="K29" i="6" s="1"/>
  <c r="J89" i="6"/>
  <c r="K89" i="6" s="1"/>
  <c r="G89" i="6"/>
  <c r="M89" i="6" s="1"/>
  <c r="Q89" i="6" s="1"/>
  <c r="P30" i="6"/>
  <c r="Q30" i="6" s="1"/>
  <c r="M83" i="6"/>
  <c r="Q83" i="6" s="1"/>
  <c r="M5" i="6"/>
  <c r="Q5" i="6" s="1"/>
  <c r="K66" i="6"/>
  <c r="T66" i="6" s="1"/>
  <c r="K46" i="6"/>
  <c r="T46" i="6" s="1"/>
  <c r="Q67" i="6"/>
  <c r="Q51" i="6"/>
  <c r="K81" i="6"/>
  <c r="T81" i="6" s="1"/>
  <c r="K57" i="6"/>
  <c r="K55" i="6"/>
  <c r="T55" i="6" s="1"/>
  <c r="K15" i="6"/>
  <c r="T15" i="6" s="1"/>
  <c r="K91" i="6"/>
  <c r="T91" i="6" s="1"/>
  <c r="K108" i="6"/>
  <c r="T108" i="6" s="1"/>
  <c r="K68" i="6"/>
  <c r="T68" i="6" s="1"/>
  <c r="K25" i="6"/>
  <c r="Q39" i="6"/>
  <c r="Q75" i="6"/>
  <c r="Q91" i="6"/>
  <c r="K67" i="6"/>
  <c r="T67" i="6" s="1"/>
  <c r="K61" i="6"/>
  <c r="K74" i="6"/>
  <c r="K49" i="6"/>
  <c r="T49" i="6" s="1"/>
  <c r="Q17" i="6"/>
  <c r="K19" i="6"/>
  <c r="T19" i="6" s="1"/>
  <c r="K13" i="6"/>
  <c r="T13" i="6" s="1"/>
  <c r="K9" i="6"/>
  <c r="T9" i="6" s="1"/>
  <c r="K103" i="6"/>
  <c r="T103" i="6" s="1"/>
  <c r="K79" i="6"/>
  <c r="T79" i="6" s="1"/>
  <c r="K75" i="6"/>
  <c r="T75" i="6" s="1"/>
  <c r="K33" i="6"/>
  <c r="T33" i="6" s="1"/>
  <c r="Q21" i="6"/>
  <c r="K8" i="6"/>
  <c r="T8" i="6" s="1"/>
  <c r="K102" i="6"/>
  <c r="K96" i="6"/>
  <c r="K94" i="6"/>
  <c r="T94" i="6" s="1"/>
  <c r="K73" i="6"/>
  <c r="T73" i="6" s="1"/>
  <c r="K65" i="6"/>
  <c r="T65" i="6" s="1"/>
  <c r="K63" i="6"/>
  <c r="T63" i="6" s="1"/>
  <c r="K44" i="6"/>
  <c r="T44" i="6" s="1"/>
  <c r="Q105" i="6"/>
  <c r="Q63" i="6"/>
  <c r="K28" i="6"/>
  <c r="T28" i="6" s="1"/>
  <c r="K17" i="6"/>
  <c r="T17" i="6" s="1"/>
  <c r="K101" i="6"/>
  <c r="T101" i="6" s="1"/>
  <c r="K99" i="6"/>
  <c r="T99" i="6" s="1"/>
  <c r="Q55" i="6"/>
  <c r="Q13" i="6"/>
  <c r="K11" i="6"/>
  <c r="T11" i="6" s="1"/>
  <c r="K97" i="6"/>
  <c r="T97" i="6" s="1"/>
  <c r="K95" i="6"/>
  <c r="T95" i="6" s="1"/>
  <c r="K93" i="6"/>
  <c r="K62" i="6"/>
  <c r="T62" i="6" s="1"/>
  <c r="K41" i="6"/>
  <c r="T41" i="6" s="1"/>
  <c r="K37" i="6"/>
  <c r="Q35" i="6"/>
  <c r="K20" i="6"/>
  <c r="Q7" i="6"/>
  <c r="K58" i="6"/>
  <c r="T58" i="6" s="1"/>
  <c r="K52" i="6"/>
  <c r="T52" i="6" s="1"/>
  <c r="K16" i="6"/>
  <c r="T16" i="6" s="1"/>
  <c r="K14" i="6"/>
  <c r="T14" i="6" s="1"/>
  <c r="Q104" i="6"/>
  <c r="Q97" i="6"/>
  <c r="Q95" i="6"/>
  <c r="K86" i="6"/>
  <c r="T86" i="6" s="1"/>
  <c r="K84" i="6"/>
  <c r="T84" i="6" s="1"/>
  <c r="K82" i="6"/>
  <c r="K60" i="6"/>
  <c r="T60" i="6" s="1"/>
  <c r="K47" i="6"/>
  <c r="T47" i="6" s="1"/>
  <c r="Q111" i="6"/>
  <c r="K6" i="6"/>
  <c r="T6" i="6" s="1"/>
  <c r="Q78" i="6"/>
  <c r="K71" i="6"/>
  <c r="T71" i="6" s="1"/>
  <c r="K69" i="6"/>
  <c r="K56" i="6"/>
  <c r="K113" i="6"/>
  <c r="U113" i="6" s="1"/>
  <c r="K18" i="6"/>
  <c r="Q99" i="6"/>
  <c r="K78" i="6"/>
  <c r="K76" i="6"/>
  <c r="T76" i="6" s="1"/>
  <c r="Q47" i="6"/>
  <c r="K36" i="6"/>
  <c r="T36" i="6" s="1"/>
  <c r="Q27" i="6"/>
  <c r="Q25" i="6"/>
  <c r="K111" i="6"/>
  <c r="U111" i="6" s="1"/>
  <c r="Q59" i="6"/>
  <c r="K12" i="6"/>
  <c r="Q9" i="6"/>
  <c r="T57" i="6"/>
  <c r="Q108" i="6"/>
  <c r="K107" i="6"/>
  <c r="T107" i="6" s="1"/>
  <c r="K100" i="6"/>
  <c r="T100" i="6" s="1"/>
  <c r="K98" i="6"/>
  <c r="T98" i="6" s="1"/>
  <c r="K87" i="6"/>
  <c r="T87" i="6" s="1"/>
  <c r="K85" i="6"/>
  <c r="T78" i="6"/>
  <c r="K48" i="6"/>
  <c r="K32" i="6"/>
  <c r="K26" i="6"/>
  <c r="T26" i="6" s="1"/>
  <c r="K5" i="6"/>
  <c r="Q106" i="6"/>
  <c r="K105" i="6"/>
  <c r="T105" i="6" s="1"/>
  <c r="K92" i="6"/>
  <c r="T92" i="6" s="1"/>
  <c r="K77" i="6"/>
  <c r="K110" i="6"/>
  <c r="U110" i="6" s="1"/>
  <c r="K22" i="6"/>
  <c r="T22" i="6" s="1"/>
  <c r="K10" i="6"/>
  <c r="Q68" i="6"/>
  <c r="Q15" i="6"/>
  <c r="K104" i="6"/>
  <c r="T104" i="6" s="1"/>
  <c r="Q94" i="6"/>
  <c r="K83" i="6"/>
  <c r="Q73" i="6"/>
  <c r="K70" i="6"/>
  <c r="T70" i="6" s="1"/>
  <c r="Q58" i="6"/>
  <c r="K50" i="6"/>
  <c r="K45" i="6"/>
  <c r="K40" i="6"/>
  <c r="Q33" i="6"/>
  <c r="Q22" i="6"/>
  <c r="K21" i="6"/>
  <c r="T21" i="6" s="1"/>
  <c r="Q11" i="6"/>
  <c r="Q8" i="6"/>
  <c r="Q19" i="6"/>
  <c r="Q43" i="6"/>
  <c r="Q81" i="6"/>
  <c r="Q87" i="6"/>
  <c r="Q79" i="6"/>
  <c r="K35" i="6"/>
  <c r="T35" i="6" s="1"/>
  <c r="Q31" i="6"/>
  <c r="Q103" i="6"/>
  <c r="Q71" i="6"/>
  <c r="K43" i="6"/>
  <c r="T43" i="6" s="1"/>
  <c r="K38" i="6"/>
  <c r="T38" i="6" s="1"/>
  <c r="K24" i="6"/>
  <c r="Q6" i="6"/>
  <c r="Q101" i="6"/>
  <c r="Q52" i="6"/>
  <c r="K51" i="6"/>
  <c r="T51" i="6" s="1"/>
  <c r="K31" i="6"/>
  <c r="T31" i="6" s="1"/>
  <c r="I114" i="6"/>
  <c r="K109" i="6"/>
  <c r="T109" i="6" s="1"/>
  <c r="Q107" i="6"/>
  <c r="K106" i="6"/>
  <c r="T106" i="6" s="1"/>
  <c r="K80" i="6"/>
  <c r="Q65" i="6"/>
  <c r="Q60" i="6"/>
  <c r="K59" i="6"/>
  <c r="T59" i="6" s="1"/>
  <c r="K54" i="6"/>
  <c r="T54" i="6" s="1"/>
  <c r="Q113" i="6"/>
  <c r="K112" i="6"/>
  <c r="Q109" i="6"/>
  <c r="Q70" i="6"/>
  <c r="Q98" i="6"/>
  <c r="M96" i="6"/>
  <c r="M93" i="6"/>
  <c r="Q86" i="6"/>
  <c r="Q100" i="6"/>
  <c r="Q62" i="6"/>
  <c r="M102" i="6"/>
  <c r="M80" i="6"/>
  <c r="M24" i="6"/>
  <c r="Q24" i="6" s="1"/>
  <c r="P88" i="6"/>
  <c r="Q84" i="6"/>
  <c r="K72" i="6"/>
  <c r="Q66" i="6"/>
  <c r="M61" i="6"/>
  <c r="M53" i="6"/>
  <c r="Q44" i="6"/>
  <c r="K42" i="6"/>
  <c r="Q38" i="6"/>
  <c r="M34" i="6"/>
  <c r="Q34" i="6" s="1"/>
  <c r="Q26" i="6"/>
  <c r="M20" i="6"/>
  <c r="Q14" i="6"/>
  <c r="M40" i="6"/>
  <c r="K90" i="6"/>
  <c r="M77" i="6"/>
  <c r="M56" i="6"/>
  <c r="M48" i="6"/>
  <c r="M29" i="6"/>
  <c r="Q29" i="6" s="1"/>
  <c r="T25" i="6"/>
  <c r="Q57" i="6"/>
  <c r="Q54" i="6"/>
  <c r="Q46" i="6"/>
  <c r="M42" i="6"/>
  <c r="M12" i="6"/>
  <c r="M72" i="6"/>
  <c r="M90" i="6"/>
  <c r="G88" i="6"/>
  <c r="M82" i="6"/>
  <c r="Q76" i="6"/>
  <c r="K64" i="6"/>
  <c r="Q41" i="6"/>
  <c r="Q28" i="6"/>
  <c r="K27" i="6"/>
  <c r="T27" i="6" s="1"/>
  <c r="M112" i="6"/>
  <c r="T112" i="6" s="1"/>
  <c r="Q110" i="6"/>
  <c r="K23" i="6"/>
  <c r="T23" i="6" s="1"/>
  <c r="Q16" i="6"/>
  <c r="K88" i="6"/>
  <c r="M69" i="6"/>
  <c r="M50" i="6"/>
  <c r="M37" i="6"/>
  <c r="M18" i="6"/>
  <c r="M64" i="6"/>
  <c r="Q64" i="6" s="1"/>
  <c r="Q49" i="6"/>
  <c r="M32" i="6"/>
  <c r="Q92" i="6"/>
  <c r="M85" i="6"/>
  <c r="M74" i="6"/>
  <c r="K53" i="6"/>
  <c r="M45" i="6"/>
  <c r="Q36" i="6"/>
  <c r="K34" i="6"/>
  <c r="M10" i="6"/>
  <c r="K7" i="6"/>
  <c r="J30" i="6"/>
  <c r="G114" i="6" l="1"/>
  <c r="T89" i="6"/>
  <c r="T83" i="6"/>
  <c r="T5" i="6"/>
  <c r="T80" i="6"/>
  <c r="T29" i="6"/>
  <c r="T82" i="6"/>
  <c r="T72" i="6"/>
  <c r="T18" i="6"/>
  <c r="T96" i="6"/>
  <c r="T20" i="6"/>
  <c r="T102" i="6"/>
  <c r="Q20" i="6"/>
  <c r="Q102" i="6"/>
  <c r="T93" i="6"/>
  <c r="T32" i="6"/>
  <c r="T40" i="6"/>
  <c r="Q93" i="6"/>
  <c r="N108" i="6"/>
  <c r="N92" i="6"/>
  <c r="N61" i="6"/>
  <c r="N45" i="6"/>
  <c r="N6" i="6"/>
  <c r="N90" i="6"/>
  <c r="N102" i="6"/>
  <c r="N111" i="6"/>
  <c r="N37" i="6"/>
  <c r="N27" i="6"/>
  <c r="N85" i="6"/>
  <c r="N23" i="6"/>
  <c r="N82" i="6"/>
  <c r="N77" i="6"/>
  <c r="N12" i="6"/>
  <c r="N7" i="6"/>
  <c r="N69" i="6"/>
  <c r="N86" i="6"/>
  <c r="N18" i="6"/>
  <c r="N32" i="6"/>
  <c r="N17" i="6"/>
  <c r="N10" i="6"/>
  <c r="N9" i="6"/>
  <c r="N66" i="6"/>
  <c r="L114" i="6"/>
  <c r="T42" i="6"/>
  <c r="T24" i="6"/>
  <c r="T69" i="6"/>
  <c r="Q69" i="6"/>
  <c r="T90" i="6"/>
  <c r="Q90" i="6"/>
  <c r="Q12" i="6"/>
  <c r="T12" i="6"/>
  <c r="N29" i="6"/>
  <c r="N58" i="6"/>
  <c r="Q61" i="6"/>
  <c r="T61" i="6"/>
  <c r="N101" i="6"/>
  <c r="N107" i="6"/>
  <c r="Q112" i="6"/>
  <c r="N22" i="6"/>
  <c r="N26" i="6"/>
  <c r="N36" i="6"/>
  <c r="N44" i="6"/>
  <c r="N52" i="6"/>
  <c r="N31" i="6"/>
  <c r="N39" i="6"/>
  <c r="N47" i="6"/>
  <c r="N55" i="6"/>
  <c r="N8" i="6"/>
  <c r="N16" i="6"/>
  <c r="N110" i="6"/>
  <c r="N28" i="6"/>
  <c r="N21" i="6"/>
  <c r="N25" i="6"/>
  <c r="N35" i="6"/>
  <c r="N49" i="6"/>
  <c r="N71" i="6"/>
  <c r="N75" i="6"/>
  <c r="N89" i="6"/>
  <c r="N91" i="6"/>
  <c r="N99" i="6"/>
  <c r="N59" i="6"/>
  <c r="N73" i="6"/>
  <c r="N11" i="6"/>
  <c r="N41" i="6"/>
  <c r="N54" i="6"/>
  <c r="N57" i="6"/>
  <c r="N76" i="6"/>
  <c r="N78" i="6"/>
  <c r="N46" i="6"/>
  <c r="N60" i="6"/>
  <c r="N79" i="6"/>
  <c r="N94" i="6"/>
  <c r="N100" i="6"/>
  <c r="N62" i="6"/>
  <c r="N19" i="6"/>
  <c r="N33" i="6"/>
  <c r="N51" i="6"/>
  <c r="N5" i="6"/>
  <c r="N113" i="6"/>
  <c r="N38" i="6"/>
  <c r="N63" i="6"/>
  <c r="N84" i="6"/>
  <c r="N13" i="6"/>
  <c r="N70" i="6"/>
  <c r="N43" i="6"/>
  <c r="N65" i="6"/>
  <c r="N87" i="6"/>
  <c r="N30" i="6"/>
  <c r="N68" i="6"/>
  <c r="N95" i="6"/>
  <c r="N97" i="6"/>
  <c r="N103" i="6"/>
  <c r="N109" i="6"/>
  <c r="N81" i="6"/>
  <c r="N104" i="6"/>
  <c r="N105" i="6"/>
  <c r="N80" i="6"/>
  <c r="N93" i="6"/>
  <c r="K30" i="6"/>
  <c r="K114" i="6" s="1"/>
  <c r="T74" i="6"/>
  <c r="N14" i="6"/>
  <c r="T37" i="6"/>
  <c r="Q37" i="6"/>
  <c r="U112" i="6"/>
  <c r="N106" i="6"/>
  <c r="Q40" i="6"/>
  <c r="Q56" i="6"/>
  <c r="T56" i="6"/>
  <c r="N64" i="6"/>
  <c r="U37" i="6"/>
  <c r="N48" i="6"/>
  <c r="N67" i="6"/>
  <c r="N40" i="6"/>
  <c r="N20" i="6"/>
  <c r="T64" i="6"/>
  <c r="N50" i="6"/>
  <c r="N112" i="6"/>
  <c r="N83" i="6"/>
  <c r="N72" i="6"/>
  <c r="N42" i="6"/>
  <c r="T48" i="6"/>
  <c r="Q48" i="6"/>
  <c r="Q32" i="6"/>
  <c r="N96" i="6"/>
  <c r="Q80" i="6"/>
  <c r="Q96" i="6"/>
  <c r="N53" i="6"/>
  <c r="N98" i="6"/>
  <c r="Q82" i="6"/>
  <c r="T7" i="6"/>
  <c r="T10" i="6"/>
  <c r="Q45" i="6"/>
  <c r="T45" i="6"/>
  <c r="Q85" i="6"/>
  <c r="T85" i="6"/>
  <c r="T50" i="6"/>
  <c r="Q50" i="6"/>
  <c r="Q42" i="6"/>
  <c r="N34" i="6"/>
  <c r="N24" i="6"/>
  <c r="Q72" i="6"/>
  <c r="N15" i="6"/>
  <c r="Q74" i="6"/>
  <c r="Q10" i="6"/>
  <c r="M88" i="6"/>
  <c r="T88" i="6" s="1"/>
  <c r="N88" i="6"/>
  <c r="N74" i="6"/>
  <c r="Q18" i="6"/>
  <c r="N56" i="6"/>
  <c r="Q77" i="6"/>
  <c r="T77" i="6"/>
  <c r="T34" i="6"/>
  <c r="Q53" i="6"/>
  <c r="T53" i="6"/>
  <c r="K116" i="6" l="1"/>
  <c r="S81" i="6"/>
  <c r="V81" i="6"/>
  <c r="S73" i="6"/>
  <c r="V73" i="6"/>
  <c r="S46" i="6"/>
  <c r="V46" i="6"/>
  <c r="S39" i="6"/>
  <c r="V39" i="6"/>
  <c r="S12" i="6"/>
  <c r="V12" i="6"/>
  <c r="S70" i="6"/>
  <c r="V70" i="6"/>
  <c r="S78" i="6"/>
  <c r="V78" i="6"/>
  <c r="V99" i="6"/>
  <c r="S99" i="6"/>
  <c r="S21" i="6"/>
  <c r="V21" i="6"/>
  <c r="S31" i="6"/>
  <c r="V31" i="6"/>
  <c r="V101" i="6"/>
  <c r="S101" i="6"/>
  <c r="S10" i="6"/>
  <c r="V10" i="6"/>
  <c r="S77" i="6"/>
  <c r="V77" i="6"/>
  <c r="V90" i="6"/>
  <c r="S90" i="6"/>
  <c r="S56" i="6"/>
  <c r="V56" i="6"/>
  <c r="V14" i="6"/>
  <c r="S14" i="6"/>
  <c r="S5" i="6"/>
  <c r="V5" i="6"/>
  <c r="V35" i="6"/>
  <c r="S35" i="6"/>
  <c r="S96" i="6"/>
  <c r="V96" i="6"/>
  <c r="S109" i="6"/>
  <c r="V109" i="6"/>
  <c r="V51" i="6"/>
  <c r="S51" i="6"/>
  <c r="V59" i="6"/>
  <c r="S59" i="6"/>
  <c r="V107" i="6"/>
  <c r="S107" i="6"/>
  <c r="V74" i="6"/>
  <c r="S74" i="6"/>
  <c r="S103" i="6"/>
  <c r="V103" i="6"/>
  <c r="S33" i="6"/>
  <c r="V33" i="6"/>
  <c r="S88" i="6"/>
  <c r="V88" i="6"/>
  <c r="S20" i="6"/>
  <c r="V20" i="6"/>
  <c r="S97" i="6"/>
  <c r="V97" i="6"/>
  <c r="S13" i="6"/>
  <c r="V13" i="6"/>
  <c r="S19" i="6"/>
  <c r="V19" i="6"/>
  <c r="V76" i="6"/>
  <c r="S76" i="6"/>
  <c r="V91" i="6"/>
  <c r="S91" i="6"/>
  <c r="V28" i="6"/>
  <c r="S28" i="6"/>
  <c r="V52" i="6"/>
  <c r="S52" i="6"/>
  <c r="S17" i="6"/>
  <c r="V17" i="6"/>
  <c r="V82" i="6"/>
  <c r="S82" i="6"/>
  <c r="V6" i="6"/>
  <c r="S6" i="6"/>
  <c r="V42" i="6"/>
  <c r="S42" i="6"/>
  <c r="S64" i="6"/>
  <c r="V64" i="6"/>
  <c r="S65" i="6"/>
  <c r="V65" i="6"/>
  <c r="V60" i="6"/>
  <c r="S60" i="6"/>
  <c r="S24" i="6"/>
  <c r="V24" i="6"/>
  <c r="V50" i="6"/>
  <c r="S50" i="6"/>
  <c r="V43" i="6"/>
  <c r="S43" i="6"/>
  <c r="S25" i="6"/>
  <c r="V25" i="6"/>
  <c r="S9" i="6"/>
  <c r="V9" i="6"/>
  <c r="V34" i="6"/>
  <c r="S34" i="6"/>
  <c r="S40" i="6"/>
  <c r="V40" i="6"/>
  <c r="V106" i="6"/>
  <c r="S106" i="6"/>
  <c r="V93" i="6"/>
  <c r="S93" i="6"/>
  <c r="S95" i="6"/>
  <c r="V95" i="6"/>
  <c r="V84" i="6"/>
  <c r="S84" i="6"/>
  <c r="S62" i="6"/>
  <c r="V62" i="6"/>
  <c r="S57" i="6"/>
  <c r="V57" i="6"/>
  <c r="S89" i="6"/>
  <c r="V89" i="6"/>
  <c r="V44" i="6"/>
  <c r="S44" i="6"/>
  <c r="S32" i="6"/>
  <c r="V32" i="6"/>
  <c r="V23" i="6"/>
  <c r="S23" i="6"/>
  <c r="S45" i="6"/>
  <c r="V45" i="6"/>
  <c r="S61" i="6"/>
  <c r="V61" i="6"/>
  <c r="V98" i="6"/>
  <c r="S98" i="6"/>
  <c r="S80" i="6"/>
  <c r="V80" i="6"/>
  <c r="S63" i="6"/>
  <c r="V63" i="6"/>
  <c r="S54" i="6"/>
  <c r="V54" i="6"/>
  <c r="V16" i="6"/>
  <c r="S16" i="6"/>
  <c r="V36" i="6"/>
  <c r="S36" i="6"/>
  <c r="S18" i="6"/>
  <c r="V18" i="6"/>
  <c r="S53" i="6"/>
  <c r="V53" i="6"/>
  <c r="S48" i="6"/>
  <c r="V48" i="6"/>
  <c r="S30" i="6"/>
  <c r="V30" i="6"/>
  <c r="S94" i="6"/>
  <c r="V94" i="6"/>
  <c r="S71" i="6"/>
  <c r="V71" i="6"/>
  <c r="V8" i="6"/>
  <c r="S8" i="6"/>
  <c r="V26" i="6"/>
  <c r="S26" i="6"/>
  <c r="S29" i="6"/>
  <c r="V29" i="6"/>
  <c r="S86" i="6"/>
  <c r="V86" i="6"/>
  <c r="V27" i="6"/>
  <c r="S27" i="6"/>
  <c r="V92" i="6"/>
  <c r="S92" i="6"/>
  <c r="V67" i="6"/>
  <c r="S67" i="6"/>
  <c r="V68" i="6"/>
  <c r="S68" i="6"/>
  <c r="V100" i="6"/>
  <c r="S100" i="6"/>
  <c r="V75" i="6"/>
  <c r="S75" i="6"/>
  <c r="V58" i="6"/>
  <c r="S58" i="6"/>
  <c r="S85" i="6"/>
  <c r="V85" i="6"/>
  <c r="S72" i="6"/>
  <c r="V72" i="6"/>
  <c r="S105" i="6"/>
  <c r="V105" i="6"/>
  <c r="S38" i="6"/>
  <c r="V38" i="6"/>
  <c r="S41" i="6"/>
  <c r="V41" i="6"/>
  <c r="V15" i="6"/>
  <c r="S15" i="6"/>
  <c r="V83" i="6"/>
  <c r="S83" i="6"/>
  <c r="S104" i="6"/>
  <c r="V104" i="6"/>
  <c r="S87" i="6"/>
  <c r="V87" i="6"/>
  <c r="S79" i="6"/>
  <c r="V79" i="6"/>
  <c r="S11" i="6"/>
  <c r="V11" i="6"/>
  <c r="S49" i="6"/>
  <c r="V49" i="6"/>
  <c r="S55" i="6"/>
  <c r="V55" i="6"/>
  <c r="V22" i="6"/>
  <c r="S22" i="6"/>
  <c r="S69" i="6"/>
  <c r="V69" i="6"/>
  <c r="S37" i="6"/>
  <c r="V37" i="6"/>
  <c r="V108" i="6"/>
  <c r="S108" i="6"/>
  <c r="S47" i="6"/>
  <c r="V47" i="6"/>
  <c r="V66" i="6"/>
  <c r="S66" i="6"/>
  <c r="V7" i="6"/>
  <c r="S7" i="6"/>
  <c r="U102" i="6"/>
  <c r="S102" i="6"/>
  <c r="V102" i="6"/>
  <c r="V114" i="6"/>
  <c r="R72" i="6"/>
  <c r="R29" i="6"/>
  <c r="R92" i="6"/>
  <c r="R48" i="6"/>
  <c r="R30" i="6"/>
  <c r="R27" i="6"/>
  <c r="R56" i="6"/>
  <c r="R112" i="6"/>
  <c r="R64" i="6"/>
  <c r="R113" i="6"/>
  <c r="R69" i="6"/>
  <c r="R37" i="6"/>
  <c r="U108" i="6"/>
  <c r="R86" i="6"/>
  <c r="R96" i="6"/>
  <c r="R50" i="6"/>
  <c r="R66" i="6"/>
  <c r="R7" i="6"/>
  <c r="R111" i="6"/>
  <c r="R74" i="6"/>
  <c r="R9" i="6"/>
  <c r="R12" i="6"/>
  <c r="R102" i="6"/>
  <c r="R53" i="6"/>
  <c r="R34" i="6"/>
  <c r="R10" i="6"/>
  <c r="R77" i="6"/>
  <c r="R90" i="6"/>
  <c r="R20" i="6"/>
  <c r="R17" i="6"/>
  <c r="R82" i="6"/>
  <c r="R6" i="6"/>
  <c r="R42" i="6"/>
  <c r="R93" i="6"/>
  <c r="R110" i="6"/>
  <c r="R32" i="6"/>
  <c r="R23" i="6"/>
  <c r="R45" i="6"/>
  <c r="R80" i="6"/>
  <c r="R18" i="6"/>
  <c r="R85" i="6"/>
  <c r="R61" i="6"/>
  <c r="U61" i="6"/>
  <c r="U27" i="6"/>
  <c r="U69" i="6"/>
  <c r="U86" i="6"/>
  <c r="U92" i="6"/>
  <c r="U85" i="6"/>
  <c r="R108" i="6"/>
  <c r="U45" i="6"/>
  <c r="U23" i="6"/>
  <c r="U32" i="6"/>
  <c r="U12" i="6"/>
  <c r="U9" i="6"/>
  <c r="U18" i="6"/>
  <c r="U17" i="6"/>
  <c r="U29" i="6"/>
  <c r="U53" i="6"/>
  <c r="U50" i="6"/>
  <c r="U82" i="6"/>
  <c r="U20" i="6"/>
  <c r="U6" i="6"/>
  <c r="U93" i="6"/>
  <c r="U80" i="6"/>
  <c r="M114" i="6"/>
  <c r="T114" i="6" s="1"/>
  <c r="U7" i="6"/>
  <c r="Q88" i="6"/>
  <c r="U77" i="6"/>
  <c r="U90" i="6"/>
  <c r="U88" i="6"/>
  <c r="U96" i="6"/>
  <c r="U66" i="6"/>
  <c r="U10" i="6"/>
  <c r="R15" i="6"/>
  <c r="U15" i="6"/>
  <c r="R83" i="6"/>
  <c r="U83" i="6"/>
  <c r="R94" i="6"/>
  <c r="U94" i="6"/>
  <c r="R8" i="6"/>
  <c r="U8" i="6"/>
  <c r="U56" i="6"/>
  <c r="R40" i="6"/>
  <c r="U40" i="6"/>
  <c r="U34" i="6"/>
  <c r="R104" i="6"/>
  <c r="U104" i="6"/>
  <c r="R87" i="6"/>
  <c r="U87" i="6"/>
  <c r="R79" i="6"/>
  <c r="U79" i="6"/>
  <c r="R11" i="6"/>
  <c r="U11" i="6"/>
  <c r="R49" i="6"/>
  <c r="U49" i="6"/>
  <c r="R55" i="6"/>
  <c r="U55" i="6"/>
  <c r="R22" i="6"/>
  <c r="U22" i="6"/>
  <c r="U42" i="6"/>
  <c r="R38" i="6"/>
  <c r="U38" i="6"/>
  <c r="R26" i="6"/>
  <c r="U26" i="6"/>
  <c r="R88" i="6"/>
  <c r="R67" i="6"/>
  <c r="U67" i="6"/>
  <c r="U30" i="6"/>
  <c r="T30" i="6"/>
  <c r="R81" i="6"/>
  <c r="U81" i="6"/>
  <c r="R65" i="6"/>
  <c r="U65" i="6"/>
  <c r="R5" i="6"/>
  <c r="U5" i="6"/>
  <c r="R60" i="6"/>
  <c r="U60" i="6"/>
  <c r="R73" i="6"/>
  <c r="U73" i="6"/>
  <c r="R35" i="6"/>
  <c r="U35" i="6"/>
  <c r="R47" i="6"/>
  <c r="U47" i="6"/>
  <c r="R58" i="6"/>
  <c r="U58" i="6"/>
  <c r="R71" i="6"/>
  <c r="U71" i="6"/>
  <c r="R98" i="6"/>
  <c r="U98" i="6"/>
  <c r="U109" i="6"/>
  <c r="R109" i="6"/>
  <c r="R43" i="6"/>
  <c r="U43" i="6"/>
  <c r="R51" i="6"/>
  <c r="U51" i="6"/>
  <c r="R46" i="6"/>
  <c r="U46" i="6"/>
  <c r="R59" i="6"/>
  <c r="U59" i="6"/>
  <c r="R25" i="6"/>
  <c r="U25" i="6"/>
  <c r="R39" i="6"/>
  <c r="U39" i="6"/>
  <c r="R105" i="6"/>
  <c r="U105" i="6"/>
  <c r="R41" i="6"/>
  <c r="U41" i="6"/>
  <c r="R24" i="6"/>
  <c r="U24" i="6"/>
  <c r="U48" i="6"/>
  <c r="R103" i="6"/>
  <c r="U103" i="6"/>
  <c r="R70" i="6"/>
  <c r="U70" i="6"/>
  <c r="R33" i="6"/>
  <c r="U33" i="6"/>
  <c r="R78" i="6"/>
  <c r="U78" i="6"/>
  <c r="R99" i="6"/>
  <c r="U99" i="6"/>
  <c r="R21" i="6"/>
  <c r="U21" i="6"/>
  <c r="R31" i="6"/>
  <c r="U31" i="6"/>
  <c r="R107" i="6"/>
  <c r="U107" i="6"/>
  <c r="R106" i="6"/>
  <c r="U106" i="6"/>
  <c r="R97" i="6"/>
  <c r="U97" i="6"/>
  <c r="R13" i="6"/>
  <c r="U13" i="6"/>
  <c r="R19" i="6"/>
  <c r="U19" i="6"/>
  <c r="R76" i="6"/>
  <c r="U76" i="6"/>
  <c r="R91" i="6"/>
  <c r="U91" i="6"/>
  <c r="R28" i="6"/>
  <c r="U28" i="6"/>
  <c r="R52" i="6"/>
  <c r="U52" i="6"/>
  <c r="U64" i="6"/>
  <c r="R14" i="6"/>
  <c r="U14" i="6"/>
  <c r="R84" i="6"/>
  <c r="U84" i="6"/>
  <c r="R62" i="6"/>
  <c r="U62" i="6"/>
  <c r="R57" i="6"/>
  <c r="U57" i="6"/>
  <c r="R89" i="6"/>
  <c r="U89" i="6"/>
  <c r="R44" i="6"/>
  <c r="U44" i="6"/>
  <c r="R101" i="6"/>
  <c r="U101" i="6"/>
  <c r="R95" i="6"/>
  <c r="U95" i="6"/>
  <c r="U72" i="6"/>
  <c r="U74" i="6"/>
  <c r="R68" i="6"/>
  <c r="U68" i="6"/>
  <c r="R63" i="6"/>
  <c r="U63" i="6"/>
  <c r="R100" i="6"/>
  <c r="U100" i="6"/>
  <c r="R54" i="6"/>
  <c r="U54" i="6"/>
  <c r="R75" i="6"/>
  <c r="U75" i="6"/>
  <c r="R16" i="6"/>
  <c r="U16" i="6"/>
  <c r="R36" i="6"/>
  <c r="U36" i="6"/>
  <c r="Q114" i="6" l="1"/>
  <c r="U114" i="6"/>
  <c r="R11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tc={2A7791E2-8D2A-40C5-B0D7-0A69FE23193F}</author>
    <author>tc={D2BD0F50-12E6-4E05-A685-5C58DB23650B}</author>
  </authors>
  <commentList>
    <comment ref="A4" authorId="0" shapeId="0" xr:uid="{2A7791E2-8D2A-40C5-B0D7-0A69FE23193F}">
      <text>
        <t>[Threaded comment]
Your version of Excel allows you to read this threaded comment; however, any edits to it will get removed if the file is opened in a newer version of Excel. Learn more: https://go.microsoft.com/fwlink/?linkid=870924
Comment:
    There are multiple rows for each measure per zone as rebates were paid under two tariffs in 2022. Before 4.1.2022, in addition to on and after 4.1.2022</t>
      </text>
    </comment>
    <comment ref="D114" authorId="1" shapeId="0" xr:uid="{D2BD0F50-12E6-4E05-A685-5C58DB23650B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the unique applications processed and paid in 2022, and doesn't match the sum of this column.</t>
      </text>
    </comment>
  </commentList>
</comments>
</file>

<file path=xl/sharedStrings.xml><?xml version="1.0" encoding="utf-8"?>
<sst xmlns="http://schemas.openxmlformats.org/spreadsheetml/2006/main" count="419" uniqueCount="110">
  <si>
    <t xml:space="preserve">PROGRAM YEAR </t>
  </si>
  <si>
    <t xml:space="preserve"> CASCADE NATURAL GAS CORPORATION</t>
  </si>
  <si>
    <t xml:space="preserve"> RESIDENTIAL Program Participant Cost Effectiveness</t>
  </si>
  <si>
    <t>MEASURE</t>
  </si>
  <si>
    <t>ZONE</t>
  </si>
  <si>
    <t>EFFICIENCY  RATING</t>
  </si>
  <si>
    <t>PARTICIPANTS</t>
  </si>
  <si>
    <t>MEASURES  INSTALLED</t>
  </si>
  <si>
    <t>ANNUAL  THERM  SAVINGS</t>
  </si>
  <si>
    <t>TOTAL  ANNUAL  THERM  SAVINGS</t>
  </si>
  <si>
    <t>MEASURE  INCREMENTAL  COST</t>
  </si>
  <si>
    <t>PARTICIPANT  NEIS</t>
  </si>
  <si>
    <t>TOTAL  INCREMENTAL  COST</t>
  </si>
  <si>
    <t>TOTAL  NET  INCREMENTAL  COST  WITH  NEIS</t>
  </si>
  <si>
    <t>MEASURE  LIFE</t>
  </si>
  <si>
    <t>DISCOUNTED  THERM  SAVINGS</t>
  </si>
  <si>
    <t>PROGRAM  DELIVERY  &amp;  ADMIN</t>
  </si>
  <si>
    <t>PROGRAM  REBATE</t>
  </si>
  <si>
    <t>TOTAL  REBATES  COST</t>
  </si>
  <si>
    <t>UTILITY  COST</t>
  </si>
  <si>
    <t>UC  W/DELIVERY  &amp;  ADMIN</t>
  </si>
  <si>
    <t>UTILITY COST TEST RATIO</t>
  </si>
  <si>
    <t>TOTAL  RESOURCE  COST</t>
  </si>
  <si>
    <t>TRC  W/DELIVERY  &amp;  ADMIN</t>
  </si>
  <si>
    <t>TOTAL RESOURCE COST TEST RATIO</t>
  </si>
  <si>
    <t>0.91 UEF Tankless Water Heater</t>
  </si>
  <si>
    <t>Zone 1</t>
  </si>
  <si>
    <t>0.91+ UEF</t>
  </si>
  <si>
    <t>Zone 2</t>
  </si>
  <si>
    <t>Zone 3</t>
  </si>
  <si>
    <t>0.93+ UEF</t>
  </si>
  <si>
    <t>0.93 UEF Tankless Water Heater</t>
  </si>
  <si>
    <t>95% AFUE New Gas Furnace (New &amp; Existing)</t>
  </si>
  <si>
    <t>95+% Annual Fuel Utilization Efficiency (AFUE)</t>
  </si>
  <si>
    <t>High-Efficiency Natural Gas Furnace</t>
  </si>
  <si>
    <t>98% AFUE New Gas Furnace (New &amp; Existing)</t>
  </si>
  <si>
    <t>98+% Annual Fuel Utilization Efficiency (AFUE)</t>
  </si>
  <si>
    <t>Built Green Certified Home</t>
  </si>
  <si>
    <t>Certified from one to five stars</t>
  </si>
  <si>
    <t>Ceiling</t>
  </si>
  <si>
    <t>Post R-49+</t>
  </si>
  <si>
    <t>Ceiling Tier I</t>
  </si>
  <si>
    <t>Tier 1: Post R-38+</t>
  </si>
  <si>
    <t>Ceiling Tier II</t>
  </si>
  <si>
    <t>Tier 2: Post R-49+</t>
  </si>
  <si>
    <t>Condensing Boiler</t>
  </si>
  <si>
    <t>Duct Insulation</t>
  </si>
  <si>
    <t>Post R-8, prior condition must not exceed R-0</t>
  </si>
  <si>
    <t>Post R-8, prior condition must not exceed R-1</t>
  </si>
  <si>
    <t>Post R-8, prior condition must not exceed R-2</t>
  </si>
  <si>
    <t>Post R-8, prior condition must not exceed R-3</t>
  </si>
  <si>
    <t>Post R-8, prior condition must not exceed R-4</t>
  </si>
  <si>
    <t>Post R-8, prior condition must not exceed R-5</t>
  </si>
  <si>
    <t>Duct Sealing</t>
  </si>
  <si>
    <t>30% or more of supply ducts in unconditioned space</t>
  </si>
  <si>
    <t>ENERGY STAR® Certified Homes + U.30 Window Glazing</t>
  </si>
  <si>
    <t>Certified HERS 75</t>
  </si>
  <si>
    <t>ENERGY STAR Clothes Washer</t>
  </si>
  <si>
    <t>ENERGY STAR Clothes Washers</t>
  </si>
  <si>
    <t>ENERGY STAR Smart Thermostat</t>
  </si>
  <si>
    <t>Floor Insulation</t>
  </si>
  <si>
    <t>Post R 30+, or to fill cavity</t>
  </si>
  <si>
    <t>High-Efficiency Combination Domestic Hot Water and Hydronic Space Heating System using pre-approved Tankless Water Heater</t>
  </si>
  <si>
    <t>95+% Annual Fuel Utilization Efficiency (AFUE) Hydronic Space Heating &amp; DHW</t>
  </si>
  <si>
    <t>High-Efficiency Exterior Entry (not sliding) Door</t>
  </si>
  <si>
    <t>U-Factor &lt;0.21, Energy Star Door</t>
  </si>
  <si>
    <t>High-Efficiency Natural Gas Hearth (Fireplace)</t>
  </si>
  <si>
    <t>Natural Gas Hearth (Fireplace) - 70% FE Hearth</t>
  </si>
  <si>
    <t>High-Efficiency Natural Gas Fireplace</t>
  </si>
  <si>
    <t>Prescriptive Air Sealing with Insulation Install</t>
  </si>
  <si>
    <t>BPA Weatherization Specifications section 4.4 &amp; 6.2</t>
  </si>
  <si>
    <t>Programmable Thermostat</t>
  </si>
  <si>
    <t>Programmable</t>
  </si>
  <si>
    <t>5-2 Programmable</t>
  </si>
  <si>
    <t>Wall Insulation</t>
  </si>
  <si>
    <t>Post R-11+, or to fill cavity</t>
  </si>
  <si>
    <t>Whole House Residential Air Sealing</t>
  </si>
  <si>
    <t>Min. 400 CFM50 reduction</t>
  </si>
  <si>
    <t>Windows 0.22 U-factor</t>
  </si>
  <si>
    <t>U Factor&lt;= 0.22</t>
  </si>
  <si>
    <t>Windows 0.27 U-factor</t>
  </si>
  <si>
    <t>U Factor&lt;= 0.27</t>
  </si>
  <si>
    <t>Windows 0.30 U-factor</t>
  </si>
  <si>
    <t>U Factor&lt;= 0.30</t>
  </si>
  <si>
    <t>Bundle A</t>
  </si>
  <si>
    <t>Bundle B</t>
  </si>
  <si>
    <t>TOTAL PROGRAM</t>
  </si>
  <si>
    <t xml:space="preserve"> </t>
  </si>
  <si>
    <t>Non-Energy Impacts</t>
  </si>
  <si>
    <t>IRP Discount Rate</t>
  </si>
  <si>
    <t>Inflation Rate</t>
  </si>
  <si>
    <t>Long Term Discount Rate</t>
  </si>
  <si>
    <t>Total Res Program Admin</t>
  </si>
  <si>
    <t>CASCADE NATURAL GAS CORPORATION</t>
  </si>
  <si>
    <t>INTEGRATED RESOURCE PLAN</t>
  </si>
  <si>
    <t>BASECASE - MEDIUM FORECAST - AVERAGE WEATHER</t>
  </si>
  <si>
    <t>45 YEAR RESOURCE SUMMARY COSTS - MELDED COST PER THERM</t>
  </si>
  <si>
    <t>YEAR</t>
  </si>
  <si>
    <t>IRP ANNUAL 
 PORTFOLIO 
 COST PER 
 THERM (PV)*</t>
  </si>
  <si>
    <t>NOMINAL 
 COST 
 PER 
 THERM</t>
  </si>
  <si>
    <t>PV OF 
 RESOURCE 
 PORTFOLIO 
 COST/THERM</t>
  </si>
  <si>
    <t>NON 
 ENERGY 
 BENEFIT</t>
  </si>
  <si>
    <t>PORTFOLIO 
 COSTS  WITH 
 CONSERVATION 
 CREDIT</t>
  </si>
  <si>
    <t>COST- 
 EFFECTIVENESS 
 LIMIT</t>
  </si>
  <si>
    <t>10%</t>
  </si>
  <si>
    <t>Cascade's Long Term Real Discount Rate:</t>
  </si>
  <si>
    <t>IRP Discount Rate :</t>
  </si>
  <si>
    <t>Revised Discount Rate:</t>
  </si>
  <si>
    <t>Years 21-45 Escalation:</t>
  </si>
  <si>
    <t>(EIA Inflation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</si>
</sst>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164" formatCode="#,##0.00%"/>
    <numFmt numFmtId="165" formatCode="\$#,##0.00;\$\-#,##0.00"/>
    <numFmt numFmtId="166" formatCode="\$#,##0.00"/>
    <numFmt numFmtId="167" formatCode="\$#,##0.00;\$\(#,##0.00\)\ "/>
    <numFmt numFmtId="168" formatCode="\$#,##0.000"/>
    <numFmt numFmtId="169" formatCode="\$#,##0.000;\$\(#,##0.000\)\ "/>
    <numFmt numFmtId="170" formatCode="\$#,##0.000;\$\(#,##0.000\)"/>
    <numFmt numFmtId="171" formatCode="#,##0.000"/>
    <numFmt numFmtId="172" formatCode="\$#,##0.00;\$\(#,##0.00\)"/>
    <numFmt numFmtId="173" formatCode="\$#,##0.0000;\$\-#,##0.0000"/>
    <numFmt numFmtId="174" formatCode="\$#,##0.##;\$\-#,##0.##"/>
    <numFmt numFmtId="175" formatCode="#,##0.000000000_);\(#,##0.000000000\)"/>
    <numFmt numFmtId="176" formatCode="#,##0.00;\(#,##0.00\)\ "/>
  </numFmts>
  <fonts count="15" x14ac:knownFonts="1">
    <font>
      <sz val="11"/>
      <color theme="1"/>
      <name val="Calibri"/>
      <family val="2"/>
      <scheme val="minor"/>
    </font>
    <font>
      <b/>
      <sz val="15"/>
      <color rgb="FF3634E0"/>
      <name val="Arial"/>
      <family val="2"/>
    </font>
    <font>
      <b/>
      <sz val="21"/>
      <color rgb="FF058FFF"/>
      <name val="Arial"/>
      <family val="2"/>
    </font>
    <font>
      <b/>
      <sz val="11"/>
      <color rgb="FF3634E0"/>
      <name val="Arial"/>
      <family val="2"/>
    </font>
    <font>
      <b/>
      <sz val="11"/>
      <color rgb="FFA61712"/>
      <name val="Arial"/>
      <family val="2"/>
    </font>
    <font>
      <b/>
      <sz val="17"/>
      <color rgb="FF058FFF"/>
      <name val="Arial"/>
      <family val="2"/>
    </font>
    <font>
      <b/>
      <sz val="23"/>
      <color rgb="FF058FFF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b/>
      <sz val="8"/>
      <color rgb="FF000000"/>
      <name val="Arial"/>
      <family val="2"/>
    </font>
    <font>
      <sz val="7.5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89842"/>
      </patternFill>
    </fill>
    <fill>
      <patternFill patternType="solid">
        <fgColor rgb="FF5AA6DB"/>
      </patternFill>
    </fill>
    <fill>
      <patternFill patternType="none"/>
    </fill>
    <fill>
      <patternFill patternType="solid">
        <fgColor rgb="FFE8E6E6"/>
      </patternFill>
    </fill>
  </fills>
  <borders count="7">
    <border>
      <left/>
      <right/>
      <top/>
      <bottom/>
      <diagonal/>
    </border>
    <border>
      <left style="medium">
        <color rgb="FFD6D2D2"/>
      </left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 style="thick">
        <color rgb="FFD6D2D2"/>
      </left>
      <right style="medium">
        <color rgb="FFD6D2D2"/>
      </right>
      <top/>
      <bottom/>
      <diagonal/>
    </border>
    <border>
      <left style="medium">
        <color rgb="FFD6D2D2"/>
      </left>
      <right style="medium">
        <color rgb="FFD6D2D2"/>
      </right>
      <top/>
      <bottom/>
      <diagonal/>
    </border>
    <border>
      <left style="thin">
        <color rgb="FFC2BABA"/>
      </left>
      <right style="thin">
        <color rgb="FFC2BABA"/>
      </right>
      <top style="thin">
        <color rgb="FFC2BABA"/>
      </top>
      <bottom style="thin">
        <color rgb="FFC2BABA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3" fillId="4" borderId="5"/>
  </cellStyleXfs>
  <cellXfs count="58">
    <xf numFmtId="0" fontId="0" fillId="0" borderId="0" xfId="0"/>
    <xf numFmtId="0" fontId="13" fillId="4" borderId="5" xfId="1"/>
    <xf numFmtId="0" fontId="13" fillId="4" borderId="5" xfId="1" applyAlignment="1" applyProtection="1">
      <alignment wrapText="1"/>
      <protection locked="0"/>
    </xf>
    <xf numFmtId="172" fontId="9" fillId="2" borderId="3" xfId="1" applyNumberFormat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172" fontId="7" fillId="2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4" fontId="9" fillId="2" borderId="3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70" fontId="8" fillId="5" borderId="1" xfId="1" applyNumberFormat="1" applyFont="1" applyFill="1" applyBorder="1" applyAlignment="1">
      <alignment horizontal="center" vertical="center" wrapText="1"/>
    </xf>
    <xf numFmtId="169" fontId="8" fillId="5" borderId="1" xfId="1" applyNumberFormat="1" applyFont="1" applyFill="1" applyBorder="1" applyAlignment="1">
      <alignment horizontal="center" vertical="center" wrapText="1"/>
    </xf>
    <xf numFmtId="168" fontId="8" fillId="5" borderId="1" xfId="1" applyNumberFormat="1" applyFont="1" applyFill="1" applyBorder="1" applyAlignment="1">
      <alignment horizontal="center" vertical="center" wrapText="1"/>
    </xf>
    <xf numFmtId="166" fontId="8" fillId="5" borderId="1" xfId="1" applyNumberFormat="1" applyFont="1" applyFill="1" applyBorder="1" applyAlignment="1">
      <alignment horizontal="center" vertical="center" wrapText="1"/>
    </xf>
    <xf numFmtId="165" fontId="8" fillId="5" borderId="1" xfId="1" applyNumberFormat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3" fontId="8" fillId="5" borderId="1" xfId="1" applyNumberFormat="1" applyFont="1" applyFill="1" applyBorder="1" applyAlignment="1">
      <alignment horizontal="center" vertical="center" wrapText="1"/>
    </xf>
    <xf numFmtId="167" fontId="8" fillId="5" borderId="1" xfId="1" applyNumberFormat="1" applyFont="1" applyFill="1" applyBorder="1" applyAlignment="1">
      <alignment horizontal="center" vertical="center" wrapText="1"/>
    </xf>
    <xf numFmtId="171" fontId="8" fillId="5" borderId="1" xfId="1" applyNumberFormat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170" fontId="8" fillId="4" borderId="1" xfId="1" applyNumberFormat="1" applyFont="1" applyBorder="1" applyAlignment="1">
      <alignment horizontal="center" vertical="center" wrapText="1"/>
    </xf>
    <xf numFmtId="169" fontId="8" fillId="4" borderId="1" xfId="1" applyNumberFormat="1" applyFont="1" applyBorder="1" applyAlignment="1">
      <alignment horizontal="center" vertical="center" wrapText="1"/>
    </xf>
    <xf numFmtId="168" fontId="8" fillId="4" borderId="1" xfId="1" applyNumberFormat="1" applyFont="1" applyBorder="1" applyAlignment="1">
      <alignment horizontal="center" vertical="center" wrapText="1"/>
    </xf>
    <xf numFmtId="166" fontId="8" fillId="4" borderId="1" xfId="1" applyNumberFormat="1" applyFont="1" applyBorder="1" applyAlignment="1">
      <alignment horizontal="center" vertical="center" wrapText="1"/>
    </xf>
    <xf numFmtId="165" fontId="8" fillId="4" borderId="1" xfId="1" applyNumberFormat="1" applyFont="1" applyBorder="1" applyAlignment="1">
      <alignment horizontal="center" vertical="center" wrapText="1"/>
    </xf>
    <xf numFmtId="4" fontId="8" fillId="4" borderId="1" xfId="1" applyNumberFormat="1" applyFont="1" applyBorder="1" applyAlignment="1">
      <alignment horizontal="center" vertical="center" wrapText="1"/>
    </xf>
    <xf numFmtId="3" fontId="8" fillId="4" borderId="1" xfId="1" applyNumberFormat="1" applyFont="1" applyBorder="1" applyAlignment="1">
      <alignment horizontal="center" vertical="center" wrapText="1"/>
    </xf>
    <xf numFmtId="167" fontId="8" fillId="4" borderId="1" xfId="1" applyNumberFormat="1" applyFont="1" applyBorder="1" applyAlignment="1">
      <alignment horizontal="center" vertical="center" wrapText="1"/>
    </xf>
    <xf numFmtId="171" fontId="8" fillId="4" borderId="1" xfId="1" applyNumberFormat="1" applyFont="1" applyBorder="1" applyAlignment="1">
      <alignment horizontal="center" vertical="center" wrapText="1"/>
    </xf>
    <xf numFmtId="0" fontId="8" fillId="4" borderId="1" xfId="1" applyFont="1" applyBorder="1" applyAlignment="1">
      <alignment horizontal="center" vertical="center" wrapText="1"/>
    </xf>
    <xf numFmtId="165" fontId="4" fillId="4" borderId="1" xfId="1" applyNumberFormat="1" applyFont="1" applyBorder="1" applyAlignment="1">
      <alignment horizontal="left" vertical="center" wrapText="1"/>
    </xf>
    <xf numFmtId="0" fontId="3" fillId="4" borderId="1" xfId="1" applyFont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164" fontId="4" fillId="4" borderId="1" xfId="1" applyNumberFormat="1" applyFont="1" applyBorder="1" applyAlignment="1">
      <alignment horizontal="left" vertical="center" wrapText="1"/>
    </xf>
    <xf numFmtId="0" fontId="1" fillId="4" borderId="1" xfId="1" applyFont="1" applyBorder="1" applyAlignment="1">
      <alignment horizontal="left" vertical="center" wrapText="1"/>
    </xf>
    <xf numFmtId="175" fontId="13" fillId="4" borderId="5" xfId="1" applyNumberFormat="1"/>
    <xf numFmtId="176" fontId="8" fillId="5" borderId="1" xfId="1" applyNumberFormat="1" applyFont="1" applyFill="1" applyBorder="1" applyAlignment="1">
      <alignment horizontal="center" vertical="center" wrapText="1"/>
    </xf>
    <xf numFmtId="176" fontId="8" fillId="4" borderId="1" xfId="1" applyNumberFormat="1" applyFont="1" applyBorder="1" applyAlignment="1">
      <alignment horizontal="center" vertical="center" wrapText="1"/>
    </xf>
    <xf numFmtId="176" fontId="9" fillId="2" borderId="3" xfId="1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165" fontId="12" fillId="4" borderId="6" xfId="0" applyNumberFormat="1" applyFont="1" applyFill="1" applyBorder="1" applyAlignment="1">
      <alignment horizontal="center" vertical="center" wrapText="1"/>
    </xf>
    <xf numFmtId="173" fontId="12" fillId="4" borderId="6" xfId="0" applyNumberFormat="1" applyFont="1" applyFill="1" applyBorder="1" applyAlignment="1">
      <alignment horizontal="center" vertical="center" wrapText="1"/>
    </xf>
    <xf numFmtId="174" fontId="12" fillId="4" borderId="6" xfId="0" applyNumberFormat="1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164" fontId="12" fillId="4" borderId="4" xfId="0" applyNumberFormat="1" applyFont="1" applyFill="1" applyBorder="1" applyAlignment="1">
      <alignment horizontal="center" vertical="center" wrapText="1"/>
    </xf>
    <xf numFmtId="0" fontId="2" fillId="4" borderId="1" xfId="1" applyFont="1" applyBorder="1" applyAlignment="1">
      <alignment horizontal="left" vertical="center" wrapText="1"/>
    </xf>
    <xf numFmtId="0" fontId="5" fillId="4" borderId="1" xfId="1" applyFont="1" applyBorder="1" applyAlignment="1">
      <alignment horizontal="left" vertical="center" wrapText="1"/>
    </xf>
    <xf numFmtId="0" fontId="6" fillId="4" borderId="1" xfId="1" applyFont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674BB400-8A06-4D2C-982A-DE6FFE77159C}"/>
  </cellStyles>
  <dxfs count="0"/>
  <tableStyles count="1" defaultTableStyle="TableStyleMedium9" defaultPivotStyle="PivotStyleLight16">
    <tableStyle name="Invisible" pivot="0" table="0" count="0" xr9:uid="{44F8E04B-C78E-4144-82C0-F4271259AC0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" dT="2023-05-03T19:41:57.06" personId="{00000000-0000-0000-0000-000000000000}" id="{2A7791E2-8D2A-40C5-B0D7-0A69FE23193F}">
    <text>There are multiple rows for each measure per zone as rebates were paid under two tariffs in 2022. Before 4.1.2022, in addition to on and after 4.1.2022</text>
  </threadedComment>
  <threadedComment ref="D114" dT="2023-05-03T19:38:54.36" personId="{00000000-0000-0000-0000-000000000000}" id="{D2BD0F50-12E6-4E05-A685-5C58DB23650B}">
    <text>This is the unique applications processed and paid in 2022, and doesn't match the sum of this column.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6B080-810E-47CC-B85D-AD5C57EE340B}">
  <sheetPr>
    <outlinePr summaryBelow="0"/>
  </sheetPr>
  <dimension ref="A1:X227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61.5703125" style="1" customWidth="1"/>
    <col min="2" max="2" width="20" style="1" customWidth="1"/>
    <col min="3" max="3" width="69.7109375" style="1" bestFit="1" customWidth="1"/>
    <col min="4" max="15" width="42.42578125" style="1" customWidth="1"/>
    <col min="16" max="16" width="36.7109375" style="1" customWidth="1"/>
    <col min="17" max="17" width="26.7109375" style="1" customWidth="1"/>
    <col min="18" max="18" width="38.28515625" style="1" customWidth="1"/>
    <col min="19" max="19" width="55" style="1" customWidth="1"/>
    <col min="20" max="20" width="38.28515625" style="1" customWidth="1"/>
    <col min="21" max="21" width="41.7109375" style="1" customWidth="1"/>
    <col min="22" max="22" width="61.7109375" style="1" customWidth="1"/>
    <col min="23" max="23" width="58.28515625" style="1" customWidth="1"/>
    <col min="24" max="24" width="25" style="1" customWidth="1"/>
    <col min="25" max="16384" width="9.140625" style="1"/>
  </cols>
  <sheetData>
    <row r="1" spans="1:24" ht="30" customHeight="1" thickBot="1" x14ac:dyDescent="0.3">
      <c r="A1" s="35" t="s">
        <v>0</v>
      </c>
      <c r="B1" s="49" t="s">
        <v>1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24" ht="30" customHeight="1" thickBot="1" x14ac:dyDescent="0.3">
      <c r="A2" s="35">
        <v>2022</v>
      </c>
      <c r="B2" s="50" t="s">
        <v>2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</row>
    <row r="3" spans="1:24" ht="24.95" customHeight="1" thickBot="1" x14ac:dyDescent="0.3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</row>
    <row r="4" spans="1:24" ht="24.95" customHeight="1" thickBot="1" x14ac:dyDescent="0.3">
      <c r="A4" s="3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3" t="s">
        <v>9</v>
      </c>
      <c r="H4" s="33" t="s">
        <v>10</v>
      </c>
      <c r="I4" s="33" t="s">
        <v>11</v>
      </c>
      <c r="J4" s="33" t="s">
        <v>12</v>
      </c>
      <c r="K4" s="33" t="s">
        <v>13</v>
      </c>
      <c r="L4" s="33" t="s">
        <v>14</v>
      </c>
      <c r="M4" s="33" t="s">
        <v>15</v>
      </c>
      <c r="N4" s="33" t="s">
        <v>16</v>
      </c>
      <c r="O4" s="33" t="s">
        <v>17</v>
      </c>
      <c r="P4" s="33" t="s">
        <v>18</v>
      </c>
      <c r="Q4" s="33" t="s">
        <v>19</v>
      </c>
      <c r="R4" s="33" t="s">
        <v>20</v>
      </c>
      <c r="S4" s="33" t="s">
        <v>21</v>
      </c>
      <c r="T4" s="33" t="s">
        <v>22</v>
      </c>
      <c r="U4" s="33" t="s">
        <v>23</v>
      </c>
      <c r="V4" s="33" t="s">
        <v>24</v>
      </c>
    </row>
    <row r="5" spans="1:24" ht="15.75" thickBot="1" x14ac:dyDescent="0.3">
      <c r="A5" s="20" t="s">
        <v>25</v>
      </c>
      <c r="B5" s="20" t="s">
        <v>26</v>
      </c>
      <c r="C5" s="20" t="s">
        <v>27</v>
      </c>
      <c r="D5" s="17">
        <v>65</v>
      </c>
      <c r="E5" s="17">
        <v>65</v>
      </c>
      <c r="F5" s="19">
        <v>64.58</v>
      </c>
      <c r="G5" s="17">
        <f t="shared" ref="G5:G32" si="0">IF(ISNUMBER(E5),E5*F5,"")</f>
        <v>4197.7</v>
      </c>
      <c r="H5" s="15">
        <v>1171</v>
      </c>
      <c r="I5" s="14">
        <f t="shared" ref="I5:I50" si="1">PV($B$119,$L5,(-0.05*0.95*$F5))</f>
        <v>31.804187278086541</v>
      </c>
      <c r="J5" s="14">
        <f t="shared" ref="J5:J32" si="2">IF(ISNUMBER(H5),H5*E5,"")</f>
        <v>76115</v>
      </c>
      <c r="K5" s="18">
        <f t="shared" ref="K5:K32" si="3">J5-D5*(I5)</f>
        <v>74047.727826924369</v>
      </c>
      <c r="L5" s="17">
        <v>13</v>
      </c>
      <c r="M5" s="17">
        <f t="shared" ref="M5:M36" si="4">PV($B$119,$L5,-$G5)</f>
        <v>43521.519433171059</v>
      </c>
      <c r="N5" s="16">
        <f t="shared" ref="N5:N36" si="5">(G5/VLOOKUP("TOTAL PROGRAM",$A$4:$G$196,7,FALSE))*$B$120</f>
        <v>14467.459265265059</v>
      </c>
      <c r="O5" s="15">
        <v>350</v>
      </c>
      <c r="P5" s="14">
        <f t="shared" ref="P5:P32" si="6">IF(ISNUMBER(O5),O5*E5,"")</f>
        <v>22750</v>
      </c>
      <c r="Q5" s="13">
        <f t="shared" ref="Q5:Q32" si="7">IF(ISERROR(P5/M5),0,P5/M5)</f>
        <v>0.52272991146215575</v>
      </c>
      <c r="R5" s="13">
        <f t="shared" ref="R5:R32" si="8">IF(ISERROR((N5+P5)/M5),0,(N5+P5)/M5)</f>
        <v>0.85515073347597337</v>
      </c>
      <c r="S5" s="37">
        <f>IF(OR($P5=0,ISERROR(P5/G5)),"-",(VLOOKUP(L5,'APP 2885'!$B$10:$G$54,6)*$G5)/($P5+$N5))</f>
        <v>1.4651590243390789</v>
      </c>
      <c r="T5" s="12">
        <f t="shared" ref="T5:T32" si="9">IF(ISERROR(RK5/M5),0,K5/M5)</f>
        <v>1.7014049323490983</v>
      </c>
      <c r="U5" s="11">
        <f t="shared" ref="U5:U32" si="10">IF(ISERROR(K5/M5),0,(K5+N5)/M5)</f>
        <v>2.0338257543629159</v>
      </c>
      <c r="V5" s="37">
        <f>IF(OR($P5=0,ISERROR(P5/G5)),"-",(VLOOKUP(L5,'APP 2885'!$B$10:$G$54,4)*$G5)/($K5+$N5))</f>
        <v>0.56004253052059361</v>
      </c>
      <c r="W5" s="2"/>
      <c r="X5" s="2"/>
    </row>
    <row r="6" spans="1:24" ht="15.75" thickBot="1" x14ac:dyDescent="0.3">
      <c r="A6" s="30" t="s">
        <v>25</v>
      </c>
      <c r="B6" s="30" t="s">
        <v>26</v>
      </c>
      <c r="C6" s="30" t="s">
        <v>27</v>
      </c>
      <c r="D6" s="27">
        <v>90</v>
      </c>
      <c r="E6" s="27">
        <v>91</v>
      </c>
      <c r="F6" s="29">
        <v>60.03</v>
      </c>
      <c r="G6" s="27">
        <f t="shared" si="0"/>
        <v>5462.7300000000005</v>
      </c>
      <c r="H6" s="25">
        <v>2533.17</v>
      </c>
      <c r="I6" s="24">
        <f t="shared" si="1"/>
        <v>39.433754532701776</v>
      </c>
      <c r="J6" s="24">
        <f t="shared" si="2"/>
        <v>230518.47</v>
      </c>
      <c r="K6" s="28">
        <f t="shared" si="3"/>
        <v>226969.43209205684</v>
      </c>
      <c r="L6" s="27">
        <v>19</v>
      </c>
      <c r="M6" s="27">
        <f t="shared" si="4"/>
        <v>75546.771841597103</v>
      </c>
      <c r="N6" s="26">
        <f t="shared" si="5"/>
        <v>18827.411142325895</v>
      </c>
      <c r="O6" s="25">
        <v>350</v>
      </c>
      <c r="P6" s="24">
        <f t="shared" si="6"/>
        <v>31850</v>
      </c>
      <c r="Q6" s="23">
        <f t="shared" si="7"/>
        <v>0.42159312997227166</v>
      </c>
      <c r="R6" s="23">
        <f t="shared" si="8"/>
        <v>0.67080842644850391</v>
      </c>
      <c r="S6" s="38">
        <f>IF(OR($P6=0,ISERROR(P6/G6)),"-",(VLOOKUP(L6,'APP 2885'!$B$10:$G$54,6)*$G6)/($P6+$N6))</f>
        <v>2.1463804830778899</v>
      </c>
      <c r="T6" s="22">
        <f t="shared" si="9"/>
        <v>3.0043564610272906</v>
      </c>
      <c r="U6" s="21">
        <f t="shared" si="10"/>
        <v>3.253571757503523</v>
      </c>
      <c r="V6" s="38">
        <f>IF(OR($P6=0,ISERROR(P6/G6)),"-",(VLOOKUP(L6,'APP 2885'!$B$10:$G$54,4)*$G6)/($K6+$N6))</f>
        <v>0.40230195716801231</v>
      </c>
      <c r="W6" s="2"/>
      <c r="X6" s="2"/>
    </row>
    <row r="7" spans="1:24" ht="15.75" thickBot="1" x14ac:dyDescent="0.3">
      <c r="A7" s="20" t="s">
        <v>25</v>
      </c>
      <c r="B7" s="20" t="s">
        <v>28</v>
      </c>
      <c r="C7" s="20" t="s">
        <v>27</v>
      </c>
      <c r="D7" s="17">
        <v>16</v>
      </c>
      <c r="E7" s="17">
        <v>16</v>
      </c>
      <c r="F7" s="19">
        <v>64.22</v>
      </c>
      <c r="G7" s="17">
        <f t="shared" si="0"/>
        <v>1027.52</v>
      </c>
      <c r="H7" s="15">
        <v>1171</v>
      </c>
      <c r="I7" s="14">
        <f t="shared" si="1"/>
        <v>31.626895432002446</v>
      </c>
      <c r="J7" s="14">
        <f t="shared" si="2"/>
        <v>18736</v>
      </c>
      <c r="K7" s="18">
        <f t="shared" si="3"/>
        <v>18229.969673087962</v>
      </c>
      <c r="L7" s="17">
        <v>13</v>
      </c>
      <c r="M7" s="17">
        <f t="shared" si="4"/>
        <v>10653.270040253454</v>
      </c>
      <c r="N7" s="16">
        <f t="shared" si="5"/>
        <v>3541.3687839162289</v>
      </c>
      <c r="O7" s="15">
        <v>350</v>
      </c>
      <c r="P7" s="14">
        <f t="shared" si="6"/>
        <v>5600</v>
      </c>
      <c r="Q7" s="13">
        <f t="shared" si="7"/>
        <v>0.52566019436664624</v>
      </c>
      <c r="R7" s="13">
        <f t="shared" si="8"/>
        <v>0.85808101638046386</v>
      </c>
      <c r="S7" s="37">
        <f>IF(OR($P7=0,ISERROR(P7/G7)),"-",(VLOOKUP(L7,'APP 2885'!$B$10:$G$54,6)*$G7)/($P7+$N7))</f>
        <v>1.4601556151511088</v>
      </c>
      <c r="T7" s="12">
        <f t="shared" si="9"/>
        <v>1.7112088217238366</v>
      </c>
      <c r="U7" s="11">
        <f t="shared" si="10"/>
        <v>2.0436296437376544</v>
      </c>
      <c r="V7" s="37">
        <f>IF(OR($P7=0,ISERROR(P7/G7)),"-",(VLOOKUP(L7,'APP 2885'!$B$10:$G$54,4)*$G7)/($K7+$N7))</f>
        <v>0.55735584263113314</v>
      </c>
      <c r="W7" s="2"/>
      <c r="X7" s="2"/>
    </row>
    <row r="8" spans="1:24" ht="15.75" thickBot="1" x14ac:dyDescent="0.3">
      <c r="A8" s="30" t="s">
        <v>25</v>
      </c>
      <c r="B8" s="30" t="s">
        <v>28</v>
      </c>
      <c r="C8" s="30" t="s">
        <v>27</v>
      </c>
      <c r="D8" s="27">
        <v>28</v>
      </c>
      <c r="E8" s="27">
        <v>28</v>
      </c>
      <c r="F8" s="29">
        <v>60.03</v>
      </c>
      <c r="G8" s="27">
        <f t="shared" si="0"/>
        <v>1680.8400000000001</v>
      </c>
      <c r="H8" s="25">
        <v>2533.17</v>
      </c>
      <c r="I8" s="24">
        <f t="shared" si="1"/>
        <v>39.433754532701776</v>
      </c>
      <c r="J8" s="24">
        <f t="shared" si="2"/>
        <v>70928.760000000009</v>
      </c>
      <c r="K8" s="28">
        <f t="shared" si="3"/>
        <v>69824.614873084356</v>
      </c>
      <c r="L8" s="27">
        <v>19</v>
      </c>
      <c r="M8" s="27">
        <f t="shared" si="4"/>
        <v>23245.160566645263</v>
      </c>
      <c r="N8" s="26">
        <f t="shared" si="5"/>
        <v>5793.0495822541207</v>
      </c>
      <c r="O8" s="25">
        <v>350</v>
      </c>
      <c r="P8" s="24">
        <f t="shared" si="6"/>
        <v>9800</v>
      </c>
      <c r="Q8" s="23">
        <f t="shared" si="7"/>
        <v>0.42159312997227166</v>
      </c>
      <c r="R8" s="23">
        <f t="shared" si="8"/>
        <v>0.6708084264485038</v>
      </c>
      <c r="S8" s="38">
        <f>IF(OR($P8=0,ISERROR(P8/G8)),"-",(VLOOKUP(L8,'APP 2885'!$B$10:$G$54,6)*$G8)/($P8+$N8))</f>
        <v>2.1463804830778903</v>
      </c>
      <c r="T8" s="22">
        <f t="shared" si="9"/>
        <v>3.0038344830053125</v>
      </c>
      <c r="U8" s="21">
        <f t="shared" si="10"/>
        <v>3.2530497794815449</v>
      </c>
      <c r="V8" s="38">
        <f>IF(OR($P8=0,ISERROR(P8/G8)),"-",(VLOOKUP(L8,'APP 2885'!$B$10:$G$54,4)*$G8)/($K8+$N8))</f>
        <v>0.40236650975529975</v>
      </c>
      <c r="W8" s="2"/>
      <c r="X8" s="2"/>
    </row>
    <row r="9" spans="1:24" ht="15.75" thickBot="1" x14ac:dyDescent="0.3">
      <c r="A9" s="20" t="s">
        <v>25</v>
      </c>
      <c r="B9" s="20" t="s">
        <v>29</v>
      </c>
      <c r="C9" s="20" t="s">
        <v>30</v>
      </c>
      <c r="D9" s="17">
        <v>35</v>
      </c>
      <c r="E9" s="17">
        <v>35</v>
      </c>
      <c r="F9" s="19">
        <v>63.68</v>
      </c>
      <c r="G9" s="17">
        <f t="shared" si="0"/>
        <v>2228.8000000000002</v>
      </c>
      <c r="H9" s="15">
        <v>1171</v>
      </c>
      <c r="I9" s="14">
        <f t="shared" si="1"/>
        <v>41.831442422829404</v>
      </c>
      <c r="J9" s="14">
        <f t="shared" si="2"/>
        <v>40985</v>
      </c>
      <c r="K9" s="18">
        <f t="shared" si="3"/>
        <v>39520.899515200974</v>
      </c>
      <c r="L9" s="17">
        <v>19</v>
      </c>
      <c r="M9" s="17">
        <f t="shared" si="4"/>
        <v>30823.168101032199</v>
      </c>
      <c r="N9" s="16">
        <f t="shared" si="5"/>
        <v>7681.6049766354827</v>
      </c>
      <c r="O9" s="15">
        <v>350</v>
      </c>
      <c r="P9" s="14">
        <f t="shared" si="6"/>
        <v>12250</v>
      </c>
      <c r="Q9" s="13">
        <f t="shared" si="7"/>
        <v>0.39742832274239115</v>
      </c>
      <c r="R9" s="13">
        <f t="shared" si="8"/>
        <v>0.64664361921862334</v>
      </c>
      <c r="S9" s="37">
        <f>IF(OR($P9=0,ISERROR(P9/G9)),"-",(VLOOKUP(L9,'APP 2885'!$B$10:$G$54,6)*$G9)/($P9+$N9))</f>
        <v>2.2265898427221229</v>
      </c>
      <c r="T9" s="12">
        <f t="shared" si="9"/>
        <v>1.282181616946686</v>
      </c>
      <c r="U9" s="11">
        <f t="shared" si="10"/>
        <v>1.5313969134229182</v>
      </c>
      <c r="V9" s="37">
        <f>IF(OR($P9=0,ISERROR(P9/G9)),"-",(VLOOKUP(L9,'APP 2885'!$B$10:$G$54,4)*$G9)/($K9+$N9))</f>
        <v>0.85472177353720402</v>
      </c>
      <c r="W9" s="2"/>
      <c r="X9" s="2"/>
    </row>
    <row r="10" spans="1:24" ht="15.75" thickBot="1" x14ac:dyDescent="0.3">
      <c r="A10" s="30" t="s">
        <v>25</v>
      </c>
      <c r="B10" s="30" t="s">
        <v>29</v>
      </c>
      <c r="C10" s="30" t="s">
        <v>30</v>
      </c>
      <c r="D10" s="27">
        <v>50</v>
      </c>
      <c r="E10" s="27">
        <v>51</v>
      </c>
      <c r="F10" s="29">
        <v>60.03</v>
      </c>
      <c r="G10" s="27">
        <f t="shared" si="0"/>
        <v>3061.53</v>
      </c>
      <c r="H10" s="25">
        <v>2533.17</v>
      </c>
      <c r="I10" s="24">
        <f t="shared" si="1"/>
        <v>39.433754532701776</v>
      </c>
      <c r="J10" s="24">
        <f t="shared" si="2"/>
        <v>129191.67</v>
      </c>
      <c r="K10" s="28">
        <f t="shared" si="3"/>
        <v>127219.98227336491</v>
      </c>
      <c r="L10" s="27">
        <v>19</v>
      </c>
      <c r="M10" s="27">
        <f t="shared" si="4"/>
        <v>42339.399603532445</v>
      </c>
      <c r="N10" s="26">
        <f t="shared" si="5"/>
        <v>10551.626024820005</v>
      </c>
      <c r="O10" s="25">
        <v>350</v>
      </c>
      <c r="P10" s="24">
        <f t="shared" si="6"/>
        <v>17850</v>
      </c>
      <c r="Q10" s="23">
        <f t="shared" si="7"/>
        <v>0.42159312997227161</v>
      </c>
      <c r="R10" s="23">
        <f t="shared" si="8"/>
        <v>0.6708084264485038</v>
      </c>
      <c r="S10" s="38">
        <f>IF(OR($P10=0,ISERROR(P10/G10)),"-",(VLOOKUP(L10,'APP 2885'!$B$10:$G$54,6)*$G10)/($P10+$N10))</f>
        <v>2.1463804830778899</v>
      </c>
      <c r="T10" s="22">
        <f t="shared" si="9"/>
        <v>3.0047658555543317</v>
      </c>
      <c r="U10" s="21">
        <f t="shared" si="10"/>
        <v>3.2539811520305637</v>
      </c>
      <c r="V10" s="38">
        <f>IF(OR($P10=0,ISERROR(P10/G10)),"-",(VLOOKUP(L10,'APP 2885'!$B$10:$G$54,4)*$G10)/($K10+$N10))</f>
        <v>0.40225134217923775</v>
      </c>
      <c r="W10" s="2"/>
      <c r="X10" s="2"/>
    </row>
    <row r="11" spans="1:24" ht="15.75" thickBot="1" x14ac:dyDescent="0.3">
      <c r="A11" s="20" t="s">
        <v>31</v>
      </c>
      <c r="B11" s="20" t="s">
        <v>26</v>
      </c>
      <c r="C11" s="20" t="s">
        <v>27</v>
      </c>
      <c r="D11" s="17">
        <v>12</v>
      </c>
      <c r="E11" s="17">
        <v>12</v>
      </c>
      <c r="F11" s="19">
        <v>68</v>
      </c>
      <c r="G11" s="17">
        <f t="shared" si="0"/>
        <v>816</v>
      </c>
      <c r="H11" s="15">
        <v>1171</v>
      </c>
      <c r="I11" s="14">
        <f t="shared" si="1"/>
        <v>42.958008474151711</v>
      </c>
      <c r="J11" s="14">
        <f t="shared" si="2"/>
        <v>14052</v>
      </c>
      <c r="K11" s="18">
        <f t="shared" si="3"/>
        <v>13536.50389831018</v>
      </c>
      <c r="L11" s="17">
        <v>18</v>
      </c>
      <c r="M11" s="17">
        <f t="shared" si="4"/>
        <v>10852.549509259381</v>
      </c>
      <c r="N11" s="16">
        <f t="shared" si="5"/>
        <v>2812.3607595722156</v>
      </c>
      <c r="O11" s="15">
        <v>350</v>
      </c>
      <c r="P11" s="14">
        <f t="shared" si="6"/>
        <v>4200</v>
      </c>
      <c r="Q11" s="13">
        <f t="shared" si="7"/>
        <v>0.38700583640890701</v>
      </c>
      <c r="R11" s="13">
        <f t="shared" si="8"/>
        <v>0.64614870022839133</v>
      </c>
      <c r="S11" s="37">
        <f>IF(OR($P11=0,ISERROR(P11/G11)),"-",(VLOOKUP(L11,'APP 2885'!$B$10:$G$54,6)*$G11)/($P11+$N11))</f>
        <v>2.1759870699178898</v>
      </c>
      <c r="T11" s="12">
        <f t="shared" si="9"/>
        <v>1.2473109555280861</v>
      </c>
      <c r="U11" s="11">
        <f t="shared" si="10"/>
        <v>1.5064538193475705</v>
      </c>
      <c r="V11" s="37">
        <f>IF(OR($P11=0,ISERROR(P11/G11)),"-",(VLOOKUP(L11,'APP 2885'!$B$10:$G$54,4)*$G11)/($K11+$N11))</f>
        <v>0.84847739704008374</v>
      </c>
      <c r="W11" s="2"/>
      <c r="X11" s="2"/>
    </row>
    <row r="12" spans="1:24" ht="15.75" thickBot="1" x14ac:dyDescent="0.3">
      <c r="A12" s="30" t="s">
        <v>31</v>
      </c>
      <c r="B12" s="30" t="s">
        <v>28</v>
      </c>
      <c r="C12" s="30" t="s">
        <v>27</v>
      </c>
      <c r="D12" s="27">
        <v>1</v>
      </c>
      <c r="E12" s="27">
        <v>1</v>
      </c>
      <c r="F12" s="29">
        <v>68</v>
      </c>
      <c r="G12" s="27">
        <f t="shared" si="0"/>
        <v>68</v>
      </c>
      <c r="H12" s="25">
        <v>1171</v>
      </c>
      <c r="I12" s="24">
        <f t="shared" si="1"/>
        <v>42.958008474151711</v>
      </c>
      <c r="J12" s="24">
        <f t="shared" si="2"/>
        <v>1171</v>
      </c>
      <c r="K12" s="28">
        <f t="shared" si="3"/>
        <v>1128.0419915258483</v>
      </c>
      <c r="L12" s="27">
        <v>18</v>
      </c>
      <c r="M12" s="27">
        <f t="shared" si="4"/>
        <v>904.37912577161489</v>
      </c>
      <c r="N12" s="26">
        <f t="shared" si="5"/>
        <v>234.36339663101796</v>
      </c>
      <c r="O12" s="25">
        <v>350</v>
      </c>
      <c r="P12" s="24">
        <f t="shared" si="6"/>
        <v>350</v>
      </c>
      <c r="Q12" s="23">
        <f t="shared" si="7"/>
        <v>0.38700583640890707</v>
      </c>
      <c r="R12" s="23">
        <f t="shared" si="8"/>
        <v>0.64614870022839155</v>
      </c>
      <c r="S12" s="38">
        <f>IF(OR($P12=0,ISERROR(P12/G12)),"-",(VLOOKUP(L12,'APP 2885'!$B$10:$G$54,6)*$G12)/($P12+$N12))</f>
        <v>2.1759870699178898</v>
      </c>
      <c r="T12" s="22">
        <f t="shared" si="9"/>
        <v>1.2473109555280864</v>
      </c>
      <c r="U12" s="21">
        <f t="shared" si="10"/>
        <v>1.5064538193475705</v>
      </c>
      <c r="V12" s="38">
        <f>IF(OR($P12=0,ISERROR(P12/G12)),"-",(VLOOKUP(L12,'APP 2885'!$B$10:$G$54,4)*$G12)/($K12+$N12))</f>
        <v>0.84847739704008385</v>
      </c>
      <c r="W12" s="2"/>
      <c r="X12" s="2"/>
    </row>
    <row r="13" spans="1:24" ht="15.75" thickBot="1" x14ac:dyDescent="0.3">
      <c r="A13" s="20" t="s">
        <v>31</v>
      </c>
      <c r="B13" s="20" t="s">
        <v>29</v>
      </c>
      <c r="C13" s="20" t="s">
        <v>30</v>
      </c>
      <c r="D13" s="17">
        <v>4</v>
      </c>
      <c r="E13" s="17">
        <v>4</v>
      </c>
      <c r="F13" s="19">
        <v>67</v>
      </c>
      <c r="G13" s="17">
        <f t="shared" si="0"/>
        <v>268</v>
      </c>
      <c r="H13" s="15">
        <v>1171</v>
      </c>
      <c r="I13" s="14">
        <f t="shared" si="1"/>
        <v>42.326273055414184</v>
      </c>
      <c r="J13" s="14">
        <f t="shared" si="2"/>
        <v>4684</v>
      </c>
      <c r="K13" s="18">
        <f t="shared" si="3"/>
        <v>4514.6949077783429</v>
      </c>
      <c r="L13" s="17">
        <v>18</v>
      </c>
      <c r="M13" s="17">
        <f t="shared" si="4"/>
        <v>3564.3177309822472</v>
      </c>
      <c r="N13" s="16">
        <f t="shared" si="5"/>
        <v>923.66750436930602</v>
      </c>
      <c r="O13" s="15">
        <v>350</v>
      </c>
      <c r="P13" s="14">
        <f t="shared" si="6"/>
        <v>1400</v>
      </c>
      <c r="Q13" s="13">
        <f t="shared" si="7"/>
        <v>0.39278204292247282</v>
      </c>
      <c r="R13" s="13">
        <f t="shared" si="8"/>
        <v>0.65192490674195713</v>
      </c>
      <c r="S13" s="37">
        <f>IF(OR($P13=0,ISERROR(P13/G13)),"-",(VLOOKUP(L13,'APP 2885'!$B$10:$G$54,6)*$G13)/($P13+$N13))</f>
        <v>2.1567073176692624</v>
      </c>
      <c r="T13" s="12">
        <f t="shared" si="9"/>
        <v>1.2666364921777591</v>
      </c>
      <c r="U13" s="11">
        <f t="shared" si="10"/>
        <v>1.5257793559972432</v>
      </c>
      <c r="V13" s="37">
        <f>IF(OR($P13=0,ISERROR(P13/G13)),"-",(VLOOKUP(L13,'APP 2885'!$B$10:$G$54,4)*$G13)/($K13+$N13))</f>
        <v>0.8377305738061307</v>
      </c>
      <c r="W13" s="2"/>
      <c r="X13" s="2"/>
    </row>
    <row r="14" spans="1:24" ht="15.75" thickBot="1" x14ac:dyDescent="0.3">
      <c r="A14" s="30" t="s">
        <v>32</v>
      </c>
      <c r="B14" s="30" t="s">
        <v>26</v>
      </c>
      <c r="C14" s="30" t="s">
        <v>33</v>
      </c>
      <c r="D14" s="27">
        <v>358</v>
      </c>
      <c r="E14" s="27">
        <v>359</v>
      </c>
      <c r="F14" s="29">
        <v>94.58</v>
      </c>
      <c r="G14" s="27">
        <f t="shared" si="0"/>
        <v>33954.22</v>
      </c>
      <c r="H14" s="25">
        <v>1024</v>
      </c>
      <c r="I14" s="24">
        <f t="shared" si="1"/>
        <v>68.810726172947341</v>
      </c>
      <c r="J14" s="24">
        <f t="shared" si="2"/>
        <v>367616</v>
      </c>
      <c r="K14" s="28">
        <f t="shared" si="3"/>
        <v>342981.76003008487</v>
      </c>
      <c r="L14" s="27">
        <v>22</v>
      </c>
      <c r="M14" s="27">
        <f t="shared" si="4"/>
        <v>520064.22518080199</v>
      </c>
      <c r="N14" s="26">
        <f t="shared" si="5"/>
        <v>117023.91660524768</v>
      </c>
      <c r="O14" s="25">
        <v>650</v>
      </c>
      <c r="P14" s="24">
        <f t="shared" si="6"/>
        <v>233350</v>
      </c>
      <c r="Q14" s="23">
        <f t="shared" si="7"/>
        <v>0.44869458174877369</v>
      </c>
      <c r="R14" s="23">
        <f t="shared" si="8"/>
        <v>0.67371278323064621</v>
      </c>
      <c r="S14" s="38">
        <f>IF(OR($P14=0,ISERROR(P14/G14)),"-",(VLOOKUP(L14,'APP 2885'!$B$10:$G$54,6)*$G14)/($P14+$N14))</f>
        <v>2.2938868600918192</v>
      </c>
      <c r="T14" s="22">
        <f t="shared" si="9"/>
        <v>0.65949885307116862</v>
      </c>
      <c r="U14" s="21">
        <f t="shared" si="10"/>
        <v>0.88451705455304119</v>
      </c>
      <c r="V14" s="38">
        <f>IF(OR($P14=0,ISERROR(P14/G14)),"-",(VLOOKUP(L14,'APP 2885'!$B$10:$G$54,4)*$G14)/($K14+$N14))</f>
        <v>1.5883561368562504</v>
      </c>
      <c r="W14" s="2"/>
      <c r="X14" s="2"/>
    </row>
    <row r="15" spans="1:24" ht="15.75" thickBot="1" x14ac:dyDescent="0.3">
      <c r="A15" s="20" t="s">
        <v>32</v>
      </c>
      <c r="B15" s="20" t="s">
        <v>26</v>
      </c>
      <c r="C15" s="20" t="s">
        <v>34</v>
      </c>
      <c r="D15" s="17">
        <v>86</v>
      </c>
      <c r="E15" s="17">
        <v>87</v>
      </c>
      <c r="F15" s="19">
        <v>89</v>
      </c>
      <c r="G15" s="17">
        <f t="shared" si="0"/>
        <v>7743</v>
      </c>
      <c r="H15" s="15">
        <v>1024</v>
      </c>
      <c r="I15" s="14">
        <f t="shared" si="1"/>
        <v>64.751053387527108</v>
      </c>
      <c r="J15" s="14">
        <f t="shared" si="2"/>
        <v>89088</v>
      </c>
      <c r="K15" s="18">
        <f t="shared" si="3"/>
        <v>83519.409408672669</v>
      </c>
      <c r="L15" s="17">
        <v>22</v>
      </c>
      <c r="M15" s="17">
        <f t="shared" si="4"/>
        <v>118596.66620452332</v>
      </c>
      <c r="N15" s="16">
        <f t="shared" si="5"/>
        <v>26686.408531087822</v>
      </c>
      <c r="O15" s="15">
        <v>400</v>
      </c>
      <c r="P15" s="14">
        <f t="shared" si="6"/>
        <v>34800</v>
      </c>
      <c r="Q15" s="13">
        <f t="shared" si="7"/>
        <v>0.29343151973586179</v>
      </c>
      <c r="R15" s="13">
        <f t="shared" si="8"/>
        <v>0.51844972121773436</v>
      </c>
      <c r="S15" s="37">
        <f>IF(OR($P15=0,ISERROR(P15/G15)),"-",(VLOOKUP(L15,'APP 2885'!$B$10:$G$54,6)*$G15)/($P15+$N15))</f>
        <v>2.980850095355021</v>
      </c>
      <c r="T15" s="12">
        <f t="shared" si="9"/>
        <v>0.7042306675353005</v>
      </c>
      <c r="U15" s="11">
        <f t="shared" si="10"/>
        <v>0.92924886901717296</v>
      </c>
      <c r="V15" s="37">
        <f>IF(OR($P15=0,ISERROR(P15/G15)),"-",(VLOOKUP(L15,'APP 2885'!$B$10:$G$54,4)*$G15)/($K15+$N15))</f>
        <v>1.5118964774627817</v>
      </c>
      <c r="W15" s="2"/>
      <c r="X15" s="2"/>
    </row>
    <row r="16" spans="1:24" ht="15.75" thickBot="1" x14ac:dyDescent="0.3">
      <c r="A16" s="30" t="s">
        <v>32</v>
      </c>
      <c r="B16" s="30" t="s">
        <v>28</v>
      </c>
      <c r="C16" s="30" t="s">
        <v>33</v>
      </c>
      <c r="D16" s="27">
        <v>60</v>
      </c>
      <c r="E16" s="27">
        <v>60</v>
      </c>
      <c r="F16" s="29">
        <v>95.62</v>
      </c>
      <c r="G16" s="27">
        <f t="shared" si="0"/>
        <v>5737.2000000000007</v>
      </c>
      <c r="H16" s="25">
        <v>1024</v>
      </c>
      <c r="I16" s="24">
        <f t="shared" si="1"/>
        <v>69.567367695677987</v>
      </c>
      <c r="J16" s="24">
        <f t="shared" si="2"/>
        <v>61440</v>
      </c>
      <c r="K16" s="28">
        <f t="shared" si="3"/>
        <v>57265.957938259322</v>
      </c>
      <c r="L16" s="27">
        <v>22</v>
      </c>
      <c r="M16" s="27">
        <f t="shared" si="4"/>
        <v>87874.569720856423</v>
      </c>
      <c r="N16" s="26">
        <f t="shared" si="5"/>
        <v>19773.377634580535</v>
      </c>
      <c r="O16" s="25">
        <v>650</v>
      </c>
      <c r="P16" s="24">
        <f t="shared" si="6"/>
        <v>39000</v>
      </c>
      <c r="Q16" s="23">
        <f t="shared" si="7"/>
        <v>0.44381440641914882</v>
      </c>
      <c r="R16" s="23">
        <f t="shared" si="8"/>
        <v>0.6688326079010215</v>
      </c>
      <c r="S16" s="38">
        <f>IF(OR($P16=0,ISERROR(P16/G16)),"-",(VLOOKUP(L16,'APP 2885'!$B$10:$G$54,6)*$G16)/($P16+$N16))</f>
        <v>2.3106243366013781</v>
      </c>
      <c r="T16" s="22">
        <f t="shared" si="9"/>
        <v>0.65167838795878219</v>
      </c>
      <c r="U16" s="21">
        <f t="shared" si="10"/>
        <v>0.87669658944065476</v>
      </c>
      <c r="V16" s="38">
        <f>IF(OR($P16=0,ISERROR(P16/G16)),"-",(VLOOKUP(L16,'APP 2885'!$B$10:$G$54,4)*$G16)/($K16+$N16))</f>
        <v>1.6025248742551881</v>
      </c>
      <c r="W16" s="2"/>
      <c r="X16" s="2"/>
    </row>
    <row r="17" spans="1:24" ht="15.75" thickBot="1" x14ac:dyDescent="0.3">
      <c r="A17" s="20" t="s">
        <v>32</v>
      </c>
      <c r="B17" s="20" t="s">
        <v>28</v>
      </c>
      <c r="C17" s="20" t="s">
        <v>34</v>
      </c>
      <c r="D17" s="17">
        <v>22</v>
      </c>
      <c r="E17" s="17">
        <v>22</v>
      </c>
      <c r="F17" s="19">
        <v>90</v>
      </c>
      <c r="G17" s="17">
        <f t="shared" si="0"/>
        <v>1980</v>
      </c>
      <c r="H17" s="15">
        <v>1024</v>
      </c>
      <c r="I17" s="14">
        <f t="shared" si="1"/>
        <v>65.478593313229652</v>
      </c>
      <c r="J17" s="14">
        <f t="shared" si="2"/>
        <v>22528</v>
      </c>
      <c r="K17" s="18">
        <f t="shared" si="3"/>
        <v>21087.470947108948</v>
      </c>
      <c r="L17" s="17">
        <v>22</v>
      </c>
      <c r="M17" s="17">
        <f t="shared" si="4"/>
        <v>30326.927429285312</v>
      </c>
      <c r="N17" s="16">
        <f t="shared" si="5"/>
        <v>6824.1106666090518</v>
      </c>
      <c r="O17" s="15">
        <v>400</v>
      </c>
      <c r="P17" s="14">
        <f t="shared" si="6"/>
        <v>8800</v>
      </c>
      <c r="Q17" s="13">
        <f t="shared" si="7"/>
        <v>0.29017116951657446</v>
      </c>
      <c r="R17" s="13">
        <f t="shared" si="8"/>
        <v>0.51518937099844708</v>
      </c>
      <c r="S17" s="37">
        <f>IF(OR($P17=0,ISERROR(P17/G17)),"-",(VLOOKUP(L17,'APP 2885'!$B$10:$G$54,6)*$G17)/($P17+$N17))</f>
        <v>2.9997142563978203</v>
      </c>
      <c r="T17" s="12">
        <f t="shared" si="9"/>
        <v>0.69533819396243068</v>
      </c>
      <c r="U17" s="11">
        <f t="shared" si="10"/>
        <v>0.92035639544430325</v>
      </c>
      <c r="V17" s="37">
        <f>IF(OR($P17=0,ISERROR(P17/G17)),"-",(VLOOKUP(L17,'APP 2885'!$B$10:$G$54,4)*$G17)/($K17+$N17))</f>
        <v>1.5265044049322944</v>
      </c>
      <c r="W17" s="2"/>
      <c r="X17" s="2"/>
    </row>
    <row r="18" spans="1:24" ht="15.75" thickBot="1" x14ac:dyDescent="0.3">
      <c r="A18" s="30" t="s">
        <v>32</v>
      </c>
      <c r="B18" s="30" t="s">
        <v>29</v>
      </c>
      <c r="C18" s="30" t="s">
        <v>33</v>
      </c>
      <c r="D18" s="27">
        <v>225</v>
      </c>
      <c r="E18" s="27">
        <v>229</v>
      </c>
      <c r="F18" s="29">
        <v>83.8</v>
      </c>
      <c r="G18" s="27">
        <f t="shared" si="0"/>
        <v>19190.2</v>
      </c>
      <c r="H18" s="25">
        <v>1024</v>
      </c>
      <c r="I18" s="24">
        <f t="shared" si="1"/>
        <v>60.967845773873826</v>
      </c>
      <c r="J18" s="24">
        <f t="shared" si="2"/>
        <v>234496</v>
      </c>
      <c r="K18" s="28">
        <f t="shared" si="3"/>
        <v>220778.23470087838</v>
      </c>
      <c r="L18" s="27">
        <v>22</v>
      </c>
      <c r="M18" s="27">
        <f t="shared" si="4"/>
        <v>293929.19330983388</v>
      </c>
      <c r="N18" s="26">
        <f t="shared" si="5"/>
        <v>66139.418441596485</v>
      </c>
      <c r="O18" s="25">
        <v>650</v>
      </c>
      <c r="P18" s="24">
        <f t="shared" si="6"/>
        <v>148850</v>
      </c>
      <c r="Q18" s="23">
        <f t="shared" si="7"/>
        <v>0.5064144814057161</v>
      </c>
      <c r="R18" s="23">
        <f t="shared" si="8"/>
        <v>0.73143268288758878</v>
      </c>
      <c r="S18" s="38">
        <f>IF(OR($P18=0,ISERROR(P18/G18)),"-",(VLOOKUP(L18,'APP 2885'!$B$10:$G$54,6)*$G18)/($P18+$N18))</f>
        <v>2.1128682612698859</v>
      </c>
      <c r="T18" s="22">
        <f t="shared" si="9"/>
        <v>0.75112727733768758</v>
      </c>
      <c r="U18" s="21">
        <f t="shared" si="10"/>
        <v>0.97614547881956026</v>
      </c>
      <c r="V18" s="38">
        <f>IF(OR($P18=0,ISERROR(P18/G18)),"-",(VLOOKUP(L18,'APP 2885'!$B$10:$G$54,4)*$G18)/($K18+$N18))</f>
        <v>1.4392609731208288</v>
      </c>
      <c r="W18" s="2"/>
      <c r="X18" s="2"/>
    </row>
    <row r="19" spans="1:24" ht="15.75" thickBot="1" x14ac:dyDescent="0.3">
      <c r="A19" s="20" t="s">
        <v>32</v>
      </c>
      <c r="B19" s="20" t="s">
        <v>29</v>
      </c>
      <c r="C19" s="20" t="s">
        <v>34</v>
      </c>
      <c r="D19" s="17">
        <v>67</v>
      </c>
      <c r="E19" s="17">
        <v>68</v>
      </c>
      <c r="F19" s="19">
        <v>78</v>
      </c>
      <c r="G19" s="17">
        <f t="shared" si="0"/>
        <v>5304</v>
      </c>
      <c r="H19" s="15">
        <v>1024</v>
      </c>
      <c r="I19" s="14">
        <f t="shared" si="1"/>
        <v>56.74811420479903</v>
      </c>
      <c r="J19" s="14">
        <f t="shared" si="2"/>
        <v>69632</v>
      </c>
      <c r="K19" s="18">
        <f t="shared" si="3"/>
        <v>65829.876348278471</v>
      </c>
      <c r="L19" s="17">
        <v>22</v>
      </c>
      <c r="M19" s="17">
        <f t="shared" si="4"/>
        <v>81239.405598449142</v>
      </c>
      <c r="N19" s="16">
        <f t="shared" si="5"/>
        <v>18280.344937219401</v>
      </c>
      <c r="O19" s="15">
        <v>400</v>
      </c>
      <c r="P19" s="14">
        <f t="shared" si="6"/>
        <v>27200</v>
      </c>
      <c r="Q19" s="13">
        <f t="shared" si="7"/>
        <v>0.33481288790373975</v>
      </c>
      <c r="R19" s="13">
        <f t="shared" si="8"/>
        <v>0.55983108938561243</v>
      </c>
      <c r="S19" s="37">
        <f>IF(OR($P19=0,ISERROR(P19/G19)),"-",(VLOOKUP(L19,'APP 2885'!$B$10:$G$54,6)*$G19)/($P19+$N19))</f>
        <v>2.7605128229385985</v>
      </c>
      <c r="T19" s="12">
        <f t="shared" si="9"/>
        <v>0.81031952244533856</v>
      </c>
      <c r="U19" s="11">
        <f t="shared" si="10"/>
        <v>1.0353377239272112</v>
      </c>
      <c r="V19" s="37">
        <f>IF(OR($P19=0,ISERROR(P19/G19)),"-",(VLOOKUP(L19,'APP 2885'!$B$10:$G$54,4)*$G19)/($K19+$N19))</f>
        <v>1.3569756604870993</v>
      </c>
      <c r="W19" s="2"/>
      <c r="X19" s="2"/>
    </row>
    <row r="20" spans="1:24" ht="15.75" thickBot="1" x14ac:dyDescent="0.3">
      <c r="A20" s="30" t="s">
        <v>35</v>
      </c>
      <c r="B20" s="30" t="s">
        <v>26</v>
      </c>
      <c r="C20" s="30" t="s">
        <v>36</v>
      </c>
      <c r="D20" s="27">
        <v>13</v>
      </c>
      <c r="E20" s="27">
        <v>14</v>
      </c>
      <c r="F20" s="29">
        <v>113.5</v>
      </c>
      <c r="G20" s="27">
        <f t="shared" si="0"/>
        <v>1589</v>
      </c>
      <c r="H20" s="25">
        <v>1024</v>
      </c>
      <c r="I20" s="24">
        <f t="shared" si="1"/>
        <v>82.575781567239616</v>
      </c>
      <c r="J20" s="24">
        <f t="shared" si="2"/>
        <v>14336</v>
      </c>
      <c r="K20" s="28">
        <f t="shared" si="3"/>
        <v>13262.514839625885</v>
      </c>
      <c r="L20" s="27">
        <v>22</v>
      </c>
      <c r="M20" s="27">
        <f t="shared" si="4"/>
        <v>24338.1250935022</v>
      </c>
      <c r="N20" s="26">
        <f t="shared" si="5"/>
        <v>5476.5211359806981</v>
      </c>
      <c r="O20" s="25">
        <v>900</v>
      </c>
      <c r="P20" s="24">
        <f t="shared" si="6"/>
        <v>12600</v>
      </c>
      <c r="Q20" s="23">
        <f t="shared" si="7"/>
        <v>0.51770627160446114</v>
      </c>
      <c r="R20" s="23">
        <f t="shared" si="8"/>
        <v>0.74272447308633383</v>
      </c>
      <c r="S20" s="38">
        <f>IF(OR($P20=0,ISERROR(P20/G20)),"-",(VLOOKUP(L20,'APP 2885'!$B$10:$G$54,6)*$G20)/($P20+$N20))</f>
        <v>2.0807458982828333</v>
      </c>
      <c r="T20" s="22">
        <f t="shared" si="9"/>
        <v>0.54492754839059954</v>
      </c>
      <c r="U20" s="21">
        <f t="shared" si="10"/>
        <v>0.76994574987247211</v>
      </c>
      <c r="V20" s="38">
        <f>IF(OR($P20=0,ISERROR(P20/G20)),"-",(VLOOKUP(L20,'APP 2885'!$B$10:$G$54,4)*$G20)/($K20+$N20))</f>
        <v>1.8247104967928447</v>
      </c>
      <c r="W20" s="2"/>
      <c r="X20" s="2"/>
    </row>
    <row r="21" spans="1:24" ht="15.75" thickBot="1" x14ac:dyDescent="0.3">
      <c r="A21" s="20" t="s">
        <v>35</v>
      </c>
      <c r="B21" s="20" t="s">
        <v>28</v>
      </c>
      <c r="C21" s="20" t="s">
        <v>36</v>
      </c>
      <c r="D21" s="17">
        <v>11</v>
      </c>
      <c r="E21" s="17">
        <v>11</v>
      </c>
      <c r="F21" s="19">
        <v>114.74</v>
      </c>
      <c r="G21" s="17">
        <f t="shared" si="0"/>
        <v>1262.1399999999999</v>
      </c>
      <c r="H21" s="15">
        <v>1024</v>
      </c>
      <c r="I21" s="14">
        <f t="shared" si="1"/>
        <v>83.477931075110774</v>
      </c>
      <c r="J21" s="14">
        <f t="shared" si="2"/>
        <v>11264</v>
      </c>
      <c r="K21" s="18">
        <f t="shared" si="3"/>
        <v>10345.742758173781</v>
      </c>
      <c r="L21" s="17">
        <v>22</v>
      </c>
      <c r="M21" s="17">
        <f t="shared" si="4"/>
        <v>19331.731406867755</v>
      </c>
      <c r="N21" s="16">
        <f t="shared" si="5"/>
        <v>4349.9914327040142</v>
      </c>
      <c r="O21" s="15">
        <v>900</v>
      </c>
      <c r="P21" s="14">
        <f t="shared" si="6"/>
        <v>9900</v>
      </c>
      <c r="Q21" s="13">
        <f t="shared" si="7"/>
        <v>0.51211139817941731</v>
      </c>
      <c r="R21" s="13">
        <f t="shared" si="8"/>
        <v>0.73712959966128988</v>
      </c>
      <c r="S21" s="37">
        <f>IF(OR($P21=0,ISERROR(P21/G21)),"-",(VLOOKUP(L21,'APP 2885'!$B$10:$G$54,6)*$G21)/($P21+$N21))</f>
        <v>2.0965389283496236</v>
      </c>
      <c r="T21" s="12">
        <f t="shared" si="9"/>
        <v>0.5351689685952481</v>
      </c>
      <c r="U21" s="11">
        <f t="shared" si="10"/>
        <v>0.76018717007712078</v>
      </c>
      <c r="V21" s="37">
        <f>IF(OR($P21=0,ISERROR(P21/G21)),"-",(VLOOKUP(L21,'APP 2885'!$B$10:$G$54,4)*$G21)/($K21+$N21))</f>
        <v>1.8481344424831694</v>
      </c>
      <c r="W21" s="2"/>
      <c r="X21" s="2"/>
    </row>
    <row r="22" spans="1:24" ht="15.75" thickBot="1" x14ac:dyDescent="0.3">
      <c r="A22" s="30" t="s">
        <v>35</v>
      </c>
      <c r="B22" s="30" t="s">
        <v>29</v>
      </c>
      <c r="C22" s="30" t="s">
        <v>36</v>
      </c>
      <c r="D22" s="27">
        <v>31</v>
      </c>
      <c r="E22" s="27">
        <v>33</v>
      </c>
      <c r="F22" s="29">
        <v>100.56</v>
      </c>
      <c r="G22" s="27">
        <f t="shared" si="0"/>
        <v>3318.48</v>
      </c>
      <c r="H22" s="25">
        <v>1024</v>
      </c>
      <c r="I22" s="24">
        <f t="shared" si="1"/>
        <v>73.161414928648597</v>
      </c>
      <c r="J22" s="24">
        <f t="shared" si="2"/>
        <v>33792</v>
      </c>
      <c r="K22" s="28">
        <f t="shared" si="3"/>
        <v>31523.996137211892</v>
      </c>
      <c r="L22" s="27">
        <v>22</v>
      </c>
      <c r="M22" s="27">
        <f t="shared" si="4"/>
        <v>50827.93037148218</v>
      </c>
      <c r="N22" s="26">
        <f t="shared" si="5"/>
        <v>11437.209477236771</v>
      </c>
      <c r="O22" s="25">
        <v>900</v>
      </c>
      <c r="P22" s="24">
        <f t="shared" si="6"/>
        <v>29700</v>
      </c>
      <c r="Q22" s="23">
        <f t="shared" si="7"/>
        <v>0.58432440162198018</v>
      </c>
      <c r="R22" s="23">
        <f t="shared" si="8"/>
        <v>0.80934260310385286</v>
      </c>
      <c r="S22" s="38">
        <f>IF(OR($P22=0,ISERROR(P22/G22)),"-",(VLOOKUP(L22,'APP 2885'!$B$10:$G$54,6)*$G22)/($P22+$N22))</f>
        <v>1.9094767716439649</v>
      </c>
      <c r="T22" s="22">
        <f t="shared" si="9"/>
        <v>0.62021010705757429</v>
      </c>
      <c r="U22" s="21">
        <f t="shared" si="10"/>
        <v>0.84522830853944686</v>
      </c>
      <c r="V22" s="38">
        <f>IF(OR($P22=0,ISERROR(P22/G22)),"-",(VLOOKUP(L22,'APP 2885'!$B$10:$G$54,4)*$G22)/($K22+$N22))</f>
        <v>1.6621876924366756</v>
      </c>
      <c r="W22" s="2"/>
      <c r="X22" s="2"/>
    </row>
    <row r="23" spans="1:24" ht="15.75" thickBot="1" x14ac:dyDescent="0.3">
      <c r="A23" s="20" t="s">
        <v>37</v>
      </c>
      <c r="B23" s="20" t="s">
        <v>29</v>
      </c>
      <c r="C23" s="20" t="s">
        <v>38</v>
      </c>
      <c r="D23" s="17">
        <v>136</v>
      </c>
      <c r="E23" s="17">
        <v>136</v>
      </c>
      <c r="F23" s="19">
        <v>229</v>
      </c>
      <c r="G23" s="17">
        <f t="shared" si="0"/>
        <v>31144</v>
      </c>
      <c r="H23" s="15">
        <v>1142</v>
      </c>
      <c r="I23" s="14">
        <f t="shared" si="1"/>
        <v>202.5897321380028</v>
      </c>
      <c r="J23" s="14">
        <f t="shared" si="2"/>
        <v>155312</v>
      </c>
      <c r="K23" s="18">
        <f t="shared" si="3"/>
        <v>127759.79642923162</v>
      </c>
      <c r="L23" s="17">
        <v>30</v>
      </c>
      <c r="M23" s="17">
        <f t="shared" si="4"/>
        <v>580046.39096354495</v>
      </c>
      <c r="N23" s="16">
        <f t="shared" si="5"/>
        <v>107338.43565700621</v>
      </c>
      <c r="O23" s="15">
        <v>2000</v>
      </c>
      <c r="P23" s="14">
        <f t="shared" si="6"/>
        <v>272000</v>
      </c>
      <c r="Q23" s="13">
        <f t="shared" si="7"/>
        <v>0.46892801030649772</v>
      </c>
      <c r="R23" s="13">
        <f t="shared" si="8"/>
        <v>0.65397947744639462</v>
      </c>
      <c r="S23" s="37">
        <f>IF(OR($P23=0,ISERROR(P23/G23)),"-",(VLOOKUP(L23,'APP 2885'!$B$10:$G$54,6)*$G23)/($P23+$N23))</f>
        <v>2.8618315413415663</v>
      </c>
      <c r="T23" s="12">
        <f t="shared" si="9"/>
        <v>0.22025789388501019</v>
      </c>
      <c r="U23" s="11">
        <f t="shared" si="10"/>
        <v>0.40530936102490706</v>
      </c>
      <c r="V23" s="37">
        <f>IF(OR($P23=0,ISERROR(P23/G23)),"-",(VLOOKUP(L23,'APP 2885'!$B$10:$G$54,4)*$G23)/($K23+$N23))</f>
        <v>4.1978688512567617</v>
      </c>
      <c r="W23" s="2"/>
      <c r="X23" s="2"/>
    </row>
    <row r="24" spans="1:24" ht="15.75" thickBot="1" x14ac:dyDescent="0.3">
      <c r="A24" s="30" t="s">
        <v>39</v>
      </c>
      <c r="B24" s="30" t="s">
        <v>26</v>
      </c>
      <c r="C24" s="30" t="s">
        <v>40</v>
      </c>
      <c r="D24" s="27">
        <v>3</v>
      </c>
      <c r="E24" s="27">
        <v>4177</v>
      </c>
      <c r="F24" s="29">
        <v>0.04</v>
      </c>
      <c r="G24" s="27">
        <f t="shared" si="0"/>
        <v>167.08</v>
      </c>
      <c r="H24" s="25">
        <v>0.67</v>
      </c>
      <c r="I24" s="24">
        <f t="shared" si="1"/>
        <v>4.3470105070173327E-2</v>
      </c>
      <c r="J24" s="24">
        <f t="shared" si="2"/>
        <v>2798.59</v>
      </c>
      <c r="K24" s="28">
        <f t="shared" si="3"/>
        <v>2798.4595896847895</v>
      </c>
      <c r="L24" s="27">
        <v>45</v>
      </c>
      <c r="M24" s="27">
        <f t="shared" si="4"/>
        <v>3822.6237658550322</v>
      </c>
      <c r="N24" s="26">
        <f t="shared" si="5"/>
        <v>575.8446516045658</v>
      </c>
      <c r="O24" s="25">
        <v>1.25</v>
      </c>
      <c r="P24" s="24">
        <f t="shared" si="6"/>
        <v>5221.25</v>
      </c>
      <c r="Q24" s="23">
        <f t="shared" si="7"/>
        <v>1.3658812166235061</v>
      </c>
      <c r="R24" s="23">
        <f t="shared" si="8"/>
        <v>1.5165224219516906</v>
      </c>
      <c r="S24" s="38">
        <f>IF(OR($P24=0,ISERROR(P24/G24)),"-",(VLOOKUP(L24,'APP 2885'!$B$10:$G$54,6)*$G24)/($P24+$N24))</f>
        <v>1.7657860281421043</v>
      </c>
      <c r="T24" s="22">
        <f t="shared" si="9"/>
        <v>0.73207821671637596</v>
      </c>
      <c r="U24" s="21">
        <f t="shared" si="10"/>
        <v>0.88271942204456055</v>
      </c>
      <c r="V24" s="38">
        <f>IF(OR($P24=0,ISERROR(P24/G24)),"-",(VLOOKUP(L24,'APP 2885'!$B$10:$G$54,4)*$G24)/($K24+$N24))</f>
        <v>2.7578557365622101</v>
      </c>
      <c r="W24" s="2"/>
      <c r="X24" s="2"/>
    </row>
    <row r="25" spans="1:24" ht="15.75" thickBot="1" x14ac:dyDescent="0.3">
      <c r="A25" s="20" t="s">
        <v>39</v>
      </c>
      <c r="B25" s="20" t="s">
        <v>29</v>
      </c>
      <c r="C25" s="20" t="s">
        <v>40</v>
      </c>
      <c r="D25" s="17">
        <v>1</v>
      </c>
      <c r="E25" s="17">
        <v>1224</v>
      </c>
      <c r="F25" s="19">
        <v>0.03</v>
      </c>
      <c r="G25" s="17">
        <f t="shared" si="0"/>
        <v>36.72</v>
      </c>
      <c r="H25" s="15">
        <v>0.67</v>
      </c>
      <c r="I25" s="14">
        <f t="shared" si="1"/>
        <v>3.2602578802629997E-2</v>
      </c>
      <c r="J25" s="14">
        <f t="shared" si="2"/>
        <v>820.08</v>
      </c>
      <c r="K25" s="18">
        <f t="shared" si="3"/>
        <v>820.04739742119739</v>
      </c>
      <c r="L25" s="17">
        <v>45</v>
      </c>
      <c r="M25" s="17">
        <f t="shared" si="4"/>
        <v>840.11697798777084</v>
      </c>
      <c r="N25" s="16">
        <f t="shared" si="5"/>
        <v>126.55623418074968</v>
      </c>
      <c r="O25" s="15">
        <v>1.25</v>
      </c>
      <c r="P25" s="14">
        <f t="shared" si="6"/>
        <v>1530</v>
      </c>
      <c r="Q25" s="13">
        <f t="shared" si="7"/>
        <v>1.8211749554980086</v>
      </c>
      <c r="R25" s="13">
        <f t="shared" si="8"/>
        <v>1.971816160826193</v>
      </c>
      <c r="S25" s="37">
        <f>IF(OR($P25=0,ISERROR(P25/G25)),"-",(VLOOKUP(L25,'APP 2885'!$B$10:$G$54,6)*$G25)/($P25+$N25))</f>
        <v>1.3580647918640127</v>
      </c>
      <c r="T25" s="12">
        <f t="shared" si="9"/>
        <v>0.97611096895739013</v>
      </c>
      <c r="U25" s="11">
        <f t="shared" si="10"/>
        <v>1.1267521742855746</v>
      </c>
      <c r="V25" s="37">
        <f>IF(OR($P25=0,ISERROR(P25/G25)),"-",(VLOOKUP(L25,'APP 2885'!$B$10:$G$54,4)*$G25)/($K25+$N25))</f>
        <v>2.1605574654462298</v>
      </c>
      <c r="W25" s="2"/>
      <c r="X25" s="2"/>
    </row>
    <row r="26" spans="1:24" ht="15.75" thickBot="1" x14ac:dyDescent="0.3">
      <c r="A26" s="30" t="s">
        <v>41</v>
      </c>
      <c r="B26" s="30" t="s">
        <v>26</v>
      </c>
      <c r="C26" s="30" t="s">
        <v>42</v>
      </c>
      <c r="D26" s="27">
        <v>7</v>
      </c>
      <c r="E26" s="27">
        <v>7284</v>
      </c>
      <c r="F26" s="29">
        <v>6.2E-2</v>
      </c>
      <c r="G26" s="27">
        <f t="shared" si="0"/>
        <v>451.608</v>
      </c>
      <c r="H26" s="25">
        <v>0.67</v>
      </c>
      <c r="I26" s="24">
        <f t="shared" si="1"/>
        <v>6.7378662858768659E-2</v>
      </c>
      <c r="J26" s="24">
        <f t="shared" si="2"/>
        <v>4880.2800000000007</v>
      </c>
      <c r="K26" s="28">
        <f t="shared" si="3"/>
        <v>4879.8083493599888</v>
      </c>
      <c r="L26" s="27">
        <v>45</v>
      </c>
      <c r="M26" s="27">
        <f t="shared" si="4"/>
        <v>10332.340637121491</v>
      </c>
      <c r="N26" s="26">
        <f t="shared" si="5"/>
        <v>1556.4762474373638</v>
      </c>
      <c r="O26" s="25">
        <v>0.75</v>
      </c>
      <c r="P26" s="24">
        <f t="shared" si="6"/>
        <v>5463</v>
      </c>
      <c r="Q26" s="23">
        <f t="shared" si="7"/>
        <v>0.52872821288651872</v>
      </c>
      <c r="R26" s="23">
        <f t="shared" si="8"/>
        <v>0.6793694182147032</v>
      </c>
      <c r="S26" s="38">
        <f>IF(OR($P26=0,ISERROR(P26/G26)),"-",(VLOOKUP(L26,'APP 2885'!$B$10:$G$54,6)*$G26)/($P26+$N26))</f>
        <v>3.9416759604569518</v>
      </c>
      <c r="T26" s="22">
        <f t="shared" si="9"/>
        <v>0.47228488884968323</v>
      </c>
      <c r="U26" s="21">
        <f t="shared" si="10"/>
        <v>0.62292609417786782</v>
      </c>
      <c r="V26" s="38">
        <f>IF(OR($P26=0,ISERROR(P26/G26)),"-",(VLOOKUP(L26,'APP 2885'!$B$10:$G$54,4)*$G26)/($K26+$N26))</f>
        <v>3.9080283272984202</v>
      </c>
      <c r="W26" s="2"/>
      <c r="X26" s="2"/>
    </row>
    <row r="27" spans="1:24" ht="15.75" thickBot="1" x14ac:dyDescent="0.3">
      <c r="A27" s="20" t="s">
        <v>41</v>
      </c>
      <c r="B27" s="20" t="s">
        <v>28</v>
      </c>
      <c r="C27" s="20" t="s">
        <v>42</v>
      </c>
      <c r="D27" s="17">
        <v>1</v>
      </c>
      <c r="E27" s="17">
        <v>1200</v>
      </c>
      <c r="F27" s="19">
        <v>5.7000000000000002E-2</v>
      </c>
      <c r="G27" s="17">
        <f t="shared" si="0"/>
        <v>68.400000000000006</v>
      </c>
      <c r="H27" s="15">
        <v>0.67</v>
      </c>
      <c r="I27" s="14">
        <f t="shared" si="1"/>
        <v>6.1944899724997005E-2</v>
      </c>
      <c r="J27" s="14">
        <f t="shared" si="2"/>
        <v>804</v>
      </c>
      <c r="K27" s="18">
        <f t="shared" si="3"/>
        <v>803.93805510027505</v>
      </c>
      <c r="L27" s="17">
        <v>45</v>
      </c>
      <c r="M27" s="17">
        <f t="shared" si="4"/>
        <v>1564.9237825262398</v>
      </c>
      <c r="N27" s="16">
        <f t="shared" si="5"/>
        <v>235.74200484649452</v>
      </c>
      <c r="O27" s="15">
        <v>0.75</v>
      </c>
      <c r="P27" s="14">
        <f t="shared" si="6"/>
        <v>900</v>
      </c>
      <c r="Q27" s="13">
        <f t="shared" si="7"/>
        <v>0.57510788068358165</v>
      </c>
      <c r="R27" s="13">
        <f t="shared" si="8"/>
        <v>0.72574908601176624</v>
      </c>
      <c r="S27" s="37">
        <f>IF(OR($P27=0,ISERROR(P27/G27)),"-",(VLOOKUP(L27,'APP 2885'!$B$10:$G$54,6)*$G27)/($P27+$N27))</f>
        <v>3.6897795059753009</v>
      </c>
      <c r="T27" s="12">
        <f t="shared" si="9"/>
        <v>0.51372345674399966</v>
      </c>
      <c r="U27" s="11">
        <f t="shared" si="10"/>
        <v>0.66436466207218425</v>
      </c>
      <c r="V27" s="37">
        <f>IF(OR($P27=0,ISERROR(P27/G27)),"-",(VLOOKUP(L27,'APP 2885'!$B$10:$G$54,4)*$G27)/($K27+$N27))</f>
        <v>3.6642719892226414</v>
      </c>
      <c r="W27" s="2"/>
      <c r="X27" s="2"/>
    </row>
    <row r="28" spans="1:24" ht="15.75" thickBot="1" x14ac:dyDescent="0.3">
      <c r="A28" s="30" t="s">
        <v>41</v>
      </c>
      <c r="B28" s="30" t="s">
        <v>29</v>
      </c>
      <c r="C28" s="30" t="s">
        <v>42</v>
      </c>
      <c r="D28" s="27">
        <v>1</v>
      </c>
      <c r="E28" s="27">
        <v>832</v>
      </c>
      <c r="F28" s="29">
        <v>6.7000000000000004E-2</v>
      </c>
      <c r="G28" s="27">
        <f t="shared" si="0"/>
        <v>55.744</v>
      </c>
      <c r="H28" s="25">
        <v>0.67</v>
      </c>
      <c r="I28" s="24">
        <f t="shared" si="1"/>
        <v>7.2812425992540342E-2</v>
      </c>
      <c r="J28" s="24">
        <f t="shared" si="2"/>
        <v>557.44000000000005</v>
      </c>
      <c r="K28" s="28">
        <f t="shared" si="3"/>
        <v>557.36718757400752</v>
      </c>
      <c r="L28" s="27">
        <v>45</v>
      </c>
      <c r="M28" s="27">
        <f t="shared" si="4"/>
        <v>1275.3671247535485</v>
      </c>
      <c r="N28" s="26">
        <f t="shared" si="5"/>
        <v>192.12284090881562</v>
      </c>
      <c r="O28" s="25">
        <v>0.75</v>
      </c>
      <c r="P28" s="24">
        <f t="shared" si="6"/>
        <v>624</v>
      </c>
      <c r="Q28" s="23">
        <f t="shared" si="7"/>
        <v>0.48927088356662912</v>
      </c>
      <c r="R28" s="23">
        <f t="shared" si="8"/>
        <v>0.63991208889481366</v>
      </c>
      <c r="S28" s="38">
        <f>IF(OR($P28=0,ISERROR(P28/G28)),"-",(VLOOKUP(L28,'APP 2885'!$B$10:$G$54,6)*$G28)/($P28+$N28))</f>
        <v>4.1847218555777213</v>
      </c>
      <c r="T28" s="22">
        <f t="shared" si="9"/>
        <v>0.43702489797336824</v>
      </c>
      <c r="U28" s="21">
        <f t="shared" si="10"/>
        <v>0.58766610330155278</v>
      </c>
      <c r="V28" s="38">
        <f>IF(OR($P28=0,ISERROR(P28/G28)),"-",(VLOOKUP(L28,'APP 2885'!$B$10:$G$54,4)*$G28)/($K28+$N28))</f>
        <v>4.1425101910485465</v>
      </c>
      <c r="W28" s="2"/>
      <c r="X28" s="2"/>
    </row>
    <row r="29" spans="1:24" ht="15.75" thickBot="1" x14ac:dyDescent="0.3">
      <c r="A29" s="20" t="s">
        <v>43</v>
      </c>
      <c r="B29" s="20" t="s">
        <v>26</v>
      </c>
      <c r="C29" s="20" t="s">
        <v>44</v>
      </c>
      <c r="D29" s="17">
        <v>84</v>
      </c>
      <c r="E29" s="17">
        <f>102740+1505</f>
        <v>104245</v>
      </c>
      <c r="F29" s="19">
        <v>0.04</v>
      </c>
      <c r="G29" s="17">
        <f t="shared" si="0"/>
        <v>4169.8</v>
      </c>
      <c r="H29" s="15">
        <v>0.67</v>
      </c>
      <c r="I29" s="14">
        <f t="shared" si="1"/>
        <v>4.3470105070173327E-2</v>
      </c>
      <c r="J29" s="14">
        <f t="shared" si="2"/>
        <v>69844.150000000009</v>
      </c>
      <c r="K29" s="18">
        <f t="shared" si="3"/>
        <v>69840.498511174112</v>
      </c>
      <c r="L29" s="17">
        <v>45</v>
      </c>
      <c r="M29" s="17">
        <f t="shared" si="4"/>
        <v>95400.865327162508</v>
      </c>
      <c r="N29" s="16">
        <f t="shared" si="5"/>
        <v>14371.301342235569</v>
      </c>
      <c r="O29" s="15">
        <v>1.25</v>
      </c>
      <c r="P29" s="14">
        <f t="shared" si="6"/>
        <v>130306.25</v>
      </c>
      <c r="Q29" s="13">
        <f t="shared" si="7"/>
        <v>1.3658812166235061</v>
      </c>
      <c r="R29" s="13">
        <f t="shared" si="8"/>
        <v>1.5165224219516906</v>
      </c>
      <c r="S29" s="37">
        <f>IF(OR($P29=0,ISERROR(P29/G29)),"-",(VLOOKUP(L29,'APP 2885'!$B$10:$G$54,6)*$G29)/($P29+$N29))</f>
        <v>1.7657860281421045</v>
      </c>
      <c r="T29" s="12">
        <f t="shared" si="9"/>
        <v>0.73207405689316263</v>
      </c>
      <c r="U29" s="11">
        <f t="shared" si="10"/>
        <v>0.88271526222134722</v>
      </c>
      <c r="V29" s="37">
        <f>IF(OR($P29=0,ISERROR(P29/G29)),"-",(VLOOKUP(L29,'APP 2885'!$B$10:$G$54,4)*$G29)/($K29+$N29))</f>
        <v>2.757868733043412</v>
      </c>
      <c r="W29" s="2"/>
      <c r="X29" s="2"/>
    </row>
    <row r="30" spans="1:24" ht="15.75" thickBot="1" x14ac:dyDescent="0.3">
      <c r="A30" s="30" t="s">
        <v>43</v>
      </c>
      <c r="B30" s="30" t="s">
        <v>26</v>
      </c>
      <c r="C30" s="30" t="s">
        <v>44</v>
      </c>
      <c r="D30" s="27">
        <v>64</v>
      </c>
      <c r="E30" s="27">
        <f>77838</f>
        <v>77838</v>
      </c>
      <c r="F30" s="29">
        <v>7.3999999999999996E-2</v>
      </c>
      <c r="G30" s="27">
        <f t="shared" si="0"/>
        <v>5760.0119999999997</v>
      </c>
      <c r="H30" s="25">
        <v>0.67</v>
      </c>
      <c r="I30" s="24">
        <f t="shared" si="1"/>
        <v>8.0419694379820661E-2</v>
      </c>
      <c r="J30" s="24">
        <f t="shared" si="2"/>
        <v>52151.460000000006</v>
      </c>
      <c r="K30" s="28">
        <f t="shared" si="3"/>
        <v>52146.313139559701</v>
      </c>
      <c r="L30" s="27">
        <v>45</v>
      </c>
      <c r="M30" s="27">
        <f t="shared" si="4"/>
        <v>131783.32991866276</v>
      </c>
      <c r="N30" s="26">
        <f t="shared" si="5"/>
        <v>19851.999661109159</v>
      </c>
      <c r="O30" s="25">
        <v>1</v>
      </c>
      <c r="P30" s="24">
        <f t="shared" si="6"/>
        <v>77838</v>
      </c>
      <c r="Q30" s="23">
        <f t="shared" si="7"/>
        <v>0.59065133691827298</v>
      </c>
      <c r="R30" s="23">
        <f t="shared" si="8"/>
        <v>0.74129254224645758</v>
      </c>
      <c r="S30" s="38">
        <f>IF(OR($P30=0,ISERROR(P30/G30)),"-",(VLOOKUP(L30,'APP 2885'!$B$10:$G$54,6)*$G30)/($P30+$N30))</f>
        <v>3.6124120390195613</v>
      </c>
      <c r="T30" s="22">
        <f t="shared" si="9"/>
        <v>0.39569734026105297</v>
      </c>
      <c r="U30" s="21">
        <f t="shared" si="10"/>
        <v>0.54633854558923756</v>
      </c>
      <c r="V30" s="38">
        <f>IF(OR($P30=0,ISERROR(P30/G30)),"-",(VLOOKUP(L30,'APP 2885'!$B$10:$G$54,4)*$G30)/($K30+$N30))</f>
        <v>4.4558686944464165</v>
      </c>
      <c r="W30" s="2"/>
      <c r="X30" s="2"/>
    </row>
    <row r="31" spans="1:24" ht="15.75" thickBot="1" x14ac:dyDescent="0.3">
      <c r="A31" s="20" t="s">
        <v>43</v>
      </c>
      <c r="B31" s="20" t="s">
        <v>28</v>
      </c>
      <c r="C31" s="20" t="s">
        <v>44</v>
      </c>
      <c r="D31" s="17">
        <v>14</v>
      </c>
      <c r="E31" s="17">
        <v>19543</v>
      </c>
      <c r="F31" s="19">
        <v>0.05</v>
      </c>
      <c r="G31" s="17">
        <f t="shared" si="0"/>
        <v>977.15000000000009</v>
      </c>
      <c r="H31" s="15">
        <v>0.67</v>
      </c>
      <c r="I31" s="14">
        <f t="shared" si="1"/>
        <v>5.4337631337716664E-2</v>
      </c>
      <c r="J31" s="14">
        <f t="shared" si="2"/>
        <v>13093.810000000001</v>
      </c>
      <c r="K31" s="18">
        <f t="shared" si="3"/>
        <v>13093.049273161274</v>
      </c>
      <c r="L31" s="17">
        <v>45</v>
      </c>
      <c r="M31" s="17">
        <f t="shared" si="4"/>
        <v>22356.217457536775</v>
      </c>
      <c r="N31" s="16">
        <f t="shared" si="5"/>
        <v>3367.7675443823414</v>
      </c>
      <c r="O31" s="15">
        <v>1.25</v>
      </c>
      <c r="P31" s="14">
        <f t="shared" si="6"/>
        <v>24428.75</v>
      </c>
      <c r="Q31" s="13">
        <f t="shared" si="7"/>
        <v>1.092704973298805</v>
      </c>
      <c r="R31" s="13">
        <f t="shared" si="8"/>
        <v>1.2433461786269897</v>
      </c>
      <c r="S31" s="37">
        <f>IF(OR($P31=0,ISERROR(P31/G31)),"-",(VLOOKUP(L31,'APP 2885'!$B$10:$G$54,6)*$G31)/($P31+$N31))</f>
        <v>2.1537478057829711</v>
      </c>
      <c r="T31" s="12">
        <f t="shared" si="9"/>
        <v>0.58565583815912103</v>
      </c>
      <c r="U31" s="11">
        <f t="shared" si="10"/>
        <v>0.73629704348730551</v>
      </c>
      <c r="V31" s="37">
        <f>IF(OR($P31=0,ISERROR(P31/G31)),"-",(VLOOKUP(L31,'APP 2885'!$B$10:$G$54,4)*$G31)/($K31+$N31))</f>
        <v>3.3062917247778434</v>
      </c>
      <c r="W31" s="2"/>
      <c r="X31" s="2"/>
    </row>
    <row r="32" spans="1:24" ht="15.75" thickBot="1" x14ac:dyDescent="0.3">
      <c r="A32" s="30" t="s">
        <v>43</v>
      </c>
      <c r="B32" s="30" t="s">
        <v>28</v>
      </c>
      <c r="C32" s="30" t="s">
        <v>44</v>
      </c>
      <c r="D32" s="27">
        <v>12</v>
      </c>
      <c r="E32" s="27">
        <v>14857</v>
      </c>
      <c r="F32" s="29">
        <v>6.8000000000000005E-2</v>
      </c>
      <c r="G32" s="27">
        <f t="shared" si="0"/>
        <v>1010.2760000000001</v>
      </c>
      <c r="H32" s="25">
        <v>0.67</v>
      </c>
      <c r="I32" s="24">
        <f t="shared" si="1"/>
        <v>7.3899178619294653E-2</v>
      </c>
      <c r="J32" s="24">
        <f t="shared" si="2"/>
        <v>9954.19</v>
      </c>
      <c r="K32" s="28">
        <f t="shared" si="3"/>
        <v>9953.3032098565691</v>
      </c>
      <c r="L32" s="27">
        <v>45</v>
      </c>
      <c r="M32" s="27">
        <f t="shared" si="4"/>
        <v>23114.107299933912</v>
      </c>
      <c r="N32" s="26">
        <f t="shared" si="5"/>
        <v>3481.936983747034</v>
      </c>
      <c r="O32" s="25">
        <v>1</v>
      </c>
      <c r="P32" s="24">
        <f t="shared" si="6"/>
        <v>14857</v>
      </c>
      <c r="Q32" s="23">
        <f t="shared" si="7"/>
        <v>0.64276763135223824</v>
      </c>
      <c r="R32" s="23">
        <f t="shared" si="8"/>
        <v>0.79340883668042272</v>
      </c>
      <c r="S32" s="38">
        <f>IF(OR($P32=0,ISERROR(P32/G32)),"-",(VLOOKUP(L32,'APP 2885'!$B$10:$G$54,6)*$G32)/($P32+$N32))</f>
        <v>3.3751251312633586</v>
      </c>
      <c r="T32" s="22">
        <f t="shared" si="9"/>
        <v>0.43061594725248281</v>
      </c>
      <c r="U32" s="21">
        <f t="shared" si="10"/>
        <v>0.58125715258066735</v>
      </c>
      <c r="V32" s="38">
        <f>IF(OR($P32=0,ISERROR(P32/G32)),"-",(VLOOKUP(L32,'APP 2885'!$B$10:$G$54,4)*$G32)/($K32+$N32))</f>
        <v>4.1881855750972807</v>
      </c>
      <c r="W32" s="2"/>
      <c r="X32" s="2"/>
    </row>
    <row r="33" spans="1:24" ht="15.75" thickBot="1" x14ac:dyDescent="0.3">
      <c r="A33" s="20" t="s">
        <v>43</v>
      </c>
      <c r="B33" s="20" t="s">
        <v>29</v>
      </c>
      <c r="C33" s="20" t="s">
        <v>44</v>
      </c>
      <c r="D33" s="17">
        <v>480</v>
      </c>
      <c r="E33" s="17">
        <v>710656</v>
      </c>
      <c r="F33" s="19">
        <v>0.03</v>
      </c>
      <c r="G33" s="17">
        <f t="shared" ref="G33:G64" si="11">IF(ISNUMBER(E33),E33*F33,"")</f>
        <v>21319.68</v>
      </c>
      <c r="H33" s="15">
        <v>0.67</v>
      </c>
      <c r="I33" s="14">
        <f t="shared" si="1"/>
        <v>3.2602578802629997E-2</v>
      </c>
      <c r="J33" s="14">
        <f t="shared" ref="J33:J64" si="12">IF(ISNUMBER(H33),H33*E33,"")</f>
        <v>476139.52000000002</v>
      </c>
      <c r="K33" s="18">
        <f t="shared" ref="K33:K64" si="13">J33-D33*(I33)</f>
        <v>476123.87076217477</v>
      </c>
      <c r="L33" s="17">
        <v>45</v>
      </c>
      <c r="M33" s="17">
        <f t="shared" si="4"/>
        <v>487773.01561182784</v>
      </c>
      <c r="N33" s="16">
        <f t="shared" si="5"/>
        <v>73478.714998329131</v>
      </c>
      <c r="O33" s="15">
        <v>1.25</v>
      </c>
      <c r="P33" s="14">
        <f t="shared" ref="P33:P64" si="14">IF(ISNUMBER(O33),O33*E33,"")</f>
        <v>888320</v>
      </c>
      <c r="Q33" s="13">
        <f t="shared" ref="Q33:Q64" si="15">IF(ISERROR(P33/M33),0,P33/M33)</f>
        <v>1.8211749554980086</v>
      </c>
      <c r="R33" s="13">
        <f t="shared" ref="R33:R64" si="16">IF(ISERROR((N33+P33)/M33),0,(N33+P33)/M33)</f>
        <v>1.9718161608261933</v>
      </c>
      <c r="S33" s="37">
        <f>IF(OR($P33=0,ISERROR(P33/G33)),"-",(VLOOKUP(L33,'APP 2885'!$B$10:$G$54,6)*$G33)/($P33+$N33))</f>
        <v>1.3580647918640127</v>
      </c>
      <c r="T33" s="12">
        <f t="shared" ref="T33:T64" si="17">IF(ISERROR(RK33/M33),0,K33/M33)</f>
        <v>0.97611769311379148</v>
      </c>
      <c r="U33" s="11">
        <f t="shared" ref="U33:U64" si="18">IF(ISERROR(K33/M33),0,(K33+N33)/M33)</f>
        <v>1.1267588984419761</v>
      </c>
      <c r="V33" s="37">
        <f>IF(OR($P33=0,ISERROR(P33/G33)),"-",(VLOOKUP(L33,'APP 2885'!$B$10:$G$54,4)*$G33)/($K33+$N33))</f>
        <v>2.1605445718925766</v>
      </c>
      <c r="W33" s="2"/>
      <c r="X33" s="2"/>
    </row>
    <row r="34" spans="1:24" ht="15.75" thickBot="1" x14ac:dyDescent="0.3">
      <c r="A34" s="30" t="s">
        <v>43</v>
      </c>
      <c r="B34" s="30" t="s">
        <v>29</v>
      </c>
      <c r="C34" s="30" t="s">
        <v>44</v>
      </c>
      <c r="D34" s="27">
        <v>39</v>
      </c>
      <c r="E34" s="27">
        <v>53958</v>
      </c>
      <c r="F34" s="29">
        <v>0.08</v>
      </c>
      <c r="G34" s="27">
        <f t="shared" si="11"/>
        <v>4316.6400000000003</v>
      </c>
      <c r="H34" s="25">
        <v>0.67</v>
      </c>
      <c r="I34" s="24">
        <f t="shared" si="1"/>
        <v>8.6940210140346655E-2</v>
      </c>
      <c r="J34" s="24">
        <f t="shared" si="12"/>
        <v>36151.86</v>
      </c>
      <c r="K34" s="28">
        <f t="shared" si="13"/>
        <v>36148.469331804525</v>
      </c>
      <c r="L34" s="27">
        <v>45</v>
      </c>
      <c r="M34" s="27">
        <f t="shared" si="4"/>
        <v>98760.418079006849</v>
      </c>
      <c r="N34" s="26">
        <f t="shared" si="5"/>
        <v>14877.388418137019</v>
      </c>
      <c r="O34" s="25">
        <v>1</v>
      </c>
      <c r="P34" s="24">
        <f t="shared" si="14"/>
        <v>53958</v>
      </c>
      <c r="Q34" s="23">
        <f t="shared" si="15"/>
        <v>0.5463524866494025</v>
      </c>
      <c r="R34" s="23">
        <f t="shared" si="16"/>
        <v>0.69699369197758709</v>
      </c>
      <c r="S34" s="38">
        <f>IF(OR($P34=0,ISERROR(P34/G34)),"-",(VLOOKUP(L34,'APP 2885'!$B$10:$G$54,6)*$G34)/($P34+$N34))</f>
        <v>3.8420062259797767</v>
      </c>
      <c r="T34" s="22">
        <f t="shared" si="17"/>
        <v>0.36602183379667647</v>
      </c>
      <c r="U34" s="21">
        <f t="shared" si="18"/>
        <v>0.516663039124861</v>
      </c>
      <c r="V34" s="38">
        <f>IF(OR($P34=0,ISERROR(P34/G34)),"-",(VLOOKUP(L34,'APP 2885'!$B$10:$G$54,4)*$G34)/($K34+$N34))</f>
        <v>4.711799833763898</v>
      </c>
      <c r="W34" s="2"/>
      <c r="X34" s="2"/>
    </row>
    <row r="35" spans="1:24" ht="15.75" thickBot="1" x14ac:dyDescent="0.3">
      <c r="A35" s="20" t="s">
        <v>45</v>
      </c>
      <c r="B35" s="20" t="s">
        <v>26</v>
      </c>
      <c r="C35" s="20" t="s">
        <v>33</v>
      </c>
      <c r="D35" s="17">
        <v>7</v>
      </c>
      <c r="E35" s="17">
        <v>7</v>
      </c>
      <c r="F35" s="19">
        <v>108.78</v>
      </c>
      <c r="G35" s="17">
        <f t="shared" si="11"/>
        <v>761.46</v>
      </c>
      <c r="H35" s="15">
        <v>1747</v>
      </c>
      <c r="I35" s="14">
        <f t="shared" si="1"/>
        <v>86.092561291411926</v>
      </c>
      <c r="J35" s="14">
        <f t="shared" si="12"/>
        <v>12229</v>
      </c>
      <c r="K35" s="18">
        <f t="shared" si="13"/>
        <v>11626.352070960116</v>
      </c>
      <c r="L35" s="17">
        <v>25</v>
      </c>
      <c r="M35" s="17">
        <f t="shared" si="4"/>
        <v>12687.324821892287</v>
      </c>
      <c r="N35" s="16">
        <f t="shared" si="5"/>
        <v>2624.3875293919841</v>
      </c>
      <c r="O35" s="15">
        <v>900</v>
      </c>
      <c r="P35" s="14">
        <f t="shared" si="14"/>
        <v>6300</v>
      </c>
      <c r="Q35" s="13">
        <f t="shared" si="15"/>
        <v>0.49655858019250809</v>
      </c>
      <c r="R35" s="13">
        <f t="shared" si="16"/>
        <v>0.70340971439406497</v>
      </c>
      <c r="S35" s="37">
        <f>IF(OR($P35=0,ISERROR(P35/G35)),"-",(VLOOKUP(L35,'APP 2885'!$B$10:$G$54,6)*$G35)/($P35+$N35))</f>
        <v>2.360006168083971</v>
      </c>
      <c r="T35" s="12">
        <f t="shared" si="17"/>
        <v>0.91637537732923513</v>
      </c>
      <c r="U35" s="11">
        <f t="shared" si="18"/>
        <v>1.123226511530792</v>
      </c>
      <c r="V35" s="37">
        <f>IF(OR($P35=0,ISERROR(P35/G35)),"-",(VLOOKUP(L35,'APP 2885'!$B$10:$G$54,4)*$G35)/($K35+$N35))</f>
        <v>1.343573622804457</v>
      </c>
      <c r="W35" s="2"/>
      <c r="X35" s="2"/>
    </row>
    <row r="36" spans="1:24" ht="15.75" thickBot="1" x14ac:dyDescent="0.3">
      <c r="A36" s="30" t="s">
        <v>45</v>
      </c>
      <c r="B36" s="30" t="s">
        <v>26</v>
      </c>
      <c r="C36" s="30" t="s">
        <v>33</v>
      </c>
      <c r="D36" s="27">
        <v>10</v>
      </c>
      <c r="E36" s="27">
        <v>10</v>
      </c>
      <c r="F36" s="29">
        <v>77</v>
      </c>
      <c r="G36" s="27">
        <f t="shared" si="11"/>
        <v>770</v>
      </c>
      <c r="H36" s="25">
        <v>1747</v>
      </c>
      <c r="I36" s="24">
        <f t="shared" si="1"/>
        <v>83.679952260083653</v>
      </c>
      <c r="J36" s="24">
        <f t="shared" si="12"/>
        <v>17470</v>
      </c>
      <c r="K36" s="28">
        <f t="shared" si="13"/>
        <v>16633.200477399165</v>
      </c>
      <c r="L36" s="27">
        <v>45</v>
      </c>
      <c r="M36" s="27">
        <f t="shared" si="4"/>
        <v>17616.832054754454</v>
      </c>
      <c r="N36" s="26">
        <f t="shared" si="5"/>
        <v>2653.8208147924088</v>
      </c>
      <c r="O36" s="25">
        <v>750</v>
      </c>
      <c r="P36" s="24">
        <f t="shared" si="14"/>
        <v>7500</v>
      </c>
      <c r="Q36" s="23">
        <f t="shared" si="15"/>
        <v>0.42572921037615785</v>
      </c>
      <c r="R36" s="23">
        <f t="shared" si="16"/>
        <v>0.57637041570434244</v>
      </c>
      <c r="S36" s="38">
        <f>IF(OR($P36=0,ISERROR(P36/G36)),"-",(VLOOKUP(L36,'APP 2885'!$B$10:$G$54,6)*$G36)/($P36+$N36))</f>
        <v>4.6460644597348058</v>
      </c>
      <c r="T36" s="22">
        <f t="shared" si="17"/>
        <v>0.94416524070286378</v>
      </c>
      <c r="U36" s="21">
        <f t="shared" si="18"/>
        <v>1.0948064460310483</v>
      </c>
      <c r="V36" s="38">
        <f>IF(OR($P36=0,ISERROR(P36/G36)),"-",(VLOOKUP(L36,'APP 2885'!$B$10:$G$54,4)*$G36)/($K36+$N36))</f>
        <v>2.2236011038168759</v>
      </c>
      <c r="W36" s="2"/>
      <c r="X36" s="2"/>
    </row>
    <row r="37" spans="1:24" ht="15.75" thickBot="1" x14ac:dyDescent="0.3">
      <c r="A37" s="20" t="s">
        <v>45</v>
      </c>
      <c r="B37" s="20" t="s">
        <v>28</v>
      </c>
      <c r="C37" s="20" t="s">
        <v>33</v>
      </c>
      <c r="D37" s="17">
        <v>1</v>
      </c>
      <c r="E37" s="17">
        <v>1</v>
      </c>
      <c r="F37" s="19">
        <v>78</v>
      </c>
      <c r="G37" s="17">
        <f t="shared" si="11"/>
        <v>78</v>
      </c>
      <c r="H37" s="15">
        <v>1747</v>
      </c>
      <c r="I37" s="14">
        <f t="shared" si="1"/>
        <v>84.766704886837985</v>
      </c>
      <c r="J37" s="14">
        <f t="shared" si="12"/>
        <v>1747</v>
      </c>
      <c r="K37" s="18">
        <f t="shared" si="13"/>
        <v>1662.2332951131621</v>
      </c>
      <c r="L37" s="17">
        <v>45</v>
      </c>
      <c r="M37" s="17">
        <f t="shared" ref="M37:M68" si="19">PV($B$119,$L37,-$G37)</f>
        <v>1784.5622081439576</v>
      </c>
      <c r="N37" s="16">
        <f t="shared" ref="N37:N68" si="20">(G37/VLOOKUP("TOTAL PROGRAM",$A$4:$G$196,7,FALSE))*$B$120</f>
        <v>268.82860201793233</v>
      </c>
      <c r="O37" s="15">
        <v>750</v>
      </c>
      <c r="P37" s="14">
        <f t="shared" si="14"/>
        <v>750</v>
      </c>
      <c r="Q37" s="13">
        <f t="shared" si="15"/>
        <v>0.4202711435764635</v>
      </c>
      <c r="R37" s="13">
        <f t="shared" si="16"/>
        <v>0.57091234890464804</v>
      </c>
      <c r="S37" s="37">
        <f>IF(OR($P37=0,ISERROR(P37/G37)),"-",(VLOOKUP(L37,'APP 2885'!$B$10:$G$54,6)*$G37)/($P37+$N37))</f>
        <v>4.6904820138927619</v>
      </c>
      <c r="T37" s="12">
        <f t="shared" si="17"/>
        <v>0.93145158377077575</v>
      </c>
      <c r="U37" s="11">
        <f t="shared" si="18"/>
        <v>1.0820927890989602</v>
      </c>
      <c r="V37" s="37">
        <f>IF(OR($P37=0,ISERROR(P37/G37)),"-",(VLOOKUP(L37,'APP 2885'!$B$10:$G$54,4)*$G37)/($K37+$N37))</f>
        <v>2.2497264988592738</v>
      </c>
      <c r="W37" s="2"/>
      <c r="X37" s="2"/>
    </row>
    <row r="38" spans="1:24" ht="15.75" thickBot="1" x14ac:dyDescent="0.3">
      <c r="A38" s="30" t="s">
        <v>46</v>
      </c>
      <c r="B38" s="30" t="s">
        <v>26</v>
      </c>
      <c r="C38" s="30" t="s">
        <v>47</v>
      </c>
      <c r="D38" s="27">
        <v>58</v>
      </c>
      <c r="E38" s="27">
        <v>11576</v>
      </c>
      <c r="F38" s="29">
        <v>0.17</v>
      </c>
      <c r="G38" s="27">
        <f t="shared" si="11"/>
        <v>1967.92</v>
      </c>
      <c r="H38" s="25">
        <v>0.17</v>
      </c>
      <c r="I38" s="24">
        <f t="shared" si="1"/>
        <v>0.18474794654823667</v>
      </c>
      <c r="J38" s="24">
        <f t="shared" si="12"/>
        <v>1967.92</v>
      </c>
      <c r="K38" s="28">
        <f t="shared" si="13"/>
        <v>1957.2046191002023</v>
      </c>
      <c r="L38" s="27">
        <v>45</v>
      </c>
      <c r="M38" s="27">
        <f t="shared" si="19"/>
        <v>45024.046931418685</v>
      </c>
      <c r="N38" s="26">
        <f t="shared" si="20"/>
        <v>6782.4766985016595</v>
      </c>
      <c r="O38" s="25">
        <v>1</v>
      </c>
      <c r="P38" s="24">
        <f t="shared" si="14"/>
        <v>11576</v>
      </c>
      <c r="Q38" s="23">
        <f t="shared" si="15"/>
        <v>0.25710705254089533</v>
      </c>
      <c r="R38" s="23">
        <f t="shared" si="16"/>
        <v>0.40774825786907992</v>
      </c>
      <c r="S38" s="38">
        <f>IF(OR($P38=0,ISERROR(P38/G38)),"-",(VLOOKUP(L38,'APP 2885'!$B$10:$G$54,6)*$G38)/($P38+$N38))</f>
        <v>6.5674200989629439</v>
      </c>
      <c r="T38" s="22">
        <f t="shared" si="17"/>
        <v>4.3470206533887244E-2</v>
      </c>
      <c r="U38" s="21">
        <f t="shared" si="18"/>
        <v>0.19411141186207179</v>
      </c>
      <c r="V38" s="38">
        <f>IF(OR($P38=0,ISERROR(P38/G38)),"-",(VLOOKUP(L38,'APP 2885'!$B$10:$G$54,4)*$G38)/($K38+$N38))</f>
        <v>12.541317372882082</v>
      </c>
      <c r="W38" s="2"/>
      <c r="X38" s="2"/>
    </row>
    <row r="39" spans="1:24" ht="15.75" thickBot="1" x14ac:dyDescent="0.3">
      <c r="A39" s="20" t="s">
        <v>46</v>
      </c>
      <c r="B39" s="20" t="s">
        <v>26</v>
      </c>
      <c r="C39" s="20" t="s">
        <v>48</v>
      </c>
      <c r="D39" s="17">
        <v>50</v>
      </c>
      <c r="E39" s="17">
        <v>8300</v>
      </c>
      <c r="F39" s="19">
        <v>6.3E-2</v>
      </c>
      <c r="G39" s="17">
        <f t="shared" si="11"/>
        <v>522.9</v>
      </c>
      <c r="H39" s="15">
        <v>0.61</v>
      </c>
      <c r="I39" s="14">
        <f t="shared" si="1"/>
        <v>5.5734293120935273E-2</v>
      </c>
      <c r="J39" s="14">
        <f t="shared" si="12"/>
        <v>5063</v>
      </c>
      <c r="K39" s="18">
        <f t="shared" si="13"/>
        <v>5060.2132853439534</v>
      </c>
      <c r="L39" s="17">
        <v>30</v>
      </c>
      <c r="M39" s="17">
        <f t="shared" si="19"/>
        <v>9738.8343769213207</v>
      </c>
      <c r="N39" s="16">
        <f t="shared" si="20"/>
        <v>1802.185589681754</v>
      </c>
      <c r="O39" s="15">
        <v>0.5</v>
      </c>
      <c r="P39" s="14">
        <f t="shared" si="14"/>
        <v>4150</v>
      </c>
      <c r="Q39" s="13">
        <f t="shared" si="15"/>
        <v>0.42612902523884122</v>
      </c>
      <c r="R39" s="13">
        <f t="shared" si="16"/>
        <v>0.61118049237873817</v>
      </c>
      <c r="S39" s="37">
        <f>IF(OR($P39=0,ISERROR(P39/G39)),"-",(VLOOKUP(L39,'APP 2885'!$B$10:$G$54,6)*$G39)/($P39+$N39))</f>
        <v>3.0622363103604782</v>
      </c>
      <c r="T39" s="12">
        <f t="shared" si="17"/>
        <v>0.51959126621307306</v>
      </c>
      <c r="U39" s="11">
        <f t="shared" si="18"/>
        <v>0.70464273335297001</v>
      </c>
      <c r="V39" s="37">
        <f>IF(OR($P39=0,ISERROR(P39/G39)),"-",(VLOOKUP(L39,'APP 2885'!$B$10:$G$54,4)*$G39)/($K39+$N39))</f>
        <v>2.414607376525594</v>
      </c>
      <c r="W39" s="2"/>
      <c r="X39" s="2"/>
    </row>
    <row r="40" spans="1:24" ht="15.75" thickBot="1" x14ac:dyDescent="0.3">
      <c r="A40" s="30" t="s">
        <v>46</v>
      </c>
      <c r="B40" s="30" t="s">
        <v>28</v>
      </c>
      <c r="C40" s="30" t="s">
        <v>49</v>
      </c>
      <c r="D40" s="27">
        <v>6</v>
      </c>
      <c r="E40" s="27">
        <f>1434.18-45</f>
        <v>1389.18</v>
      </c>
      <c r="F40" s="29">
        <v>0.16700000000000001</v>
      </c>
      <c r="G40" s="27">
        <f t="shared" si="11"/>
        <v>231.99306000000001</v>
      </c>
      <c r="H40" s="25">
        <v>0.17</v>
      </c>
      <c r="I40" s="24">
        <f t="shared" si="1"/>
        <v>0.18148768866797366</v>
      </c>
      <c r="J40" s="24">
        <f t="shared" si="12"/>
        <v>236.16060000000002</v>
      </c>
      <c r="K40" s="28">
        <f t="shared" si="13"/>
        <v>235.07167386799216</v>
      </c>
      <c r="L40" s="27">
        <v>45</v>
      </c>
      <c r="M40" s="27">
        <f t="shared" si="19"/>
        <v>5307.769838816329</v>
      </c>
      <c r="N40" s="26">
        <f t="shared" si="20"/>
        <v>799.56884612387569</v>
      </c>
      <c r="O40" s="25">
        <v>1</v>
      </c>
      <c r="P40" s="24">
        <f t="shared" si="14"/>
        <v>1389.18</v>
      </c>
      <c r="Q40" s="23">
        <f t="shared" si="15"/>
        <v>0.26172574210749827</v>
      </c>
      <c r="R40" s="23">
        <f t="shared" si="16"/>
        <v>0.41236694743568281</v>
      </c>
      <c r="S40" s="38">
        <f>IF(OR($P40=0,ISERROR(P40/G40)),"-",(VLOOKUP(L40,'APP 2885'!$B$10:$G$54,6)*$G40)/($P40+$N40))</f>
        <v>6.4938621310433415</v>
      </c>
      <c r="T40" s="22">
        <f t="shared" si="17"/>
        <v>4.4288219159181713E-2</v>
      </c>
      <c r="U40" s="21">
        <f t="shared" si="18"/>
        <v>0.19492942448736628</v>
      </c>
      <c r="V40" s="38">
        <f>IF(OR($P40=0,ISERROR(P40/G40)),"-",(VLOOKUP(L40,'APP 2885'!$B$10:$G$54,4)*$G40)/($K40+$N40))</f>
        <v>12.488688294558878</v>
      </c>
      <c r="W40" s="2"/>
      <c r="X40" s="2"/>
    </row>
    <row r="41" spans="1:24" ht="15.75" thickBot="1" x14ac:dyDescent="0.3">
      <c r="A41" s="20" t="s">
        <v>46</v>
      </c>
      <c r="B41" s="20" t="s">
        <v>28</v>
      </c>
      <c r="C41" s="20" t="s">
        <v>50</v>
      </c>
      <c r="D41" s="17">
        <v>18</v>
      </c>
      <c r="E41" s="17">
        <f>2178.28+45</f>
        <v>2223.2800000000002</v>
      </c>
      <c r="F41" s="19">
        <v>6.3E-2</v>
      </c>
      <c r="G41" s="17">
        <f t="shared" si="11"/>
        <v>140.06664000000001</v>
      </c>
      <c r="H41" s="15">
        <v>0.61</v>
      </c>
      <c r="I41" s="14">
        <f t="shared" si="1"/>
        <v>5.5734293120935273E-2</v>
      </c>
      <c r="J41" s="14">
        <f t="shared" si="12"/>
        <v>1356.2008000000001</v>
      </c>
      <c r="K41" s="18">
        <f t="shared" si="13"/>
        <v>1355.1975827238232</v>
      </c>
      <c r="L41" s="17">
        <v>30</v>
      </c>
      <c r="M41" s="17">
        <f t="shared" si="19"/>
        <v>2608.6934570507997</v>
      </c>
      <c r="N41" s="16">
        <f t="shared" si="20"/>
        <v>482.74255154550008</v>
      </c>
      <c r="O41" s="15">
        <v>0.5</v>
      </c>
      <c r="P41" s="14">
        <f t="shared" si="14"/>
        <v>1111.6400000000001</v>
      </c>
      <c r="Q41" s="13">
        <f t="shared" si="15"/>
        <v>0.42612902523884122</v>
      </c>
      <c r="R41" s="13">
        <f t="shared" si="16"/>
        <v>0.61118049237873806</v>
      </c>
      <c r="S41" s="37">
        <f>IF(OR($P41=0,ISERROR(P41/G41)),"-",(VLOOKUP(L41,'APP 2885'!$B$10:$G$54,6)*$G41)/($P41+$N41))</f>
        <v>3.0622363103604786</v>
      </c>
      <c r="T41" s="12">
        <f t="shared" si="17"/>
        <v>0.51949284384525263</v>
      </c>
      <c r="U41" s="11">
        <f t="shared" si="18"/>
        <v>0.70454431098514947</v>
      </c>
      <c r="V41" s="37">
        <f>IF(OR($P41=0,ISERROR(P41/G41)),"-",(VLOOKUP(L41,'APP 2885'!$B$10:$G$54,4)*$G41)/($K41+$N41))</f>
        <v>2.4149446887026271</v>
      </c>
      <c r="W41" s="2"/>
      <c r="X41" s="2"/>
    </row>
    <row r="42" spans="1:24" ht="15.75" thickBot="1" x14ac:dyDescent="0.3">
      <c r="A42" s="30" t="s">
        <v>46</v>
      </c>
      <c r="B42" s="30" t="s">
        <v>29</v>
      </c>
      <c r="C42" s="30" t="s">
        <v>51</v>
      </c>
      <c r="D42" s="27">
        <v>13</v>
      </c>
      <c r="E42" s="27">
        <v>2326</v>
      </c>
      <c r="F42" s="29">
        <v>0.17</v>
      </c>
      <c r="G42" s="27">
        <f t="shared" si="11"/>
        <v>395.42</v>
      </c>
      <c r="H42" s="25">
        <v>0.17</v>
      </c>
      <c r="I42" s="24">
        <f t="shared" si="1"/>
        <v>0.18474794654823667</v>
      </c>
      <c r="J42" s="24">
        <f t="shared" si="12"/>
        <v>395.42</v>
      </c>
      <c r="K42" s="28">
        <f t="shared" si="13"/>
        <v>393.01827669487295</v>
      </c>
      <c r="L42" s="27">
        <v>45</v>
      </c>
      <c r="M42" s="27">
        <f t="shared" si="19"/>
        <v>9046.815235183125</v>
      </c>
      <c r="N42" s="26">
        <f t="shared" si="20"/>
        <v>1362.8231514093693</v>
      </c>
      <c r="O42" s="25">
        <v>1</v>
      </c>
      <c r="P42" s="24">
        <f t="shared" si="14"/>
        <v>2326</v>
      </c>
      <c r="Q42" s="23">
        <f t="shared" si="15"/>
        <v>0.25710705254089533</v>
      </c>
      <c r="R42" s="23">
        <f t="shared" si="16"/>
        <v>0.40774825786907992</v>
      </c>
      <c r="S42" s="38">
        <f>IF(OR($P42=0,ISERROR(P42/G42)),"-",(VLOOKUP(L42,'APP 2885'!$B$10:$G$54,6)*$G42)/($P42+$N42))</f>
        <v>6.5674200989629448</v>
      </c>
      <c r="T42" s="22">
        <f t="shared" si="17"/>
        <v>4.3442721717850748E-2</v>
      </c>
      <c r="U42" s="21">
        <f t="shared" si="18"/>
        <v>0.1940839270460353</v>
      </c>
      <c r="V42" s="38">
        <f>IF(OR($P42=0,ISERROR(P42/G42)),"-",(VLOOKUP(L42,'APP 2885'!$B$10:$G$54,4)*$G42)/($K42+$N42))</f>
        <v>12.543093387032741</v>
      </c>
      <c r="W42" s="2"/>
      <c r="X42" s="2"/>
    </row>
    <row r="43" spans="1:24" ht="15.75" thickBot="1" x14ac:dyDescent="0.3">
      <c r="A43" s="20" t="s">
        <v>46</v>
      </c>
      <c r="B43" s="20" t="s">
        <v>29</v>
      </c>
      <c r="C43" s="20" t="s">
        <v>52</v>
      </c>
      <c r="D43" s="17">
        <v>11</v>
      </c>
      <c r="E43" s="17">
        <v>1787</v>
      </c>
      <c r="F43" s="19">
        <v>6.3E-2</v>
      </c>
      <c r="G43" s="17">
        <f t="shared" si="11"/>
        <v>112.581</v>
      </c>
      <c r="H43" s="15">
        <v>0.61</v>
      </c>
      <c r="I43" s="14">
        <f t="shared" si="1"/>
        <v>5.5734293120935273E-2</v>
      </c>
      <c r="J43" s="14">
        <f t="shared" si="12"/>
        <v>1090.07</v>
      </c>
      <c r="K43" s="18">
        <f t="shared" si="13"/>
        <v>1089.4569227756697</v>
      </c>
      <c r="L43" s="17">
        <v>30</v>
      </c>
      <c r="M43" s="17">
        <f t="shared" si="19"/>
        <v>2096.7827748865548</v>
      </c>
      <c r="N43" s="16">
        <f t="shared" si="20"/>
        <v>388.01272876642105</v>
      </c>
      <c r="O43" s="15">
        <v>0.5</v>
      </c>
      <c r="P43" s="14">
        <f t="shared" si="14"/>
        <v>893.5</v>
      </c>
      <c r="Q43" s="13">
        <f t="shared" si="15"/>
        <v>0.42612902523884111</v>
      </c>
      <c r="R43" s="13">
        <f t="shared" si="16"/>
        <v>0.61118049237873795</v>
      </c>
      <c r="S43" s="37">
        <f>IF(OR($P43=0,ISERROR(P43/G43)),"-",(VLOOKUP(L43,'APP 2885'!$B$10:$G$54,6)*$G43)/($P43+$N43))</f>
        <v>3.0622363103604782</v>
      </c>
      <c r="T43" s="12">
        <f t="shared" si="17"/>
        <v>0.51958502131181139</v>
      </c>
      <c r="U43" s="11">
        <f t="shared" si="18"/>
        <v>0.70463648845170834</v>
      </c>
      <c r="V43" s="37">
        <f>IF(OR($P43=0,ISERROR(P43/G43)),"-",(VLOOKUP(L43,'APP 2885'!$B$10:$G$54,4)*$G43)/($K43+$N43))</f>
        <v>2.414628776190384</v>
      </c>
      <c r="W43" s="2"/>
      <c r="X43" s="2"/>
    </row>
    <row r="44" spans="1:24" ht="15.75" thickBot="1" x14ac:dyDescent="0.3">
      <c r="A44" s="30" t="s">
        <v>53</v>
      </c>
      <c r="B44" s="30" t="s">
        <v>26</v>
      </c>
      <c r="C44" s="30" t="s">
        <v>54</v>
      </c>
      <c r="D44" s="27">
        <v>68</v>
      </c>
      <c r="E44" s="27">
        <v>68</v>
      </c>
      <c r="F44" s="29">
        <v>68.64</v>
      </c>
      <c r="G44" s="27">
        <f t="shared" si="11"/>
        <v>4667.5200000000004</v>
      </c>
      <c r="H44" s="25">
        <v>793.95</v>
      </c>
      <c r="I44" s="24">
        <f t="shared" si="1"/>
        <v>46.76022277585659</v>
      </c>
      <c r="J44" s="24">
        <f t="shared" si="12"/>
        <v>53988.600000000006</v>
      </c>
      <c r="K44" s="28">
        <f t="shared" si="13"/>
        <v>50808.904851241758</v>
      </c>
      <c r="L44" s="27">
        <v>20</v>
      </c>
      <c r="M44" s="27">
        <f t="shared" si="19"/>
        <v>66940.95050017364</v>
      </c>
      <c r="N44" s="26">
        <f t="shared" si="20"/>
        <v>16086.703544753072</v>
      </c>
      <c r="O44" s="25">
        <v>150</v>
      </c>
      <c r="P44" s="24">
        <f t="shared" si="14"/>
        <v>10200</v>
      </c>
      <c r="Q44" s="23">
        <f t="shared" si="15"/>
        <v>0.1523730978390207</v>
      </c>
      <c r="R44" s="23">
        <f t="shared" si="16"/>
        <v>0.39268494618529337</v>
      </c>
      <c r="S44" s="38">
        <f>IF(OR($P44=0,ISERROR(P44/G44)),"-",(VLOOKUP(L44,'APP 2885'!$B$10:$G$54,6)*$G44)/($P44+$N44))</f>
        <v>3.7536690498791674</v>
      </c>
      <c r="T44" s="22">
        <f t="shared" si="17"/>
        <v>0.75901080686193667</v>
      </c>
      <c r="U44" s="21">
        <f t="shared" si="18"/>
        <v>0.99932265520820929</v>
      </c>
      <c r="V44" s="38">
        <f>IF(OR($P44=0,ISERROR(P44/G44)),"-",(VLOOKUP(L44,'APP 2885'!$B$10:$G$54,4)*$G44)/($K44+$N44))</f>
        <v>1.3409167437446039</v>
      </c>
      <c r="W44" s="2"/>
      <c r="X44" s="2"/>
    </row>
    <row r="45" spans="1:24" ht="15.75" thickBot="1" x14ac:dyDescent="0.3">
      <c r="A45" s="20" t="s">
        <v>53</v>
      </c>
      <c r="B45" s="20" t="s">
        <v>26</v>
      </c>
      <c r="C45" s="20" t="s">
        <v>54</v>
      </c>
      <c r="D45" s="17">
        <v>45</v>
      </c>
      <c r="E45" s="17">
        <v>45</v>
      </c>
      <c r="F45" s="19">
        <v>27.72</v>
      </c>
      <c r="G45" s="17">
        <f t="shared" si="11"/>
        <v>1247.3999999999999</v>
      </c>
      <c r="H45" s="15">
        <v>793.95</v>
      </c>
      <c r="I45" s="14">
        <f t="shared" si="1"/>
        <v>24.523088973211518</v>
      </c>
      <c r="J45" s="14">
        <f t="shared" si="12"/>
        <v>35727.75</v>
      </c>
      <c r="K45" s="18">
        <f t="shared" si="13"/>
        <v>34624.210996205482</v>
      </c>
      <c r="L45" s="17">
        <v>30</v>
      </c>
      <c r="M45" s="17">
        <f t="shared" si="19"/>
        <v>23232.400079884595</v>
      </c>
      <c r="N45" s="16">
        <f t="shared" si="20"/>
        <v>4299.1897199637024</v>
      </c>
      <c r="O45" s="15">
        <v>150</v>
      </c>
      <c r="P45" s="14">
        <f t="shared" si="14"/>
        <v>6750</v>
      </c>
      <c r="Q45" s="13">
        <f t="shared" si="15"/>
        <v>0.29054251720830082</v>
      </c>
      <c r="R45" s="13">
        <f t="shared" si="16"/>
        <v>0.47559398434819777</v>
      </c>
      <c r="S45" s="37">
        <f>IF(OR($P45=0,ISERROR(P45/G45)),"-",(VLOOKUP(L45,'APP 2885'!$B$10:$G$54,6)*$G45)/($P45+$N45))</f>
        <v>3.9352455193712537</v>
      </c>
      <c r="T45" s="12">
        <f t="shared" si="17"/>
        <v>1.4903415435835363</v>
      </c>
      <c r="U45" s="11">
        <f t="shared" si="18"/>
        <v>1.6753930107234334</v>
      </c>
      <c r="V45" s="37">
        <f>IF(OR($P45=0,ISERROR(P45/G45)),"-",(VLOOKUP(L45,'APP 2885'!$B$10:$G$54,4)*$G45)/($K45+$N45))</f>
        <v>1.0155441325582228</v>
      </c>
      <c r="W45" s="2"/>
      <c r="X45" s="2"/>
    </row>
    <row r="46" spans="1:24" ht="15.75" thickBot="1" x14ac:dyDescent="0.3">
      <c r="A46" s="30" t="s">
        <v>53</v>
      </c>
      <c r="B46" s="30" t="s">
        <v>28</v>
      </c>
      <c r="C46" s="30" t="s">
        <v>54</v>
      </c>
      <c r="D46" s="27">
        <v>2</v>
      </c>
      <c r="E46" s="27">
        <v>2</v>
      </c>
      <c r="F46" s="29">
        <v>69.209999999999994</v>
      </c>
      <c r="G46" s="27">
        <f t="shared" si="11"/>
        <v>138.41999999999999</v>
      </c>
      <c r="H46" s="25">
        <v>793.95</v>
      </c>
      <c r="I46" s="24">
        <f t="shared" si="1"/>
        <v>47.148528821635111</v>
      </c>
      <c r="J46" s="24">
        <f t="shared" si="12"/>
        <v>1587.9</v>
      </c>
      <c r="K46" s="28">
        <f t="shared" si="13"/>
        <v>1493.60294235673</v>
      </c>
      <c r="L46" s="27">
        <v>20</v>
      </c>
      <c r="M46" s="27">
        <f t="shared" si="19"/>
        <v>1985.2012135425311</v>
      </c>
      <c r="N46" s="26">
        <f t="shared" si="20"/>
        <v>477.06737296566911</v>
      </c>
      <c r="O46" s="25">
        <v>150</v>
      </c>
      <c r="P46" s="24">
        <f t="shared" si="14"/>
        <v>300</v>
      </c>
      <c r="Q46" s="23">
        <f t="shared" si="15"/>
        <v>0.15111818285898543</v>
      </c>
      <c r="R46" s="23">
        <f t="shared" si="16"/>
        <v>0.3914300312052581</v>
      </c>
      <c r="S46" s="38">
        <f>IF(OR($P46=0,ISERROR(P46/G46)),"-",(VLOOKUP(L46,'APP 2885'!$B$10:$G$54,6)*$G46)/($P46+$N46))</f>
        <v>3.7657032198335871</v>
      </c>
      <c r="T46" s="22">
        <f t="shared" si="17"/>
        <v>0.75236854187260993</v>
      </c>
      <c r="U46" s="21">
        <f t="shared" si="18"/>
        <v>0.99268039021888266</v>
      </c>
      <c r="V46" s="38">
        <f>IF(OR($P46=0,ISERROR(P46/G46)),"-",(VLOOKUP(L46,'APP 2885'!$B$10:$G$54,4)*$G46)/($K46+$N46))</f>
        <v>1.3498891425431867</v>
      </c>
      <c r="W46" s="2"/>
      <c r="X46" s="2"/>
    </row>
    <row r="47" spans="1:24" ht="15.75" thickBot="1" x14ac:dyDescent="0.3">
      <c r="A47" s="20" t="s">
        <v>53</v>
      </c>
      <c r="B47" s="20" t="s">
        <v>28</v>
      </c>
      <c r="C47" s="20" t="s">
        <v>54</v>
      </c>
      <c r="D47" s="17">
        <v>7</v>
      </c>
      <c r="E47" s="17">
        <v>7</v>
      </c>
      <c r="F47" s="19">
        <v>27.72</v>
      </c>
      <c r="G47" s="17">
        <f t="shared" si="11"/>
        <v>194.04</v>
      </c>
      <c r="H47" s="15">
        <v>793.95</v>
      </c>
      <c r="I47" s="14">
        <f t="shared" si="1"/>
        <v>24.523088973211518</v>
      </c>
      <c r="J47" s="14">
        <f t="shared" si="12"/>
        <v>5557.6500000000005</v>
      </c>
      <c r="K47" s="18">
        <f t="shared" si="13"/>
        <v>5385.9883771875202</v>
      </c>
      <c r="L47" s="17">
        <v>30</v>
      </c>
      <c r="M47" s="17">
        <f t="shared" si="19"/>
        <v>3613.9289013153821</v>
      </c>
      <c r="N47" s="16">
        <f t="shared" si="20"/>
        <v>668.76284532768705</v>
      </c>
      <c r="O47" s="15">
        <v>150</v>
      </c>
      <c r="P47" s="14">
        <f t="shared" si="14"/>
        <v>1050</v>
      </c>
      <c r="Q47" s="13">
        <f t="shared" si="15"/>
        <v>0.29054251720830082</v>
      </c>
      <c r="R47" s="13">
        <f t="shared" si="16"/>
        <v>0.47559398434819766</v>
      </c>
      <c r="S47" s="37">
        <f>IF(OR($P47=0,ISERROR(P47/G47)),"-",(VLOOKUP(L47,'APP 2885'!$B$10:$G$54,6)*$G47)/($P47+$N47))</f>
        <v>3.9352455193712541</v>
      </c>
      <c r="T47" s="12">
        <f t="shared" si="17"/>
        <v>1.4903415435835363</v>
      </c>
      <c r="U47" s="11">
        <f t="shared" si="18"/>
        <v>1.6753930107234334</v>
      </c>
      <c r="V47" s="37">
        <f>IF(OR($P47=0,ISERROR(P47/G47)),"-",(VLOOKUP(L47,'APP 2885'!$B$10:$G$54,4)*$G47)/($K47+$N47))</f>
        <v>1.0155441325582228</v>
      </c>
      <c r="W47" s="2"/>
      <c r="X47" s="2"/>
    </row>
    <row r="48" spans="1:24" ht="15.75" thickBot="1" x14ac:dyDescent="0.3">
      <c r="A48" s="30" t="s">
        <v>53</v>
      </c>
      <c r="B48" s="30" t="s">
        <v>29</v>
      </c>
      <c r="C48" s="30" t="s">
        <v>54</v>
      </c>
      <c r="D48" s="27">
        <v>11</v>
      </c>
      <c r="E48" s="27">
        <v>11</v>
      </c>
      <c r="F48" s="29">
        <v>60.78</v>
      </c>
      <c r="G48" s="27">
        <f t="shared" si="11"/>
        <v>668.58</v>
      </c>
      <c r="H48" s="25">
        <v>793.95</v>
      </c>
      <c r="I48" s="24">
        <f t="shared" si="1"/>
        <v>41.40568677617371</v>
      </c>
      <c r="J48" s="24">
        <f t="shared" si="12"/>
        <v>8733.4500000000007</v>
      </c>
      <c r="K48" s="28">
        <f t="shared" si="13"/>
        <v>8277.9874454620895</v>
      </c>
      <c r="L48" s="27">
        <v>20</v>
      </c>
      <c r="M48" s="27">
        <f t="shared" si="19"/>
        <v>9588.6853586928592</v>
      </c>
      <c r="N48" s="26">
        <f t="shared" si="20"/>
        <v>2304.2747017583233</v>
      </c>
      <c r="O48" s="25">
        <v>150</v>
      </c>
      <c r="P48" s="24">
        <f t="shared" si="14"/>
        <v>1650</v>
      </c>
      <c r="Q48" s="23">
        <f t="shared" si="15"/>
        <v>0.17207781236706779</v>
      </c>
      <c r="R48" s="23">
        <f t="shared" si="16"/>
        <v>0.41238966071334043</v>
      </c>
      <c r="S48" s="38">
        <f>IF(OR($P48=0,ISERROR(P48/G48)),"-",(VLOOKUP(L48,'APP 2885'!$B$10:$G$54,6)*$G48)/($P48+$N48))</f>
        <v>3.5743120385208025</v>
      </c>
      <c r="T48" s="22">
        <f t="shared" si="17"/>
        <v>0.86330786085888989</v>
      </c>
      <c r="U48" s="21">
        <f t="shared" si="18"/>
        <v>1.1036197092051625</v>
      </c>
      <c r="V48" s="38">
        <f>IF(OR($P48=0,ISERROR(P48/G48)),"-",(VLOOKUP(L48,'APP 2885'!$B$10:$G$54,4)*$G48)/($K48+$N48))</f>
        <v>1.2141940467310888</v>
      </c>
      <c r="W48" s="2"/>
      <c r="X48" s="2"/>
    </row>
    <row r="49" spans="1:24" ht="15.75" thickBot="1" x14ac:dyDescent="0.3">
      <c r="A49" s="20" t="s">
        <v>53</v>
      </c>
      <c r="B49" s="20" t="s">
        <v>29</v>
      </c>
      <c r="C49" s="20" t="s">
        <v>54</v>
      </c>
      <c r="D49" s="17">
        <v>10</v>
      </c>
      <c r="E49" s="17">
        <v>10</v>
      </c>
      <c r="F49" s="19">
        <v>27.72</v>
      </c>
      <c r="G49" s="17">
        <f t="shared" si="11"/>
        <v>277.2</v>
      </c>
      <c r="H49" s="15">
        <v>793.95</v>
      </c>
      <c r="I49" s="14">
        <f t="shared" si="1"/>
        <v>24.523088973211518</v>
      </c>
      <c r="J49" s="14">
        <f t="shared" si="12"/>
        <v>7939.5</v>
      </c>
      <c r="K49" s="18">
        <f t="shared" si="13"/>
        <v>7694.2691102678846</v>
      </c>
      <c r="L49" s="17">
        <v>30</v>
      </c>
      <c r="M49" s="17">
        <f t="shared" si="19"/>
        <v>5162.7555733076888</v>
      </c>
      <c r="N49" s="16">
        <f t="shared" si="20"/>
        <v>955.37549332526726</v>
      </c>
      <c r="O49" s="15">
        <v>150</v>
      </c>
      <c r="P49" s="14">
        <f t="shared" si="14"/>
        <v>1500</v>
      </c>
      <c r="Q49" s="13">
        <f t="shared" si="15"/>
        <v>0.29054251720830082</v>
      </c>
      <c r="R49" s="13">
        <f t="shared" si="16"/>
        <v>0.47559398434819766</v>
      </c>
      <c r="S49" s="37">
        <f>IF(OR($P49=0,ISERROR(P49/G49)),"-",(VLOOKUP(L49,'APP 2885'!$B$10:$G$54,6)*$G49)/($P49+$N49))</f>
        <v>3.9352455193712541</v>
      </c>
      <c r="T49" s="12">
        <f t="shared" si="17"/>
        <v>1.4903415435835361</v>
      </c>
      <c r="U49" s="11">
        <f t="shared" si="18"/>
        <v>1.6753930107234329</v>
      </c>
      <c r="V49" s="37">
        <f>IF(OR($P49=0,ISERROR(P49/G49)),"-",(VLOOKUP(L49,'APP 2885'!$B$10:$G$54,4)*$G49)/($K49+$N49))</f>
        <v>1.0155441325582231</v>
      </c>
      <c r="W49" s="2"/>
      <c r="X49" s="2"/>
    </row>
    <row r="50" spans="1:24" ht="15.75" thickBot="1" x14ac:dyDescent="0.3">
      <c r="A50" s="30" t="s">
        <v>55</v>
      </c>
      <c r="B50" s="30" t="s">
        <v>29</v>
      </c>
      <c r="C50" s="30" t="s">
        <v>56</v>
      </c>
      <c r="D50" s="27">
        <v>22</v>
      </c>
      <c r="E50" s="27">
        <v>22</v>
      </c>
      <c r="F50" s="29">
        <v>205</v>
      </c>
      <c r="G50" s="27">
        <f t="shared" si="11"/>
        <v>4510</v>
      </c>
      <c r="H50" s="25">
        <v>1142</v>
      </c>
      <c r="I50" s="24">
        <f t="shared" si="1"/>
        <v>181.35762047288466</v>
      </c>
      <c r="J50" s="24">
        <f t="shared" si="12"/>
        <v>25124</v>
      </c>
      <c r="K50" s="28">
        <f t="shared" si="13"/>
        <v>21134.132349596537</v>
      </c>
      <c r="L50" s="27">
        <v>30</v>
      </c>
      <c r="M50" s="27">
        <f t="shared" si="19"/>
        <v>83997.213692704463</v>
      </c>
      <c r="N50" s="26">
        <f t="shared" si="20"/>
        <v>15543.807629498397</v>
      </c>
      <c r="O50" s="25">
        <v>2000</v>
      </c>
      <c r="P50" s="24">
        <f t="shared" si="14"/>
        <v>44000</v>
      </c>
      <c r="Q50" s="23">
        <f t="shared" si="15"/>
        <v>0.52382689931799009</v>
      </c>
      <c r="R50" s="23">
        <f t="shared" si="16"/>
        <v>0.70887836645788704</v>
      </c>
      <c r="S50" s="38">
        <f>IF(OR($P50=0,ISERROR(P50/G50)),"-",(VLOOKUP(L50,'APP 2885'!$B$10:$G$54,6)*$G50)/($P50+$N50))</f>
        <v>2.6401977892174169</v>
      </c>
      <c r="T50" s="22">
        <f t="shared" si="17"/>
        <v>0.25160515951057233</v>
      </c>
      <c r="U50" s="21">
        <f t="shared" si="18"/>
        <v>0.43665662665046923</v>
      </c>
      <c r="V50" s="38">
        <f>IF(OR($P50=0,ISERROR(P50/G50)),"-",(VLOOKUP(L50,'APP 2885'!$B$10:$G$54,4)*$G50)/($K50+$N50))</f>
        <v>3.8965068612852809</v>
      </c>
      <c r="W50" s="2"/>
      <c r="X50" s="2"/>
    </row>
    <row r="51" spans="1:24" ht="15.75" thickBot="1" x14ac:dyDescent="0.3">
      <c r="A51" s="20" t="s">
        <v>57</v>
      </c>
      <c r="B51" s="20" t="s">
        <v>26</v>
      </c>
      <c r="C51" s="20" t="s">
        <v>58</v>
      </c>
      <c r="D51" s="17">
        <v>22</v>
      </c>
      <c r="E51" s="17">
        <v>22</v>
      </c>
      <c r="F51" s="19">
        <v>7.7290000000000001</v>
      </c>
      <c r="G51" s="17">
        <f t="shared" si="11"/>
        <v>170.03800000000001</v>
      </c>
      <c r="H51" s="15">
        <v>61.41</v>
      </c>
      <c r="I51" s="14">
        <f>PV($B$119,$L51,(-0.05*0.95*$F51))+PV($B$119,$L51,(-2*(1800/1000)))</f>
        <v>43.615168390285781</v>
      </c>
      <c r="J51" s="14">
        <f t="shared" si="12"/>
        <v>1351.02</v>
      </c>
      <c r="K51" s="18">
        <f t="shared" si="13"/>
        <v>391.48629541371281</v>
      </c>
      <c r="L51" s="17">
        <v>14</v>
      </c>
      <c r="M51" s="17">
        <f t="shared" si="19"/>
        <v>1869.4221455568074</v>
      </c>
      <c r="N51" s="16">
        <f t="shared" si="20"/>
        <v>586.03945935801516</v>
      </c>
      <c r="O51" s="15">
        <v>50</v>
      </c>
      <c r="P51" s="14">
        <f t="shared" si="14"/>
        <v>1100</v>
      </c>
      <c r="Q51" s="13">
        <f t="shared" si="15"/>
        <v>0.58841712269989455</v>
      </c>
      <c r="R51" s="13">
        <f t="shared" si="16"/>
        <v>0.90190407948538998</v>
      </c>
      <c r="S51" s="37">
        <f>IF(OR($P51=0,ISERROR(P51/G51)),"-",(VLOOKUP(L51,'APP 2885'!$B$10:$G$54,6)*$G51)/($P51+$N51))</f>
        <v>1.4212438963755052</v>
      </c>
      <c r="T51" s="12">
        <f t="shared" si="17"/>
        <v>0.20941567229434346</v>
      </c>
      <c r="U51" s="11">
        <f t="shared" si="18"/>
        <v>0.52290262907983898</v>
      </c>
      <c r="V51" s="37">
        <f>IF(OR($P51=0,ISERROR(P51/G51)),"-",(VLOOKUP(L51,'APP 2885'!$B$10:$G$54,4)*$G51)/($K51+$N51))</f>
        <v>2.2285144443542819</v>
      </c>
      <c r="W51" s="2"/>
      <c r="X51" s="2"/>
    </row>
    <row r="52" spans="1:24" ht="15.75" thickBot="1" x14ac:dyDescent="0.3">
      <c r="A52" s="30" t="s">
        <v>57</v>
      </c>
      <c r="B52" s="30" t="s">
        <v>28</v>
      </c>
      <c r="C52" s="30" t="s">
        <v>58</v>
      </c>
      <c r="D52" s="27">
        <v>7</v>
      </c>
      <c r="E52" s="27">
        <v>7</v>
      </c>
      <c r="F52" s="29">
        <v>7.7290000000000001</v>
      </c>
      <c r="G52" s="27">
        <f t="shared" si="11"/>
        <v>54.103000000000002</v>
      </c>
      <c r="H52" s="25">
        <v>61.41</v>
      </c>
      <c r="I52" s="24">
        <f>PV($B$119,$L52,(-0.05*0.95*$F52))+PV($B$119,$L52,(-2*(1800/1000)))</f>
        <v>43.615168390285781</v>
      </c>
      <c r="J52" s="24">
        <f t="shared" si="12"/>
        <v>429.87</v>
      </c>
      <c r="K52" s="28">
        <f t="shared" si="13"/>
        <v>124.56382126799951</v>
      </c>
      <c r="L52" s="27">
        <v>14</v>
      </c>
      <c r="M52" s="27">
        <f t="shared" si="19"/>
        <v>594.81613722262057</v>
      </c>
      <c r="N52" s="26">
        <f t="shared" si="20"/>
        <v>186.467100704823</v>
      </c>
      <c r="O52" s="25">
        <v>50</v>
      </c>
      <c r="P52" s="24">
        <f t="shared" si="14"/>
        <v>350</v>
      </c>
      <c r="Q52" s="23">
        <f t="shared" si="15"/>
        <v>0.58841712269989443</v>
      </c>
      <c r="R52" s="23">
        <f t="shared" si="16"/>
        <v>0.90190407948538998</v>
      </c>
      <c r="S52" s="38">
        <f>IF(OR($P52=0,ISERROR(P52/G52)),"-",(VLOOKUP(L52,'APP 2885'!$B$10:$G$54,6)*$G52)/($P52+$N52))</f>
        <v>1.4212438963755052</v>
      </c>
      <c r="T52" s="22">
        <f t="shared" si="17"/>
        <v>0.20941567229434341</v>
      </c>
      <c r="U52" s="21">
        <f t="shared" si="18"/>
        <v>0.52290262907983887</v>
      </c>
      <c r="V52" s="38">
        <f>IF(OR($P52=0,ISERROR(P52/G52)),"-",(VLOOKUP(L52,'APP 2885'!$B$10:$G$54,4)*$G52)/($K52+$N52))</f>
        <v>2.2285144443542819</v>
      </c>
      <c r="W52" s="2"/>
      <c r="X52" s="2"/>
    </row>
    <row r="53" spans="1:24" ht="15.75" thickBot="1" x14ac:dyDescent="0.3">
      <c r="A53" s="20" t="s">
        <v>57</v>
      </c>
      <c r="B53" s="20" t="s">
        <v>29</v>
      </c>
      <c r="C53" s="20" t="s">
        <v>58</v>
      </c>
      <c r="D53" s="17">
        <v>9</v>
      </c>
      <c r="E53" s="17">
        <v>9</v>
      </c>
      <c r="F53" s="19">
        <v>7.7290000000000001</v>
      </c>
      <c r="G53" s="17">
        <f t="shared" si="11"/>
        <v>69.561000000000007</v>
      </c>
      <c r="H53" s="15">
        <v>61.41</v>
      </c>
      <c r="I53" s="14">
        <f>PV($B$119,$L53,(-0.05*0.95*$F53))+PV($B$119,$L53,(-2*(1800/1000)))</f>
        <v>43.615168390285781</v>
      </c>
      <c r="J53" s="14">
        <f t="shared" si="12"/>
        <v>552.68999999999994</v>
      </c>
      <c r="K53" s="18">
        <f t="shared" si="13"/>
        <v>160.15348448742793</v>
      </c>
      <c r="L53" s="17">
        <v>14</v>
      </c>
      <c r="M53" s="17">
        <f t="shared" si="19"/>
        <v>764.76360500051214</v>
      </c>
      <c r="N53" s="16">
        <f t="shared" si="20"/>
        <v>239.74341519191529</v>
      </c>
      <c r="O53" s="15">
        <v>50</v>
      </c>
      <c r="P53" s="14">
        <f t="shared" si="14"/>
        <v>450</v>
      </c>
      <c r="Q53" s="13">
        <f t="shared" si="15"/>
        <v>0.58841712269989455</v>
      </c>
      <c r="R53" s="13">
        <f t="shared" si="16"/>
        <v>0.90190407948539009</v>
      </c>
      <c r="S53" s="37">
        <f>IF(OR($P53=0,ISERROR(P53/G53)),"-",(VLOOKUP(L53,'APP 2885'!$B$10:$G$54,6)*$G53)/($P53+$N53))</f>
        <v>1.4212438963755052</v>
      </c>
      <c r="T53" s="12">
        <f t="shared" si="17"/>
        <v>0.20941567229434341</v>
      </c>
      <c r="U53" s="11">
        <f t="shared" si="18"/>
        <v>0.52290262907983887</v>
      </c>
      <c r="V53" s="37">
        <f>IF(OR($P53=0,ISERROR(P53/G53)),"-",(VLOOKUP(L53,'APP 2885'!$B$10:$G$54,4)*$G53)/($K53+$N53))</f>
        <v>2.2285144443542824</v>
      </c>
      <c r="W53" s="2"/>
      <c r="X53" s="2"/>
    </row>
    <row r="54" spans="1:24" ht="15.75" thickBot="1" x14ac:dyDescent="0.3">
      <c r="A54" s="30" t="s">
        <v>59</v>
      </c>
      <c r="B54" s="30" t="s">
        <v>26</v>
      </c>
      <c r="C54" s="30" t="s">
        <v>59</v>
      </c>
      <c r="D54" s="27">
        <v>117</v>
      </c>
      <c r="E54" s="27">
        <v>117</v>
      </c>
      <c r="F54" s="29">
        <v>34.197000000000003</v>
      </c>
      <c r="G54" s="27">
        <f t="shared" si="11"/>
        <v>4001.0490000000004</v>
      </c>
      <c r="H54" s="25">
        <v>264.41000000000003</v>
      </c>
      <c r="I54" s="24">
        <f t="shared" ref="I54:I85" si="21">PV($B$119,$L54,(-0.05*0.95*$F54))</f>
        <v>7.3548764128740167</v>
      </c>
      <c r="J54" s="24">
        <f t="shared" si="12"/>
        <v>30935.97</v>
      </c>
      <c r="K54" s="28">
        <f t="shared" si="13"/>
        <v>30075.44945969374</v>
      </c>
      <c r="L54" s="27">
        <v>5</v>
      </c>
      <c r="M54" s="27">
        <f t="shared" si="19"/>
        <v>18116.221901184421</v>
      </c>
      <c r="N54" s="26">
        <f t="shared" si="20"/>
        <v>13789.697554810849</v>
      </c>
      <c r="O54" s="25">
        <v>75</v>
      </c>
      <c r="P54" s="24">
        <f t="shared" si="14"/>
        <v>8775</v>
      </c>
      <c r="Q54" s="23">
        <f t="shared" si="15"/>
        <v>0.48437251695544198</v>
      </c>
      <c r="R54" s="23">
        <f t="shared" si="16"/>
        <v>1.2455520625597765</v>
      </c>
      <c r="S54" s="38">
        <f>IF(OR($P54=0,ISERROR(P54/G54)),"-",(VLOOKUP(L54,'APP 2885'!$B$10:$G$54,6)*$G54)/($P54+$N54))</f>
        <v>0.83063019605471089</v>
      </c>
      <c r="T54" s="22">
        <f t="shared" si="17"/>
        <v>1.6601391627758455</v>
      </c>
      <c r="U54" s="21">
        <f t="shared" si="18"/>
        <v>2.4213187083801802</v>
      </c>
      <c r="V54" s="38">
        <f>IF(OR($P54=0,ISERROR(P54/G54)),"-",(VLOOKUP(L54,'APP 2885'!$B$10:$G$54,4)*$G54)/($K54+$N54))</f>
        <v>0.3884409051900114</v>
      </c>
      <c r="W54" s="2"/>
      <c r="X54" s="2"/>
    </row>
    <row r="55" spans="1:24" ht="15.75" thickBot="1" x14ac:dyDescent="0.3">
      <c r="A55" s="20" t="s">
        <v>59</v>
      </c>
      <c r="B55" s="20" t="s">
        <v>28</v>
      </c>
      <c r="C55" s="20" t="s">
        <v>59</v>
      </c>
      <c r="D55" s="17">
        <v>37</v>
      </c>
      <c r="E55" s="17">
        <v>37</v>
      </c>
      <c r="F55" s="19">
        <v>34.506</v>
      </c>
      <c r="G55" s="17">
        <f t="shared" si="11"/>
        <v>1276.722</v>
      </c>
      <c r="H55" s="15">
        <v>264.41000000000003</v>
      </c>
      <c r="I55" s="14">
        <f t="shared" si="21"/>
        <v>7.4213341960590355</v>
      </c>
      <c r="J55" s="14">
        <f t="shared" si="12"/>
        <v>9783.17</v>
      </c>
      <c r="K55" s="18">
        <f t="shared" si="13"/>
        <v>9508.5806347458165</v>
      </c>
      <c r="L55" s="17">
        <v>5</v>
      </c>
      <c r="M55" s="17">
        <f t="shared" si="19"/>
        <v>5780.8287421933528</v>
      </c>
      <c r="N55" s="16">
        <f t="shared" si="20"/>
        <v>4400.248595199213</v>
      </c>
      <c r="O55" s="15">
        <v>75</v>
      </c>
      <c r="P55" s="14">
        <f t="shared" si="14"/>
        <v>2775</v>
      </c>
      <c r="Q55" s="13">
        <f t="shared" si="15"/>
        <v>0.48003497833203651</v>
      </c>
      <c r="R55" s="13">
        <f t="shared" si="16"/>
        <v>1.241214523936371</v>
      </c>
      <c r="S55" s="37">
        <f>IF(OR($P55=0,ISERROR(P55/G55)),"-",(VLOOKUP(L55,'APP 2885'!$B$10:$G$54,6)*$G55)/($P55+$N55))</f>
        <v>0.83353290987869022</v>
      </c>
      <c r="T55" s="12">
        <f t="shared" si="17"/>
        <v>1.6448473149436504</v>
      </c>
      <c r="U55" s="11">
        <f t="shared" si="18"/>
        <v>2.4060268605479851</v>
      </c>
      <c r="V55" s="37">
        <f>IF(OR($P55=0,ISERROR(P55/G55)),"-",(VLOOKUP(L55,'APP 2885'!$B$10:$G$54,4)*$G55)/($K55+$N55))</f>
        <v>0.3909096969193826</v>
      </c>
      <c r="W55" s="2"/>
      <c r="X55" s="2"/>
    </row>
    <row r="56" spans="1:24" ht="15.75" thickBot="1" x14ac:dyDescent="0.3">
      <c r="A56" s="30" t="s">
        <v>59</v>
      </c>
      <c r="B56" s="30" t="s">
        <v>29</v>
      </c>
      <c r="C56" s="30" t="s">
        <v>59</v>
      </c>
      <c r="D56" s="27">
        <v>103</v>
      </c>
      <c r="E56" s="27">
        <v>105</v>
      </c>
      <c r="F56" s="29">
        <v>30.364999999999998</v>
      </c>
      <c r="G56" s="27">
        <f t="shared" si="11"/>
        <v>3188.3249999999998</v>
      </c>
      <c r="H56" s="25">
        <v>264.41000000000003</v>
      </c>
      <c r="I56" s="24">
        <f t="shared" si="21"/>
        <v>6.5307138718869933</v>
      </c>
      <c r="J56" s="24">
        <f t="shared" si="12"/>
        <v>27763.050000000003</v>
      </c>
      <c r="K56" s="28">
        <f t="shared" si="13"/>
        <v>27090.386471195641</v>
      </c>
      <c r="L56" s="27">
        <v>5</v>
      </c>
      <c r="M56" s="27">
        <f t="shared" si="19"/>
        <v>14436.314874697564</v>
      </c>
      <c r="N56" s="26">
        <f t="shared" si="20"/>
        <v>10988.627596523385</v>
      </c>
      <c r="O56" s="25">
        <v>75</v>
      </c>
      <c r="P56" s="24">
        <f t="shared" si="14"/>
        <v>7875</v>
      </c>
      <c r="Q56" s="23">
        <f t="shared" si="15"/>
        <v>0.54549932363988973</v>
      </c>
      <c r="R56" s="23">
        <f t="shared" si="16"/>
        <v>1.3066788692442242</v>
      </c>
      <c r="S56" s="38">
        <f>IF(OR($P56=0,ISERROR(P56/G56)),"-",(VLOOKUP(L56,'APP 2885'!$B$10:$G$54,6)*$G56)/($P56+$N56))</f>
        <v>0.79177308080200259</v>
      </c>
      <c r="T56" s="22">
        <f t="shared" si="17"/>
        <v>1.8765444440864052</v>
      </c>
      <c r="U56" s="21">
        <f t="shared" si="18"/>
        <v>2.6377239896907398</v>
      </c>
      <c r="V56" s="38">
        <f>IF(OR($P56=0,ISERROR(P56/G56)),"-",(VLOOKUP(L56,'APP 2885'!$B$10:$G$54,4)*$G56)/($K56+$N56))</f>
        <v>0.35657227007552827</v>
      </c>
      <c r="W56" s="2"/>
      <c r="X56" s="2"/>
    </row>
    <row r="57" spans="1:24" ht="15.75" thickBot="1" x14ac:dyDescent="0.3">
      <c r="A57" s="20" t="s">
        <v>60</v>
      </c>
      <c r="B57" s="20" t="s">
        <v>26</v>
      </c>
      <c r="C57" s="20" t="s">
        <v>61</v>
      </c>
      <c r="D57" s="17">
        <v>182</v>
      </c>
      <c r="E57" s="17">
        <v>240467.46</v>
      </c>
      <c r="F57" s="19">
        <v>0.03</v>
      </c>
      <c r="G57" s="17">
        <f t="shared" si="11"/>
        <v>7214.0237999999999</v>
      </c>
      <c r="H57" s="15">
        <v>1.08</v>
      </c>
      <c r="I57" s="14">
        <f t="shared" si="21"/>
        <v>3.2602578802629997E-2</v>
      </c>
      <c r="J57" s="14">
        <f t="shared" si="12"/>
        <v>259704.85680000001</v>
      </c>
      <c r="K57" s="18">
        <f t="shared" si="13"/>
        <v>259698.92313065793</v>
      </c>
      <c r="L57" s="17">
        <v>45</v>
      </c>
      <c r="M57" s="17">
        <f t="shared" si="19"/>
        <v>165049.66977091107</v>
      </c>
      <c r="N57" s="16">
        <f t="shared" si="20"/>
        <v>24863.281193308871</v>
      </c>
      <c r="O57" s="15">
        <v>1.25</v>
      </c>
      <c r="P57" s="14">
        <f t="shared" si="14"/>
        <v>300584.32500000001</v>
      </c>
      <c r="Q57" s="13">
        <f t="shared" si="15"/>
        <v>1.8211749554980088</v>
      </c>
      <c r="R57" s="13">
        <f t="shared" si="16"/>
        <v>1.9718161608261933</v>
      </c>
      <c r="S57" s="37">
        <f>IF(OR($P57=0,ISERROR(P57/G57)),"-",(VLOOKUP(L57,'APP 2885'!$B$10:$G$54,6)*$G57)/($P57+$N57))</f>
        <v>1.3580647918640127</v>
      </c>
      <c r="T57" s="12">
        <f t="shared" si="17"/>
        <v>1.5734592107401366</v>
      </c>
      <c r="U57" s="11">
        <f t="shared" si="18"/>
        <v>1.7241004160683213</v>
      </c>
      <c r="V57" s="37">
        <f>IF(OR($P57=0,ISERROR(P57/G57)),"-",(VLOOKUP(L57,'APP 2885'!$B$10:$G$54,4)*$G57)/($K57+$N57))</f>
        <v>1.4119901597216491</v>
      </c>
      <c r="W57" s="2"/>
      <c r="X57" s="2"/>
    </row>
    <row r="58" spans="1:24" ht="15.75" thickBot="1" x14ac:dyDescent="0.3">
      <c r="A58" s="30" t="s">
        <v>60</v>
      </c>
      <c r="B58" s="30" t="s">
        <v>26</v>
      </c>
      <c r="C58" s="30" t="s">
        <v>61</v>
      </c>
      <c r="D58" s="27">
        <v>135</v>
      </c>
      <c r="E58" s="27">
        <v>187225</v>
      </c>
      <c r="F58" s="29">
        <v>5.6000000000000001E-2</v>
      </c>
      <c r="G58" s="27">
        <f t="shared" si="11"/>
        <v>10484.6</v>
      </c>
      <c r="H58" s="25">
        <v>1.08</v>
      </c>
      <c r="I58" s="24">
        <f t="shared" si="21"/>
        <v>6.0858147098242658E-2</v>
      </c>
      <c r="J58" s="24">
        <f t="shared" si="12"/>
        <v>202203</v>
      </c>
      <c r="K58" s="28">
        <f t="shared" si="13"/>
        <v>202194.78415014173</v>
      </c>
      <c r="L58" s="27">
        <v>45</v>
      </c>
      <c r="M58" s="27">
        <f t="shared" si="19"/>
        <v>239877.19137828381</v>
      </c>
      <c r="N58" s="26">
        <f t="shared" si="20"/>
        <v>36135.389239964272</v>
      </c>
      <c r="O58" s="25">
        <v>0.75</v>
      </c>
      <c r="P58" s="24">
        <f t="shared" si="14"/>
        <v>140418.75</v>
      </c>
      <c r="Q58" s="23">
        <f t="shared" si="15"/>
        <v>0.58537766426721705</v>
      </c>
      <c r="R58" s="23">
        <f t="shared" si="16"/>
        <v>0.73601886959540164</v>
      </c>
      <c r="S58" s="38">
        <f>IF(OR($P58=0,ISERROR(P58/G58)),"-",(VLOOKUP(L58,'APP 2885'!$B$10:$G$54,6)*$G58)/($P58+$N58))</f>
        <v>3.6382954495698856</v>
      </c>
      <c r="T58" s="22">
        <f t="shared" si="17"/>
        <v>0.84290958631111645</v>
      </c>
      <c r="U58" s="21">
        <f t="shared" si="18"/>
        <v>0.99355079163930105</v>
      </c>
      <c r="V58" s="38">
        <f>IF(OR($P58=0,ISERROR(P58/G58)),"-",(VLOOKUP(L58,'APP 2885'!$B$10:$G$54,4)*$G58)/($K58+$N58))</f>
        <v>2.4502147674240495</v>
      </c>
      <c r="W58" s="2"/>
      <c r="X58" s="2"/>
    </row>
    <row r="59" spans="1:24" ht="15.75" thickBot="1" x14ac:dyDescent="0.3">
      <c r="A59" s="20" t="s">
        <v>60</v>
      </c>
      <c r="B59" s="20" t="s">
        <v>28</v>
      </c>
      <c r="C59" s="20" t="s">
        <v>61</v>
      </c>
      <c r="D59" s="17">
        <v>9</v>
      </c>
      <c r="E59" s="17">
        <v>11985</v>
      </c>
      <c r="F59" s="19">
        <v>0.04</v>
      </c>
      <c r="G59" s="17">
        <f t="shared" si="11"/>
        <v>479.40000000000003</v>
      </c>
      <c r="H59" s="15">
        <v>1.08</v>
      </c>
      <c r="I59" s="14">
        <f t="shared" si="21"/>
        <v>4.3470105070173327E-2</v>
      </c>
      <c r="J59" s="14">
        <f t="shared" si="12"/>
        <v>12943.800000000001</v>
      </c>
      <c r="K59" s="18">
        <f t="shared" si="13"/>
        <v>12943.408769054369</v>
      </c>
      <c r="L59" s="17">
        <v>45</v>
      </c>
      <c r="M59" s="17">
        <f t="shared" si="19"/>
        <v>10968.193879284787</v>
      </c>
      <c r="N59" s="16">
        <f t="shared" si="20"/>
        <v>1652.2619462486764</v>
      </c>
      <c r="O59" s="15">
        <v>1.25</v>
      </c>
      <c r="P59" s="14">
        <f t="shared" si="14"/>
        <v>14981.25</v>
      </c>
      <c r="Q59" s="13">
        <f t="shared" si="15"/>
        <v>1.3658812166235064</v>
      </c>
      <c r="R59" s="13">
        <f t="shared" si="16"/>
        <v>1.5165224219516908</v>
      </c>
      <c r="S59" s="37">
        <f>IF(OR($P59=0,ISERROR(P59/G59)),"-",(VLOOKUP(L59,'APP 2885'!$B$10:$G$54,6)*$G59)/($P59+$N59))</f>
        <v>1.7657860281421043</v>
      </c>
      <c r="T59" s="12">
        <f t="shared" si="17"/>
        <v>1.1800857015757258</v>
      </c>
      <c r="U59" s="11">
        <f t="shared" si="18"/>
        <v>1.3307269069039103</v>
      </c>
      <c r="V59" s="37">
        <f>IF(OR($P59=0,ISERROR(P59/G59)),"-",(VLOOKUP(L59,'APP 2885'!$B$10:$G$54,4)*$G59)/($K59+$N59))</f>
        <v>1.8293857358940855</v>
      </c>
      <c r="W59" s="2"/>
      <c r="X59" s="2"/>
    </row>
    <row r="60" spans="1:24" ht="15.75" thickBot="1" x14ac:dyDescent="0.3">
      <c r="A60" s="30" t="s">
        <v>60</v>
      </c>
      <c r="B60" s="30" t="s">
        <v>28</v>
      </c>
      <c r="C60" s="30" t="s">
        <v>61</v>
      </c>
      <c r="D60" s="27">
        <v>29</v>
      </c>
      <c r="E60" s="27">
        <v>31970</v>
      </c>
      <c r="F60" s="29">
        <v>5.3999999999999999E-2</v>
      </c>
      <c r="G60" s="27">
        <f t="shared" si="11"/>
        <v>1726.3799999999999</v>
      </c>
      <c r="H60" s="25">
        <v>1.08</v>
      </c>
      <c r="I60" s="24">
        <f t="shared" si="21"/>
        <v>5.8684641844733994E-2</v>
      </c>
      <c r="J60" s="24">
        <f t="shared" si="12"/>
        <v>34527.600000000006</v>
      </c>
      <c r="K60" s="28">
        <f t="shared" si="13"/>
        <v>34525.898145386505</v>
      </c>
      <c r="L60" s="27">
        <v>45</v>
      </c>
      <c r="M60" s="27">
        <f t="shared" si="19"/>
        <v>39497.852626866224</v>
      </c>
      <c r="N60" s="26">
        <f t="shared" si="20"/>
        <v>5950.0041275861286</v>
      </c>
      <c r="O60" s="25">
        <v>0.75</v>
      </c>
      <c r="P60" s="24">
        <f t="shared" si="14"/>
        <v>23977.5</v>
      </c>
      <c r="Q60" s="23">
        <f t="shared" si="15"/>
        <v>0.60705831849933622</v>
      </c>
      <c r="R60" s="23">
        <f t="shared" si="16"/>
        <v>0.75769952382752082</v>
      </c>
      <c r="S60" s="38">
        <f>IF(OR($P60=0,ISERROR(P60/G60)),"-",(VLOOKUP(L60,'APP 2885'!$B$10:$G$54,6)*$G60)/($P60+$N60))</f>
        <v>3.534190031583146</v>
      </c>
      <c r="T60" s="22">
        <f t="shared" si="17"/>
        <v>0.87412089136972926</v>
      </c>
      <c r="U60" s="21">
        <f t="shared" si="18"/>
        <v>1.0247620966979138</v>
      </c>
      <c r="V60" s="38">
        <f>IF(OR($P60=0,ISERROR(P60/G60)),"-",(VLOOKUP(L60,'APP 2885'!$B$10:$G$54,4)*$G60)/($K60+$N60))</f>
        <v>2.3755882752737123</v>
      </c>
      <c r="W60" s="2"/>
      <c r="X60" s="2"/>
    </row>
    <row r="61" spans="1:24" ht="15.75" thickBot="1" x14ac:dyDescent="0.3">
      <c r="A61" s="20" t="s">
        <v>60</v>
      </c>
      <c r="B61" s="20" t="s">
        <v>29</v>
      </c>
      <c r="C61" s="20" t="s">
        <v>61</v>
      </c>
      <c r="D61" s="17">
        <v>26</v>
      </c>
      <c r="E61" s="17">
        <v>27055</v>
      </c>
      <c r="F61" s="19">
        <v>0.04</v>
      </c>
      <c r="G61" s="17">
        <f t="shared" si="11"/>
        <v>1082.2</v>
      </c>
      <c r="H61" s="15">
        <v>1.08</v>
      </c>
      <c r="I61" s="14">
        <f t="shared" si="21"/>
        <v>4.3470105070173327E-2</v>
      </c>
      <c r="J61" s="14">
        <f t="shared" si="12"/>
        <v>29219.4</v>
      </c>
      <c r="K61" s="18">
        <f t="shared" si="13"/>
        <v>29218.269777268179</v>
      </c>
      <c r="L61" s="17">
        <v>45</v>
      </c>
      <c r="M61" s="17">
        <f t="shared" si="19"/>
        <v>24759.65668786399</v>
      </c>
      <c r="N61" s="16">
        <f t="shared" si="20"/>
        <v>3729.8245269718768</v>
      </c>
      <c r="O61" s="15">
        <v>1.25</v>
      </c>
      <c r="P61" s="14">
        <f t="shared" si="14"/>
        <v>33818.75</v>
      </c>
      <c r="Q61" s="13">
        <f t="shared" si="15"/>
        <v>1.3658812166235064</v>
      </c>
      <c r="R61" s="13">
        <f t="shared" si="16"/>
        <v>1.5165224219516908</v>
      </c>
      <c r="S61" s="37">
        <f>IF(OR($P61=0,ISERROR(P61/G61)),"-",(VLOOKUP(L61,'APP 2885'!$B$10:$G$54,6)*$G61)/($P61+$N61))</f>
        <v>1.7657860281421045</v>
      </c>
      <c r="T61" s="12">
        <f t="shared" si="17"/>
        <v>1.1800757234081356</v>
      </c>
      <c r="U61" s="11">
        <f t="shared" si="18"/>
        <v>1.3307169287363201</v>
      </c>
      <c r="V61" s="37">
        <f>IF(OR($P61=0,ISERROR(P61/G61)),"-",(VLOOKUP(L61,'APP 2885'!$B$10:$G$54,4)*$G61)/($K61+$N61))</f>
        <v>1.8293994532497948</v>
      </c>
      <c r="W61" s="2"/>
      <c r="X61" s="2"/>
    </row>
    <row r="62" spans="1:24" ht="15.75" thickBot="1" x14ac:dyDescent="0.3">
      <c r="A62" s="30" t="s">
        <v>60</v>
      </c>
      <c r="B62" s="30" t="s">
        <v>29</v>
      </c>
      <c r="C62" s="30" t="s">
        <v>61</v>
      </c>
      <c r="D62" s="27">
        <v>18</v>
      </c>
      <c r="E62" s="27">
        <v>15772</v>
      </c>
      <c r="F62" s="29">
        <v>5.8999999999999997E-2</v>
      </c>
      <c r="G62" s="27">
        <f t="shared" si="11"/>
        <v>930.548</v>
      </c>
      <c r="H62" s="25">
        <v>1.08</v>
      </c>
      <c r="I62" s="24">
        <f t="shared" si="21"/>
        <v>6.4118404978505655E-2</v>
      </c>
      <c r="J62" s="24">
        <f t="shared" si="12"/>
        <v>17033.760000000002</v>
      </c>
      <c r="K62" s="28">
        <f t="shared" si="13"/>
        <v>17032.60586871039</v>
      </c>
      <c r="L62" s="27">
        <v>45</v>
      </c>
      <c r="M62" s="27">
        <f t="shared" si="19"/>
        <v>21290.010175178762</v>
      </c>
      <c r="N62" s="26">
        <f t="shared" si="20"/>
        <v>3207.1527942382422</v>
      </c>
      <c r="O62" s="25">
        <v>0.75</v>
      </c>
      <c r="P62" s="24">
        <f t="shared" si="14"/>
        <v>11829</v>
      </c>
      <c r="Q62" s="23">
        <f t="shared" si="15"/>
        <v>0.55561269828752802</v>
      </c>
      <c r="R62" s="23">
        <f t="shared" si="16"/>
        <v>0.70625390361571261</v>
      </c>
      <c r="S62" s="38">
        <f>IF(OR($P62=0,ISERROR(P62/G62)),"-",(VLOOKUP(L62,'APP 2885'!$B$10:$G$54,6)*$G62)/($P62+$N62))</f>
        <v>3.7916308714713978</v>
      </c>
      <c r="T62" s="22">
        <f t="shared" si="17"/>
        <v>0.80002807554164901</v>
      </c>
      <c r="U62" s="21">
        <f t="shared" si="18"/>
        <v>0.95066928086983349</v>
      </c>
      <c r="V62" s="38">
        <f>IF(OR($P62=0,ISERROR(P62/G62)),"-",(VLOOKUP(L62,'APP 2885'!$B$10:$G$54,4)*$G62)/($K62+$N62))</f>
        <v>2.5607357583207659</v>
      </c>
      <c r="W62" s="2"/>
      <c r="X62" s="2"/>
    </row>
    <row r="63" spans="1:24" ht="26.25" thickBot="1" x14ac:dyDescent="0.3">
      <c r="A63" s="20" t="s">
        <v>62</v>
      </c>
      <c r="B63" s="20" t="s">
        <v>26</v>
      </c>
      <c r="C63" s="20" t="s">
        <v>63</v>
      </c>
      <c r="D63" s="17">
        <v>9</v>
      </c>
      <c r="E63" s="17">
        <v>9</v>
      </c>
      <c r="F63" s="19">
        <v>148.97</v>
      </c>
      <c r="G63" s="17">
        <f t="shared" si="11"/>
        <v>1340.73</v>
      </c>
      <c r="H63" s="15">
        <v>5190.57</v>
      </c>
      <c r="I63" s="14">
        <f t="shared" si="21"/>
        <v>104.99052290479405</v>
      </c>
      <c r="J63" s="14">
        <f t="shared" si="12"/>
        <v>46715.13</v>
      </c>
      <c r="K63" s="18">
        <f t="shared" si="13"/>
        <v>45770.215293856854</v>
      </c>
      <c r="L63" s="17">
        <v>21</v>
      </c>
      <c r="M63" s="17">
        <f t="shared" si="19"/>
        <v>19892.941181960974</v>
      </c>
      <c r="N63" s="16">
        <f t="shared" si="20"/>
        <v>4620.8534818397748</v>
      </c>
      <c r="O63" s="15">
        <v>1500</v>
      </c>
      <c r="P63" s="14">
        <f t="shared" si="14"/>
        <v>13500</v>
      </c>
      <c r="Q63" s="13">
        <f t="shared" si="15"/>
        <v>0.6786326806335643</v>
      </c>
      <c r="R63" s="13">
        <f t="shared" si="16"/>
        <v>0.91091876842585062</v>
      </c>
      <c r="S63" s="37">
        <f>IF(OR($P63=0,ISERROR(P63/G63)),"-",(VLOOKUP(L63,'APP 2885'!$B$10:$G$54,6)*$G63)/($P63+$N63))</f>
        <v>1.6568049133209672</v>
      </c>
      <c r="T63" s="12">
        <f t="shared" si="17"/>
        <v>2.300826955410773</v>
      </c>
      <c r="U63" s="11">
        <f t="shared" si="18"/>
        <v>2.5331130432030595</v>
      </c>
      <c r="V63" s="37">
        <f>IF(OR($P63=0,ISERROR(P63/G63)),"-",(VLOOKUP(L63,'APP 2885'!$B$10:$G$54,4)*$G63)/($K63+$N63))</f>
        <v>0.54163131775160445</v>
      </c>
      <c r="W63" s="2"/>
      <c r="X63" s="2"/>
    </row>
    <row r="64" spans="1:24" ht="26.25" thickBot="1" x14ac:dyDescent="0.3">
      <c r="A64" s="30" t="s">
        <v>62</v>
      </c>
      <c r="B64" s="30" t="s">
        <v>26</v>
      </c>
      <c r="C64" s="30" t="s">
        <v>63</v>
      </c>
      <c r="D64" s="27">
        <v>14</v>
      </c>
      <c r="E64" s="27">
        <v>14</v>
      </c>
      <c r="F64" s="29">
        <v>159</v>
      </c>
      <c r="G64" s="27">
        <f t="shared" si="11"/>
        <v>2226</v>
      </c>
      <c r="H64" s="25">
        <v>2500</v>
      </c>
      <c r="I64" s="24">
        <f t="shared" si="21"/>
        <v>112.05942902505372</v>
      </c>
      <c r="J64" s="24">
        <f t="shared" si="12"/>
        <v>35000</v>
      </c>
      <c r="K64" s="28">
        <f t="shared" si="13"/>
        <v>33431.167993649251</v>
      </c>
      <c r="L64" s="27">
        <v>21</v>
      </c>
      <c r="M64" s="27">
        <f t="shared" si="19"/>
        <v>33028.0422389632</v>
      </c>
      <c r="N64" s="26">
        <f t="shared" si="20"/>
        <v>7671.9547191271458</v>
      </c>
      <c r="O64" s="25">
        <v>1250</v>
      </c>
      <c r="P64" s="24">
        <f t="shared" si="14"/>
        <v>17500</v>
      </c>
      <c r="Q64" s="23">
        <f t="shared" si="15"/>
        <v>0.52985278005231684</v>
      </c>
      <c r="R64" s="23">
        <f t="shared" si="16"/>
        <v>0.76213886784460316</v>
      </c>
      <c r="S64" s="38">
        <f>IF(OR($P64=0,ISERROR(P64/G64)),"-",(VLOOKUP(L64,'APP 2885'!$B$10:$G$54,6)*$G64)/($P64+$N64))</f>
        <v>1.9802358268807725</v>
      </c>
      <c r="T64" s="22">
        <f t="shared" si="17"/>
        <v>1.0122055601046338</v>
      </c>
      <c r="U64" s="21">
        <f t="shared" si="18"/>
        <v>1.2444916478969201</v>
      </c>
      <c r="V64" s="38">
        <f>IF(OR($P64=0,ISERROR(P64/G64)),"-",(VLOOKUP(L64,'APP 2885'!$B$10:$G$54,4)*$G64)/($K64+$N64))</f>
        <v>1.1024689140521191</v>
      </c>
      <c r="W64" s="2"/>
      <c r="X64" s="2"/>
    </row>
    <row r="65" spans="1:24" ht="26.25" thickBot="1" x14ac:dyDescent="0.3">
      <c r="A65" s="20" t="s">
        <v>62</v>
      </c>
      <c r="B65" s="20" t="s">
        <v>28</v>
      </c>
      <c r="C65" s="20" t="s">
        <v>63</v>
      </c>
      <c r="D65" s="17">
        <v>2</v>
      </c>
      <c r="E65" s="17">
        <v>2</v>
      </c>
      <c r="F65" s="19">
        <v>146.04</v>
      </c>
      <c r="G65" s="17">
        <f t="shared" ref="G65:G96" si="22">IF(ISNUMBER(E65),E65*F65,"")</f>
        <v>292.08</v>
      </c>
      <c r="H65" s="15">
        <v>5190.57</v>
      </c>
      <c r="I65" s="14">
        <f t="shared" si="21"/>
        <v>102.92552839508706</v>
      </c>
      <c r="J65" s="14">
        <f t="shared" ref="J65:J96" si="23">IF(ISNUMBER(H65),H65*E65,"")</f>
        <v>10381.14</v>
      </c>
      <c r="K65" s="18">
        <f t="shared" ref="K65:K96" si="24">J65-D65*(I65)</f>
        <v>10175.288943209825</v>
      </c>
      <c r="L65" s="17">
        <v>21</v>
      </c>
      <c r="M65" s="17">
        <f t="shared" si="19"/>
        <v>4333.7064587405075</v>
      </c>
      <c r="N65" s="16">
        <f t="shared" si="20"/>
        <v>1006.6597189409958</v>
      </c>
      <c r="O65" s="15">
        <v>1500</v>
      </c>
      <c r="P65" s="14">
        <f t="shared" ref="P65:P96" si="25">IF(ISNUMBER(O65),O65*E65,"")</f>
        <v>3000</v>
      </c>
      <c r="Q65" s="13">
        <f t="shared" ref="Q65:Q96" si="26">IF(ISERROR(P65/M65),0,P65/M65)</f>
        <v>0.69224808568872964</v>
      </c>
      <c r="R65" s="13">
        <f t="shared" ref="R65:R96" si="27">IF(ISERROR((N65+P65)/M65),0,(N65+P65)/M65)</f>
        <v>0.92453417348101596</v>
      </c>
      <c r="S65" s="37">
        <f>IF(OR($P65=0,ISERROR(P65/G65)),"-",(VLOOKUP(L65,'APP 2885'!$B$10:$G$54,6)*$G65)/($P65+$N65))</f>
        <v>1.6324055231855887</v>
      </c>
      <c r="T65" s="12">
        <f t="shared" ref="T65:T96" si="28">IF(ISERROR(RK65/M65),0,K65/M65)</f>
        <v>2.3479414307555664</v>
      </c>
      <c r="U65" s="11">
        <f t="shared" ref="U65:U96" si="29">IF(ISERROR(K65/M65),0,(K65+N65)/M65)</f>
        <v>2.5802275185478529</v>
      </c>
      <c r="V65" s="37">
        <f>IF(OR($P65=0,ISERROR(P65/G65)),"-",(VLOOKUP(L65,'APP 2885'!$B$10:$G$54,4)*$G65)/($K65+$N65))</f>
        <v>0.53174123046948074</v>
      </c>
      <c r="W65" s="2"/>
      <c r="X65" s="2"/>
    </row>
    <row r="66" spans="1:24" ht="26.25" thickBot="1" x14ac:dyDescent="0.3">
      <c r="A66" s="30" t="s">
        <v>62</v>
      </c>
      <c r="B66" s="30" t="s">
        <v>29</v>
      </c>
      <c r="C66" s="30" t="s">
        <v>63</v>
      </c>
      <c r="D66" s="27">
        <v>2</v>
      </c>
      <c r="E66" s="27">
        <v>2</v>
      </c>
      <c r="F66" s="29">
        <v>147</v>
      </c>
      <c r="G66" s="27">
        <f t="shared" si="22"/>
        <v>294</v>
      </c>
      <c r="H66" s="25">
        <v>2500</v>
      </c>
      <c r="I66" s="24">
        <f t="shared" si="21"/>
        <v>103.60211362693646</v>
      </c>
      <c r="J66" s="24">
        <f t="shared" si="23"/>
        <v>5000</v>
      </c>
      <c r="K66" s="28">
        <f t="shared" si="24"/>
        <v>4792.7957727461271</v>
      </c>
      <c r="L66" s="27">
        <v>21</v>
      </c>
      <c r="M66" s="27">
        <f t="shared" si="19"/>
        <v>4362.1942579762717</v>
      </c>
      <c r="N66" s="26">
        <f t="shared" si="20"/>
        <v>1013.2770383752835</v>
      </c>
      <c r="O66" s="25">
        <v>1250</v>
      </c>
      <c r="P66" s="24">
        <f t="shared" si="25"/>
        <v>2500</v>
      </c>
      <c r="Q66" s="23">
        <f t="shared" si="26"/>
        <v>0.57310606821985299</v>
      </c>
      <c r="R66" s="23">
        <f t="shared" si="27"/>
        <v>0.80539215601213932</v>
      </c>
      <c r="S66" s="38">
        <f>IF(OR($P66=0,ISERROR(P66/G66)),"-",(VLOOKUP(L66,'APP 2885'!$B$10:$G$54,6)*$G66)/($P66+$N66))</f>
        <v>1.8738879934428934</v>
      </c>
      <c r="T66" s="22">
        <f t="shared" si="28"/>
        <v>1.0987121364397059</v>
      </c>
      <c r="U66" s="21">
        <f t="shared" si="29"/>
        <v>1.3309982242319922</v>
      </c>
      <c r="V66" s="38">
        <f>IF(OR($P66=0,ISERROR(P66/G66)),"-",(VLOOKUP(L66,'APP 2885'!$B$10:$G$54,4)*$G66)/($K66+$N66))</f>
        <v>1.0308153163731861</v>
      </c>
      <c r="W66" s="2"/>
      <c r="X66" s="2"/>
    </row>
    <row r="67" spans="1:24" ht="15.75" thickBot="1" x14ac:dyDescent="0.3">
      <c r="A67" s="20" t="s">
        <v>64</v>
      </c>
      <c r="B67" s="20" t="s">
        <v>26</v>
      </c>
      <c r="C67" s="20" t="s">
        <v>65</v>
      </c>
      <c r="D67" s="17">
        <v>4</v>
      </c>
      <c r="E67" s="17">
        <v>5</v>
      </c>
      <c r="F67" s="19">
        <v>13</v>
      </c>
      <c r="G67" s="17">
        <f t="shared" si="22"/>
        <v>65</v>
      </c>
      <c r="H67" s="15">
        <v>200</v>
      </c>
      <c r="I67" s="14">
        <f t="shared" si="21"/>
        <v>10.288686309876404</v>
      </c>
      <c r="J67" s="14">
        <f t="shared" si="23"/>
        <v>1000</v>
      </c>
      <c r="K67" s="18">
        <f t="shared" si="24"/>
        <v>958.84525476049441</v>
      </c>
      <c r="L67" s="17">
        <v>25</v>
      </c>
      <c r="M67" s="17">
        <f t="shared" si="19"/>
        <v>1083.0196115659373</v>
      </c>
      <c r="N67" s="16">
        <f t="shared" si="20"/>
        <v>224.02383501494361</v>
      </c>
      <c r="O67" s="15">
        <v>100</v>
      </c>
      <c r="P67" s="14">
        <f t="shared" si="25"/>
        <v>500</v>
      </c>
      <c r="Q67" s="13">
        <f t="shared" si="26"/>
        <v>0.4616721568661627</v>
      </c>
      <c r="R67" s="13">
        <f t="shared" si="27"/>
        <v>0.66852329106771946</v>
      </c>
      <c r="S67" s="37">
        <f>IF(OR($P67=0,ISERROR(P67/G67)),"-",(VLOOKUP(L67,'APP 2885'!$B$10:$G$54,6)*$G67)/($P67+$N67))</f>
        <v>2.4831614497811403</v>
      </c>
      <c r="T67" s="12">
        <f t="shared" si="28"/>
        <v>0.88534431373232536</v>
      </c>
      <c r="U67" s="11">
        <f t="shared" si="29"/>
        <v>1.092195447933882</v>
      </c>
      <c r="V67" s="37">
        <f>IF(OR($P67=0,ISERROR(P67/G67)),"-",(VLOOKUP(L67,'APP 2885'!$B$10:$G$54,4)*$G67)/($K67+$N67))</f>
        <v>1.3817467525453342</v>
      </c>
      <c r="W67" s="2"/>
      <c r="X67" s="2"/>
    </row>
    <row r="68" spans="1:24" ht="15.75" thickBot="1" x14ac:dyDescent="0.3">
      <c r="A68" s="30" t="s">
        <v>64</v>
      </c>
      <c r="B68" s="30" t="s">
        <v>28</v>
      </c>
      <c r="C68" s="30" t="s">
        <v>65</v>
      </c>
      <c r="D68" s="27">
        <v>43</v>
      </c>
      <c r="E68" s="27">
        <v>43</v>
      </c>
      <c r="F68" s="29">
        <v>13</v>
      </c>
      <c r="G68" s="27">
        <f t="shared" si="22"/>
        <v>559</v>
      </c>
      <c r="H68" s="25">
        <v>200</v>
      </c>
      <c r="I68" s="24">
        <f t="shared" si="21"/>
        <v>10.288686309876404</v>
      </c>
      <c r="J68" s="24">
        <f t="shared" si="23"/>
        <v>8600</v>
      </c>
      <c r="K68" s="28">
        <f t="shared" si="24"/>
        <v>8157.5864886753143</v>
      </c>
      <c r="L68" s="27">
        <v>25</v>
      </c>
      <c r="M68" s="27">
        <f t="shared" si="19"/>
        <v>9313.9686594670602</v>
      </c>
      <c r="N68" s="26">
        <f t="shared" si="20"/>
        <v>1926.604981128515</v>
      </c>
      <c r="O68" s="25">
        <v>100</v>
      </c>
      <c r="P68" s="24">
        <f t="shared" si="25"/>
        <v>4300</v>
      </c>
      <c r="Q68" s="23">
        <f t="shared" si="26"/>
        <v>0.46167215686616275</v>
      </c>
      <c r="R68" s="23">
        <f t="shared" si="27"/>
        <v>0.66852329106771946</v>
      </c>
      <c r="S68" s="38">
        <f>IF(OR($P68=0,ISERROR(P68/G68)),"-",(VLOOKUP(L68,'APP 2885'!$B$10:$G$54,6)*$G68)/($P68+$N68))</f>
        <v>2.4831614497811403</v>
      </c>
      <c r="T68" s="22">
        <f t="shared" si="28"/>
        <v>0.87584431373232541</v>
      </c>
      <c r="U68" s="21">
        <f t="shared" si="29"/>
        <v>1.0826954479338822</v>
      </c>
      <c r="V68" s="38">
        <f>IF(OR($P68=0,ISERROR(P68/G68)),"-",(VLOOKUP(L68,'APP 2885'!$B$10:$G$54,4)*$G68)/($K68+$N68))</f>
        <v>1.3938707475009151</v>
      </c>
      <c r="W68" s="2"/>
      <c r="X68" s="2"/>
    </row>
    <row r="69" spans="1:24" ht="15.75" thickBot="1" x14ac:dyDescent="0.3">
      <c r="A69" s="20" t="s">
        <v>64</v>
      </c>
      <c r="B69" s="20" t="s">
        <v>29</v>
      </c>
      <c r="C69" s="20" t="s">
        <v>64</v>
      </c>
      <c r="D69" s="17">
        <v>1</v>
      </c>
      <c r="E69" s="17">
        <v>2</v>
      </c>
      <c r="F69" s="19">
        <v>13</v>
      </c>
      <c r="G69" s="17">
        <f t="shared" si="22"/>
        <v>26</v>
      </c>
      <c r="H69" s="15">
        <v>200</v>
      </c>
      <c r="I69" s="14">
        <f t="shared" si="21"/>
        <v>14.127784147806333</v>
      </c>
      <c r="J69" s="14">
        <f t="shared" si="23"/>
        <v>400</v>
      </c>
      <c r="K69" s="18">
        <f t="shared" si="24"/>
        <v>385.87221585219368</v>
      </c>
      <c r="L69" s="17">
        <v>45</v>
      </c>
      <c r="M69" s="17">
        <f t="shared" ref="M69:M100" si="30">PV($B$119,$L69,-$G69)</f>
        <v>594.85406938131916</v>
      </c>
      <c r="N69" s="16">
        <f t="shared" ref="N69:N100" si="31">(G69/VLOOKUP("TOTAL PROGRAM",$A$4:$G$196,7,FALSE))*$B$120</f>
        <v>89.609534005977451</v>
      </c>
      <c r="O69" s="15">
        <v>100</v>
      </c>
      <c r="P69" s="14">
        <f t="shared" si="25"/>
        <v>200</v>
      </c>
      <c r="Q69" s="13">
        <f t="shared" si="26"/>
        <v>0.33621691486117083</v>
      </c>
      <c r="R69" s="13">
        <f t="shared" si="27"/>
        <v>0.48685812018935548</v>
      </c>
      <c r="S69" s="37">
        <f>IF(OR($P69=0,ISERROR(P69/G69)),"-",(VLOOKUP(L69,'APP 2885'!$B$10:$G$54,6)*$G69)/($P69+$N69))</f>
        <v>5.5002761441156895</v>
      </c>
      <c r="T69" s="12">
        <f t="shared" si="28"/>
        <v>0.64868382972234173</v>
      </c>
      <c r="U69" s="11">
        <f t="shared" si="29"/>
        <v>0.79932503505052632</v>
      </c>
      <c r="V69" s="37">
        <f>IF(OR($P69=0,ISERROR(P69/G69)),"-",(VLOOKUP(L69,'APP 2885'!$B$10:$G$54,4)*$G69)/($K69+$N69))</f>
        <v>3.0455856067445559</v>
      </c>
      <c r="W69" s="2"/>
      <c r="X69" s="2"/>
    </row>
    <row r="70" spans="1:24" ht="15.75" thickBot="1" x14ac:dyDescent="0.3">
      <c r="A70" s="30" t="s">
        <v>34</v>
      </c>
      <c r="B70" s="30" t="s">
        <v>26</v>
      </c>
      <c r="C70" s="30" t="s">
        <v>33</v>
      </c>
      <c r="D70" s="27">
        <v>314</v>
      </c>
      <c r="E70" s="27">
        <v>314</v>
      </c>
      <c r="F70" s="29">
        <v>89</v>
      </c>
      <c r="G70" s="27">
        <f t="shared" si="22"/>
        <v>27946</v>
      </c>
      <c r="H70" s="25">
        <v>1024</v>
      </c>
      <c r="I70" s="24">
        <f t="shared" si="21"/>
        <v>56.224452267639741</v>
      </c>
      <c r="J70" s="24">
        <f t="shared" si="23"/>
        <v>321536</v>
      </c>
      <c r="K70" s="28">
        <f t="shared" si="24"/>
        <v>303881.52198796114</v>
      </c>
      <c r="L70" s="27">
        <v>18</v>
      </c>
      <c r="M70" s="27">
        <f t="shared" si="30"/>
        <v>371673.22130608163</v>
      </c>
      <c r="N70" s="26">
        <f t="shared" si="31"/>
        <v>96316.462974270995</v>
      </c>
      <c r="O70" s="25">
        <v>400</v>
      </c>
      <c r="P70" s="24">
        <f t="shared" si="25"/>
        <v>125600</v>
      </c>
      <c r="Q70" s="23">
        <f t="shared" si="26"/>
        <v>0.33793126004244856</v>
      </c>
      <c r="R70" s="23">
        <f t="shared" si="27"/>
        <v>0.59707412386193293</v>
      </c>
      <c r="S70" s="38">
        <f>IF(OR($P70=0,ISERROR(P70/G70)),"-",(VLOOKUP(L70,'APP 2885'!$B$10:$G$54,6)*$G70)/($P70+$N70))</f>
        <v>2.354835288870023</v>
      </c>
      <c r="T70" s="22">
        <f t="shared" si="28"/>
        <v>0.8176040257086683</v>
      </c>
      <c r="U70" s="21">
        <f t="shared" si="29"/>
        <v>1.0767468895281527</v>
      </c>
      <c r="V70" s="38">
        <f>IF(OR($P70=0,ISERROR(P70/G70)),"-",(VLOOKUP(L70,'APP 2885'!$B$10:$G$54,4)*$G70)/($K70+$N70))</f>
        <v>1.1870867961933402</v>
      </c>
      <c r="W70" s="2"/>
      <c r="X70" s="2"/>
    </row>
    <row r="71" spans="1:24" ht="15.75" thickBot="1" x14ac:dyDescent="0.3">
      <c r="A71" s="20" t="s">
        <v>34</v>
      </c>
      <c r="B71" s="20" t="s">
        <v>28</v>
      </c>
      <c r="C71" s="20" t="s">
        <v>33</v>
      </c>
      <c r="D71" s="17">
        <v>82</v>
      </c>
      <c r="E71" s="17">
        <v>82</v>
      </c>
      <c r="F71" s="19">
        <v>90</v>
      </c>
      <c r="G71" s="17">
        <f t="shared" si="22"/>
        <v>7380</v>
      </c>
      <c r="H71" s="15">
        <v>1024</v>
      </c>
      <c r="I71" s="14">
        <f t="shared" si="21"/>
        <v>56.856187686377268</v>
      </c>
      <c r="J71" s="14">
        <f t="shared" si="23"/>
        <v>83968</v>
      </c>
      <c r="K71" s="18">
        <f t="shared" si="24"/>
        <v>79305.792609717057</v>
      </c>
      <c r="L71" s="17">
        <v>18</v>
      </c>
      <c r="M71" s="17">
        <f t="shared" si="30"/>
        <v>98151.734532272327</v>
      </c>
      <c r="N71" s="16">
        <f t="shared" si="31"/>
        <v>25435.321575542828</v>
      </c>
      <c r="O71" s="15">
        <v>400</v>
      </c>
      <c r="P71" s="14">
        <f t="shared" si="25"/>
        <v>32800</v>
      </c>
      <c r="Q71" s="13">
        <f t="shared" si="26"/>
        <v>0.33417646826419911</v>
      </c>
      <c r="R71" s="13">
        <f t="shared" si="27"/>
        <v>0.59331933208368348</v>
      </c>
      <c r="S71" s="37">
        <f>IF(OR($P71=0,ISERROR(P71/G71)),"-",(VLOOKUP(L71,'APP 2885'!$B$10:$G$54,6)*$G71)/($P71+$N71))</f>
        <v>2.369737746456781</v>
      </c>
      <c r="T71" s="12">
        <f t="shared" si="28"/>
        <v>0.80799175875634965</v>
      </c>
      <c r="U71" s="11">
        <f t="shared" si="29"/>
        <v>1.067134622575834</v>
      </c>
      <c r="V71" s="37">
        <f>IF(OR($P71=0,ISERROR(P71/G71)),"-",(VLOOKUP(L71,'APP 2885'!$B$10:$G$54,4)*$G71)/($K71+$N71))</f>
        <v>1.1977795381765781</v>
      </c>
      <c r="W71" s="2"/>
      <c r="X71" s="2"/>
    </row>
    <row r="72" spans="1:24" ht="15.75" thickBot="1" x14ac:dyDescent="0.3">
      <c r="A72" s="30" t="s">
        <v>34</v>
      </c>
      <c r="B72" s="30" t="s">
        <v>29</v>
      </c>
      <c r="C72" s="30" t="s">
        <v>33</v>
      </c>
      <c r="D72" s="27">
        <v>159</v>
      </c>
      <c r="E72" s="27">
        <v>160</v>
      </c>
      <c r="F72" s="29">
        <v>78</v>
      </c>
      <c r="G72" s="27">
        <f t="shared" si="22"/>
        <v>12480</v>
      </c>
      <c r="H72" s="25">
        <v>1024</v>
      </c>
      <c r="I72" s="24">
        <f t="shared" si="21"/>
        <v>49.27536266152697</v>
      </c>
      <c r="J72" s="24">
        <f t="shared" si="23"/>
        <v>163840</v>
      </c>
      <c r="K72" s="28">
        <f t="shared" si="24"/>
        <v>156005.21733681721</v>
      </c>
      <c r="L72" s="27">
        <v>18</v>
      </c>
      <c r="M72" s="27">
        <f t="shared" si="30"/>
        <v>165980.16896514344</v>
      </c>
      <c r="N72" s="26">
        <f t="shared" si="31"/>
        <v>43012.576322869172</v>
      </c>
      <c r="O72" s="25">
        <v>400</v>
      </c>
      <c r="P72" s="24">
        <f t="shared" si="25"/>
        <v>64000</v>
      </c>
      <c r="Q72" s="23">
        <f t="shared" si="26"/>
        <v>0.38558823261253744</v>
      </c>
      <c r="R72" s="23">
        <f t="shared" si="27"/>
        <v>0.64473109643202176</v>
      </c>
      <c r="S72" s="38">
        <f>IF(OR($P72=0,ISERROR(P72/G72)),"-",(VLOOKUP(L72,'APP 2885'!$B$10:$G$54,6)*$G72)/($P72+$N72))</f>
        <v>2.1807715258689644</v>
      </c>
      <c r="T72" s="22">
        <f t="shared" si="28"/>
        <v>0.93990275048809591</v>
      </c>
      <c r="U72" s="21">
        <f t="shared" si="29"/>
        <v>1.1990456143075803</v>
      </c>
      <c r="V72" s="38">
        <f>IF(OR($P72=0,ISERROR(P72/G72)),"-",(VLOOKUP(L72,'APP 2885'!$B$10:$G$54,4)*$G72)/($K72+$N72))</f>
        <v>1.0660078316864068</v>
      </c>
      <c r="W72" s="2"/>
      <c r="X72" s="2"/>
    </row>
    <row r="73" spans="1:24" ht="15.75" thickBot="1" x14ac:dyDescent="0.3">
      <c r="A73" s="20" t="s">
        <v>66</v>
      </c>
      <c r="B73" s="20" t="s">
        <v>26</v>
      </c>
      <c r="C73" s="20" t="s">
        <v>67</v>
      </c>
      <c r="D73" s="17">
        <v>14</v>
      </c>
      <c r="E73" s="17">
        <v>15</v>
      </c>
      <c r="F73" s="19">
        <v>56</v>
      </c>
      <c r="G73" s="17">
        <f t="shared" si="22"/>
        <v>840</v>
      </c>
      <c r="H73" s="15">
        <v>425</v>
      </c>
      <c r="I73" s="14">
        <f t="shared" si="21"/>
        <v>38.149365901048498</v>
      </c>
      <c r="J73" s="14">
        <f t="shared" si="23"/>
        <v>6375</v>
      </c>
      <c r="K73" s="18">
        <f t="shared" si="24"/>
        <v>5840.9088773853209</v>
      </c>
      <c r="L73" s="17">
        <v>20</v>
      </c>
      <c r="M73" s="17">
        <f t="shared" si="30"/>
        <v>12047.168179278473</v>
      </c>
      <c r="N73" s="16">
        <f t="shared" si="31"/>
        <v>2895.0772525008101</v>
      </c>
      <c r="O73" s="15">
        <v>300</v>
      </c>
      <c r="P73" s="14">
        <f t="shared" si="25"/>
        <v>4500</v>
      </c>
      <c r="Q73" s="13">
        <f t="shared" si="26"/>
        <v>0.37353176555965645</v>
      </c>
      <c r="R73" s="13">
        <f t="shared" si="27"/>
        <v>0.61384361390592912</v>
      </c>
      <c r="S73" s="37">
        <f>IF(OR($P73=0,ISERROR(P73/G73)),"-",(VLOOKUP(L73,'APP 2885'!$B$10:$G$54,6)*$G73)/($P73+$N73))</f>
        <v>2.4012782660879686</v>
      </c>
      <c r="T73" s="12">
        <f t="shared" si="28"/>
        <v>0.48483666787617996</v>
      </c>
      <c r="U73" s="11">
        <f t="shared" si="29"/>
        <v>0.72514851622245258</v>
      </c>
      <c r="V73" s="37">
        <f>IF(OR($P73=0,ISERROR(P73/G73)),"-",(VLOOKUP(L73,'APP 2885'!$B$10:$G$54,4)*$G73)/($K73+$N73))</f>
        <v>1.8479090155938915</v>
      </c>
      <c r="W73" s="2"/>
      <c r="X73" s="2"/>
    </row>
    <row r="74" spans="1:24" ht="15.75" thickBot="1" x14ac:dyDescent="0.3">
      <c r="A74" s="30" t="s">
        <v>66</v>
      </c>
      <c r="B74" s="30" t="s">
        <v>26</v>
      </c>
      <c r="C74" s="30" t="s">
        <v>68</v>
      </c>
      <c r="D74" s="27">
        <v>49</v>
      </c>
      <c r="E74" s="27">
        <v>50</v>
      </c>
      <c r="F74" s="29">
        <v>56</v>
      </c>
      <c r="G74" s="27">
        <f t="shared" si="22"/>
        <v>2800</v>
      </c>
      <c r="H74" s="25">
        <v>425</v>
      </c>
      <c r="I74" s="24">
        <f t="shared" si="21"/>
        <v>38.149365901048498</v>
      </c>
      <c r="J74" s="24">
        <f t="shared" si="23"/>
        <v>21250</v>
      </c>
      <c r="K74" s="28">
        <f t="shared" si="24"/>
        <v>19380.681070848623</v>
      </c>
      <c r="L74" s="27">
        <v>20</v>
      </c>
      <c r="M74" s="27">
        <f t="shared" si="30"/>
        <v>40157.227264261572</v>
      </c>
      <c r="N74" s="26">
        <f t="shared" si="31"/>
        <v>9650.2575083360334</v>
      </c>
      <c r="O74" s="25">
        <v>300</v>
      </c>
      <c r="P74" s="24">
        <f t="shared" si="25"/>
        <v>15000</v>
      </c>
      <c r="Q74" s="23">
        <f t="shared" si="26"/>
        <v>0.3735317655596565</v>
      </c>
      <c r="R74" s="23">
        <f t="shared" si="27"/>
        <v>0.61384361390592923</v>
      </c>
      <c r="S74" s="38">
        <f>IF(OR($P74=0,ISERROR(P74/G74)),"-",(VLOOKUP(L74,'APP 2885'!$B$10:$G$54,6)*$G74)/($P74+$N74))</f>
        <v>2.4012782660879686</v>
      </c>
      <c r="T74" s="22">
        <f t="shared" si="28"/>
        <v>0.48262000120951337</v>
      </c>
      <c r="U74" s="21">
        <f t="shared" si="29"/>
        <v>0.72293184955578604</v>
      </c>
      <c r="V74" s="38">
        <f>IF(OR($P74=0,ISERROR(P74/G74)),"-",(VLOOKUP(L74,'APP 2885'!$B$10:$G$54,4)*$G74)/($K74+$N74))</f>
        <v>1.8535751075227735</v>
      </c>
      <c r="W74" s="2"/>
      <c r="X74" s="2"/>
    </row>
    <row r="75" spans="1:24" ht="15.75" thickBot="1" x14ac:dyDescent="0.3">
      <c r="A75" s="20" t="s">
        <v>66</v>
      </c>
      <c r="B75" s="20" t="s">
        <v>28</v>
      </c>
      <c r="C75" s="20" t="s">
        <v>67</v>
      </c>
      <c r="D75" s="17">
        <v>7</v>
      </c>
      <c r="E75" s="17">
        <v>7</v>
      </c>
      <c r="F75" s="19">
        <v>56</v>
      </c>
      <c r="G75" s="17">
        <f t="shared" si="22"/>
        <v>392</v>
      </c>
      <c r="H75" s="15">
        <v>425</v>
      </c>
      <c r="I75" s="14">
        <f t="shared" si="21"/>
        <v>38.149365901048498</v>
      </c>
      <c r="J75" s="14">
        <f t="shared" si="23"/>
        <v>2975</v>
      </c>
      <c r="K75" s="18">
        <f t="shared" si="24"/>
        <v>2707.9544386926605</v>
      </c>
      <c r="L75" s="17">
        <v>20</v>
      </c>
      <c r="M75" s="17">
        <f t="shared" si="30"/>
        <v>5622.0118169966208</v>
      </c>
      <c r="N75" s="16">
        <f t="shared" si="31"/>
        <v>1351.0360511670447</v>
      </c>
      <c r="O75" s="15">
        <v>300</v>
      </c>
      <c r="P75" s="14">
        <f t="shared" si="25"/>
        <v>2100</v>
      </c>
      <c r="Q75" s="13">
        <f t="shared" si="26"/>
        <v>0.37353176555965645</v>
      </c>
      <c r="R75" s="13">
        <f t="shared" si="27"/>
        <v>0.61384361390592912</v>
      </c>
      <c r="S75" s="37">
        <f>IF(OR($P75=0,ISERROR(P75/G75)),"-",(VLOOKUP(L75,'APP 2885'!$B$10:$G$54,6)*$G75)/($P75+$N75))</f>
        <v>2.4012782660879686</v>
      </c>
      <c r="T75" s="12">
        <f t="shared" si="28"/>
        <v>0.48167000120951331</v>
      </c>
      <c r="U75" s="11">
        <f t="shared" si="29"/>
        <v>0.72198184955578593</v>
      </c>
      <c r="V75" s="37">
        <f>IF(OR($P75=0,ISERROR(P75/G75)),"-",(VLOOKUP(L75,'APP 2885'!$B$10:$G$54,4)*$G75)/($K75+$N75))</f>
        <v>1.8560140834516423</v>
      </c>
      <c r="W75" s="2"/>
      <c r="X75" s="2"/>
    </row>
    <row r="76" spans="1:24" ht="15.75" thickBot="1" x14ac:dyDescent="0.3">
      <c r="A76" s="30" t="s">
        <v>66</v>
      </c>
      <c r="B76" s="30" t="s">
        <v>28</v>
      </c>
      <c r="C76" s="30" t="s">
        <v>68</v>
      </c>
      <c r="D76" s="27">
        <v>12</v>
      </c>
      <c r="E76" s="27">
        <v>13</v>
      </c>
      <c r="F76" s="29">
        <v>56</v>
      </c>
      <c r="G76" s="27">
        <f t="shared" si="22"/>
        <v>728</v>
      </c>
      <c r="H76" s="25">
        <v>425</v>
      </c>
      <c r="I76" s="24">
        <f t="shared" si="21"/>
        <v>38.149365901048498</v>
      </c>
      <c r="J76" s="24">
        <f t="shared" si="23"/>
        <v>5525</v>
      </c>
      <c r="K76" s="28">
        <f t="shared" si="24"/>
        <v>5067.2076091874178</v>
      </c>
      <c r="L76" s="27">
        <v>20</v>
      </c>
      <c r="M76" s="27">
        <f t="shared" si="30"/>
        <v>10440.879088708009</v>
      </c>
      <c r="N76" s="26">
        <f t="shared" si="31"/>
        <v>2509.0669521673685</v>
      </c>
      <c r="O76" s="25">
        <v>300</v>
      </c>
      <c r="P76" s="24">
        <f t="shared" si="25"/>
        <v>3900</v>
      </c>
      <c r="Q76" s="23">
        <f t="shared" si="26"/>
        <v>0.3735317655596565</v>
      </c>
      <c r="R76" s="23">
        <f t="shared" si="27"/>
        <v>0.61384361390592912</v>
      </c>
      <c r="S76" s="38">
        <f>IF(OR($P76=0,ISERROR(P76/G76)),"-",(VLOOKUP(L76,'APP 2885'!$B$10:$G$54,6)*$G76)/($P76+$N76))</f>
        <v>2.401278266087969</v>
      </c>
      <c r="T76" s="22">
        <f t="shared" si="28"/>
        <v>0.48532384736335954</v>
      </c>
      <c r="U76" s="21">
        <f t="shared" si="29"/>
        <v>0.72563569570963227</v>
      </c>
      <c r="V76" s="38">
        <f>IF(OR($P76=0,ISERROR(P76/G76)),"-",(VLOOKUP(L76,'APP 2885'!$B$10:$G$54,4)*$G76)/($K76+$N76))</f>
        <v>1.8466683608522707</v>
      </c>
      <c r="W76" s="2"/>
      <c r="X76" s="2"/>
    </row>
    <row r="77" spans="1:24" ht="15.75" thickBot="1" x14ac:dyDescent="0.3">
      <c r="A77" s="20" t="s">
        <v>66</v>
      </c>
      <c r="B77" s="20" t="s">
        <v>29</v>
      </c>
      <c r="C77" s="20" t="s">
        <v>67</v>
      </c>
      <c r="D77" s="17">
        <v>3</v>
      </c>
      <c r="E77" s="17">
        <v>3</v>
      </c>
      <c r="F77" s="19">
        <v>57</v>
      </c>
      <c r="G77" s="17">
        <f t="shared" si="22"/>
        <v>171</v>
      </c>
      <c r="H77" s="15">
        <v>425</v>
      </c>
      <c r="I77" s="14">
        <f t="shared" si="21"/>
        <v>38.830604577852938</v>
      </c>
      <c r="J77" s="14">
        <f t="shared" si="23"/>
        <v>1275</v>
      </c>
      <c r="K77" s="18">
        <f t="shared" si="24"/>
        <v>1158.5081862664413</v>
      </c>
      <c r="L77" s="17">
        <v>20</v>
      </c>
      <c r="M77" s="17">
        <f t="shared" si="30"/>
        <v>2452.4592364959749</v>
      </c>
      <c r="N77" s="16">
        <f t="shared" si="31"/>
        <v>589.35501211623637</v>
      </c>
      <c r="O77" s="15">
        <v>300</v>
      </c>
      <c r="P77" s="14">
        <f t="shared" si="25"/>
        <v>900</v>
      </c>
      <c r="Q77" s="13">
        <f t="shared" si="26"/>
        <v>0.3669785766901888</v>
      </c>
      <c r="R77" s="13">
        <f t="shared" si="27"/>
        <v>0.60729042503646147</v>
      </c>
      <c r="S77" s="37">
        <f>IF(OR($P77=0,ISERROR(P77/G77)),"-",(VLOOKUP(L77,'APP 2885'!$B$10:$G$54,6)*$G77)/($P77+$N77))</f>
        <v>2.4271901351988268</v>
      </c>
      <c r="T77" s="12">
        <f t="shared" si="28"/>
        <v>0.47238631697776751</v>
      </c>
      <c r="U77" s="11">
        <f t="shared" si="29"/>
        <v>0.71269816532404018</v>
      </c>
      <c r="V77" s="37">
        <f>IF(OR($P77=0,ISERROR(P77/G77)),"-",(VLOOKUP(L77,'APP 2885'!$B$10:$G$54,4)*$G77)/($K77+$N77))</f>
        <v>1.8801907258492045</v>
      </c>
      <c r="W77" s="2"/>
      <c r="X77" s="2"/>
    </row>
    <row r="78" spans="1:24" ht="15.75" thickBot="1" x14ac:dyDescent="0.3">
      <c r="A78" s="30" t="s">
        <v>66</v>
      </c>
      <c r="B78" s="30" t="s">
        <v>29</v>
      </c>
      <c r="C78" s="30" t="s">
        <v>68</v>
      </c>
      <c r="D78" s="27">
        <v>7</v>
      </c>
      <c r="E78" s="27">
        <v>8</v>
      </c>
      <c r="F78" s="29">
        <v>57</v>
      </c>
      <c r="G78" s="27">
        <f t="shared" si="22"/>
        <v>456</v>
      </c>
      <c r="H78" s="25">
        <v>425</v>
      </c>
      <c r="I78" s="24">
        <f t="shared" si="21"/>
        <v>38.830604577852938</v>
      </c>
      <c r="J78" s="24">
        <f t="shared" si="23"/>
        <v>3400</v>
      </c>
      <c r="K78" s="28">
        <f t="shared" si="24"/>
        <v>3128.1857679550294</v>
      </c>
      <c r="L78" s="27">
        <v>20</v>
      </c>
      <c r="M78" s="27">
        <f t="shared" si="30"/>
        <v>6539.8912973225997</v>
      </c>
      <c r="N78" s="26">
        <f t="shared" si="31"/>
        <v>1571.6133656432967</v>
      </c>
      <c r="O78" s="25">
        <v>300</v>
      </c>
      <c r="P78" s="24">
        <f t="shared" si="25"/>
        <v>2400</v>
      </c>
      <c r="Q78" s="23">
        <f t="shared" si="26"/>
        <v>0.3669785766901888</v>
      </c>
      <c r="R78" s="23">
        <f t="shared" si="27"/>
        <v>0.60729042503646147</v>
      </c>
      <c r="S78" s="38">
        <f>IF(OR($P78=0,ISERROR(P78/G78)),"-",(VLOOKUP(L78,'APP 2885'!$B$10:$G$54,6)*$G78)/($P78+$N78))</f>
        <v>2.4271901351988268</v>
      </c>
      <c r="T78" s="22">
        <f t="shared" si="28"/>
        <v>0.47832381697776749</v>
      </c>
      <c r="U78" s="21">
        <f t="shared" si="29"/>
        <v>0.71863566532404011</v>
      </c>
      <c r="V78" s="38">
        <f>IF(OR($P78=0,ISERROR(P78/G78)),"-",(VLOOKUP(L78,'APP 2885'!$B$10:$G$54,4)*$G78)/($K78+$N78))</f>
        <v>1.8646562443679724</v>
      </c>
      <c r="W78" s="2"/>
      <c r="X78" s="2"/>
    </row>
    <row r="79" spans="1:24" ht="15.75" thickBot="1" x14ac:dyDescent="0.3">
      <c r="A79" s="20" t="s">
        <v>69</v>
      </c>
      <c r="B79" s="20" t="s">
        <v>26</v>
      </c>
      <c r="C79" s="20" t="s">
        <v>70</v>
      </c>
      <c r="D79" s="17">
        <v>15</v>
      </c>
      <c r="E79" s="17">
        <v>15</v>
      </c>
      <c r="F79" s="19">
        <v>63.75</v>
      </c>
      <c r="G79" s="17">
        <f t="shared" si="22"/>
        <v>956.25</v>
      </c>
      <c r="H79" s="15">
        <v>350</v>
      </c>
      <c r="I79" s="14">
        <f t="shared" si="21"/>
        <v>35.125498362626836</v>
      </c>
      <c r="J79" s="14">
        <f t="shared" si="23"/>
        <v>5250</v>
      </c>
      <c r="K79" s="18">
        <f t="shared" si="24"/>
        <v>4723.1175245605973</v>
      </c>
      <c r="L79" s="17">
        <v>15</v>
      </c>
      <c r="M79" s="17">
        <f t="shared" si="30"/>
        <v>11092.262640829525</v>
      </c>
      <c r="N79" s="16">
        <f t="shared" si="31"/>
        <v>3295.7352651236897</v>
      </c>
      <c r="O79" s="15">
        <v>150</v>
      </c>
      <c r="P79" s="14">
        <f t="shared" si="25"/>
        <v>2250</v>
      </c>
      <c r="Q79" s="13">
        <f t="shared" si="26"/>
        <v>0.20284409708421181</v>
      </c>
      <c r="R79" s="13">
        <f t="shared" si="27"/>
        <v>0.49996429445426083</v>
      </c>
      <c r="S79" s="37">
        <f>IF(OR($P79=0,ISERROR(P79/G79)),"-",(VLOOKUP(L79,'APP 2885'!$B$10:$G$54,6)*$G79)/($P79+$N79))</f>
        <v>2.6233360108866148</v>
      </c>
      <c r="T79" s="12">
        <f t="shared" si="28"/>
        <v>0.42580289319649423</v>
      </c>
      <c r="U79" s="11">
        <f t="shared" si="29"/>
        <v>0.72292309056654325</v>
      </c>
      <c r="V79" s="37">
        <f>IF(OR($P79=0,ISERROR(P79/G79)),"-",(VLOOKUP(L79,'APP 2885'!$B$10:$G$54,4)*$G79)/($K79+$N79))</f>
        <v>1.6493321663801441</v>
      </c>
      <c r="W79" s="2"/>
      <c r="X79" s="2"/>
    </row>
    <row r="80" spans="1:24" ht="15.75" thickBot="1" x14ac:dyDescent="0.3">
      <c r="A80" s="30" t="s">
        <v>69</v>
      </c>
      <c r="B80" s="30" t="s">
        <v>28</v>
      </c>
      <c r="C80" s="30" t="s">
        <v>70</v>
      </c>
      <c r="D80" s="27">
        <v>2</v>
      </c>
      <c r="E80" s="27">
        <v>2</v>
      </c>
      <c r="F80" s="29">
        <v>60.35</v>
      </c>
      <c r="G80" s="27">
        <f t="shared" si="22"/>
        <v>120.7</v>
      </c>
      <c r="H80" s="25">
        <v>350</v>
      </c>
      <c r="I80" s="24">
        <f t="shared" si="21"/>
        <v>33.252138449953399</v>
      </c>
      <c r="J80" s="24">
        <f t="shared" si="23"/>
        <v>700</v>
      </c>
      <c r="K80" s="28">
        <f t="shared" si="24"/>
        <v>633.49572310009319</v>
      </c>
      <c r="L80" s="27">
        <v>15</v>
      </c>
      <c r="M80" s="27">
        <f t="shared" si="30"/>
        <v>1400.090039998038</v>
      </c>
      <c r="N80" s="26">
        <f t="shared" si="31"/>
        <v>415.99502902005679</v>
      </c>
      <c r="O80" s="25">
        <v>150</v>
      </c>
      <c r="P80" s="24">
        <f t="shared" si="25"/>
        <v>300</v>
      </c>
      <c r="Q80" s="23">
        <f t="shared" si="26"/>
        <v>0.21427193353966034</v>
      </c>
      <c r="R80" s="23">
        <f t="shared" si="27"/>
        <v>0.51139213090970925</v>
      </c>
      <c r="S80" s="38">
        <f>IF(OR($P80=0,ISERROR(P80/G80)),"-",(VLOOKUP(L80,'APP 2885'!$B$10:$G$54,6)*$G80)/($P80+$N80))</f>
        <v>2.5647135701252139</v>
      </c>
      <c r="T80" s="22">
        <f t="shared" si="28"/>
        <v>0.45246784492587411</v>
      </c>
      <c r="U80" s="21">
        <f t="shared" si="29"/>
        <v>0.74958804229592302</v>
      </c>
      <c r="V80" s="38">
        <f>IF(OR($P80=0,ISERROR(P80/G80)),"-",(VLOOKUP(L80,'APP 2885'!$B$10:$G$54,4)*$G80)/($K80+$N80))</f>
        <v>1.5906607894094882</v>
      </c>
      <c r="W80" s="2"/>
      <c r="X80" s="2"/>
    </row>
    <row r="81" spans="1:24" ht="15.75" thickBot="1" x14ac:dyDescent="0.3">
      <c r="A81" s="20" t="s">
        <v>69</v>
      </c>
      <c r="B81" s="20" t="s">
        <v>29</v>
      </c>
      <c r="C81" s="20" t="s">
        <v>70</v>
      </c>
      <c r="D81" s="17">
        <v>441</v>
      </c>
      <c r="E81" s="17">
        <v>441</v>
      </c>
      <c r="F81" s="19">
        <v>71.400000000000006</v>
      </c>
      <c r="G81" s="17">
        <f t="shared" si="22"/>
        <v>31487.4</v>
      </c>
      <c r="H81" s="15">
        <v>350</v>
      </c>
      <c r="I81" s="14">
        <f t="shared" si="21"/>
        <v>39.34055816614206</v>
      </c>
      <c r="J81" s="14">
        <f t="shared" si="23"/>
        <v>154350</v>
      </c>
      <c r="K81" s="18">
        <f t="shared" si="24"/>
        <v>137000.81384873134</v>
      </c>
      <c r="L81" s="17">
        <v>15</v>
      </c>
      <c r="M81" s="17">
        <f t="shared" si="30"/>
        <v>365246.02423723467</v>
      </c>
      <c r="N81" s="16">
        <f t="shared" si="31"/>
        <v>108521.97080999287</v>
      </c>
      <c r="O81" s="15">
        <v>150</v>
      </c>
      <c r="P81" s="14">
        <f t="shared" si="25"/>
        <v>66150</v>
      </c>
      <c r="Q81" s="13">
        <f t="shared" si="26"/>
        <v>0.18111080096804624</v>
      </c>
      <c r="R81" s="13">
        <f t="shared" si="27"/>
        <v>0.47823099833809524</v>
      </c>
      <c r="S81" s="37">
        <f>IF(OR($P81=0,ISERROR(P81/G81)),"-",(VLOOKUP(L81,'APP 2885'!$B$10:$G$54,6)*$G81)/($P81+$N81))</f>
        <v>2.74255400080138</v>
      </c>
      <c r="T81" s="12">
        <f t="shared" si="28"/>
        <v>0.37509186892544116</v>
      </c>
      <c r="U81" s="11">
        <f t="shared" si="29"/>
        <v>0.67221206629549024</v>
      </c>
      <c r="V81" s="37">
        <f>IF(OR($P81=0,ISERROR(P81/G81)),"-",(VLOOKUP(L81,'APP 2885'!$B$10:$G$54,4)*$G81)/($K81+$N81))</f>
        <v>1.7737561803394022</v>
      </c>
      <c r="W81" s="2"/>
      <c r="X81" s="2"/>
    </row>
    <row r="82" spans="1:24" ht="15.75" thickBot="1" x14ac:dyDescent="0.3">
      <c r="A82" s="30" t="s">
        <v>71</v>
      </c>
      <c r="B82" s="30" t="s">
        <v>26</v>
      </c>
      <c r="C82" s="30" t="s">
        <v>72</v>
      </c>
      <c r="D82" s="27">
        <v>95</v>
      </c>
      <c r="E82" s="27">
        <v>97</v>
      </c>
      <c r="F82" s="29">
        <v>28.5</v>
      </c>
      <c r="G82" s="27">
        <f t="shared" si="22"/>
        <v>2764.5</v>
      </c>
      <c r="H82" s="25">
        <v>16</v>
      </c>
      <c r="I82" s="24">
        <f t="shared" si="21"/>
        <v>11.315565835527934</v>
      </c>
      <c r="J82" s="24">
        <f t="shared" si="23"/>
        <v>1552</v>
      </c>
      <c r="K82" s="28">
        <f t="shared" si="24"/>
        <v>477.02124562484619</v>
      </c>
      <c r="L82" s="27">
        <v>10</v>
      </c>
      <c r="M82" s="27">
        <f t="shared" si="30"/>
        <v>23107.576548341254</v>
      </c>
      <c r="N82" s="26">
        <f t="shared" si="31"/>
        <v>9527.9060292124868</v>
      </c>
      <c r="O82" s="25">
        <v>25</v>
      </c>
      <c r="P82" s="24">
        <f t="shared" si="25"/>
        <v>2425</v>
      </c>
      <c r="Q82" s="23">
        <f t="shared" si="26"/>
        <v>0.10494393451112792</v>
      </c>
      <c r="R82" s="23">
        <f t="shared" si="27"/>
        <v>0.51727215981333663</v>
      </c>
      <c r="S82" s="38">
        <f>IF(OR($P82=0,ISERROR(P82/G82)),"-",(VLOOKUP(L82,'APP 2885'!$B$10:$G$54,6)*$G82)/($P82+$N82))</f>
        <v>2.2593636247045175</v>
      </c>
      <c r="T82" s="22">
        <f t="shared" si="28"/>
        <v>2.0643499530420835E-2</v>
      </c>
      <c r="U82" s="21">
        <f t="shared" si="29"/>
        <v>0.43297172483262952</v>
      </c>
      <c r="V82" s="38">
        <f>IF(OR($P82=0,ISERROR(P82/G82)),"-",(VLOOKUP(L82,'APP 2885'!$B$10:$G$54,4)*$G82)/($K82+$N82))</f>
        <v>2.4538782787225211</v>
      </c>
      <c r="W82" s="2"/>
      <c r="X82" s="2"/>
    </row>
    <row r="83" spans="1:24" ht="15.75" thickBot="1" x14ac:dyDescent="0.3">
      <c r="A83" s="20" t="s">
        <v>71</v>
      </c>
      <c r="B83" s="20" t="s">
        <v>26</v>
      </c>
      <c r="C83" s="20" t="s">
        <v>72</v>
      </c>
      <c r="D83" s="17">
        <v>177</v>
      </c>
      <c r="E83" s="17">
        <v>179</v>
      </c>
      <c r="F83" s="19">
        <v>18</v>
      </c>
      <c r="G83" s="17">
        <f t="shared" si="22"/>
        <v>3222</v>
      </c>
      <c r="H83" s="15">
        <v>16</v>
      </c>
      <c r="I83" s="14">
        <f t="shared" si="21"/>
        <v>7.1466731592807999</v>
      </c>
      <c r="J83" s="14">
        <f t="shared" si="23"/>
        <v>2864</v>
      </c>
      <c r="K83" s="18">
        <f t="shared" si="24"/>
        <v>1599.0388508072983</v>
      </c>
      <c r="L83" s="17">
        <v>10</v>
      </c>
      <c r="M83" s="17">
        <f t="shared" si="30"/>
        <v>26931.673589710805</v>
      </c>
      <c r="N83" s="16">
        <f t="shared" si="31"/>
        <v>11104.68917566382</v>
      </c>
      <c r="O83" s="15">
        <v>25</v>
      </c>
      <c r="P83" s="14">
        <f t="shared" si="25"/>
        <v>4475</v>
      </c>
      <c r="Q83" s="13">
        <f t="shared" si="26"/>
        <v>0.1661612296426192</v>
      </c>
      <c r="R83" s="13">
        <f t="shared" si="27"/>
        <v>0.57848945494482784</v>
      </c>
      <c r="S83" s="37">
        <f>IF(OR($P83=0,ISERROR(P83/G83)),"-",(VLOOKUP(L83,'APP 2885'!$B$10:$G$54,6)*$G83)/($P83+$N83))</f>
        <v>2.0202717473321226</v>
      </c>
      <c r="T83" s="12">
        <f t="shared" si="28"/>
        <v>5.9373913228259537E-2</v>
      </c>
      <c r="U83" s="11">
        <f t="shared" si="29"/>
        <v>0.47170213853046822</v>
      </c>
      <c r="V83" s="37">
        <f>IF(OR($P83=0,ISERROR(P83/G83)),"-",(VLOOKUP(L83,'APP 2885'!$B$10:$G$54,4)*$G83)/($K83+$N83))</f>
        <v>2.2523957898045177</v>
      </c>
      <c r="W83" s="2"/>
      <c r="X83" s="2"/>
    </row>
    <row r="84" spans="1:24" ht="15.75" thickBot="1" x14ac:dyDescent="0.3">
      <c r="A84" s="30" t="s">
        <v>71</v>
      </c>
      <c r="B84" s="30" t="s">
        <v>28</v>
      </c>
      <c r="C84" s="30" t="s">
        <v>73</v>
      </c>
      <c r="D84" s="27">
        <v>17</v>
      </c>
      <c r="E84" s="27">
        <v>19</v>
      </c>
      <c r="F84" s="29">
        <v>25.75</v>
      </c>
      <c r="G84" s="27">
        <f t="shared" si="22"/>
        <v>489.25</v>
      </c>
      <c r="H84" s="25">
        <v>64.34</v>
      </c>
      <c r="I84" s="24">
        <f t="shared" si="21"/>
        <v>14.187946397453192</v>
      </c>
      <c r="J84" s="24">
        <f t="shared" si="23"/>
        <v>1222.46</v>
      </c>
      <c r="K84" s="28">
        <f t="shared" si="24"/>
        <v>981.26491124329573</v>
      </c>
      <c r="L84" s="27">
        <v>15</v>
      </c>
      <c r="M84" s="27">
        <f t="shared" si="30"/>
        <v>5675.1785589812762</v>
      </c>
      <c r="N84" s="26">
        <f t="shared" si="31"/>
        <v>1686.2101735547872</v>
      </c>
      <c r="O84" s="25">
        <v>25</v>
      </c>
      <c r="P84" s="24">
        <f t="shared" si="25"/>
        <v>475</v>
      </c>
      <c r="Q84" s="23">
        <f t="shared" si="26"/>
        <v>8.3697807049310693E-2</v>
      </c>
      <c r="R84" s="23">
        <f t="shared" si="27"/>
        <v>0.3808180044193597</v>
      </c>
      <c r="S84" s="38">
        <f>IF(OR($P84=0,ISERROR(P84/G84)),"-",(VLOOKUP(L84,'APP 2885'!$B$10:$G$54,6)*$G84)/($P84+$N84))</f>
        <v>3.4440975021629119</v>
      </c>
      <c r="T84" s="22">
        <f t="shared" si="28"/>
        <v>0.17290467622210601</v>
      </c>
      <c r="U84" s="21">
        <f t="shared" si="29"/>
        <v>0.47002487359215506</v>
      </c>
      <c r="V84" s="38">
        <f>IF(OR($P84=0,ISERROR(P84/G84)),"-",(VLOOKUP(L84,'APP 2885'!$B$10:$G$54,4)*$G84)/($K84+$N84))</f>
        <v>2.536760018630313</v>
      </c>
      <c r="W84" s="2"/>
      <c r="X84" s="2"/>
    </row>
    <row r="85" spans="1:24" ht="15.75" thickBot="1" x14ac:dyDescent="0.3">
      <c r="A85" s="20" t="s">
        <v>71</v>
      </c>
      <c r="B85" s="20" t="s">
        <v>28</v>
      </c>
      <c r="C85" s="20" t="s">
        <v>72</v>
      </c>
      <c r="D85" s="17">
        <v>28</v>
      </c>
      <c r="E85" s="17">
        <v>28</v>
      </c>
      <c r="F85" s="19">
        <v>17</v>
      </c>
      <c r="G85" s="17">
        <f t="shared" si="22"/>
        <v>476</v>
      </c>
      <c r="H85" s="15">
        <v>16</v>
      </c>
      <c r="I85" s="14">
        <f t="shared" si="21"/>
        <v>6.7496357615429776</v>
      </c>
      <c r="J85" s="14">
        <f t="shared" si="23"/>
        <v>448</v>
      </c>
      <c r="K85" s="18">
        <f t="shared" si="24"/>
        <v>259.01019867679662</v>
      </c>
      <c r="L85" s="17">
        <v>10</v>
      </c>
      <c r="M85" s="17">
        <f t="shared" si="30"/>
        <v>3978.7326594358606</v>
      </c>
      <c r="N85" s="16">
        <f t="shared" si="31"/>
        <v>1640.5437764171256</v>
      </c>
      <c r="O85" s="15">
        <v>25</v>
      </c>
      <c r="P85" s="14">
        <f t="shared" si="25"/>
        <v>700</v>
      </c>
      <c r="Q85" s="13">
        <f t="shared" si="26"/>
        <v>0.17593541962159681</v>
      </c>
      <c r="R85" s="13">
        <f t="shared" si="27"/>
        <v>0.58826364492380556</v>
      </c>
      <c r="S85" s="37">
        <f>IF(OR($P85=0,ISERROR(P85/G85)),"-",(VLOOKUP(L85,'APP 2885'!$B$10:$G$54,6)*$G85)/($P85+$N85))</f>
        <v>1.986704281387252</v>
      </c>
      <c r="T85" s="12">
        <f t="shared" si="28"/>
        <v>6.5098668557821968E-2</v>
      </c>
      <c r="U85" s="11">
        <f t="shared" si="29"/>
        <v>0.47742689386003068</v>
      </c>
      <c r="V85" s="37">
        <f>IF(OR($P85=0,ISERROR(P85/G85)),"-",(VLOOKUP(L85,'APP 2885'!$B$10:$G$54,4)*$G85)/($K85+$N85))</f>
        <v>2.2253876447506955</v>
      </c>
      <c r="W85" s="2"/>
      <c r="X85" s="2"/>
    </row>
    <row r="86" spans="1:24" ht="15.75" thickBot="1" x14ac:dyDescent="0.3">
      <c r="A86" s="30" t="s">
        <v>71</v>
      </c>
      <c r="B86" s="30" t="s">
        <v>29</v>
      </c>
      <c r="C86" s="30" t="s">
        <v>73</v>
      </c>
      <c r="D86" s="27">
        <v>105</v>
      </c>
      <c r="E86" s="27">
        <v>111</v>
      </c>
      <c r="F86" s="29">
        <v>25.3</v>
      </c>
      <c r="G86" s="27">
        <f t="shared" si="22"/>
        <v>2808.3</v>
      </c>
      <c r="H86" s="25">
        <v>64.34</v>
      </c>
      <c r="I86" s="24">
        <f t="shared" ref="I86:I113" si="32">PV($B$119,$L86,(-0.05*0.95*$F86))</f>
        <v>13.940001703128768</v>
      </c>
      <c r="J86" s="24">
        <f t="shared" si="23"/>
        <v>7141.7400000000007</v>
      </c>
      <c r="K86" s="28">
        <f t="shared" si="24"/>
        <v>5678.0398211714801</v>
      </c>
      <c r="L86" s="27">
        <v>15</v>
      </c>
      <c r="M86" s="27">
        <f t="shared" si="30"/>
        <v>32575.58292731144</v>
      </c>
      <c r="N86" s="26">
        <f t="shared" si="31"/>
        <v>9678.8636288071721</v>
      </c>
      <c r="O86" s="25">
        <v>25</v>
      </c>
      <c r="P86" s="24">
        <f t="shared" si="25"/>
        <v>2775</v>
      </c>
      <c r="Q86" s="23">
        <f t="shared" si="26"/>
        <v>8.518650322212451E-2</v>
      </c>
      <c r="R86" s="23">
        <f t="shared" si="27"/>
        <v>0.38230670059217348</v>
      </c>
      <c r="S86" s="38">
        <f>IF(OR($P86=0,ISERROR(P86/G86)),"-",(VLOOKUP(L86,'APP 2885'!$B$10:$G$54,6)*$G86)/($P86+$N86))</f>
        <v>3.4306862416165345</v>
      </c>
      <c r="T86" s="22">
        <f t="shared" si="28"/>
        <v>0.17430355226002722</v>
      </c>
      <c r="U86" s="21">
        <f t="shared" si="29"/>
        <v>0.47142374963007616</v>
      </c>
      <c r="V86" s="38">
        <f>IF(OR($P86=0,ISERROR(P86/G86)),"-",(VLOOKUP(L86,'APP 2885'!$B$10:$G$54,4)*$G86)/($K86+$N86))</f>
        <v>2.529232581145878</v>
      </c>
      <c r="W86" s="2"/>
      <c r="X86" s="2"/>
    </row>
    <row r="87" spans="1:24" ht="15.75" thickBot="1" x14ac:dyDescent="0.3">
      <c r="A87" s="20" t="s">
        <v>71</v>
      </c>
      <c r="B87" s="20" t="s">
        <v>29</v>
      </c>
      <c r="C87" s="20" t="s">
        <v>72</v>
      </c>
      <c r="D87" s="17">
        <v>127</v>
      </c>
      <c r="E87" s="17">
        <v>129</v>
      </c>
      <c r="F87" s="19">
        <v>20</v>
      </c>
      <c r="G87" s="17">
        <f t="shared" si="22"/>
        <v>2580</v>
      </c>
      <c r="H87" s="15">
        <v>16</v>
      </c>
      <c r="I87" s="14">
        <f t="shared" si="32"/>
        <v>7.9407479547564437</v>
      </c>
      <c r="J87" s="14">
        <f t="shared" si="23"/>
        <v>2064</v>
      </c>
      <c r="K87" s="18">
        <f t="shared" si="24"/>
        <v>1055.5250097459316</v>
      </c>
      <c r="L87" s="17">
        <v>10</v>
      </c>
      <c r="M87" s="17">
        <f t="shared" si="30"/>
        <v>21565.399708706973</v>
      </c>
      <c r="N87" s="16">
        <f t="shared" si="31"/>
        <v>8892.0229898239159</v>
      </c>
      <c r="O87" s="15">
        <v>25</v>
      </c>
      <c r="P87" s="14">
        <f t="shared" si="25"/>
        <v>3225</v>
      </c>
      <c r="Q87" s="13">
        <f t="shared" si="26"/>
        <v>0.14954510667835733</v>
      </c>
      <c r="R87" s="13">
        <f t="shared" si="27"/>
        <v>0.5618733319805661</v>
      </c>
      <c r="S87" s="37">
        <f>IF(OR($P87=0,ISERROR(P87/G87)),"-",(VLOOKUP(L87,'APP 2885'!$B$10:$G$54,6)*$G87)/($P87+$N87))</f>
        <v>2.0800166789105017</v>
      </c>
      <c r="T87" s="12">
        <f t="shared" si="28"/>
        <v>4.8945302382675811E-2</v>
      </c>
      <c r="U87" s="11">
        <f t="shared" si="29"/>
        <v>0.46127352768488461</v>
      </c>
      <c r="V87" s="37">
        <f>IF(OR($P87=0,ISERROR(P87/G87)),"-",(VLOOKUP(L87,'APP 2885'!$B$10:$G$54,4)*$G87)/($K87+$N87))</f>
        <v>2.3033186322229731</v>
      </c>
      <c r="W87" s="2"/>
      <c r="X87" s="2"/>
    </row>
    <row r="88" spans="1:24" ht="15.75" thickBot="1" x14ac:dyDescent="0.3">
      <c r="A88" s="30" t="s">
        <v>74</v>
      </c>
      <c r="B88" s="30" t="s">
        <v>26</v>
      </c>
      <c r="C88" s="30" t="s">
        <v>75</v>
      </c>
      <c r="D88" s="27">
        <v>26</v>
      </c>
      <c r="E88" s="27">
        <f>16952+250</f>
        <v>17202</v>
      </c>
      <c r="F88" s="29">
        <v>7.0000000000000007E-2</v>
      </c>
      <c r="G88" s="27">
        <f t="shared" si="22"/>
        <v>1204.1400000000001</v>
      </c>
      <c r="H88" s="25">
        <v>1.18</v>
      </c>
      <c r="I88" s="24">
        <f t="shared" si="32"/>
        <v>7.6072683872803332E-2</v>
      </c>
      <c r="J88" s="24">
        <f t="shared" si="23"/>
        <v>20298.36</v>
      </c>
      <c r="K88" s="28">
        <f t="shared" si="24"/>
        <v>20296.382110219307</v>
      </c>
      <c r="L88" s="27">
        <v>45</v>
      </c>
      <c r="M88" s="27">
        <f t="shared" si="30"/>
        <v>27549.522273262377</v>
      </c>
      <c r="N88" s="26">
        <f t="shared" si="31"/>
        <v>4150.093241459911</v>
      </c>
      <c r="O88" s="25">
        <v>1.25</v>
      </c>
      <c r="P88" s="24">
        <f t="shared" si="25"/>
        <v>21502.5</v>
      </c>
      <c r="Q88" s="23">
        <f t="shared" si="26"/>
        <v>0.78050355235628932</v>
      </c>
      <c r="R88" s="23">
        <f t="shared" si="27"/>
        <v>0.93114475768447391</v>
      </c>
      <c r="S88" s="38">
        <f>IF(OR($P88=0,ISERROR(P88/G88)),"-",(VLOOKUP(L88,'APP 2885'!$B$10:$G$54,6)*$G88)/($P88+$N88))</f>
        <v>2.8758730390167044</v>
      </c>
      <c r="T88" s="22">
        <f t="shared" si="28"/>
        <v>0.73672355944689261</v>
      </c>
      <c r="U88" s="21">
        <f t="shared" si="29"/>
        <v>0.8873647647750772</v>
      </c>
      <c r="V88" s="38">
        <f>IF(OR($P88=0,ISERROR(P88/G88)),"-",(VLOOKUP(L88,'APP 2885'!$B$10:$G$54,4)*$G88)/($K88+$N88))</f>
        <v>2.7434183984953782</v>
      </c>
      <c r="W88" s="2"/>
      <c r="X88" s="2"/>
    </row>
    <row r="89" spans="1:24" ht="15.75" thickBot="1" x14ac:dyDescent="0.3">
      <c r="A89" s="20" t="s">
        <v>74</v>
      </c>
      <c r="B89" s="20" t="s">
        <v>26</v>
      </c>
      <c r="C89" s="20" t="s">
        <v>75</v>
      </c>
      <c r="D89" s="17">
        <v>30</v>
      </c>
      <c r="E89" s="17">
        <f>22443</f>
        <v>22443</v>
      </c>
      <c r="F89" s="19">
        <v>7.0999999999999994E-2</v>
      </c>
      <c r="G89" s="17">
        <f t="shared" si="22"/>
        <v>1593.4529999999997</v>
      </c>
      <c r="H89" s="15">
        <v>1.18</v>
      </c>
      <c r="I89" s="14">
        <f t="shared" si="32"/>
        <v>7.7159436499557643E-2</v>
      </c>
      <c r="J89" s="14">
        <f t="shared" si="23"/>
        <v>26482.739999999998</v>
      </c>
      <c r="K89" s="18">
        <f t="shared" si="24"/>
        <v>26480.425216905012</v>
      </c>
      <c r="L89" s="17">
        <v>45</v>
      </c>
      <c r="M89" s="17">
        <f t="shared" si="30"/>
        <v>36456.615439148889</v>
      </c>
      <c r="N89" s="16">
        <f t="shared" si="31"/>
        <v>5491.8684919394909</v>
      </c>
      <c r="O89" s="15">
        <v>0.75</v>
      </c>
      <c r="P89" s="14">
        <f t="shared" si="25"/>
        <v>16832.25</v>
      </c>
      <c r="Q89" s="13">
        <f t="shared" si="26"/>
        <v>0.46170632674597406</v>
      </c>
      <c r="R89" s="13">
        <f t="shared" si="27"/>
        <v>0.6123475320741586</v>
      </c>
      <c r="S89" s="37">
        <f>IF(OR($P89=0,ISERROR(P89/G89)),"-",(VLOOKUP(L89,'APP 2885'!$B$10:$G$54,6)*$G89)/($P89+$N89))</f>
        <v>4.373095282961339</v>
      </c>
      <c r="T89" s="12">
        <f t="shared" si="28"/>
        <v>0.7263544598950632</v>
      </c>
      <c r="U89" s="11">
        <f t="shared" si="29"/>
        <v>0.87699566522324768</v>
      </c>
      <c r="V89" s="37">
        <f>IF(OR($P89=0,ISERROR(P89/G89)),"-",(VLOOKUP(L89,'APP 2885'!$B$10:$G$54,4)*$G89)/($K89+$N89))</f>
        <v>2.7758550223173191</v>
      </c>
      <c r="W89" s="2"/>
      <c r="X89" s="2"/>
    </row>
    <row r="90" spans="1:24" ht="15.75" thickBot="1" x14ac:dyDescent="0.3">
      <c r="A90" s="30" t="s">
        <v>74</v>
      </c>
      <c r="B90" s="30" t="s">
        <v>28</v>
      </c>
      <c r="C90" s="30" t="s">
        <v>75</v>
      </c>
      <c r="D90" s="27">
        <v>6</v>
      </c>
      <c r="E90" s="27">
        <v>4414.8</v>
      </c>
      <c r="F90" s="29">
        <v>7.0000000000000007E-2</v>
      </c>
      <c r="G90" s="27">
        <f t="shared" si="22"/>
        <v>309.03600000000006</v>
      </c>
      <c r="H90" s="25">
        <v>1.18</v>
      </c>
      <c r="I90" s="24">
        <f t="shared" si="32"/>
        <v>7.6072683872803332E-2</v>
      </c>
      <c r="J90" s="24">
        <f t="shared" si="23"/>
        <v>5209.4639999999999</v>
      </c>
      <c r="K90" s="28">
        <f t="shared" si="24"/>
        <v>5209.0075638967628</v>
      </c>
      <c r="L90" s="27">
        <v>45</v>
      </c>
      <c r="M90" s="27">
        <f t="shared" si="30"/>
        <v>7070.4354686663619</v>
      </c>
      <c r="N90" s="26">
        <f t="shared" si="31"/>
        <v>1065.0989211950482</v>
      </c>
      <c r="O90" s="25">
        <v>1.25</v>
      </c>
      <c r="P90" s="24">
        <f t="shared" si="25"/>
        <v>5518.5</v>
      </c>
      <c r="Q90" s="23">
        <f t="shared" si="26"/>
        <v>0.78050355235628921</v>
      </c>
      <c r="R90" s="23">
        <f t="shared" si="27"/>
        <v>0.9311447576844738</v>
      </c>
      <c r="S90" s="38">
        <f>IF(OR($P90=0,ISERROR(P90/G90)),"-",(VLOOKUP(L90,'APP 2885'!$B$10:$G$54,6)*$G90)/($P90+$N90))</f>
        <v>2.8758730390167044</v>
      </c>
      <c r="T90" s="22">
        <f t="shared" si="28"/>
        <v>0.73673079783857998</v>
      </c>
      <c r="U90" s="21">
        <f t="shared" si="29"/>
        <v>0.88737200316676457</v>
      </c>
      <c r="V90" s="38">
        <f>IF(OR($P90=0,ISERROR(P90/G90)),"-",(VLOOKUP(L90,'APP 2885'!$B$10:$G$54,4)*$G90)/($K90+$N90))</f>
        <v>2.7433960201277263</v>
      </c>
      <c r="W90" s="2"/>
      <c r="X90" s="2"/>
    </row>
    <row r="91" spans="1:24" ht="15.75" thickBot="1" x14ac:dyDescent="0.3">
      <c r="A91" s="20" t="s">
        <v>74</v>
      </c>
      <c r="B91" s="20" t="s">
        <v>28</v>
      </c>
      <c r="C91" s="20" t="s">
        <v>75</v>
      </c>
      <c r="D91" s="17">
        <v>5</v>
      </c>
      <c r="E91" s="17">
        <v>2874</v>
      </c>
      <c r="F91" s="19">
        <v>6.5000000000000002E-2</v>
      </c>
      <c r="G91" s="17">
        <f t="shared" si="22"/>
        <v>186.81</v>
      </c>
      <c r="H91" s="15">
        <v>1.18</v>
      </c>
      <c r="I91" s="14">
        <f t="shared" si="32"/>
        <v>7.0638920739031663E-2</v>
      </c>
      <c r="J91" s="14">
        <f t="shared" si="23"/>
        <v>3391.3199999999997</v>
      </c>
      <c r="K91" s="18">
        <f t="shared" si="24"/>
        <v>3390.9668053963046</v>
      </c>
      <c r="L91" s="17">
        <v>45</v>
      </c>
      <c r="M91" s="17">
        <f t="shared" si="30"/>
        <v>4274.0264885047782</v>
      </c>
      <c r="N91" s="16">
        <f t="shared" si="31"/>
        <v>643.84450183294791</v>
      </c>
      <c r="O91" s="15">
        <v>0.75</v>
      </c>
      <c r="P91" s="14">
        <f t="shared" si="25"/>
        <v>2155.5</v>
      </c>
      <c r="Q91" s="13">
        <f t="shared" si="26"/>
        <v>0.50432537229175622</v>
      </c>
      <c r="R91" s="13">
        <f t="shared" si="27"/>
        <v>0.65496657761994082</v>
      </c>
      <c r="S91" s="37">
        <f>IF(OR($P91=0,ISERROR(P91/G91)),"-",(VLOOKUP(L91,'APP 2885'!$B$10:$G$54,6)*$G91)/($P91+$N91))</f>
        <v>4.0885355002044186</v>
      </c>
      <c r="T91" s="12">
        <f t="shared" si="28"/>
        <v>0.79338928163325384</v>
      </c>
      <c r="U91" s="11">
        <f t="shared" si="29"/>
        <v>0.94403048696143843</v>
      </c>
      <c r="V91" s="37">
        <f>IF(OR($P91=0,ISERROR(P91/G91)),"-",(VLOOKUP(L91,'APP 2885'!$B$10:$G$54,4)*$G91)/($K91+$N91))</f>
        <v>2.5787438599532337</v>
      </c>
      <c r="W91" s="2"/>
      <c r="X91" s="2"/>
    </row>
    <row r="92" spans="1:24" ht="15.75" thickBot="1" x14ac:dyDescent="0.3">
      <c r="A92" s="30" t="s">
        <v>74</v>
      </c>
      <c r="B92" s="30" t="s">
        <v>29</v>
      </c>
      <c r="C92" s="30" t="s">
        <v>75</v>
      </c>
      <c r="D92" s="27">
        <v>23</v>
      </c>
      <c r="E92" s="27">
        <v>21499</v>
      </c>
      <c r="F92" s="29">
        <v>7.0000000000000007E-2</v>
      </c>
      <c r="G92" s="27">
        <f t="shared" si="22"/>
        <v>1504.93</v>
      </c>
      <c r="H92" s="25">
        <v>1.18</v>
      </c>
      <c r="I92" s="24">
        <f t="shared" si="32"/>
        <v>7.6072683872803332E-2</v>
      </c>
      <c r="J92" s="24">
        <f t="shared" si="23"/>
        <v>25368.82</v>
      </c>
      <c r="K92" s="28">
        <f t="shared" si="24"/>
        <v>25367.070328270926</v>
      </c>
      <c r="L92" s="27">
        <v>45</v>
      </c>
      <c r="M92" s="27">
        <f t="shared" si="30"/>
        <v>34431.297485924188</v>
      </c>
      <c r="N92" s="26">
        <f t="shared" si="31"/>
        <v>5186.7721542929094</v>
      </c>
      <c r="O92" s="25">
        <v>1.25</v>
      </c>
      <c r="P92" s="24">
        <f t="shared" si="25"/>
        <v>26873.75</v>
      </c>
      <c r="Q92" s="23">
        <f t="shared" si="26"/>
        <v>0.78050355235628921</v>
      </c>
      <c r="R92" s="23">
        <f t="shared" si="27"/>
        <v>0.9311447576844738</v>
      </c>
      <c r="S92" s="38">
        <f>IF(OR($P92=0,ISERROR(P92/G92)),"-",(VLOOKUP(L92,'APP 2885'!$B$10:$G$54,6)*$G92)/($P92+$N92))</f>
        <v>2.8758730390167044</v>
      </c>
      <c r="T92" s="22">
        <f t="shared" si="28"/>
        <v>0.73674453710729904</v>
      </c>
      <c r="U92" s="21">
        <f t="shared" si="29"/>
        <v>0.88738574243548363</v>
      </c>
      <c r="V92" s="38">
        <f>IF(OR($P92=0,ISERROR(P92/G92)),"-",(VLOOKUP(L92,'APP 2885'!$B$10:$G$54,4)*$G92)/($K92+$N92))</f>
        <v>2.7433535445127588</v>
      </c>
      <c r="W92" s="2"/>
      <c r="X92" s="2"/>
    </row>
    <row r="93" spans="1:24" ht="15.75" thickBot="1" x14ac:dyDescent="0.3">
      <c r="A93" s="20" t="s">
        <v>74</v>
      </c>
      <c r="B93" s="20" t="s">
        <v>29</v>
      </c>
      <c r="C93" s="20" t="s">
        <v>75</v>
      </c>
      <c r="D93" s="17">
        <v>10</v>
      </c>
      <c r="E93" s="17">
        <v>18805</v>
      </c>
      <c r="F93" s="19">
        <v>7.5999999999999998E-2</v>
      </c>
      <c r="G93" s="17">
        <f t="shared" si="22"/>
        <v>1429.18</v>
      </c>
      <c r="H93" s="15">
        <v>1.18</v>
      </c>
      <c r="I93" s="14">
        <f t="shared" si="32"/>
        <v>8.2593199633329326E-2</v>
      </c>
      <c r="J93" s="14">
        <f t="shared" si="23"/>
        <v>22189.899999999998</v>
      </c>
      <c r="K93" s="18">
        <f t="shared" si="24"/>
        <v>22189.074068003665</v>
      </c>
      <c r="L93" s="17">
        <v>45</v>
      </c>
      <c r="M93" s="17">
        <f t="shared" si="30"/>
        <v>32698.213033784381</v>
      </c>
      <c r="N93" s="16">
        <f t="shared" si="31"/>
        <v>4925.6982234870329</v>
      </c>
      <c r="O93" s="15">
        <v>0.75</v>
      </c>
      <c r="P93" s="14">
        <f t="shared" si="25"/>
        <v>14103.75</v>
      </c>
      <c r="Q93" s="13">
        <f t="shared" si="26"/>
        <v>0.43133091051268618</v>
      </c>
      <c r="R93" s="13">
        <f t="shared" si="27"/>
        <v>0.58197211584087072</v>
      </c>
      <c r="S93" s="37">
        <f>IF(OR($P93=0,ISERROR(P93/G93)),"-",(VLOOKUP(L93,'APP 2885'!$B$10:$G$54,6)*$G93)/($P93+$N93))</f>
        <v>4.601344344784259</v>
      </c>
      <c r="T93" s="12">
        <f t="shared" si="28"/>
        <v>0.67860203996706225</v>
      </c>
      <c r="U93" s="11">
        <f t="shared" si="29"/>
        <v>0.82924324529524684</v>
      </c>
      <c r="V93" s="37">
        <f>IF(OR($P93=0,ISERROR(P93/G93)),"-",(VLOOKUP(L93,'APP 2885'!$B$10:$G$54,4)*$G93)/($K93+$N93))</f>
        <v>2.9357041322582167</v>
      </c>
      <c r="W93" s="2"/>
      <c r="X93" s="2"/>
    </row>
    <row r="94" spans="1:24" ht="15.75" thickBot="1" x14ac:dyDescent="0.3">
      <c r="A94" s="30" t="s">
        <v>76</v>
      </c>
      <c r="B94" s="30" t="s">
        <v>26</v>
      </c>
      <c r="C94" s="30" t="s">
        <v>77</v>
      </c>
      <c r="D94" s="27">
        <v>11</v>
      </c>
      <c r="E94" s="27">
        <v>11</v>
      </c>
      <c r="F94" s="29">
        <v>75</v>
      </c>
      <c r="G94" s="27">
        <f t="shared" si="22"/>
        <v>825</v>
      </c>
      <c r="H94" s="25">
        <v>750</v>
      </c>
      <c r="I94" s="24">
        <f t="shared" si="32"/>
        <v>41.324115720737453</v>
      </c>
      <c r="J94" s="24">
        <f t="shared" si="23"/>
        <v>8250</v>
      </c>
      <c r="K94" s="28">
        <f t="shared" si="24"/>
        <v>7795.4347270718881</v>
      </c>
      <c r="L94" s="27">
        <v>15</v>
      </c>
      <c r="M94" s="27">
        <f t="shared" si="30"/>
        <v>9569.795219539199</v>
      </c>
      <c r="N94" s="26">
        <f t="shared" si="31"/>
        <v>2843.3794444204382</v>
      </c>
      <c r="O94" s="25">
        <v>300</v>
      </c>
      <c r="P94" s="24">
        <f t="shared" si="25"/>
        <v>3300</v>
      </c>
      <c r="Q94" s="23">
        <f t="shared" si="26"/>
        <v>0.34483496504316008</v>
      </c>
      <c r="R94" s="23">
        <f t="shared" si="27"/>
        <v>0.64195516241320905</v>
      </c>
      <c r="S94" s="38">
        <f>IF(OR($P94=0,ISERROR(P94/G94)),"-",(VLOOKUP(L94,'APP 2885'!$B$10:$G$54,6)*$G94)/($P94+$N94))</f>
        <v>2.0430933725479674</v>
      </c>
      <c r="T94" s="22">
        <f t="shared" si="28"/>
        <v>0.81458741260790013</v>
      </c>
      <c r="U94" s="21">
        <f t="shared" si="29"/>
        <v>1.111707609977949</v>
      </c>
      <c r="V94" s="38">
        <f>IF(OR($P94=0,ISERROR(P94/G94)),"-",(VLOOKUP(L94,'APP 2885'!$B$10:$G$54,4)*$G94)/($K94+$N94))</f>
        <v>1.0725304894818486</v>
      </c>
      <c r="W94" s="2"/>
      <c r="X94" s="2"/>
    </row>
    <row r="95" spans="1:24" ht="15.75" thickBot="1" x14ac:dyDescent="0.3">
      <c r="A95" s="20" t="s">
        <v>76</v>
      </c>
      <c r="B95" s="20" t="s">
        <v>26</v>
      </c>
      <c r="C95" s="20" t="s">
        <v>77</v>
      </c>
      <c r="D95" s="17">
        <v>7</v>
      </c>
      <c r="E95" s="17">
        <v>7</v>
      </c>
      <c r="F95" s="19">
        <v>75</v>
      </c>
      <c r="G95" s="17">
        <f t="shared" si="22"/>
        <v>525</v>
      </c>
      <c r="H95" s="15">
        <v>750</v>
      </c>
      <c r="I95" s="14">
        <f t="shared" si="32"/>
        <v>36.935801267520759</v>
      </c>
      <c r="J95" s="14">
        <f t="shared" si="23"/>
        <v>5250</v>
      </c>
      <c r="K95" s="18">
        <f t="shared" si="24"/>
        <v>4991.4493911273548</v>
      </c>
      <c r="L95" s="17">
        <v>13</v>
      </c>
      <c r="M95" s="17">
        <f t="shared" si="30"/>
        <v>5443.1707131083231</v>
      </c>
      <c r="N95" s="16">
        <f t="shared" si="31"/>
        <v>1809.4232828130062</v>
      </c>
      <c r="O95" s="15">
        <v>150</v>
      </c>
      <c r="P95" s="14">
        <f t="shared" si="25"/>
        <v>1050</v>
      </c>
      <c r="Q95" s="13">
        <f t="shared" si="26"/>
        <v>0.19290227246986297</v>
      </c>
      <c r="R95" s="13">
        <f t="shared" si="27"/>
        <v>0.52532309448368053</v>
      </c>
      <c r="S95" s="37">
        <f>IF(OR($P95=0,ISERROR(P95/G95)),"-",(VLOOKUP(L95,'APP 2885'!$B$10:$G$54,6)*$G95)/($P95+$N95))</f>
        <v>2.3850689746544691</v>
      </c>
      <c r="T95" s="12">
        <f t="shared" si="28"/>
        <v>0.9170113623493148</v>
      </c>
      <c r="U95" s="11">
        <f t="shared" si="29"/>
        <v>1.2494321843631324</v>
      </c>
      <c r="V95" s="37">
        <f>IF(OR($P95=0,ISERROR(P95/G95)),"-",(VLOOKUP(L95,'APP 2885'!$B$10:$G$54,4)*$G95)/($K95+$N95))</f>
        <v>0.91163725119819516</v>
      </c>
      <c r="W95" s="2"/>
      <c r="X95" s="2"/>
    </row>
    <row r="96" spans="1:24" ht="15.75" thickBot="1" x14ac:dyDescent="0.3">
      <c r="A96" s="30" t="s">
        <v>76</v>
      </c>
      <c r="B96" s="30" t="s">
        <v>29</v>
      </c>
      <c r="C96" s="30" t="s">
        <v>77</v>
      </c>
      <c r="D96" s="27">
        <v>1</v>
      </c>
      <c r="E96" s="27">
        <v>1</v>
      </c>
      <c r="F96" s="29">
        <v>84</v>
      </c>
      <c r="G96" s="27">
        <f t="shared" si="22"/>
        <v>84</v>
      </c>
      <c r="H96" s="25">
        <v>750</v>
      </c>
      <c r="I96" s="24">
        <f t="shared" si="32"/>
        <v>46.283009607225949</v>
      </c>
      <c r="J96" s="24">
        <f t="shared" si="23"/>
        <v>750</v>
      </c>
      <c r="K96" s="28">
        <f t="shared" si="24"/>
        <v>703.71699039277405</v>
      </c>
      <c r="L96" s="27">
        <v>15</v>
      </c>
      <c r="M96" s="27">
        <f t="shared" si="30"/>
        <v>974.37914962580942</v>
      </c>
      <c r="N96" s="26">
        <f t="shared" si="31"/>
        <v>289.50772525008097</v>
      </c>
      <c r="O96" s="25">
        <v>300</v>
      </c>
      <c r="P96" s="24">
        <f t="shared" si="25"/>
        <v>300</v>
      </c>
      <c r="Q96" s="23">
        <f t="shared" si="26"/>
        <v>0.30788836164567862</v>
      </c>
      <c r="R96" s="23">
        <f t="shared" si="27"/>
        <v>0.60500855901572759</v>
      </c>
      <c r="S96" s="38">
        <f>IF(OR($P96=0,ISERROR(P96/G96)),"-",(VLOOKUP(L96,'APP 2885'!$B$10:$G$54,6)*$G96)/($P96+$N96))</f>
        <v>2.1678607984210125</v>
      </c>
      <c r="T96" s="22">
        <f t="shared" si="28"/>
        <v>0.72222090411419648</v>
      </c>
      <c r="U96" s="21">
        <f t="shared" si="29"/>
        <v>1.0193411014842455</v>
      </c>
      <c r="V96" s="38">
        <f>IF(OR($P96=0,ISERROR(P96/G96)),"-",(VLOOKUP(L96,'APP 2885'!$B$10:$G$54,4)*$G96)/($K96+$N96))</f>
        <v>1.1697166977317006</v>
      </c>
      <c r="W96" s="2"/>
      <c r="X96" s="2"/>
    </row>
    <row r="97" spans="1:24" ht="15.75" thickBot="1" x14ac:dyDescent="0.3">
      <c r="A97" s="20" t="s">
        <v>78</v>
      </c>
      <c r="B97" s="20" t="s">
        <v>29</v>
      </c>
      <c r="C97" s="20" t="s">
        <v>79</v>
      </c>
      <c r="D97" s="17">
        <v>2</v>
      </c>
      <c r="E97" s="17">
        <v>536.66999999999996</v>
      </c>
      <c r="F97" s="19">
        <v>0.34899999999999998</v>
      </c>
      <c r="G97" s="17">
        <f t="shared" ref="G97:G109" si="33">IF(ISNUMBER(E97),E97*F97,"")</f>
        <v>187.29782999999998</v>
      </c>
      <c r="H97" s="15">
        <v>29.12</v>
      </c>
      <c r="I97" s="14">
        <f t="shared" si="32"/>
        <v>0.37927666673726224</v>
      </c>
      <c r="J97" s="14">
        <f t="shared" ref="J97:J109" si="34">IF(ISNUMBER(H97),H97*E97,"")</f>
        <v>15627.830399999999</v>
      </c>
      <c r="K97" s="18">
        <f t="shared" ref="K97:K109" si="35">J97-D97*(I97)</f>
        <v>15627.071846666524</v>
      </c>
      <c r="L97" s="17">
        <v>45</v>
      </c>
      <c r="M97" s="17">
        <f t="shared" si="30"/>
        <v>4285.1875523765584</v>
      </c>
      <c r="N97" s="16">
        <f t="shared" si="31"/>
        <v>645.52581794733771</v>
      </c>
      <c r="O97" s="15">
        <v>9</v>
      </c>
      <c r="P97" s="14">
        <f t="shared" ref="P97:P109" si="36">IF(ISNUMBER(O97),O97*E97,"")</f>
        <v>4830.03</v>
      </c>
      <c r="Q97" s="13">
        <f t="shared" ref="Q97:Q114" si="37">IF(ISERROR(P97/M97),0,P97/M97)</f>
        <v>1.1271455311964753</v>
      </c>
      <c r="R97" s="13">
        <f t="shared" ref="R97:R114" si="38">IF(ISERROR((N97+P97)/M97),0,(N97+P97)/M97)</f>
        <v>1.2777867365246598</v>
      </c>
      <c r="S97" s="37">
        <f>IF(OR($P97=0,ISERROR(P97/G97)),"-",(VLOOKUP(L97,'APP 2885'!$B$10:$G$54,6)*$G97)/($P97+$N97))</f>
        <v>2.0956972141765857</v>
      </c>
      <c r="T97" s="12">
        <f t="shared" ref="T97:T109" si="39">IF(ISERROR(RK97/M97),0,K97/M97)</f>
        <v>3.6467649678483207</v>
      </c>
      <c r="U97" s="11">
        <f t="shared" ref="U97:U114" si="40">IF(ISERROR(K97/M97),0,(K97+N97)/M97)</f>
        <v>3.7974061731765052</v>
      </c>
      <c r="V97" s="37">
        <f>IF(OR($P97=0,ISERROR(P97/G97)),"-",(VLOOKUP(L97,'APP 2885'!$B$10:$G$54,4)*$G97)/($K97+$N97))</f>
        <v>0.64107254026611005</v>
      </c>
      <c r="W97" s="2"/>
      <c r="X97" s="2"/>
    </row>
    <row r="98" spans="1:24" ht="15.75" thickBot="1" x14ac:dyDescent="0.3">
      <c r="A98" s="30" t="s">
        <v>80</v>
      </c>
      <c r="B98" s="30" t="s">
        <v>26</v>
      </c>
      <c r="C98" s="30" t="s">
        <v>81</v>
      </c>
      <c r="D98" s="27">
        <v>5</v>
      </c>
      <c r="E98" s="27">
        <v>485.28</v>
      </c>
      <c r="F98" s="29">
        <v>0.22</v>
      </c>
      <c r="G98" s="27">
        <f t="shared" si="33"/>
        <v>106.7616</v>
      </c>
      <c r="H98" s="25">
        <v>23.09</v>
      </c>
      <c r="I98" s="24">
        <f t="shared" si="32"/>
        <v>0.2390855778859533</v>
      </c>
      <c r="J98" s="24">
        <f t="shared" si="34"/>
        <v>11205.1152</v>
      </c>
      <c r="K98" s="28">
        <f t="shared" si="35"/>
        <v>11203.91977211057</v>
      </c>
      <c r="L98" s="27">
        <v>45</v>
      </c>
      <c r="M98" s="27">
        <f t="shared" si="30"/>
        <v>2442.5989312946408</v>
      </c>
      <c r="N98" s="26">
        <f t="shared" si="31"/>
        <v>367.95604714356011</v>
      </c>
      <c r="O98" s="25">
        <v>5</v>
      </c>
      <c r="P98" s="24">
        <f t="shared" si="36"/>
        <v>2426.3999999999996</v>
      </c>
      <c r="Q98" s="23">
        <f t="shared" si="37"/>
        <v>0.99336815754436802</v>
      </c>
      <c r="R98" s="23">
        <f t="shared" si="38"/>
        <v>1.1440093628725525</v>
      </c>
      <c r="S98" s="38">
        <f>IF(OR($P98=0,ISERROR(P98/G98)),"-",(VLOOKUP(L98,'APP 2885'!$B$10:$G$54,6)*$G98)/($P98+$N98))</f>
        <v>2.3407624019112547</v>
      </c>
      <c r="T98" s="22">
        <f t="shared" si="39"/>
        <v>4.5868847433631696</v>
      </c>
      <c r="U98" s="21">
        <f t="shared" si="40"/>
        <v>4.7375259486913537</v>
      </c>
      <c r="V98" s="38">
        <f>IF(OR($P98=0,ISERROR(P98/G98)),"-",(VLOOKUP(L98,'APP 2885'!$B$10:$G$54,4)*$G98)/($K98+$N98))</f>
        <v>0.51385741170091692</v>
      </c>
      <c r="W98" s="2"/>
      <c r="X98" s="2"/>
    </row>
    <row r="99" spans="1:24" ht="15.75" thickBot="1" x14ac:dyDescent="0.3">
      <c r="A99" s="20" t="s">
        <v>80</v>
      </c>
      <c r="B99" s="20" t="s">
        <v>26</v>
      </c>
      <c r="C99" s="20" t="s">
        <v>81</v>
      </c>
      <c r="D99" s="17">
        <v>15</v>
      </c>
      <c r="E99" s="17">
        <v>1012.5</v>
      </c>
      <c r="F99" s="19">
        <v>0.6</v>
      </c>
      <c r="G99" s="17">
        <f t="shared" si="33"/>
        <v>607.5</v>
      </c>
      <c r="H99" s="15">
        <v>24.76</v>
      </c>
      <c r="I99" s="14">
        <f t="shared" si="32"/>
        <v>0.65205157605259978</v>
      </c>
      <c r="J99" s="14">
        <f t="shared" si="34"/>
        <v>25069.5</v>
      </c>
      <c r="K99" s="18">
        <f t="shared" si="35"/>
        <v>25059.719226359211</v>
      </c>
      <c r="L99" s="17">
        <v>45</v>
      </c>
      <c r="M99" s="17">
        <f t="shared" si="30"/>
        <v>13898.994121121208</v>
      </c>
      <c r="N99" s="16">
        <f t="shared" si="31"/>
        <v>2093.76122725505</v>
      </c>
      <c r="O99" s="15">
        <v>7</v>
      </c>
      <c r="P99" s="14">
        <f t="shared" si="36"/>
        <v>7087.5</v>
      </c>
      <c r="Q99" s="13">
        <f t="shared" si="37"/>
        <v>0.50992898753944238</v>
      </c>
      <c r="R99" s="13">
        <f t="shared" si="38"/>
        <v>0.66057019286762697</v>
      </c>
      <c r="S99" s="37">
        <f>IF(OR($P99=0,ISERROR(P99/G99)),"-",(VLOOKUP(L99,'APP 2885'!$B$10:$G$54,6)*$G99)/($P99+$N99))</f>
        <v>4.0538524640683287</v>
      </c>
      <c r="T99" s="12">
        <f t="shared" si="39"/>
        <v>1.8029879722215241</v>
      </c>
      <c r="U99" s="11">
        <f t="shared" si="40"/>
        <v>1.9536291775497088</v>
      </c>
      <c r="V99" s="37">
        <f>IF(OR($P99=0,ISERROR(P99/G99)),"-",(VLOOKUP(L99,'APP 2885'!$B$10:$G$54,4)*$G99)/($K99+$N99))</f>
        <v>1.2460976984965859</v>
      </c>
      <c r="W99" s="2"/>
      <c r="X99" s="2"/>
    </row>
    <row r="100" spans="1:24" ht="15.75" thickBot="1" x14ac:dyDescent="0.3">
      <c r="A100" s="30" t="s">
        <v>80</v>
      </c>
      <c r="B100" s="30" t="s">
        <v>28</v>
      </c>
      <c r="C100" s="30" t="s">
        <v>81</v>
      </c>
      <c r="D100" s="27">
        <v>3</v>
      </c>
      <c r="E100" s="27">
        <v>427.23</v>
      </c>
      <c r="F100" s="29">
        <v>0.28999999999999998</v>
      </c>
      <c r="G100" s="27">
        <f t="shared" si="33"/>
        <v>123.8967</v>
      </c>
      <c r="H100" s="25">
        <v>23.09</v>
      </c>
      <c r="I100" s="24">
        <f t="shared" si="32"/>
        <v>0.31515826175875661</v>
      </c>
      <c r="J100" s="24">
        <f t="shared" si="34"/>
        <v>9864.7407000000003</v>
      </c>
      <c r="K100" s="28">
        <f t="shared" si="35"/>
        <v>9863.7952252147243</v>
      </c>
      <c r="L100" s="27">
        <v>45</v>
      </c>
      <c r="M100" s="27">
        <f t="shared" si="30"/>
        <v>2834.6329299198651</v>
      </c>
      <c r="N100" s="26">
        <f t="shared" si="31"/>
        <v>427.01252122609174</v>
      </c>
      <c r="O100" s="25">
        <v>5</v>
      </c>
      <c r="P100" s="24">
        <f t="shared" si="36"/>
        <v>2136.15</v>
      </c>
      <c r="Q100" s="23">
        <f t="shared" si="37"/>
        <v>0.75358963675779667</v>
      </c>
      <c r="R100" s="23">
        <f t="shared" si="38"/>
        <v>0.90423084208598126</v>
      </c>
      <c r="S100" s="38">
        <f>IF(OR($P100=0,ISERROR(P100/G100)),"-",(VLOOKUP(L100,'APP 2885'!$B$10:$G$54,6)*$G100)/($P100+$N100))</f>
        <v>2.9614717607607215</v>
      </c>
      <c r="T100" s="22">
        <f t="shared" si="39"/>
        <v>3.4797433985548079</v>
      </c>
      <c r="U100" s="21">
        <f t="shared" si="40"/>
        <v>3.6303846038829928</v>
      </c>
      <c r="V100" s="38">
        <f>IF(OR($P100=0,ISERROR(P100/G100)),"-",(VLOOKUP(L100,'APP 2885'!$B$10:$G$54,4)*$G100)/($K100+$N100))</f>
        <v>0.67056609353638919</v>
      </c>
      <c r="W100" s="2"/>
      <c r="X100" s="2"/>
    </row>
    <row r="101" spans="1:24" ht="15.75" thickBot="1" x14ac:dyDescent="0.3">
      <c r="A101" s="20" t="s">
        <v>80</v>
      </c>
      <c r="B101" s="20" t="s">
        <v>28</v>
      </c>
      <c r="C101" s="20" t="s">
        <v>81</v>
      </c>
      <c r="D101" s="17">
        <v>7</v>
      </c>
      <c r="E101" s="17">
        <v>867.5</v>
      </c>
      <c r="F101" s="19">
        <v>0.6</v>
      </c>
      <c r="G101" s="17">
        <f t="shared" si="33"/>
        <v>520.5</v>
      </c>
      <c r="H101" s="15">
        <v>24.76</v>
      </c>
      <c r="I101" s="14">
        <f t="shared" si="32"/>
        <v>0.65205157605259978</v>
      </c>
      <c r="J101" s="14">
        <f t="shared" si="34"/>
        <v>21479.300000000003</v>
      </c>
      <c r="K101" s="18">
        <f t="shared" si="35"/>
        <v>21474.735638967635</v>
      </c>
      <c r="L101" s="17">
        <v>45</v>
      </c>
      <c r="M101" s="17">
        <f t="shared" ref="M101:M113" si="41">PV($B$119,$L101,-$G101)</f>
        <v>11908.520888960642</v>
      </c>
      <c r="N101" s="16">
        <f t="shared" ref="N101:N113" si="42">(G101/VLOOKUP("TOTAL PROGRAM",$A$4:$G$196,7,FALSE))*$B$120</f>
        <v>1793.9139403888946</v>
      </c>
      <c r="O101" s="15">
        <v>7</v>
      </c>
      <c r="P101" s="14">
        <f t="shared" si="36"/>
        <v>6072.5</v>
      </c>
      <c r="Q101" s="13">
        <f t="shared" si="37"/>
        <v>0.50992898753944238</v>
      </c>
      <c r="R101" s="13">
        <f t="shared" si="38"/>
        <v>0.66057019286762686</v>
      </c>
      <c r="S101" s="37">
        <f>IF(OR($P101=0,ISERROR(P101/G101)),"-",(VLOOKUP(L101,'APP 2885'!$B$10:$G$54,6)*$G101)/($P101+$N101))</f>
        <v>4.0538524640683287</v>
      </c>
      <c r="T101" s="12">
        <f t="shared" si="39"/>
        <v>1.8033083906226341</v>
      </c>
      <c r="U101" s="11">
        <f t="shared" si="40"/>
        <v>1.9539495959508186</v>
      </c>
      <c r="V101" s="37">
        <f>IF(OR($P101=0,ISERROR(P101/G101)),"-",(VLOOKUP(L101,'APP 2885'!$B$10:$G$54,4)*$G101)/($K101+$N101))</f>
        <v>1.2458933571804094</v>
      </c>
      <c r="W101" s="2"/>
      <c r="X101" s="2"/>
    </row>
    <row r="102" spans="1:24" ht="15.75" thickBot="1" x14ac:dyDescent="0.3">
      <c r="A102" s="30" t="s">
        <v>80</v>
      </c>
      <c r="B102" s="30" t="s">
        <v>29</v>
      </c>
      <c r="C102" s="30" t="s">
        <v>81</v>
      </c>
      <c r="D102" s="27">
        <v>2</v>
      </c>
      <c r="E102" s="27">
        <v>222.19</v>
      </c>
      <c r="F102" s="29">
        <v>0.28999999999999998</v>
      </c>
      <c r="G102" s="27">
        <f t="shared" si="33"/>
        <v>64.435099999999991</v>
      </c>
      <c r="H102" s="25">
        <v>23.09</v>
      </c>
      <c r="I102" s="24">
        <f t="shared" si="32"/>
        <v>0.31515826175875661</v>
      </c>
      <c r="J102" s="24">
        <f t="shared" si="34"/>
        <v>5130.3670999999995</v>
      </c>
      <c r="K102" s="28">
        <f t="shared" si="35"/>
        <v>5129.7367834764818</v>
      </c>
      <c r="L102" s="27">
        <v>45</v>
      </c>
      <c r="M102" s="27">
        <f t="shared" si="41"/>
        <v>1474.2108248458553</v>
      </c>
      <c r="N102" s="26">
        <f t="shared" si="42"/>
        <v>222.07689556263679</v>
      </c>
      <c r="O102" s="25">
        <v>5</v>
      </c>
      <c r="P102" s="24">
        <f t="shared" si="36"/>
        <v>1110.95</v>
      </c>
      <c r="Q102" s="23">
        <f t="shared" si="37"/>
        <v>0.75358963675779678</v>
      </c>
      <c r="R102" s="23">
        <f t="shared" si="38"/>
        <v>0.90423084208598126</v>
      </c>
      <c r="S102" s="38">
        <f>IF(OR($P102=0,ISERROR(P102/G102)),"-",(VLOOKUP(L102,'APP 2885'!$B$10:$G$54,6)*$G102)/($P102+$N102))</f>
        <v>2.9614717607607211</v>
      </c>
      <c r="T102" s="22">
        <f t="shared" si="39"/>
        <v>3.4796493805510154</v>
      </c>
      <c r="U102" s="21">
        <f t="shared" si="40"/>
        <v>3.6302905858792003</v>
      </c>
      <c r="V102" s="38">
        <f>IF(OR($P102=0,ISERROR(P102/G102)),"-",(VLOOKUP(L102,'APP 2885'!$B$10:$G$54,4)*$G102)/($K102+$N102))</f>
        <v>0.67058345999343549</v>
      </c>
      <c r="W102" s="2"/>
      <c r="X102" s="2"/>
    </row>
    <row r="103" spans="1:24" ht="15.75" thickBot="1" x14ac:dyDescent="0.3">
      <c r="A103" s="20" t="s">
        <v>80</v>
      </c>
      <c r="B103" s="20" t="s">
        <v>29</v>
      </c>
      <c r="C103" s="20" t="s">
        <v>81</v>
      </c>
      <c r="D103" s="17">
        <v>10</v>
      </c>
      <c r="E103" s="17">
        <v>1545.55</v>
      </c>
      <c r="F103" s="19">
        <v>0.6</v>
      </c>
      <c r="G103" s="17">
        <f t="shared" si="33"/>
        <v>927.32999999999993</v>
      </c>
      <c r="H103" s="15">
        <v>24.76</v>
      </c>
      <c r="I103" s="14">
        <f t="shared" si="32"/>
        <v>0.65205157605259978</v>
      </c>
      <c r="J103" s="14">
        <f t="shared" si="34"/>
        <v>38267.817999999999</v>
      </c>
      <c r="K103" s="18">
        <f t="shared" si="35"/>
        <v>38261.297484239476</v>
      </c>
      <c r="L103" s="17">
        <v>45</v>
      </c>
      <c r="M103" s="17">
        <f t="shared" si="41"/>
        <v>21216.385544591492</v>
      </c>
      <c r="N103" s="16">
        <f t="shared" si="42"/>
        <v>3196.0618911447332</v>
      </c>
      <c r="O103" s="15">
        <v>7</v>
      </c>
      <c r="P103" s="14">
        <f t="shared" si="36"/>
        <v>10818.85</v>
      </c>
      <c r="Q103" s="13">
        <f t="shared" si="37"/>
        <v>0.50992898753944238</v>
      </c>
      <c r="R103" s="13">
        <f t="shared" si="38"/>
        <v>0.66057019286762686</v>
      </c>
      <c r="S103" s="37">
        <f>IF(OR($P103=0,ISERROR(P103/G103)),"-",(VLOOKUP(L103,'APP 2885'!$B$10:$G$54,6)*$G103)/($P103+$N103))</f>
        <v>4.0538524640683287</v>
      </c>
      <c r="T103" s="12">
        <f t="shared" si="39"/>
        <v>1.8033843419664428</v>
      </c>
      <c r="U103" s="11">
        <f t="shared" si="40"/>
        <v>1.9540255472946271</v>
      </c>
      <c r="V103" s="37">
        <f>IF(OR($P103=0,ISERROR(P103/G103)),"-",(VLOOKUP(L103,'APP 2885'!$B$10:$G$54,4)*$G103)/($K103+$N103))</f>
        <v>1.2458449303444088</v>
      </c>
      <c r="W103" s="2"/>
      <c r="X103" s="2"/>
    </row>
    <row r="104" spans="1:24" ht="15.75" thickBot="1" x14ac:dyDescent="0.3">
      <c r="A104" s="30" t="s">
        <v>82</v>
      </c>
      <c r="B104" s="30" t="s">
        <v>26</v>
      </c>
      <c r="C104" s="30" t="s">
        <v>83</v>
      </c>
      <c r="D104" s="27">
        <v>9</v>
      </c>
      <c r="E104" s="27">
        <v>1360.46</v>
      </c>
      <c r="F104" s="29">
        <v>0.22</v>
      </c>
      <c r="G104" s="27">
        <f t="shared" si="33"/>
        <v>299.30119999999999</v>
      </c>
      <c r="H104" s="25">
        <v>23.09</v>
      </c>
      <c r="I104" s="24">
        <f t="shared" si="32"/>
        <v>0.2390855778859533</v>
      </c>
      <c r="J104" s="24">
        <f t="shared" si="34"/>
        <v>31413.021400000001</v>
      </c>
      <c r="K104" s="28">
        <f t="shared" si="35"/>
        <v>31410.869629799028</v>
      </c>
      <c r="L104" s="27">
        <v>45</v>
      </c>
      <c r="M104" s="27">
        <f t="shared" si="41"/>
        <v>6847.7129534889273</v>
      </c>
      <c r="N104" s="26">
        <f t="shared" si="42"/>
        <v>1031.5477330549945</v>
      </c>
      <c r="O104" s="25">
        <v>5</v>
      </c>
      <c r="P104" s="24">
        <f t="shared" si="36"/>
        <v>6802.3</v>
      </c>
      <c r="Q104" s="23">
        <f t="shared" si="37"/>
        <v>0.99336815754436825</v>
      </c>
      <c r="R104" s="23">
        <f t="shared" si="38"/>
        <v>1.1440093628725529</v>
      </c>
      <c r="S104" s="38">
        <f>IF(OR($P104=0,ISERROR(P104/G104)),"-",(VLOOKUP(L104,'APP 2885'!$B$10:$G$54,6)*$G104)/($P104+$N104))</f>
        <v>2.3407624019112543</v>
      </c>
      <c r="T104" s="22">
        <f t="shared" si="39"/>
        <v>4.5870599195889348</v>
      </c>
      <c r="U104" s="21">
        <f t="shared" si="40"/>
        <v>4.7377011249171197</v>
      </c>
      <c r="V104" s="38">
        <f>IF(OR($P104=0,ISERROR(P104/G104)),"-",(VLOOKUP(L104,'APP 2885'!$B$10:$G$54,4)*$G104)/($K104+$N104))</f>
        <v>0.5138384118527648</v>
      </c>
      <c r="W104" s="2"/>
      <c r="X104" s="2"/>
    </row>
    <row r="105" spans="1:24" ht="15.75" thickBot="1" x14ac:dyDescent="0.3">
      <c r="A105" s="20" t="s">
        <v>82</v>
      </c>
      <c r="B105" s="20" t="s">
        <v>26</v>
      </c>
      <c r="C105" s="20" t="s">
        <v>83</v>
      </c>
      <c r="D105" s="17">
        <v>18</v>
      </c>
      <c r="E105" s="17">
        <v>1650.29</v>
      </c>
      <c r="F105" s="19">
        <v>0.2</v>
      </c>
      <c r="G105" s="17">
        <f t="shared" si="33"/>
        <v>330.05799999999999</v>
      </c>
      <c r="H105" s="15">
        <v>24.76</v>
      </c>
      <c r="I105" s="14">
        <f t="shared" si="32"/>
        <v>0.21735052535086666</v>
      </c>
      <c r="J105" s="14">
        <f t="shared" si="34"/>
        <v>40861.180400000005</v>
      </c>
      <c r="K105" s="18">
        <f t="shared" si="35"/>
        <v>40857.268090543686</v>
      </c>
      <c r="L105" s="17">
        <v>45</v>
      </c>
      <c r="M105" s="17">
        <f t="shared" si="41"/>
        <v>7551.3978627638253</v>
      </c>
      <c r="N105" s="16">
        <f t="shared" si="42"/>
        <v>1137.5516759594195</v>
      </c>
      <c r="O105" s="15">
        <v>5</v>
      </c>
      <c r="P105" s="14">
        <f t="shared" si="36"/>
        <v>8251.4500000000007</v>
      </c>
      <c r="Q105" s="13">
        <f t="shared" si="37"/>
        <v>1.0927049732988052</v>
      </c>
      <c r="R105" s="13">
        <f t="shared" si="38"/>
        <v>1.2433461786269897</v>
      </c>
      <c r="S105" s="37">
        <f>IF(OR($P105=0,ISERROR(P105/G105)),"-",(VLOOKUP(L105,'APP 2885'!$B$10:$G$54,6)*$G105)/($P105+$N105))</f>
        <v>2.1537478057829706</v>
      </c>
      <c r="T105" s="12">
        <f t="shared" si="39"/>
        <v>5.4105569370158779</v>
      </c>
      <c r="U105" s="11">
        <f t="shared" si="40"/>
        <v>5.561198142344062</v>
      </c>
      <c r="V105" s="37">
        <f>IF(OR($P105=0,ISERROR(P105/G105)),"-",(VLOOKUP(L105,'APP 2885'!$B$10:$G$54,4)*$G105)/($K105+$N105))</f>
        <v>0.43774970061296137</v>
      </c>
      <c r="W105" s="2"/>
      <c r="X105" s="2"/>
    </row>
    <row r="106" spans="1:24" ht="15.75" thickBot="1" x14ac:dyDescent="0.3">
      <c r="A106" s="30" t="s">
        <v>82</v>
      </c>
      <c r="B106" s="30" t="s">
        <v>28</v>
      </c>
      <c r="C106" s="30" t="s">
        <v>83</v>
      </c>
      <c r="D106" s="27">
        <v>9</v>
      </c>
      <c r="E106" s="27">
        <v>1113.4100000000001</v>
      </c>
      <c r="F106" s="29">
        <v>0.28999999999999998</v>
      </c>
      <c r="G106" s="27">
        <f t="shared" si="33"/>
        <v>322.88889999999998</v>
      </c>
      <c r="H106" s="25">
        <v>23.09</v>
      </c>
      <c r="I106" s="24">
        <f t="shared" si="32"/>
        <v>0.31515826175875661</v>
      </c>
      <c r="J106" s="24">
        <f t="shared" si="34"/>
        <v>25708.636900000001</v>
      </c>
      <c r="K106" s="28">
        <f t="shared" si="35"/>
        <v>25705.800475644173</v>
      </c>
      <c r="L106" s="27">
        <v>45</v>
      </c>
      <c r="M106" s="27">
        <f t="shared" si="41"/>
        <v>7387.3760047329934</v>
      </c>
      <c r="N106" s="26">
        <f t="shared" si="42"/>
        <v>1112.8432255654866</v>
      </c>
      <c r="O106" s="25">
        <v>5</v>
      </c>
      <c r="P106" s="24">
        <f t="shared" si="36"/>
        <v>5567.05</v>
      </c>
      <c r="Q106" s="23">
        <f t="shared" si="37"/>
        <v>0.75358963675779678</v>
      </c>
      <c r="R106" s="23">
        <f t="shared" si="38"/>
        <v>0.90423084208598137</v>
      </c>
      <c r="S106" s="38">
        <f>IF(OR($P106=0,ISERROR(P106/G106)),"-",(VLOOKUP(L106,'APP 2885'!$B$10:$G$54,6)*$G106)/($P106+$N106))</f>
        <v>2.9614717607607211</v>
      </c>
      <c r="T106" s="22">
        <f t="shared" si="39"/>
        <v>3.4796929869516333</v>
      </c>
      <c r="U106" s="21">
        <f t="shared" si="40"/>
        <v>3.6303341922798182</v>
      </c>
      <c r="V106" s="38">
        <f>IF(OR($P106=0,ISERROR(P106/G106)),"-",(VLOOKUP(L106,'APP 2885'!$B$10:$G$54,4)*$G106)/($K106+$N106))</f>
        <v>0.6705754051617161</v>
      </c>
      <c r="W106" s="2"/>
      <c r="X106" s="2"/>
    </row>
    <row r="107" spans="1:24" ht="15.75" thickBot="1" x14ac:dyDescent="0.3">
      <c r="A107" s="20" t="s">
        <v>82</v>
      </c>
      <c r="B107" s="20" t="s">
        <v>28</v>
      </c>
      <c r="C107" s="20" t="s">
        <v>83</v>
      </c>
      <c r="D107" s="17">
        <v>9</v>
      </c>
      <c r="E107" s="17">
        <v>898.88</v>
      </c>
      <c r="F107" s="19">
        <v>0.2</v>
      </c>
      <c r="G107" s="17">
        <f t="shared" si="33"/>
        <v>179.77600000000001</v>
      </c>
      <c r="H107" s="15">
        <v>24.76</v>
      </c>
      <c r="I107" s="14">
        <f t="shared" si="32"/>
        <v>0.21735052535086666</v>
      </c>
      <c r="J107" s="14">
        <f t="shared" si="34"/>
        <v>22256.268800000002</v>
      </c>
      <c r="K107" s="18">
        <f t="shared" si="35"/>
        <v>22254.312645271842</v>
      </c>
      <c r="L107" s="17">
        <v>45</v>
      </c>
      <c r="M107" s="17">
        <f t="shared" si="41"/>
        <v>4113.0955837344636</v>
      </c>
      <c r="N107" s="16">
        <f t="shared" si="42"/>
        <v>619.60167636379242</v>
      </c>
      <c r="O107" s="15">
        <v>5</v>
      </c>
      <c r="P107" s="14">
        <f t="shared" si="36"/>
        <v>4494.3999999999996</v>
      </c>
      <c r="Q107" s="13">
        <f t="shared" si="37"/>
        <v>1.092704973298805</v>
      </c>
      <c r="R107" s="13">
        <f t="shared" si="38"/>
        <v>1.2433461786269895</v>
      </c>
      <c r="S107" s="37">
        <f>IF(OR($P107=0,ISERROR(P107/G107)),"-",(VLOOKUP(L107,'APP 2885'!$B$10:$G$54,6)*$G107)/($P107+$N107))</f>
        <v>2.1537478057829711</v>
      </c>
      <c r="T107" s="12">
        <f t="shared" si="39"/>
        <v>5.4105994359280496</v>
      </c>
      <c r="U107" s="11">
        <f t="shared" si="40"/>
        <v>5.5612406412562345</v>
      </c>
      <c r="V107" s="37">
        <f>IF(OR($P107=0,ISERROR(P107/G107)),"-",(VLOOKUP(L107,'APP 2885'!$B$10:$G$54,4)*$G107)/($K107+$N107))</f>
        <v>0.43774635533673972</v>
      </c>
      <c r="W107" s="2"/>
      <c r="X107" s="2"/>
    </row>
    <row r="108" spans="1:24" ht="15.75" thickBot="1" x14ac:dyDescent="0.3">
      <c r="A108" s="30" t="s">
        <v>82</v>
      </c>
      <c r="B108" s="30" t="s">
        <v>29</v>
      </c>
      <c r="C108" s="30" t="s">
        <v>83</v>
      </c>
      <c r="D108" s="27">
        <v>12</v>
      </c>
      <c r="E108" s="27">
        <v>1512.13</v>
      </c>
      <c r="F108" s="29">
        <v>0.28999999999999998</v>
      </c>
      <c r="G108" s="27">
        <f t="shared" si="33"/>
        <v>438.51769999999999</v>
      </c>
      <c r="H108" s="25">
        <v>23.09</v>
      </c>
      <c r="I108" s="24">
        <f t="shared" si="32"/>
        <v>0.31515826175875661</v>
      </c>
      <c r="J108" s="24">
        <f t="shared" si="34"/>
        <v>34915.081700000002</v>
      </c>
      <c r="K108" s="28">
        <f t="shared" si="35"/>
        <v>34911.299800858898</v>
      </c>
      <c r="L108" s="27">
        <v>45</v>
      </c>
      <c r="M108" s="27">
        <f t="shared" si="41"/>
        <v>10032.847628489866</v>
      </c>
      <c r="N108" s="26">
        <f t="shared" si="42"/>
        <v>1511.3602596297314</v>
      </c>
      <c r="O108" s="25">
        <v>5</v>
      </c>
      <c r="P108" s="24">
        <f t="shared" si="36"/>
        <v>7560.6500000000005</v>
      </c>
      <c r="Q108" s="23">
        <f t="shared" si="37"/>
        <v>0.75358963675779678</v>
      </c>
      <c r="R108" s="23">
        <f t="shared" si="38"/>
        <v>0.90423084208598137</v>
      </c>
      <c r="S108" s="38">
        <f>IF(OR($P108=0,ISERROR(P108/G108)),"-",(VLOOKUP(L108,'APP 2885'!$B$10:$G$54,6)*$G108)/($P108+$N108))</f>
        <v>2.9614717607607206</v>
      </c>
      <c r="T108" s="22">
        <f t="shared" si="39"/>
        <v>3.4796999908303912</v>
      </c>
      <c r="U108" s="21">
        <f t="shared" si="40"/>
        <v>3.6303411961585761</v>
      </c>
      <c r="V108" s="38">
        <f>IF(OR($P108=0,ISERROR(P108/G108)),"-",(VLOOKUP(L108,'APP 2885'!$B$10:$G$54,4)*$G108)/($K108+$N108))</f>
        <v>0.67057411144617196</v>
      </c>
      <c r="W108" s="2"/>
      <c r="X108" s="2"/>
    </row>
    <row r="109" spans="1:24" ht="15.75" thickBot="1" x14ac:dyDescent="0.3">
      <c r="A109" s="20" t="s">
        <v>82</v>
      </c>
      <c r="B109" s="20" t="s">
        <v>29</v>
      </c>
      <c r="C109" s="20" t="s">
        <v>83</v>
      </c>
      <c r="D109" s="17">
        <v>16</v>
      </c>
      <c r="E109" s="17">
        <v>1854.67</v>
      </c>
      <c r="F109" s="19">
        <v>0.2</v>
      </c>
      <c r="G109" s="17">
        <f t="shared" si="33"/>
        <v>370.93400000000003</v>
      </c>
      <c r="H109" s="15">
        <v>24.76</v>
      </c>
      <c r="I109" s="14">
        <f t="shared" si="32"/>
        <v>0.21735052535086666</v>
      </c>
      <c r="J109" s="14">
        <f t="shared" si="34"/>
        <v>45921.629200000003</v>
      </c>
      <c r="K109" s="18">
        <f t="shared" si="35"/>
        <v>45918.151591594389</v>
      </c>
      <c r="L109" s="17">
        <v>45</v>
      </c>
      <c r="M109" s="17">
        <f t="shared" si="41"/>
        <v>8486.5999758419348</v>
      </c>
      <c r="N109" s="16">
        <f t="shared" si="42"/>
        <v>1278.4316494989707</v>
      </c>
      <c r="O109" s="15">
        <v>5</v>
      </c>
      <c r="P109" s="14">
        <f t="shared" si="36"/>
        <v>9273.35</v>
      </c>
      <c r="Q109" s="13">
        <f t="shared" si="37"/>
        <v>1.092704973298805</v>
      </c>
      <c r="R109" s="13">
        <f t="shared" si="38"/>
        <v>1.2433461786269895</v>
      </c>
      <c r="S109" s="37">
        <f>IF(OR($P109=0,ISERROR(P109/G109)),"-",(VLOOKUP(L109,'APP 2885'!$B$10:$G$54,6)*$G109)/($P109+$N109))</f>
        <v>2.1537478057829706</v>
      </c>
      <c r="T109" s="12">
        <f t="shared" si="39"/>
        <v>5.4106652513734117</v>
      </c>
      <c r="U109" s="11">
        <f t="shared" si="40"/>
        <v>5.5613064567015957</v>
      </c>
      <c r="V109" s="37">
        <f>IF(OR($P109=0,ISERROR(P109/G109)),"-",(VLOOKUP(L109,'APP 2885'!$B$10:$G$54,4)*$G109)/($K109+$N109))</f>
        <v>0.43774117481458075</v>
      </c>
      <c r="W109" s="2"/>
      <c r="X109" s="2"/>
    </row>
    <row r="110" spans="1:24" ht="15.75" thickBot="1" x14ac:dyDescent="0.3">
      <c r="A110" s="30" t="s">
        <v>84</v>
      </c>
      <c r="B110" s="30" t="s">
        <v>26</v>
      </c>
      <c r="C110" s="30"/>
      <c r="D110" s="27">
        <v>112</v>
      </c>
      <c r="E110" s="27">
        <v>112</v>
      </c>
      <c r="F110" s="29">
        <v>0</v>
      </c>
      <c r="G110" s="27">
        <f>IF(ISNUMBER(E110),E110*F110,"")</f>
        <v>0</v>
      </c>
      <c r="H110" s="25">
        <v>0</v>
      </c>
      <c r="I110" s="24">
        <f t="shared" si="32"/>
        <v>0</v>
      </c>
      <c r="J110" s="24">
        <f>IF(ISNUMBER(H110),H110*E110,"")</f>
        <v>0</v>
      </c>
      <c r="K110" s="28">
        <f>J110-D110*(I110)</f>
        <v>0</v>
      </c>
      <c r="L110" s="27">
        <v>0</v>
      </c>
      <c r="M110" s="27">
        <f t="shared" si="41"/>
        <v>0</v>
      </c>
      <c r="N110" s="26">
        <f t="shared" si="42"/>
        <v>0</v>
      </c>
      <c r="O110" s="25">
        <v>250</v>
      </c>
      <c r="P110" s="24">
        <f>IF(ISNUMBER(O110),O110*E110,"")</f>
        <v>28000</v>
      </c>
      <c r="Q110" s="23">
        <f>IF(ISERROR(P110/M110),0,P110/M110)</f>
        <v>0</v>
      </c>
      <c r="R110" s="23">
        <f>IF(ISERROR((N110+P110)/M110),0,(N110+P110)/M110)</f>
        <v>0</v>
      </c>
      <c r="S110" s="38" t="str">
        <f>IF(OR($P110=0,ISERROR(P110/G110)),"-",(VLOOKUP(L110,'APP 2885'!$B$10:$G$54,6)*$G110)/($P110+$N110))</f>
        <v>-</v>
      </c>
      <c r="T110" s="22">
        <f>IF(ISERROR(RK110/M110),0,K110/M110)</f>
        <v>0</v>
      </c>
      <c r="U110" s="21">
        <f>IF(ISERROR(K110/M110),0,(K110+N110)/M110)</f>
        <v>0</v>
      </c>
      <c r="V110" s="38" t="str">
        <f>IF(OR($P110=0,ISERROR(P110/G110)),"-",(VLOOKUP(L110,'APP 2885'!$B$10:$G$54,4)*$G110)/($K110+$N110))</f>
        <v>-</v>
      </c>
      <c r="W110" s="2"/>
      <c r="X110" s="2"/>
    </row>
    <row r="111" spans="1:24" ht="15.75" thickBot="1" x14ac:dyDescent="0.3">
      <c r="A111" s="20" t="s">
        <v>84</v>
      </c>
      <c r="B111" s="20" t="s">
        <v>28</v>
      </c>
      <c r="C111" s="20"/>
      <c r="D111" s="17">
        <v>17</v>
      </c>
      <c r="E111" s="17">
        <v>17</v>
      </c>
      <c r="F111" s="19">
        <v>0</v>
      </c>
      <c r="G111" s="17">
        <f>IF(ISNUMBER(E111),E111*F111,"")</f>
        <v>0</v>
      </c>
      <c r="H111" s="15">
        <v>0</v>
      </c>
      <c r="I111" s="14">
        <f t="shared" si="32"/>
        <v>0</v>
      </c>
      <c r="J111" s="14">
        <f>IF(ISNUMBER(H111),H111*E111,"")</f>
        <v>0</v>
      </c>
      <c r="K111" s="18">
        <f>J111-D111*(I111)</f>
        <v>0</v>
      </c>
      <c r="L111" s="17">
        <v>0</v>
      </c>
      <c r="M111" s="17">
        <f t="shared" si="41"/>
        <v>0</v>
      </c>
      <c r="N111" s="16">
        <f t="shared" si="42"/>
        <v>0</v>
      </c>
      <c r="O111" s="15">
        <v>250</v>
      </c>
      <c r="P111" s="14">
        <f>IF(ISNUMBER(O111),O111*E111,"")</f>
        <v>4250</v>
      </c>
      <c r="Q111" s="13">
        <f>IF(ISERROR(P111/M111),0,P111/M111)</f>
        <v>0</v>
      </c>
      <c r="R111" s="13">
        <f>IF(ISERROR((N111+P111)/M111),0,(N111+P111)/M111)</f>
        <v>0</v>
      </c>
      <c r="S111" s="37" t="str">
        <f>IF(OR($P111=0,ISERROR(P111/G111)),"-",(VLOOKUP(L111,'APP 2885'!$B$10:$G$54,6)*$G111)/($P111+$N111))</f>
        <v>-</v>
      </c>
      <c r="T111" s="12">
        <f>IF(ISERROR(RK111/M111),0,K111/M111)</f>
        <v>0</v>
      </c>
      <c r="U111" s="11">
        <f>IF(ISERROR(K111/M111),0,(K111+N111)/M111)</f>
        <v>0</v>
      </c>
      <c r="V111" s="37" t="str">
        <f>IF(OR($P111=0,ISERROR(P111/G111)),"-",(VLOOKUP(L111,'APP 2885'!$B$10:$G$54,4)*$G111)/($K111+$N111))</f>
        <v>-</v>
      </c>
      <c r="W111" s="2"/>
      <c r="X111" s="2"/>
    </row>
    <row r="112" spans="1:24" ht="15.75" thickBot="1" x14ac:dyDescent="0.3">
      <c r="A112" s="30" t="s">
        <v>84</v>
      </c>
      <c r="B112" s="30" t="s">
        <v>29</v>
      </c>
      <c r="C112" s="30"/>
      <c r="D112" s="27">
        <v>47</v>
      </c>
      <c r="E112" s="27">
        <v>47</v>
      </c>
      <c r="F112" s="29">
        <v>0</v>
      </c>
      <c r="G112" s="27">
        <f>IF(ISNUMBER(E112),E112*F112,"")</f>
        <v>0</v>
      </c>
      <c r="H112" s="25">
        <v>0</v>
      </c>
      <c r="I112" s="24">
        <f t="shared" si="32"/>
        <v>0</v>
      </c>
      <c r="J112" s="24">
        <f>IF(ISNUMBER(H112),H112*E112,"")</f>
        <v>0</v>
      </c>
      <c r="K112" s="28">
        <f>J112-D112*(I112)</f>
        <v>0</v>
      </c>
      <c r="L112" s="27">
        <v>0</v>
      </c>
      <c r="M112" s="27">
        <f t="shared" si="41"/>
        <v>0</v>
      </c>
      <c r="N112" s="26">
        <f t="shared" si="42"/>
        <v>0</v>
      </c>
      <c r="O112" s="25">
        <v>250</v>
      </c>
      <c r="P112" s="24">
        <f>IF(ISNUMBER(O112),O112*E112,"")</f>
        <v>11750</v>
      </c>
      <c r="Q112" s="23">
        <f>IF(ISERROR(P112/M112),0,P112/M112)</f>
        <v>0</v>
      </c>
      <c r="R112" s="23">
        <f>IF(ISERROR((N112+P112)/M112),0,(N112+P112)/M112)</f>
        <v>0</v>
      </c>
      <c r="S112" s="38" t="str">
        <f>IF(OR($P112=0,ISERROR(P112/G112)),"-",(VLOOKUP(L112,'APP 2885'!$B$10:$G$54,6)*$G112)/($P112+$N112))</f>
        <v>-</v>
      </c>
      <c r="T112" s="22">
        <f>IF(ISERROR(RK112/M112),0,K112/M112)</f>
        <v>0</v>
      </c>
      <c r="U112" s="21">
        <f>IF(ISERROR(K112/M112),0,(K112+N112)/M112)</f>
        <v>0</v>
      </c>
      <c r="V112" s="38" t="str">
        <f>IF(OR($P112=0,ISERROR(P112/G112)),"-",(VLOOKUP(L112,'APP 2885'!$B$10:$G$54,4)*$G112)/($K112+$N112))</f>
        <v>-</v>
      </c>
      <c r="W112" s="2"/>
      <c r="X112" s="2"/>
    </row>
    <row r="113" spans="1:24" ht="15.75" thickBot="1" x14ac:dyDescent="0.3">
      <c r="A113" s="20" t="s">
        <v>85</v>
      </c>
      <c r="B113" s="20" t="s">
        <v>26</v>
      </c>
      <c r="C113" s="20"/>
      <c r="D113" s="17">
        <v>11</v>
      </c>
      <c r="E113" s="17">
        <v>11</v>
      </c>
      <c r="F113" s="19">
        <v>0</v>
      </c>
      <c r="G113" s="17">
        <f>IF(ISNUMBER(E113),E113*F113,"")</f>
        <v>0</v>
      </c>
      <c r="H113" s="15">
        <v>0</v>
      </c>
      <c r="I113" s="14">
        <f t="shared" si="32"/>
        <v>0</v>
      </c>
      <c r="J113" s="14">
        <f>IF(ISNUMBER(H113),H113*E113,"")</f>
        <v>0</v>
      </c>
      <c r="K113" s="18">
        <f>J113-D113*(I113)</f>
        <v>0</v>
      </c>
      <c r="L113" s="17">
        <v>0</v>
      </c>
      <c r="M113" s="17">
        <f t="shared" si="41"/>
        <v>0</v>
      </c>
      <c r="N113" s="16">
        <f t="shared" si="42"/>
        <v>0</v>
      </c>
      <c r="O113" s="15">
        <v>500</v>
      </c>
      <c r="P113" s="14">
        <f>IF(ISNUMBER(O113),O113*E113,"")</f>
        <v>5500</v>
      </c>
      <c r="Q113" s="13">
        <f>IF(ISERROR(P113/M113),0,P113/M113)</f>
        <v>0</v>
      </c>
      <c r="R113" s="13">
        <f>IF(ISERROR((N113+P113)/M113),0,(N113+P113)/M113)</f>
        <v>0</v>
      </c>
      <c r="S113" s="37" t="str">
        <f>IF(OR($P113=0,ISERROR(P113/G113)),"-",(VLOOKUP(L113,'APP 2885'!$B$10:$G$54,6)*$G113)/($P113+$N113))</f>
        <v>-</v>
      </c>
      <c r="T113" s="12">
        <f>IF(ISERROR(RK113/M113),0,K113/M113)</f>
        <v>0</v>
      </c>
      <c r="U113" s="11">
        <f>IF(ISERROR(K113/M113),0,(K113+N113)/M113)</f>
        <v>0</v>
      </c>
      <c r="V113" s="37" t="str">
        <f>IF(OR($P113=0,ISERROR(P113/G113)),"-",(VLOOKUP(L113,'APP 2885'!$B$10:$G$54,4)*$G113)/($K113+$N113))</f>
        <v>-</v>
      </c>
      <c r="W113" s="2"/>
      <c r="X113" s="2"/>
    </row>
    <row r="114" spans="1:24" ht="28.5" customHeight="1" thickBot="1" x14ac:dyDescent="0.3">
      <c r="A114" s="10" t="s">
        <v>86</v>
      </c>
      <c r="B114" s="4" t="s">
        <v>87</v>
      </c>
      <c r="C114" s="4" t="s">
        <v>87</v>
      </c>
      <c r="D114" s="9">
        <v>3268</v>
      </c>
      <c r="E114" s="7">
        <f>SUM(E5:E109)</f>
        <v>1642185.4799999997</v>
      </c>
      <c r="F114" s="4" t="s">
        <v>87</v>
      </c>
      <c r="G114" s="8">
        <f>SUM(G5:G109)</f>
        <v>330767.87653000018</v>
      </c>
      <c r="H114" s="3">
        <f>SUM(H5:H109)</f>
        <v>62542.979999999996</v>
      </c>
      <c r="I114" s="3">
        <f>SUM(I5:I109)</f>
        <v>3128.1628966258017</v>
      </c>
      <c r="J114" s="3">
        <f>SUM(J5:J109)</f>
        <v>4457486.6519999998</v>
      </c>
      <c r="K114" s="3">
        <f>SUM(K5:K109)</f>
        <v>4285563.8880733252</v>
      </c>
      <c r="L114" s="7">
        <f>SUMPRODUCT(L5:L109,G5:G109)/SUM(G5:G109)</f>
        <v>25.622500032832892</v>
      </c>
      <c r="M114" s="6">
        <f>SUM(M5:M109)</f>
        <v>5306679.7913055941</v>
      </c>
      <c r="N114" s="5">
        <f>B120</f>
        <v>1139998.28</v>
      </c>
      <c r="O114" s="4" t="s">
        <v>87</v>
      </c>
      <c r="P114" s="3">
        <f>SUM(P5:P113)</f>
        <v>3367119.9750000001</v>
      </c>
      <c r="Q114" s="3">
        <f t="shared" si="37"/>
        <v>0.63450596369440881</v>
      </c>
      <c r="R114" s="3">
        <f t="shared" si="38"/>
        <v>0.84932922886819229</v>
      </c>
      <c r="S114" s="39">
        <f>IF(VALUE(LEFT($P114,11))=0,"-",(VLOOKUP(L114,'APP 2885'!$B$10:$G$54,6)*VALUE(LEFT($G114,7)))/(VALUE(LEFT($P114,11))+$N114))</f>
        <v>2.0298674783159449</v>
      </c>
      <c r="T114" s="3">
        <f>IF(ISERROR(RK114/M114),0,K114/M114)</f>
        <v>0.80757913735340614</v>
      </c>
      <c r="U114" s="3">
        <f t="shared" si="40"/>
        <v>1.0224024025271898</v>
      </c>
      <c r="V114" s="39">
        <f>IF($P114=0,"-",(VLOOKUP(L114,'APP 2885'!$B$10:$G$54,4)*$G114)/($K114+$N114))</f>
        <v>1.5329583666294666</v>
      </c>
      <c r="W114" s="2"/>
      <c r="X114" s="2"/>
    </row>
    <row r="116" spans="1:24" ht="15.75" thickBot="1" x14ac:dyDescent="0.3">
      <c r="J116" s="1" t="s">
        <v>88</v>
      </c>
      <c r="K116" s="36">
        <f>J114-K114</f>
        <v>171922.76392667461</v>
      </c>
    </row>
    <row r="117" spans="1:24" ht="15.75" thickBot="1" x14ac:dyDescent="0.3">
      <c r="A117" s="32" t="s">
        <v>89</v>
      </c>
      <c r="B117" s="34">
        <v>3.4000000000000002E-2</v>
      </c>
    </row>
    <row r="118" spans="1:24" ht="15.75" thickBot="1" x14ac:dyDescent="0.3">
      <c r="A118" s="32" t="s">
        <v>90</v>
      </c>
      <c r="B118" s="34">
        <v>0.02</v>
      </c>
    </row>
    <row r="119" spans="1:24" ht="15.75" thickBot="1" x14ac:dyDescent="0.3">
      <c r="A119" s="32" t="s">
        <v>91</v>
      </c>
      <c r="B119" s="34">
        <v>3.4000000000000002E-2</v>
      </c>
    </row>
    <row r="120" spans="1:24" ht="15.75" thickBot="1" x14ac:dyDescent="0.3">
      <c r="A120" s="32" t="s">
        <v>92</v>
      </c>
      <c r="B120" s="31">
        <v>1139998.28</v>
      </c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</sheetData>
  <mergeCells count="3">
    <mergeCell ref="B1:V1"/>
    <mergeCell ref="B2:V2"/>
    <mergeCell ref="A3:V3"/>
  </mergeCells>
  <phoneticPr fontId="14" type="noConversion"/>
  <pageMargins left="0" right="0" top="0" bottom="0" header="0" footer="0"/>
  <pageSetup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59"/>
  <sheetViews>
    <sheetView workbookViewId="0">
      <pane ySplit="4" topLeftCell="A23" activePane="bottomLeft" state="frozen"/>
      <selection pane="bottomLeft" activeCell="A5" sqref="A5:H5"/>
    </sheetView>
  </sheetViews>
  <sheetFormatPr defaultRowHeight="15" x14ac:dyDescent="0.25"/>
  <cols>
    <col min="1" max="8" width="13.28515625" customWidth="1"/>
  </cols>
  <sheetData>
    <row r="1" spans="1:8" ht="15" customHeight="1" x14ac:dyDescent="0.25">
      <c r="A1" s="52" t="s">
        <v>93</v>
      </c>
      <c r="B1" s="52"/>
      <c r="C1" s="52"/>
      <c r="D1" s="52"/>
      <c r="E1" s="52"/>
      <c r="F1" s="52"/>
      <c r="G1" s="52"/>
      <c r="H1" s="52"/>
    </row>
    <row r="2" spans="1:8" ht="15" customHeight="1" x14ac:dyDescent="0.25">
      <c r="A2" s="52" t="s">
        <v>94</v>
      </c>
      <c r="B2" s="52"/>
      <c r="C2" s="52"/>
      <c r="D2" s="52"/>
      <c r="E2" s="52"/>
      <c r="F2" s="52"/>
      <c r="G2" s="52"/>
      <c r="H2" s="52"/>
    </row>
    <row r="3" spans="1:8" ht="15" customHeight="1" x14ac:dyDescent="0.25">
      <c r="A3" s="52" t="s">
        <v>95</v>
      </c>
      <c r="B3" s="52"/>
      <c r="C3" s="52"/>
      <c r="D3" s="52"/>
      <c r="E3" s="52"/>
      <c r="F3" s="52"/>
      <c r="G3" s="52"/>
      <c r="H3" s="52"/>
    </row>
    <row r="4" spans="1:8" ht="15" customHeight="1" x14ac:dyDescent="0.25">
      <c r="A4" s="52" t="s">
        <v>96</v>
      </c>
      <c r="B4" s="52"/>
      <c r="C4" s="52"/>
      <c r="D4" s="52"/>
      <c r="E4" s="52"/>
      <c r="F4" s="52"/>
      <c r="G4" s="52"/>
      <c r="H4" s="52"/>
    </row>
    <row r="5" spans="1:8" ht="15" customHeight="1" x14ac:dyDescent="0.25">
      <c r="A5" s="53"/>
      <c r="B5" s="53"/>
      <c r="C5" s="53"/>
      <c r="D5" s="53"/>
      <c r="E5" s="53"/>
      <c r="F5" s="53"/>
      <c r="G5" s="53"/>
      <c r="H5" s="53"/>
    </row>
    <row r="6" spans="1:8" ht="60" customHeight="1" x14ac:dyDescent="0.25">
      <c r="A6" s="40"/>
      <c r="B6" s="41" t="s">
        <v>97</v>
      </c>
      <c r="C6" s="41" t="s">
        <v>98</v>
      </c>
      <c r="D6" s="41" t="s">
        <v>99</v>
      </c>
      <c r="E6" s="41" t="s">
        <v>100</v>
      </c>
      <c r="F6" s="41" t="s">
        <v>101</v>
      </c>
      <c r="G6" s="41" t="s">
        <v>102</v>
      </c>
      <c r="H6" s="41" t="s">
        <v>103</v>
      </c>
    </row>
    <row r="7" spans="1:8" ht="15" customHeight="1" x14ac:dyDescent="0.25">
      <c r="A7" s="40"/>
      <c r="B7" s="41"/>
      <c r="C7" s="41"/>
      <c r="D7" s="41"/>
      <c r="E7" s="41"/>
      <c r="F7" s="41"/>
      <c r="G7" s="41"/>
      <c r="H7" s="41"/>
    </row>
    <row r="8" spans="1:8" ht="15" customHeight="1" x14ac:dyDescent="0.25">
      <c r="A8" s="40"/>
      <c r="B8" s="41"/>
      <c r="C8" s="41"/>
      <c r="D8" s="41"/>
      <c r="E8" s="41"/>
      <c r="F8" s="41"/>
      <c r="G8" s="41"/>
      <c r="H8" s="41"/>
    </row>
    <row r="9" spans="1:8" ht="15" customHeight="1" x14ac:dyDescent="0.25">
      <c r="A9" s="40"/>
      <c r="B9" s="41"/>
      <c r="C9" s="41"/>
      <c r="D9" s="41"/>
      <c r="E9" s="41"/>
      <c r="F9" s="41"/>
      <c r="G9" s="41"/>
      <c r="H9" s="41"/>
    </row>
    <row r="10" spans="1:8" ht="15" customHeight="1" x14ac:dyDescent="0.25">
      <c r="A10" s="42">
        <v>2021</v>
      </c>
      <c r="B10" s="42">
        <v>1</v>
      </c>
      <c r="C10" s="43">
        <v>0.88445163236383095</v>
      </c>
      <c r="D10" s="43">
        <v>0.88445163236383095</v>
      </c>
      <c r="E10" s="43">
        <v>0.88445163236383095</v>
      </c>
      <c r="F10" s="42" t="s">
        <v>104</v>
      </c>
      <c r="G10" s="44">
        <v>0.97289679560021403</v>
      </c>
      <c r="H10" s="45">
        <v>0.57011051999999995</v>
      </c>
    </row>
    <row r="11" spans="1:8" ht="15" customHeight="1" x14ac:dyDescent="0.25">
      <c r="A11" s="42">
        <v>2022</v>
      </c>
      <c r="B11" s="42">
        <v>2</v>
      </c>
      <c r="C11" s="43">
        <v>0.81371500359565097</v>
      </c>
      <c r="D11" s="43">
        <v>0.84138131371790303</v>
      </c>
      <c r="E11" s="43">
        <v>1.7258329460817301</v>
      </c>
      <c r="F11" s="42" t="s">
        <v>104</v>
      </c>
      <c r="G11" s="44">
        <v>1.8984162406899101</v>
      </c>
      <c r="H11" s="45">
        <v>0.57615605137735904</v>
      </c>
    </row>
    <row r="12" spans="1:8" ht="15" customHeight="1" x14ac:dyDescent="0.25">
      <c r="A12" s="42">
        <v>2023</v>
      </c>
      <c r="B12" s="42">
        <v>3</v>
      </c>
      <c r="C12" s="43">
        <v>0.76115943272610198</v>
      </c>
      <c r="D12" s="43">
        <v>0.81379817445570901</v>
      </c>
      <c r="E12" s="43">
        <v>2.53963112053744</v>
      </c>
      <c r="F12" s="42" t="s">
        <v>104</v>
      </c>
      <c r="G12" s="44">
        <v>2.79359423259119</v>
      </c>
      <c r="H12" s="45">
        <v>0.58293196065410902</v>
      </c>
    </row>
    <row r="13" spans="1:8" ht="15" customHeight="1" x14ac:dyDescent="0.25">
      <c r="A13" s="42">
        <v>2024</v>
      </c>
      <c r="B13" s="42">
        <v>4</v>
      </c>
      <c r="C13" s="43">
        <v>0.75798388048815002</v>
      </c>
      <c r="D13" s="43">
        <v>0.83795671619391299</v>
      </c>
      <c r="E13" s="43">
        <v>3.3775878367313599</v>
      </c>
      <c r="F13" s="42" t="s">
        <v>104</v>
      </c>
      <c r="G13" s="44">
        <v>3.7153466204044898</v>
      </c>
      <c r="H13" s="45">
        <v>0.58975943021046795</v>
      </c>
    </row>
    <row r="14" spans="1:8" ht="15" customHeight="1" x14ac:dyDescent="0.25">
      <c r="A14" s="46">
        <v>2025</v>
      </c>
      <c r="B14" s="42">
        <v>5</v>
      </c>
      <c r="C14" s="43">
        <v>0.77075836546405796</v>
      </c>
      <c r="D14" s="43">
        <v>0.88104968872936495</v>
      </c>
      <c r="E14" s="43">
        <v>4.2586375254607196</v>
      </c>
      <c r="F14" s="42" t="s">
        <v>104</v>
      </c>
      <c r="G14" s="44">
        <v>4.6845012780067901</v>
      </c>
      <c r="H14" s="45">
        <v>0.61455510299969196</v>
      </c>
    </row>
    <row r="15" spans="1:8" ht="15" customHeight="1" x14ac:dyDescent="0.25">
      <c r="A15" s="42">
        <v>2026</v>
      </c>
      <c r="B15" s="42">
        <v>6</v>
      </c>
      <c r="C15" s="43">
        <v>0.76378755722747904</v>
      </c>
      <c r="D15" s="43">
        <v>0.90276616326625003</v>
      </c>
      <c r="E15" s="43">
        <v>5.1614036887269696</v>
      </c>
      <c r="F15" s="42" t="s">
        <v>104</v>
      </c>
      <c r="G15" s="44">
        <v>5.6775440575996701</v>
      </c>
      <c r="H15" s="45">
        <v>0.629247118316003</v>
      </c>
    </row>
    <row r="16" spans="1:8" ht="15" customHeight="1" x14ac:dyDescent="0.25">
      <c r="A16" s="42">
        <v>2027</v>
      </c>
      <c r="B16" s="42">
        <v>7</v>
      </c>
      <c r="C16" s="43">
        <v>0.74933499617350696</v>
      </c>
      <c r="D16" s="43">
        <v>0.91579706736600996</v>
      </c>
      <c r="E16" s="43">
        <v>6.0772007560929797</v>
      </c>
      <c r="F16" s="42" t="s">
        <v>104</v>
      </c>
      <c r="G16" s="44">
        <v>6.6849208317022804</v>
      </c>
      <c r="H16" s="45">
        <v>0.64174689766763904</v>
      </c>
    </row>
    <row r="17" spans="1:8" ht="15" customHeight="1" x14ac:dyDescent="0.25">
      <c r="A17" s="42">
        <v>2028</v>
      </c>
      <c r="B17" s="42">
        <v>8</v>
      </c>
      <c r="C17" s="43">
        <v>0.72707320786116503</v>
      </c>
      <c r="D17" s="43">
        <v>0.91880195964036104</v>
      </c>
      <c r="E17" s="43">
        <v>6.99600271573334</v>
      </c>
      <c r="F17" s="42" t="s">
        <v>104</v>
      </c>
      <c r="G17" s="44">
        <v>7.69560298730668</v>
      </c>
      <c r="H17" s="45">
        <v>0.65668675188056402</v>
      </c>
    </row>
    <row r="18" spans="1:8" ht="15" customHeight="1" x14ac:dyDescent="0.25">
      <c r="A18" s="42">
        <v>2029</v>
      </c>
      <c r="B18" s="42">
        <v>9</v>
      </c>
      <c r="C18" s="43">
        <v>0.71493225084050704</v>
      </c>
      <c r="D18" s="43">
        <v>0.93417706077384199</v>
      </c>
      <c r="E18" s="43">
        <v>7.9301797765071802</v>
      </c>
      <c r="F18" s="42" t="s">
        <v>104</v>
      </c>
      <c r="G18" s="44">
        <v>8.7231977541578996</v>
      </c>
      <c r="H18" s="45">
        <v>0.671362515855918</v>
      </c>
    </row>
    <row r="19" spans="1:8" ht="15" customHeight="1" x14ac:dyDescent="0.25">
      <c r="A19" s="46">
        <v>2030</v>
      </c>
      <c r="B19" s="42">
        <v>10</v>
      </c>
      <c r="C19" s="43">
        <v>0.70356791294168197</v>
      </c>
      <c r="D19" s="43">
        <v>0.95058481742366396</v>
      </c>
      <c r="E19" s="43">
        <v>8.8807645939308504</v>
      </c>
      <c r="F19" s="42" t="s">
        <v>104</v>
      </c>
      <c r="G19" s="44">
        <v>9.7688410533239303</v>
      </c>
      <c r="H19" s="45">
        <v>0.70168753835864495</v>
      </c>
    </row>
    <row r="20" spans="1:8" ht="15" customHeight="1" x14ac:dyDescent="0.25">
      <c r="A20" s="42">
        <v>2031</v>
      </c>
      <c r="B20" s="42">
        <v>11</v>
      </c>
      <c r="C20" s="43">
        <v>0.68515451725701604</v>
      </c>
      <c r="D20" s="43">
        <v>0.95718065546171105</v>
      </c>
      <c r="E20" s="43">
        <v>9.8379452493925594</v>
      </c>
      <c r="F20" s="42" t="s">
        <v>104</v>
      </c>
      <c r="G20" s="44">
        <v>10.8217397743318</v>
      </c>
      <c r="H20" s="45">
        <v>0.71753017552309395</v>
      </c>
    </row>
    <row r="21" spans="1:8" ht="15" customHeight="1" x14ac:dyDescent="0.25">
      <c r="A21" s="42">
        <v>2032</v>
      </c>
      <c r="B21" s="42">
        <v>12</v>
      </c>
      <c r="C21" s="43">
        <v>0.67625670713780195</v>
      </c>
      <c r="D21" s="43">
        <v>0.97687166301819595</v>
      </c>
      <c r="E21" s="43">
        <v>10.8148169124108</v>
      </c>
      <c r="F21" s="42" t="s">
        <v>104</v>
      </c>
      <c r="G21" s="44">
        <v>11.8962986036518</v>
      </c>
      <c r="H21" s="45">
        <v>0.73540219867662504</v>
      </c>
    </row>
    <row r="22" spans="1:8" ht="15" customHeight="1" x14ac:dyDescent="0.25">
      <c r="A22" s="42">
        <v>2033</v>
      </c>
      <c r="B22" s="42">
        <v>13</v>
      </c>
      <c r="C22" s="43">
        <v>0.66587008865652397</v>
      </c>
      <c r="D22" s="43">
        <v>0.99457141181766795</v>
      </c>
      <c r="E22" s="43">
        <v>11.809388324228401</v>
      </c>
      <c r="F22" s="42" t="s">
        <v>104</v>
      </c>
      <c r="G22" s="44">
        <v>12.990327156651301</v>
      </c>
      <c r="H22" s="45">
        <v>0.75283800222888697</v>
      </c>
    </row>
    <row r="23" spans="1:8" ht="15" customHeight="1" x14ac:dyDescent="0.25">
      <c r="A23" s="42">
        <v>2034</v>
      </c>
      <c r="B23" s="42">
        <v>14</v>
      </c>
      <c r="C23" s="43">
        <v>0.648813117328782</v>
      </c>
      <c r="D23" s="43">
        <v>1.0020436159092001</v>
      </c>
      <c r="E23" s="43">
        <v>12.8114319401376</v>
      </c>
      <c r="F23" s="42" t="s">
        <v>104</v>
      </c>
      <c r="G23" s="44">
        <v>14.092575134151399</v>
      </c>
      <c r="H23" s="45">
        <v>0.77211629283704597</v>
      </c>
    </row>
    <row r="24" spans="1:8" ht="15" customHeight="1" x14ac:dyDescent="0.25">
      <c r="A24" s="42">
        <v>2035</v>
      </c>
      <c r="B24" s="42">
        <v>15</v>
      </c>
      <c r="C24" s="43">
        <v>0.63835970106897899</v>
      </c>
      <c r="D24" s="43">
        <v>1.01941966090128</v>
      </c>
      <c r="E24" s="43">
        <v>13.8308516010389</v>
      </c>
      <c r="F24" s="42" t="s">
        <v>104</v>
      </c>
      <c r="G24" s="44">
        <v>15.213936761142801</v>
      </c>
      <c r="H24" s="45">
        <v>0.81064038086745605</v>
      </c>
    </row>
    <row r="25" spans="1:8" ht="15" customHeight="1" x14ac:dyDescent="0.25">
      <c r="A25" s="42">
        <v>2036</v>
      </c>
      <c r="B25" s="42">
        <v>16</v>
      </c>
      <c r="C25" s="43">
        <v>0.62567375799839697</v>
      </c>
      <c r="D25" s="43">
        <v>1.0331324949498299</v>
      </c>
      <c r="E25" s="43">
        <v>14.8639840959887</v>
      </c>
      <c r="F25" s="42" t="s">
        <v>104</v>
      </c>
      <c r="G25" s="44">
        <v>16.3503825055876</v>
      </c>
      <c r="H25" s="45">
        <v>0.83101695530386399</v>
      </c>
    </row>
    <row r="26" spans="1:8" ht="15" customHeight="1" x14ac:dyDescent="0.25">
      <c r="A26" s="42">
        <v>2037</v>
      </c>
      <c r="B26" s="42">
        <v>17</v>
      </c>
      <c r="C26" s="43">
        <v>0.61894833994618104</v>
      </c>
      <c r="D26" s="43">
        <v>1.0567761970079801</v>
      </c>
      <c r="E26" s="43">
        <v>15.9207602929967</v>
      </c>
      <c r="F26" s="42" t="s">
        <v>104</v>
      </c>
      <c r="G26" s="44">
        <v>17.512836322296401</v>
      </c>
      <c r="H26" s="45">
        <v>0.85329665766642104</v>
      </c>
    </row>
    <row r="27" spans="1:8" ht="15" customHeight="1" x14ac:dyDescent="0.25">
      <c r="A27" s="42">
        <v>2038</v>
      </c>
      <c r="B27" s="42">
        <v>18</v>
      </c>
      <c r="C27" s="43">
        <v>0.61107179398866496</v>
      </c>
      <c r="D27" s="43">
        <v>1.0788011401903901</v>
      </c>
      <c r="E27" s="43">
        <v>16.9995614331871</v>
      </c>
      <c r="F27" s="42" t="s">
        <v>104</v>
      </c>
      <c r="G27" s="44">
        <v>18.699517576505801</v>
      </c>
      <c r="H27" s="45">
        <v>0.87508084147130905</v>
      </c>
    </row>
    <row r="28" spans="1:8" ht="15" customHeight="1" x14ac:dyDescent="0.25">
      <c r="A28" s="42">
        <v>2039</v>
      </c>
      <c r="B28" s="42">
        <v>19</v>
      </c>
      <c r="C28" s="43">
        <v>0.60374811403143103</v>
      </c>
      <c r="D28" s="43">
        <v>1.10211137489806</v>
      </c>
      <c r="E28" s="43">
        <v>18.101672808085201</v>
      </c>
      <c r="F28" s="42" t="s">
        <v>104</v>
      </c>
      <c r="G28" s="44">
        <v>19.911840088893701</v>
      </c>
      <c r="H28" s="45">
        <v>0.897067740402681</v>
      </c>
    </row>
    <row r="29" spans="1:8" ht="15" customHeight="1" x14ac:dyDescent="0.25">
      <c r="A29" s="46">
        <v>2040</v>
      </c>
      <c r="B29" s="42">
        <v>20</v>
      </c>
      <c r="C29" s="43">
        <v>0.59154544035996703</v>
      </c>
      <c r="D29" s="43">
        <v>1.1165504413431</v>
      </c>
      <c r="E29" s="43">
        <v>19.218223249428299</v>
      </c>
      <c r="F29" s="42" t="s">
        <v>104</v>
      </c>
      <c r="G29" s="44">
        <v>21.140045574371101</v>
      </c>
      <c r="H29" s="45">
        <v>0.91930355234543903</v>
      </c>
    </row>
    <row r="30" spans="1:8" ht="15" customHeight="1" x14ac:dyDescent="0.25">
      <c r="A30" s="42">
        <v>2041</v>
      </c>
      <c r="B30" s="42">
        <v>21</v>
      </c>
      <c r="C30" s="43">
        <v>0.58353612105141806</v>
      </c>
      <c r="D30" s="43">
        <v>1.13888145016996</v>
      </c>
      <c r="E30" s="43">
        <v>20.357104699598199</v>
      </c>
      <c r="F30" s="42" t="s">
        <v>104</v>
      </c>
      <c r="G30" s="44">
        <v>22.392815169557998</v>
      </c>
      <c r="H30" s="45">
        <v>0.96256067436903203</v>
      </c>
    </row>
    <row r="31" spans="1:8" ht="15" customHeight="1" x14ac:dyDescent="0.25">
      <c r="A31" s="42">
        <v>2042</v>
      </c>
      <c r="B31" s="42">
        <v>22</v>
      </c>
      <c r="C31" s="43">
        <v>0.57563524513776199</v>
      </c>
      <c r="D31" s="43">
        <v>1.1616590791733601</v>
      </c>
      <c r="E31" s="43">
        <v>21.5187637787716</v>
      </c>
      <c r="F31" s="42" t="s">
        <v>104</v>
      </c>
      <c r="G31" s="44">
        <v>23.670640156648702</v>
      </c>
      <c r="H31" s="45">
        <v>0.98552212265613304</v>
      </c>
    </row>
    <row r="32" spans="1:8" ht="15" customHeight="1" x14ac:dyDescent="0.25">
      <c r="A32" s="42">
        <v>2043</v>
      </c>
      <c r="B32" s="42">
        <v>23</v>
      </c>
      <c r="C32" s="43">
        <v>0.567841344333189</v>
      </c>
      <c r="D32" s="43">
        <v>1.18489226075682</v>
      </c>
      <c r="E32" s="43">
        <v>22.703656039528401</v>
      </c>
      <c r="F32" s="42" t="s">
        <v>104</v>
      </c>
      <c r="G32" s="44">
        <v>24.974021643481201</v>
      </c>
      <c r="H32" s="45">
        <v>1.0086464310452701</v>
      </c>
    </row>
    <row r="33" spans="1:8" ht="15" customHeight="1" x14ac:dyDescent="0.25">
      <c r="A33" s="42">
        <v>2044</v>
      </c>
      <c r="B33" s="42">
        <v>24</v>
      </c>
      <c r="C33" s="43">
        <v>0.56015297023196597</v>
      </c>
      <c r="D33" s="43">
        <v>1.2085901059719599</v>
      </c>
      <c r="E33" s="43">
        <v>23.912246145500401</v>
      </c>
      <c r="F33" s="42" t="s">
        <v>104</v>
      </c>
      <c r="G33" s="44">
        <v>26.303470760050399</v>
      </c>
      <c r="H33" s="45">
        <v>1.03195880055061</v>
      </c>
    </row>
    <row r="34" spans="1:8" ht="15" customHeight="1" x14ac:dyDescent="0.25">
      <c r="A34" s="42">
        <v>2045</v>
      </c>
      <c r="B34" s="42">
        <v>25</v>
      </c>
      <c r="C34" s="43">
        <v>0.55256869403927</v>
      </c>
      <c r="D34" s="43">
        <v>1.2327619080914001</v>
      </c>
      <c r="E34" s="43">
        <v>25.145008053591798</v>
      </c>
      <c r="F34" s="42" t="s">
        <v>104</v>
      </c>
      <c r="G34" s="44">
        <v>27.6595088589509</v>
      </c>
      <c r="H34" s="45">
        <v>1.0554809412422199</v>
      </c>
    </row>
    <row r="35" spans="1:8" ht="15" customHeight="1" x14ac:dyDescent="0.25">
      <c r="A35" s="42">
        <v>2046</v>
      </c>
      <c r="B35" s="42">
        <v>26</v>
      </c>
      <c r="C35" s="43">
        <v>0.54508710630566304</v>
      </c>
      <c r="D35" s="43">
        <v>1.25741714625323</v>
      </c>
      <c r="E35" s="43">
        <v>26.402425199844998</v>
      </c>
      <c r="F35" s="42" t="s">
        <v>104</v>
      </c>
      <c r="G35" s="44">
        <v>29.042667719829499</v>
      </c>
      <c r="H35" s="45">
        <v>1.1026933043184499</v>
      </c>
    </row>
    <row r="36" spans="1:8" ht="15" customHeight="1" x14ac:dyDescent="0.25">
      <c r="A36" s="42">
        <v>2047</v>
      </c>
      <c r="B36" s="42">
        <v>27</v>
      </c>
      <c r="C36" s="43">
        <v>0.53770681666516096</v>
      </c>
      <c r="D36" s="43">
        <v>1.2825654891782901</v>
      </c>
      <c r="E36" s="43">
        <v>27.684990689023302</v>
      </c>
      <c r="F36" s="42" t="s">
        <v>104</v>
      </c>
      <c r="G36" s="44">
        <v>30.453489757925599</v>
      </c>
      <c r="H36" s="45">
        <v>1.1272110200121499</v>
      </c>
    </row>
    <row r="37" spans="1:8" ht="15" customHeight="1" x14ac:dyDescent="0.25">
      <c r="A37" s="42">
        <v>2048</v>
      </c>
      <c r="B37" s="42">
        <v>28</v>
      </c>
      <c r="C37" s="43">
        <v>0.53042645357685103</v>
      </c>
      <c r="D37" s="43">
        <v>1.3082167989618601</v>
      </c>
      <c r="E37" s="43">
        <v>28.993207487985099</v>
      </c>
      <c r="F37" s="42" t="s">
        <v>104</v>
      </c>
      <c r="G37" s="44">
        <v>31.892528236783701</v>
      </c>
      <c r="H37" s="45">
        <v>1.1519943575740099</v>
      </c>
    </row>
    <row r="38" spans="1:8" ht="15" customHeight="1" x14ac:dyDescent="0.25">
      <c r="A38" s="42">
        <v>2049</v>
      </c>
      <c r="B38" s="42">
        <v>29</v>
      </c>
      <c r="C38" s="43">
        <v>0.52324466407000803</v>
      </c>
      <c r="D38" s="43">
        <v>1.3343811349410899</v>
      </c>
      <c r="E38" s="43">
        <v>30.3275886229262</v>
      </c>
      <c r="F38" s="42" t="s">
        <v>104</v>
      </c>
      <c r="G38" s="44">
        <v>33.360347485218902</v>
      </c>
      <c r="H38" s="45">
        <v>1.1770567561259799</v>
      </c>
    </row>
    <row r="39" spans="1:8" ht="15" customHeight="1" x14ac:dyDescent="0.25">
      <c r="A39" s="46">
        <v>2050</v>
      </c>
      <c r="B39" s="42">
        <v>30</v>
      </c>
      <c r="C39" s="43">
        <v>0.516160113492658</v>
      </c>
      <c r="D39" s="43">
        <v>1.3610687576399201</v>
      </c>
      <c r="E39" s="43">
        <v>31.688657380566099</v>
      </c>
      <c r="F39" s="42" t="s">
        <v>104</v>
      </c>
      <c r="G39" s="44">
        <v>34.857523118622801</v>
      </c>
      <c r="H39" s="45">
        <v>1.2024103291102399</v>
      </c>
    </row>
    <row r="40" spans="1:8" ht="15" customHeight="1" x14ac:dyDescent="0.25">
      <c r="A40" s="42">
        <v>2051</v>
      </c>
      <c r="B40" s="42">
        <v>31</v>
      </c>
      <c r="C40" s="43">
        <v>0.50917148526355005</v>
      </c>
      <c r="D40" s="43">
        <v>1.38829013279271</v>
      </c>
      <c r="E40" s="43">
        <v>33.076947513358903</v>
      </c>
      <c r="F40" s="42" t="s">
        <v>104</v>
      </c>
      <c r="G40" s="44">
        <v>36.384642264694698</v>
      </c>
      <c r="H40" s="45">
        <v>1.2541951448828901</v>
      </c>
    </row>
    <row r="41" spans="1:8" ht="15" customHeight="1" x14ac:dyDescent="0.25">
      <c r="A41" s="42">
        <v>2052</v>
      </c>
      <c r="B41" s="42">
        <v>32</v>
      </c>
      <c r="C41" s="43">
        <v>0.50227748062748701</v>
      </c>
      <c r="D41" s="43">
        <v>1.41605593544857</v>
      </c>
      <c r="E41" s="43">
        <v>34.4930034488074</v>
      </c>
      <c r="F41" s="42" t="s">
        <v>104</v>
      </c>
      <c r="G41" s="44">
        <v>37.942303793688197</v>
      </c>
      <c r="H41" s="45">
        <v>1.2807156499932999</v>
      </c>
    </row>
    <row r="42" spans="1:8" ht="15" customHeight="1" x14ac:dyDescent="0.25">
      <c r="A42" s="42">
        <v>2053</v>
      </c>
      <c r="B42" s="42">
        <v>33</v>
      </c>
      <c r="C42" s="43">
        <v>0.49547681841396202</v>
      </c>
      <c r="D42" s="43">
        <v>1.44437705415754</v>
      </c>
      <c r="E42" s="43">
        <v>35.937380502964999</v>
      </c>
      <c r="F42" s="42" t="s">
        <v>104</v>
      </c>
      <c r="G42" s="44">
        <v>39.5311185532615</v>
      </c>
      <c r="H42" s="45">
        <v>1.30756451467569</v>
      </c>
    </row>
    <row r="43" spans="1:8" ht="15" customHeight="1" x14ac:dyDescent="0.25">
      <c r="A43" s="42">
        <v>2054</v>
      </c>
      <c r="B43" s="42">
        <v>34</v>
      </c>
      <c r="C43" s="43">
        <v>0.488768234799072</v>
      </c>
      <c r="D43" s="43">
        <v>1.47326459524069</v>
      </c>
      <c r="E43" s="43">
        <v>37.410645098205698</v>
      </c>
      <c r="F43" s="42" t="s">
        <v>104</v>
      </c>
      <c r="G43" s="44">
        <v>41.151709608026202</v>
      </c>
      <c r="H43" s="45">
        <v>1.33475052162326</v>
      </c>
    </row>
    <row r="44" spans="1:8" ht="15" customHeight="1" x14ac:dyDescent="0.25">
      <c r="A44" s="42">
        <v>2055</v>
      </c>
      <c r="B44" s="42">
        <v>35</v>
      </c>
      <c r="C44" s="43">
        <v>0.482150483070652</v>
      </c>
      <c r="D44" s="43">
        <v>1.5027298871455099</v>
      </c>
      <c r="E44" s="43">
        <v>38.913374985351197</v>
      </c>
      <c r="F44" s="42" t="s">
        <v>104</v>
      </c>
      <c r="G44" s="44">
        <v>42.804712483886298</v>
      </c>
      <c r="H44" s="45">
        <v>1.3622818643825101</v>
      </c>
    </row>
    <row r="45" spans="1:8" ht="15" customHeight="1" x14ac:dyDescent="0.25">
      <c r="A45" s="42">
        <v>2056</v>
      </c>
      <c r="B45" s="42">
        <v>36</v>
      </c>
      <c r="C45" s="43">
        <v>0.475622333396581</v>
      </c>
      <c r="D45" s="43">
        <v>1.53278448488842</v>
      </c>
      <c r="E45" s="43">
        <v>40.4461594702396</v>
      </c>
      <c r="F45" s="42" t="s">
        <v>104</v>
      </c>
      <c r="G45" s="44">
        <v>44.490775417263499</v>
      </c>
      <c r="H45" s="45">
        <v>1.3901662306967699</v>
      </c>
    </row>
    <row r="46" spans="1:8" ht="15" customHeight="1" x14ac:dyDescent="0.25">
      <c r="A46" s="42">
        <v>2057</v>
      </c>
      <c r="B46" s="42">
        <v>37</v>
      </c>
      <c r="C46" s="43">
        <v>0.46918257259624102</v>
      </c>
      <c r="D46" s="43">
        <v>1.5634401745861799</v>
      </c>
      <c r="E46" s="43">
        <v>42.009599644825798</v>
      </c>
      <c r="F46" s="42" t="s">
        <v>104</v>
      </c>
      <c r="G46" s="44">
        <v>46.210559609308298</v>
      </c>
      <c r="H46" s="45">
        <v>1.41841087242749</v>
      </c>
    </row>
    <row r="47" spans="1:8" ht="15" customHeight="1" x14ac:dyDescent="0.25">
      <c r="A47" s="42">
        <v>2058</v>
      </c>
      <c r="B47" s="42">
        <v>38</v>
      </c>
      <c r="C47" s="43">
        <v>0.46283000391505402</v>
      </c>
      <c r="D47" s="43">
        <v>1.59470897807791</v>
      </c>
      <c r="E47" s="43">
        <v>43.604308622903702</v>
      </c>
      <c r="F47" s="42" t="s">
        <v>104</v>
      </c>
      <c r="G47" s="44">
        <v>47.964739485194002</v>
      </c>
      <c r="H47" s="45">
        <v>1.4470226645295901</v>
      </c>
    </row>
    <row r="48" spans="1:8" ht="15" customHeight="1" x14ac:dyDescent="0.25">
      <c r="A48" s="42">
        <v>2059</v>
      </c>
      <c r="B48" s="42">
        <v>39</v>
      </c>
      <c r="C48" s="43">
        <v>0.45656344680208399</v>
      </c>
      <c r="D48" s="43">
        <v>1.6266031576394699</v>
      </c>
      <c r="E48" s="43">
        <v>45.230911780543103</v>
      </c>
      <c r="F48" s="42" t="s">
        <v>104</v>
      </c>
      <c r="G48" s="44">
        <v>49.754002958597503</v>
      </c>
      <c r="H48" s="45">
        <v>1.4760081550492099</v>
      </c>
    </row>
    <row r="49" spans="1:8" ht="15" customHeight="1" x14ac:dyDescent="0.25">
      <c r="A49" s="46">
        <v>2060</v>
      </c>
      <c r="B49" s="42">
        <v>40</v>
      </c>
      <c r="C49" s="43">
        <v>0.45038173669064402</v>
      </c>
      <c r="D49" s="43">
        <v>1.6591352207922501</v>
      </c>
      <c r="E49" s="43">
        <v>46.890047001335397</v>
      </c>
      <c r="F49" s="42" t="s">
        <v>104</v>
      </c>
      <c r="G49" s="44">
        <v>51.579051701468899</v>
      </c>
      <c r="H49" s="45">
        <v>1.5053736077183399</v>
      </c>
    </row>
    <row r="50" spans="1:8" ht="15" customHeight="1" x14ac:dyDescent="0.25">
      <c r="A50" s="42">
        <v>2061</v>
      </c>
      <c r="B50" s="42">
        <v>41</v>
      </c>
      <c r="C50" s="43">
        <v>0.444283724781873</v>
      </c>
      <c r="D50" s="43">
        <v>1.6923179252081</v>
      </c>
      <c r="E50" s="43">
        <v>48.582364926543498</v>
      </c>
      <c r="F50" s="42" t="s">
        <v>104</v>
      </c>
      <c r="G50" s="44">
        <v>53.440601419197897</v>
      </c>
      <c r="H50" s="45">
        <v>1.53512503841349</v>
      </c>
    </row>
    <row r="51" spans="1:8" ht="15" customHeight="1" x14ac:dyDescent="0.25">
      <c r="A51" s="42">
        <v>2062</v>
      </c>
      <c r="B51" s="42">
        <v>42</v>
      </c>
      <c r="C51" s="43">
        <v>0.438268277831248</v>
      </c>
      <c r="D51" s="43">
        <v>1.7261642837122599</v>
      </c>
      <c r="E51" s="43">
        <v>50.308529210255799</v>
      </c>
      <c r="F51" s="42" t="s">
        <v>104</v>
      </c>
      <c r="G51" s="44">
        <v>55.339382131281297</v>
      </c>
      <c r="H51" s="45">
        <v>1.5652682465040999</v>
      </c>
    </row>
    <row r="52" spans="1:8" ht="15" customHeight="1" x14ac:dyDescent="0.25">
      <c r="A52" s="42">
        <v>2063</v>
      </c>
      <c r="B52" s="42">
        <v>43</v>
      </c>
      <c r="C52" s="43">
        <v>0.43233427793798102</v>
      </c>
      <c r="D52" s="43">
        <v>1.7606875693865101</v>
      </c>
      <c r="E52" s="43">
        <v>52.069216779642304</v>
      </c>
      <c r="F52" s="42" t="s">
        <v>104</v>
      </c>
      <c r="G52" s="44">
        <v>57.2761384576065</v>
      </c>
      <c r="H52" s="45">
        <v>1.5958088419255401</v>
      </c>
    </row>
    <row r="53" spans="1:8" ht="15" customHeight="1" x14ac:dyDescent="0.25">
      <c r="A53" s="42">
        <v>2064</v>
      </c>
      <c r="B53" s="42">
        <v>44</v>
      </c>
      <c r="C53" s="43">
        <v>0.42648062233727402</v>
      </c>
      <c r="D53" s="43">
        <v>1.79590132077424</v>
      </c>
      <c r="E53" s="43">
        <v>53.865118100416503</v>
      </c>
      <c r="F53" s="42" t="s">
        <v>104</v>
      </c>
      <c r="G53" s="44">
        <v>59.251629910458199</v>
      </c>
      <c r="H53" s="45">
        <v>1.62675226865943</v>
      </c>
    </row>
    <row r="54" spans="1:8" ht="15" customHeight="1" x14ac:dyDescent="0.25">
      <c r="A54" s="42">
        <v>2065</v>
      </c>
      <c r="B54" s="42">
        <v>45</v>
      </c>
      <c r="C54" s="43">
        <v>0.42070622319537698</v>
      </c>
      <c r="D54" s="43">
        <v>1.8318193471897199</v>
      </c>
      <c r="E54" s="43">
        <v>55.696937447606203</v>
      </c>
      <c r="F54" s="42" t="s">
        <v>104</v>
      </c>
      <c r="G54" s="44">
        <v>61.266631192366901</v>
      </c>
      <c r="H54" s="45">
        <v>1.65810382518273</v>
      </c>
    </row>
    <row r="55" spans="1:8" ht="15" customHeight="1" x14ac:dyDescent="0.25">
      <c r="A55" s="57"/>
      <c r="B55" s="57"/>
      <c r="C55" s="57"/>
      <c r="D55" s="57"/>
      <c r="E55" s="57"/>
      <c r="F55" s="57"/>
      <c r="G55" s="57"/>
      <c r="H55" s="57"/>
    </row>
    <row r="56" spans="1:8" ht="15" customHeight="1" x14ac:dyDescent="0.25">
      <c r="A56" s="47"/>
      <c r="B56" s="54" t="s">
        <v>105</v>
      </c>
      <c r="C56" s="54"/>
      <c r="D56" s="54"/>
      <c r="E56" s="48">
        <v>3.5200000000000002E-2</v>
      </c>
      <c r="F56" s="55"/>
      <c r="G56" s="55"/>
      <c r="H56" s="55"/>
    </row>
    <row r="57" spans="1:8" ht="15" customHeight="1" x14ac:dyDescent="0.25">
      <c r="A57" s="47"/>
      <c r="B57" s="54" t="s">
        <v>106</v>
      </c>
      <c r="C57" s="54"/>
      <c r="D57" s="54"/>
      <c r="E57" s="48">
        <v>3.5200000000000002E-2</v>
      </c>
      <c r="F57" s="55"/>
      <c r="G57" s="55"/>
      <c r="H57" s="55"/>
    </row>
    <row r="58" spans="1:8" ht="15" customHeight="1" x14ac:dyDescent="0.25">
      <c r="A58" s="47"/>
      <c r="B58" s="54" t="s">
        <v>107</v>
      </c>
      <c r="C58" s="54"/>
      <c r="D58" s="54"/>
      <c r="E58" s="48">
        <v>4.1700000000000001E-2</v>
      </c>
      <c r="F58" s="55"/>
      <c r="G58" s="55"/>
      <c r="H58" s="55"/>
    </row>
    <row r="59" spans="1:8" ht="15" customHeight="1" x14ac:dyDescent="0.25">
      <c r="A59" s="47"/>
      <c r="B59" s="54" t="s">
        <v>108</v>
      </c>
      <c r="C59" s="54"/>
      <c r="D59" s="54"/>
      <c r="E59" s="48">
        <v>0.02</v>
      </c>
      <c r="F59" s="56" t="s">
        <v>109</v>
      </c>
      <c r="G59" s="56"/>
      <c r="H59" s="56"/>
    </row>
  </sheetData>
  <mergeCells count="14">
    <mergeCell ref="B58:D58"/>
    <mergeCell ref="F58:H58"/>
    <mergeCell ref="B59:D59"/>
    <mergeCell ref="F59:H59"/>
    <mergeCell ref="A55:H55"/>
    <mergeCell ref="B56:D56"/>
    <mergeCell ref="F56:H56"/>
    <mergeCell ref="B57:D57"/>
    <mergeCell ref="F57:H57"/>
    <mergeCell ref="A1:H1"/>
    <mergeCell ref="A2:H2"/>
    <mergeCell ref="A3:H3"/>
    <mergeCell ref="A4:H4"/>
    <mergeCell ref="A5:H5"/>
  </mergeCells>
  <pageMargins left="0" right="0" top="0" bottom="0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2C9CC07A93E8F408AFF0ECAED90C02A" ma:contentTypeVersion="44" ma:contentTypeDescription="" ma:contentTypeScope="" ma:versionID="7fee11da47926caa4f923d3d4737414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Pending</CaseStatus>
    <OpenedDate xmlns="dc463f71-b30c-4ab2-9473-d307f9d35888">2021-11-01T07:00:00+00:00</OpenedDate>
    <SignificantOrder xmlns="dc463f71-b30c-4ab2-9473-d307f9d35888">false</SignificantOrder>
    <Date1 xmlns="dc463f71-b30c-4ab2-9473-d307f9d35888">2023-06-15T07:00:00+00:00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210838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C482FA5-0D49-46EF-A39E-013F9E2840A1}"/>
</file>

<file path=customXml/itemProps2.xml><?xml version="1.0" encoding="utf-8"?>
<ds:datastoreItem xmlns:ds="http://schemas.openxmlformats.org/officeDocument/2006/customXml" ds:itemID="{88BC0F42-8450-4271-A3DB-A4574770A30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0C8B95D-4DA6-4AC4-B8FF-66D61D0CFD7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05496F9-F57C-4EFA-A0B5-F730A24839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Total First Year</vt:lpstr>
      <vt:lpstr>APP 2885</vt:lpstr>
      <vt:lpstr>'Total First Year'!JR_PAGE_ANCHOR_0_1</vt:lpstr>
      <vt:lpstr>JR_PAGE_ANCHOR_0_2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2023-03-17T19:01:59Z</dcterms:created>
  <dcterms:modified xsi:type="dcterms:W3CDTF">2023-06-15T15:31:41Z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0x0101006E56B4D1795A2E4DB2F0B01679ED314A00F2C9CC07A93E8F408AFF0ECAED90C02A</vt:lpwstr>
  </property>
  <property fmtid="{D5CDD505-2E9C-101B-9397-08002B2CF9AE}" pid="3" name="_docset_NoMedatataSyncRequired">
    <vt:lpwstr>False</vt:lpwstr>
  </property>
</Properties>
</file>