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worksheets/sheet14.xml" ContentType="application/vnd.openxmlformats-officedocument.spreadsheetml.worksheet+xml"/>
  <Override PartName="/xl/worksheets/sheet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0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5.xml" ContentType="application/vnd.openxmlformats-officedocument.spreadsheetml.externalLink+xml"/>
  <Override PartName="/xl/externalLinks/externalLink9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x WA Reg\RPS Filings\July 2020 Report Refiled\WUTC Report\WORKPAPERS 1 PacifiCorp Resource Incremental Cost Methodology\"/>
    </mc:Choice>
  </mc:AlternateContent>
  <bookViews>
    <workbookView xWindow="0" yWindow="0" windowWidth="19200" windowHeight="11295" tabRatio="839" activeTab="1"/>
  </bookViews>
  <sheets>
    <sheet name="Workpaper Index" sheetId="10" r:id="rId1"/>
    <sheet name="(1.1)_Summary" sheetId="23" r:id="rId2"/>
    <sheet name="(1.2)_Lvl_Resource_Cost" sheetId="18" r:id="rId3"/>
    <sheet name="(2.1)_Resources" sheetId="4" r:id="rId4"/>
    <sheet name="(2.2)_Forward_Price_Curve" sheetId="5" r:id="rId5"/>
    <sheet name="(3.1a)_Goodnoe_Hills-orig" sheetId="6" r:id="rId6"/>
    <sheet name="(3.1b)_Goodnoe_Hills - Repower" sheetId="24" r:id="rId7"/>
    <sheet name="(3.2)_Marengo" sheetId="7" r:id="rId8"/>
    <sheet name="(3.3)_Marengo 2" sheetId="8" r:id="rId9"/>
    <sheet name="(3.4a)_Leaning Juniper-orig" sheetId="9" r:id="rId10"/>
    <sheet name="(3.4b)_Leaning Juniper -Repower" sheetId="25" r:id="rId11"/>
    <sheet name="(3.5)_Lemolo 1 (2003IRP)" sheetId="19" r:id="rId12"/>
    <sheet name="(3.6)_Lemolo 2 (2008 IRP)" sheetId="14" r:id="rId13"/>
    <sheet name="(3.7)_JC Boyle (2004 IRP)" sheetId="21" r:id="rId14"/>
    <sheet name="(3.8)_Prospect 2 (2003 IRP)" sheetId="20" r:id="rId15"/>
    <sheet name="(3.9)_WCA Wind Weighted Average" sheetId="22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_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_____OM1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1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2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3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4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5" hidden="1">{#N/A,#N/A,FALSE,"Summary";#N/A,#N/A,FALSE,"SmPlants";#N/A,#N/A,FALSE,"Utah";#N/A,#N/A,FALSE,"Idaho";#N/A,#N/A,FALSE,"Lewis River";#N/A,#N/A,FALSE,"NrthUmpq";#N/A,#N/A,FALSE,"KlamRog"}</definedName>
    <definedName name="___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___OM1" hidden="1">{#N/A,#N/A,FALSE,"Summary";#N/A,#N/A,FALSE,"SmPlants";#N/A,#N/A,FALSE,"Utah";#N/A,#N/A,FALSE,"Idaho";#N/A,#N/A,FALSE,"Lewis River";#N/A,#N/A,FALSE,"NrthUmpq";#N/A,#N/A,FALSE,"KlamRog"}</definedName>
    <definedName name="___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___OM1_1" hidden="1">{#N/A,#N/A,FALSE,"Summary";#N/A,#N/A,FALSE,"SmPlants";#N/A,#N/A,FALSE,"Utah";#N/A,#N/A,FALSE,"Idaho";#N/A,#N/A,FALSE,"Lewis River";#N/A,#N/A,FALSE,"NrthUmpq";#N/A,#N/A,FALSE,"KlamRog"}</definedName>
    <definedName name="___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___OM1_2" hidden="1">{#N/A,#N/A,FALSE,"Summary";#N/A,#N/A,FALSE,"SmPlants";#N/A,#N/A,FALSE,"Utah";#N/A,#N/A,FALSE,"Idaho";#N/A,#N/A,FALSE,"Lewis River";#N/A,#N/A,FALSE,"NrthUmpq";#N/A,#N/A,FALSE,"KlamRog"}</definedName>
    <definedName name="___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___OM1_3" hidden="1">{#N/A,#N/A,FALSE,"Summary";#N/A,#N/A,FALSE,"SmPlants";#N/A,#N/A,FALSE,"Utah";#N/A,#N/A,FALSE,"Idaho";#N/A,#N/A,FALSE,"Lewis River";#N/A,#N/A,FALSE,"NrthUmpq";#N/A,#N/A,FALSE,"KlamRog"}</definedName>
    <definedName name="___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___OM1_4" hidden="1">{#N/A,#N/A,FALSE,"Summary";#N/A,#N/A,FALSE,"SmPlants";#N/A,#N/A,FALSE,"Utah";#N/A,#N/A,FALSE,"Idaho";#N/A,#N/A,FALSE,"Lewis River";#N/A,#N/A,FALSE,"NrthUmpq";#N/A,#N/A,FALSE,"KlamRog"}</definedName>
    <definedName name="___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___OM1_5" hidden="1">{#N/A,#N/A,FALSE,"Summary";#N/A,#N/A,FALSE,"SmPlants";#N/A,#N/A,FALSE,"Utah";#N/A,#N/A,FALSE,"Idaho";#N/A,#N/A,FALSE,"Lewis River";#N/A,#N/A,FALSE,"NrthUmpq";#N/A,#N/A,FALSE,"KlamRog"}</definedName>
    <definedName name="_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_OM1" hidden="1">{#N/A,#N/A,FALSE,"Summary";#N/A,#N/A,FALSE,"SmPlants";#N/A,#N/A,FALSE,"Utah";#N/A,#N/A,FALSE,"Idaho";#N/A,#N/A,FALSE,"Lewis River";#N/A,#N/A,FALSE,"NrthUmpq";#N/A,#N/A,FALSE,"KlamRog"}</definedName>
    <definedName name="_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_OM1_1" hidden="1">{#N/A,#N/A,FALSE,"Summary";#N/A,#N/A,FALSE,"SmPlants";#N/A,#N/A,FALSE,"Utah";#N/A,#N/A,FALSE,"Idaho";#N/A,#N/A,FALSE,"Lewis River";#N/A,#N/A,FALSE,"NrthUmpq";#N/A,#N/A,FALSE,"KlamRog"}</definedName>
    <definedName name="_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_OM1_2" hidden="1">{#N/A,#N/A,FALSE,"Summary";#N/A,#N/A,FALSE,"SmPlants";#N/A,#N/A,FALSE,"Utah";#N/A,#N/A,FALSE,"Idaho";#N/A,#N/A,FALSE,"Lewis River";#N/A,#N/A,FALSE,"NrthUmpq";#N/A,#N/A,FALSE,"KlamRog"}</definedName>
    <definedName name="_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_OM1_3" hidden="1">{#N/A,#N/A,FALSE,"Summary";#N/A,#N/A,FALSE,"SmPlants";#N/A,#N/A,FALSE,"Utah";#N/A,#N/A,FALSE,"Idaho";#N/A,#N/A,FALSE,"Lewis River";#N/A,#N/A,FALSE,"NrthUmpq";#N/A,#N/A,FALSE,"KlamRog"}</definedName>
    <definedName name="_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_OM1_4" hidden="1">{#N/A,#N/A,FALSE,"Summary";#N/A,#N/A,FALSE,"SmPlants";#N/A,#N/A,FALSE,"Utah";#N/A,#N/A,FALSE,"Idaho";#N/A,#N/A,FALSE,"Lewis River";#N/A,#N/A,FALSE,"NrthUmpq";#N/A,#N/A,FALSE,"KlamRog"}</definedName>
    <definedName name="_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_OM1_5" hidden="1">{#N/A,#N/A,FALSE,"Summary";#N/A,#N/A,FALSE,"SmPlants";#N/A,#N/A,FALSE,"Utah";#N/A,#N/A,FALSE,"Idaho";#N/A,#N/A,FALSE,"Lewis River";#N/A,#N/A,FALSE,"NrthUmpq";#N/A,#N/A,FALSE,"KlamRog"}</definedName>
    <definedName name="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OM1" hidden="1">{#N/A,#N/A,FALSE,"Summary";#N/A,#N/A,FALSE,"SmPlants";#N/A,#N/A,FALSE,"Utah";#N/A,#N/A,FALSE,"Idaho";#N/A,#N/A,FALSE,"Lewis River";#N/A,#N/A,FALSE,"NrthUmpq";#N/A,#N/A,FALSE,"KlamRog"}</definedName>
    <definedName name="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OM1_1" hidden="1">{#N/A,#N/A,FALSE,"Summary";#N/A,#N/A,FALSE,"SmPlants";#N/A,#N/A,FALSE,"Utah";#N/A,#N/A,FALSE,"Idaho";#N/A,#N/A,FALSE,"Lewis River";#N/A,#N/A,FALSE,"NrthUmpq";#N/A,#N/A,FALSE,"KlamRog"}</definedName>
    <definedName name="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OM1_2" hidden="1">{#N/A,#N/A,FALSE,"Summary";#N/A,#N/A,FALSE,"SmPlants";#N/A,#N/A,FALSE,"Utah";#N/A,#N/A,FALSE,"Idaho";#N/A,#N/A,FALSE,"Lewis River";#N/A,#N/A,FALSE,"NrthUmpq";#N/A,#N/A,FALSE,"KlamRog"}</definedName>
    <definedName name="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OM1_3" hidden="1">{#N/A,#N/A,FALSE,"Summary";#N/A,#N/A,FALSE,"SmPlants";#N/A,#N/A,FALSE,"Utah";#N/A,#N/A,FALSE,"Idaho";#N/A,#N/A,FALSE,"Lewis River";#N/A,#N/A,FALSE,"NrthUmpq";#N/A,#N/A,FALSE,"KlamRog"}</definedName>
    <definedName name="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OM1_4" hidden="1">{#N/A,#N/A,FALSE,"Summary";#N/A,#N/A,FALSE,"SmPlants";#N/A,#N/A,FALSE,"Utah";#N/A,#N/A,FALSE,"Idaho";#N/A,#N/A,FALSE,"Lewis River";#N/A,#N/A,FALSE,"NrthUmpq";#N/A,#N/A,FALSE,"KlamRog"}</definedName>
    <definedName name="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OM1_5" hidden="1">{#N/A,#N/A,FALSE,"Summary";#N/A,#N/A,FALSE,"SmPlants";#N/A,#N/A,FALSE,"Utah";#N/A,#N/A,FALSE,"Idaho";#N/A,#N/A,FALSE,"Lewis River";#N/A,#N/A,FALSE,"NrthUmpq";#N/A,#N/A,FALSE,"KlamRog"}</definedName>
    <definedName name="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OM1" hidden="1">{#N/A,#N/A,FALSE,"Summary";#N/A,#N/A,FALSE,"SmPlants";#N/A,#N/A,FALSE,"Utah";#N/A,#N/A,FALSE,"Idaho";#N/A,#N/A,FALSE,"Lewis River";#N/A,#N/A,FALSE,"NrthUmpq";#N/A,#N/A,FALSE,"KlamRog"}</definedName>
    <definedName name="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OM1_1" hidden="1">{#N/A,#N/A,FALSE,"Summary";#N/A,#N/A,FALSE,"SmPlants";#N/A,#N/A,FALSE,"Utah";#N/A,#N/A,FALSE,"Idaho";#N/A,#N/A,FALSE,"Lewis River";#N/A,#N/A,FALSE,"NrthUmpq";#N/A,#N/A,FALSE,"KlamRog"}</definedName>
    <definedName name="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OM1_2" hidden="1">{#N/A,#N/A,FALSE,"Summary";#N/A,#N/A,FALSE,"SmPlants";#N/A,#N/A,FALSE,"Utah";#N/A,#N/A,FALSE,"Idaho";#N/A,#N/A,FALSE,"Lewis River";#N/A,#N/A,FALSE,"NrthUmpq";#N/A,#N/A,FALSE,"KlamRog"}</definedName>
    <definedName name="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OM1_3" hidden="1">{#N/A,#N/A,FALSE,"Summary";#N/A,#N/A,FALSE,"SmPlants";#N/A,#N/A,FALSE,"Utah";#N/A,#N/A,FALSE,"Idaho";#N/A,#N/A,FALSE,"Lewis River";#N/A,#N/A,FALSE,"NrthUmpq";#N/A,#N/A,FALSE,"KlamRog"}</definedName>
    <definedName name="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OM1_4" hidden="1">{#N/A,#N/A,FALSE,"Summary";#N/A,#N/A,FALSE,"SmPlants";#N/A,#N/A,FALSE,"Utah";#N/A,#N/A,FALSE,"Idaho";#N/A,#N/A,FALSE,"Lewis River";#N/A,#N/A,FALSE,"NrthUmpq";#N/A,#N/A,FALSE,"KlamRog"}</definedName>
    <definedName name="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OM1_5" hidden="1">{#N/A,#N/A,FALSE,"Summary";#N/A,#N/A,FALSE,"SmPlants";#N/A,#N/A,FALSE,"Utah";#N/A,#N/A,FALSE,"Idaho";#N/A,#N/A,FALSE,"Lewis River";#N/A,#N/A,FALSE,"NrthUmpq";#N/A,#N/A,FALSE,"KlamRog"}</definedName>
    <definedName name="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OM1" hidden="1">{#N/A,#N/A,FALSE,"Summary";#N/A,#N/A,FALSE,"SmPlants";#N/A,#N/A,FALSE,"Utah";#N/A,#N/A,FALSE,"Idaho";#N/A,#N/A,FALSE,"Lewis River";#N/A,#N/A,FALSE,"NrthUmpq";#N/A,#N/A,FALSE,"KlamRog"}</definedName>
    <definedName name="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OM1_1" hidden="1">{#N/A,#N/A,FALSE,"Summary";#N/A,#N/A,FALSE,"SmPlants";#N/A,#N/A,FALSE,"Utah";#N/A,#N/A,FALSE,"Idaho";#N/A,#N/A,FALSE,"Lewis River";#N/A,#N/A,FALSE,"NrthUmpq";#N/A,#N/A,FALSE,"KlamRog"}</definedName>
    <definedName name="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OM1_2" hidden="1">{#N/A,#N/A,FALSE,"Summary";#N/A,#N/A,FALSE,"SmPlants";#N/A,#N/A,FALSE,"Utah";#N/A,#N/A,FALSE,"Idaho";#N/A,#N/A,FALSE,"Lewis River";#N/A,#N/A,FALSE,"NrthUmpq";#N/A,#N/A,FALSE,"KlamRog"}</definedName>
    <definedName name="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OM1_3" hidden="1">{#N/A,#N/A,FALSE,"Summary";#N/A,#N/A,FALSE,"SmPlants";#N/A,#N/A,FALSE,"Utah";#N/A,#N/A,FALSE,"Idaho";#N/A,#N/A,FALSE,"Lewis River";#N/A,#N/A,FALSE,"NrthUmpq";#N/A,#N/A,FALSE,"KlamRog"}</definedName>
    <definedName name="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OM1_4" hidden="1">{#N/A,#N/A,FALSE,"Summary";#N/A,#N/A,FALSE,"SmPlants";#N/A,#N/A,FALSE,"Utah";#N/A,#N/A,FALSE,"Idaho";#N/A,#N/A,FALSE,"Lewis River";#N/A,#N/A,FALSE,"NrthUmpq";#N/A,#N/A,FALSE,"KlamRog"}</definedName>
    <definedName name="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OM1_5" hidden="1">{#N/A,#N/A,FALSE,"Summary";#N/A,#N/A,FALSE,"SmPlants";#N/A,#N/A,FALSE,"Utah";#N/A,#N/A,FALSE,"Idaho";#N/A,#N/A,FALSE,"Lewis River";#N/A,#N/A,FALSE,"NrthUmpq";#N/A,#N/A,FALSE,"KlamRog"}</definedName>
    <definedName name="____________OM1" localSheetId="1" hidden="1">{#N/A,#N/A,FALSE,"Summary";#N/A,#N/A,FALSE,"SmPlants";#N/A,#N/A,FALSE,"Utah";#N/A,#N/A,FALSE,"Idaho";#N/A,#N/A,FALSE,"Lewis River";#N/A,#N/A,FALSE,"NrthUmpq";#N/A,#N/A,FALSE,"KlamRog"}</definedName>
    <definedName name="____________OM1" localSheetId="3" hidden="1">{#N/A,#N/A,FALSE,"Summary";#N/A,#N/A,FALSE,"SmPlants";#N/A,#N/A,FALSE,"Utah";#N/A,#N/A,FALSE,"Idaho";#N/A,#N/A,FALSE,"Lewis River";#N/A,#N/A,FALSE,"NrthUmpq";#N/A,#N/A,FALSE,"KlamRog"}</definedName>
    <definedName name="____________OM1" localSheetId="4" hidden="1">{#N/A,#N/A,FALSE,"Summary";#N/A,#N/A,FALSE,"SmPlants";#N/A,#N/A,FALSE,"Utah";#N/A,#N/A,FALSE,"Idaho";#N/A,#N/A,FALSE,"Lewis River";#N/A,#N/A,FALSE,"NrthUmpq";#N/A,#N/A,FALSE,"KlamRog"}</definedName>
    <definedName name="____________OM1" localSheetId="5" hidden="1">{#N/A,#N/A,FALSE,"Summary";#N/A,#N/A,FALSE,"SmPlants";#N/A,#N/A,FALSE,"Utah";#N/A,#N/A,FALSE,"Idaho";#N/A,#N/A,FALSE,"Lewis River";#N/A,#N/A,FALSE,"NrthUmpq";#N/A,#N/A,FALSE,"KlamRog"}</definedName>
    <definedName name="____________OM1" localSheetId="6" hidden="1">{#N/A,#N/A,FALSE,"Summary";#N/A,#N/A,FALSE,"SmPlants";#N/A,#N/A,FALSE,"Utah";#N/A,#N/A,FALSE,"Idaho";#N/A,#N/A,FALSE,"Lewis River";#N/A,#N/A,FALSE,"NrthUmpq";#N/A,#N/A,FALSE,"KlamRog"}</definedName>
    <definedName name="____________OM1" localSheetId="7" hidden="1">{#N/A,#N/A,FALSE,"Summary";#N/A,#N/A,FALSE,"SmPlants";#N/A,#N/A,FALSE,"Utah";#N/A,#N/A,FALSE,"Idaho";#N/A,#N/A,FALSE,"Lewis River";#N/A,#N/A,FALSE,"NrthUmpq";#N/A,#N/A,FALSE,"KlamRog"}</definedName>
    <definedName name="____________OM1" localSheetId="8" hidden="1">{#N/A,#N/A,FALSE,"Summary";#N/A,#N/A,FALSE,"SmPlants";#N/A,#N/A,FALSE,"Utah";#N/A,#N/A,FALSE,"Idaho";#N/A,#N/A,FALSE,"Lewis River";#N/A,#N/A,FALSE,"NrthUmpq";#N/A,#N/A,FALSE,"KlamRog"}</definedName>
    <definedName name="____________OM1" localSheetId="9" hidden="1">{#N/A,#N/A,FALSE,"Summary";#N/A,#N/A,FALSE,"SmPlants";#N/A,#N/A,FALSE,"Utah";#N/A,#N/A,FALSE,"Idaho";#N/A,#N/A,FALSE,"Lewis River";#N/A,#N/A,FALSE,"NrthUmpq";#N/A,#N/A,FALSE,"KlamRog"}</definedName>
    <definedName name="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OM1" localSheetId="0" hidden="1">{#N/A,#N/A,FALSE,"Summary";#N/A,#N/A,FALSE,"SmPlants";#N/A,#N/A,FALSE,"Utah";#N/A,#N/A,FALSE,"Idaho";#N/A,#N/A,FALSE,"Lewis River";#N/A,#N/A,FALSE,"NrthUmpq";#N/A,#N/A,FALSE,"KlamRog"}</definedName>
    <definedName name="____________OM1" hidden="1">{#N/A,#N/A,FALSE,"Summary";#N/A,#N/A,FALSE,"SmPlants";#N/A,#N/A,FALSE,"Utah";#N/A,#N/A,FALSE,"Idaho";#N/A,#N/A,FALSE,"Lewis River";#N/A,#N/A,FALSE,"NrthUmpq";#N/A,#N/A,FALSE,"KlamRog"}</definedName>
    <definedName name="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OM1_1" hidden="1">{#N/A,#N/A,FALSE,"Summary";#N/A,#N/A,FALSE,"SmPlants";#N/A,#N/A,FALSE,"Utah";#N/A,#N/A,FALSE,"Idaho";#N/A,#N/A,FALSE,"Lewis River";#N/A,#N/A,FALSE,"NrthUmpq";#N/A,#N/A,FALSE,"KlamRog"}</definedName>
    <definedName name="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OM1_2" hidden="1">{#N/A,#N/A,FALSE,"Summary";#N/A,#N/A,FALSE,"SmPlants";#N/A,#N/A,FALSE,"Utah";#N/A,#N/A,FALSE,"Idaho";#N/A,#N/A,FALSE,"Lewis River";#N/A,#N/A,FALSE,"NrthUmpq";#N/A,#N/A,FALSE,"KlamRog"}</definedName>
    <definedName name="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OM1_3" hidden="1">{#N/A,#N/A,FALSE,"Summary";#N/A,#N/A,FALSE,"SmPlants";#N/A,#N/A,FALSE,"Utah";#N/A,#N/A,FALSE,"Idaho";#N/A,#N/A,FALSE,"Lewis River";#N/A,#N/A,FALSE,"NrthUmpq";#N/A,#N/A,FALSE,"KlamRog"}</definedName>
    <definedName name="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OM1_4" hidden="1">{#N/A,#N/A,FALSE,"Summary";#N/A,#N/A,FALSE,"SmPlants";#N/A,#N/A,FALSE,"Utah";#N/A,#N/A,FALSE,"Idaho";#N/A,#N/A,FALSE,"Lewis River";#N/A,#N/A,FALSE,"NrthUmpq";#N/A,#N/A,FALSE,"KlamRog"}</definedName>
    <definedName name="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OM1_5" hidden="1">{#N/A,#N/A,FALSE,"Summary";#N/A,#N/A,FALSE,"SmPlants";#N/A,#N/A,FALSE,"Utah";#N/A,#N/A,FALSE,"Idaho";#N/A,#N/A,FALSE,"Lewis River";#N/A,#N/A,FALSE,"NrthUmpq";#N/A,#N/A,FALSE,"KlamRog"}</definedName>
    <definedName name="___________OM1" localSheetId="1" hidden="1">{#N/A,#N/A,FALSE,"Summary";#N/A,#N/A,FALSE,"SmPlants";#N/A,#N/A,FALSE,"Utah";#N/A,#N/A,FALSE,"Idaho";#N/A,#N/A,FALSE,"Lewis River";#N/A,#N/A,FALSE,"NrthUmpq";#N/A,#N/A,FALSE,"KlamRog"}</definedName>
    <definedName name="___________OM1" localSheetId="3" hidden="1">{#N/A,#N/A,FALSE,"Summary";#N/A,#N/A,FALSE,"SmPlants";#N/A,#N/A,FALSE,"Utah";#N/A,#N/A,FALSE,"Idaho";#N/A,#N/A,FALSE,"Lewis River";#N/A,#N/A,FALSE,"NrthUmpq";#N/A,#N/A,FALSE,"KlamRog"}</definedName>
    <definedName name="___________OM1" localSheetId="4" hidden="1">{#N/A,#N/A,FALSE,"Summary";#N/A,#N/A,FALSE,"SmPlants";#N/A,#N/A,FALSE,"Utah";#N/A,#N/A,FALSE,"Idaho";#N/A,#N/A,FALSE,"Lewis River";#N/A,#N/A,FALSE,"NrthUmpq";#N/A,#N/A,FALSE,"KlamRog"}</definedName>
    <definedName name="___________OM1" localSheetId="5" hidden="1">{#N/A,#N/A,FALSE,"Summary";#N/A,#N/A,FALSE,"SmPlants";#N/A,#N/A,FALSE,"Utah";#N/A,#N/A,FALSE,"Idaho";#N/A,#N/A,FALSE,"Lewis River";#N/A,#N/A,FALSE,"NrthUmpq";#N/A,#N/A,FALSE,"KlamRog"}</definedName>
    <definedName name="___________OM1" localSheetId="6" hidden="1">{#N/A,#N/A,FALSE,"Summary";#N/A,#N/A,FALSE,"SmPlants";#N/A,#N/A,FALSE,"Utah";#N/A,#N/A,FALSE,"Idaho";#N/A,#N/A,FALSE,"Lewis River";#N/A,#N/A,FALSE,"NrthUmpq";#N/A,#N/A,FALSE,"KlamRog"}</definedName>
    <definedName name="___________OM1" localSheetId="7" hidden="1">{#N/A,#N/A,FALSE,"Summary";#N/A,#N/A,FALSE,"SmPlants";#N/A,#N/A,FALSE,"Utah";#N/A,#N/A,FALSE,"Idaho";#N/A,#N/A,FALSE,"Lewis River";#N/A,#N/A,FALSE,"NrthUmpq";#N/A,#N/A,FALSE,"KlamRog"}</definedName>
    <definedName name="___________OM1" localSheetId="8" hidden="1">{#N/A,#N/A,FALSE,"Summary";#N/A,#N/A,FALSE,"SmPlants";#N/A,#N/A,FALSE,"Utah";#N/A,#N/A,FALSE,"Idaho";#N/A,#N/A,FALSE,"Lewis River";#N/A,#N/A,FALSE,"NrthUmpq";#N/A,#N/A,FALSE,"KlamRog"}</definedName>
    <definedName name="___________OM1" localSheetId="9" hidden="1">{#N/A,#N/A,FALSE,"Summary";#N/A,#N/A,FALSE,"SmPlants";#N/A,#N/A,FALSE,"Utah";#N/A,#N/A,FALSE,"Idaho";#N/A,#N/A,FALSE,"Lewis River";#N/A,#N/A,FALSE,"NrthUmpq";#N/A,#N/A,FALSE,"KlamRog"}</definedName>
    <definedName name="___________OM1" localSheetId="10" hidden="1">{#N/A,#N/A,FALSE,"Summary";#N/A,#N/A,FALSE,"SmPlants";#N/A,#N/A,FALSE,"Utah";#N/A,#N/A,FALSE,"Idaho";#N/A,#N/A,FALSE,"Lewis River";#N/A,#N/A,FALSE,"NrthUmpq";#N/A,#N/A,FALSE,"KlamRog"}</definedName>
    <definedName name="___________OM1" localSheetId="15" hidden="1">{#N/A,#N/A,FALSE,"Summary";#N/A,#N/A,FALSE,"SmPlants";#N/A,#N/A,FALSE,"Utah";#N/A,#N/A,FALSE,"Idaho";#N/A,#N/A,FALSE,"Lewis River";#N/A,#N/A,FALSE,"NrthUmpq";#N/A,#N/A,FALSE,"KlamRog"}</definedName>
    <definedName name="___________OM1" localSheetId="0" hidden="1">{#N/A,#N/A,FALSE,"Summary";#N/A,#N/A,FALSE,"SmPlants";#N/A,#N/A,FALSE,"Utah";#N/A,#N/A,FALSE,"Idaho";#N/A,#N/A,FALSE,"Lewis River";#N/A,#N/A,FALSE,"NrthUmpq";#N/A,#N/A,FALSE,"KlamRog"}</definedName>
    <definedName name="___________OM1" hidden="1">{#N/A,#N/A,FALSE,"Summary";#N/A,#N/A,FALSE,"SmPlants";#N/A,#N/A,FALSE,"Utah";#N/A,#N/A,FALSE,"Idaho";#N/A,#N/A,FALSE,"Lewis River";#N/A,#N/A,FALSE,"NrthUmpq";#N/A,#N/A,FALSE,"KlamRog"}</definedName>
    <definedName name="___________OM1_1" localSheetId="1" hidden="1">{#N/A,#N/A,FALSE,"Summary";#N/A,#N/A,FALSE,"SmPlants";#N/A,#N/A,FALSE,"Utah";#N/A,#N/A,FALSE,"Idaho";#N/A,#N/A,FALSE,"Lewis River";#N/A,#N/A,FALSE,"NrthUmpq";#N/A,#N/A,FALSE,"KlamRog"}</definedName>
    <definedName name="___________OM1_1" localSheetId="3" hidden="1">{#N/A,#N/A,FALSE,"Summary";#N/A,#N/A,FALSE,"SmPlants";#N/A,#N/A,FALSE,"Utah";#N/A,#N/A,FALSE,"Idaho";#N/A,#N/A,FALSE,"Lewis River";#N/A,#N/A,FALSE,"NrthUmpq";#N/A,#N/A,FALSE,"KlamRog"}</definedName>
    <definedName name="___________OM1_1" localSheetId="4" hidden="1">{#N/A,#N/A,FALSE,"Summary";#N/A,#N/A,FALSE,"SmPlants";#N/A,#N/A,FALSE,"Utah";#N/A,#N/A,FALSE,"Idaho";#N/A,#N/A,FALSE,"Lewis River";#N/A,#N/A,FALSE,"NrthUmpq";#N/A,#N/A,FALSE,"KlamRog"}</definedName>
    <definedName name="___________OM1_1" localSheetId="5" hidden="1">{#N/A,#N/A,FALSE,"Summary";#N/A,#N/A,FALSE,"SmPlants";#N/A,#N/A,FALSE,"Utah";#N/A,#N/A,FALSE,"Idaho";#N/A,#N/A,FALSE,"Lewis River";#N/A,#N/A,FALSE,"NrthUmpq";#N/A,#N/A,FALSE,"KlamRog"}</definedName>
    <definedName name="___________OM1_1" localSheetId="6" hidden="1">{#N/A,#N/A,FALSE,"Summary";#N/A,#N/A,FALSE,"SmPlants";#N/A,#N/A,FALSE,"Utah";#N/A,#N/A,FALSE,"Idaho";#N/A,#N/A,FALSE,"Lewis River";#N/A,#N/A,FALSE,"NrthUmpq";#N/A,#N/A,FALSE,"KlamRog"}</definedName>
    <definedName name="___________OM1_1" localSheetId="7" hidden="1">{#N/A,#N/A,FALSE,"Summary";#N/A,#N/A,FALSE,"SmPlants";#N/A,#N/A,FALSE,"Utah";#N/A,#N/A,FALSE,"Idaho";#N/A,#N/A,FALSE,"Lewis River";#N/A,#N/A,FALSE,"NrthUmpq";#N/A,#N/A,FALSE,"KlamRog"}</definedName>
    <definedName name="___________OM1_1" localSheetId="8" hidden="1">{#N/A,#N/A,FALSE,"Summary";#N/A,#N/A,FALSE,"SmPlants";#N/A,#N/A,FALSE,"Utah";#N/A,#N/A,FALSE,"Idaho";#N/A,#N/A,FALSE,"Lewis River";#N/A,#N/A,FALSE,"NrthUmpq";#N/A,#N/A,FALSE,"KlamRog"}</definedName>
    <definedName name="___________OM1_1" localSheetId="9" hidden="1">{#N/A,#N/A,FALSE,"Summary";#N/A,#N/A,FALSE,"SmPlants";#N/A,#N/A,FALSE,"Utah";#N/A,#N/A,FALSE,"Idaho";#N/A,#N/A,FALSE,"Lewis River";#N/A,#N/A,FALSE,"NrthUmpq";#N/A,#N/A,FALSE,"KlamRog"}</definedName>
    <definedName name="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OM1_1" localSheetId="0" hidden="1">{#N/A,#N/A,FALSE,"Summary";#N/A,#N/A,FALSE,"SmPlants";#N/A,#N/A,FALSE,"Utah";#N/A,#N/A,FALSE,"Idaho";#N/A,#N/A,FALSE,"Lewis River";#N/A,#N/A,FALSE,"NrthUmpq";#N/A,#N/A,FALSE,"KlamRog"}</definedName>
    <definedName name="___________OM1_1" hidden="1">{#N/A,#N/A,FALSE,"Summary";#N/A,#N/A,FALSE,"SmPlants";#N/A,#N/A,FALSE,"Utah";#N/A,#N/A,FALSE,"Idaho";#N/A,#N/A,FALSE,"Lewis River";#N/A,#N/A,FALSE,"NrthUmpq";#N/A,#N/A,FALSE,"KlamRog"}</definedName>
    <definedName name="___________OM1_2" localSheetId="1" hidden="1">{#N/A,#N/A,FALSE,"Summary";#N/A,#N/A,FALSE,"SmPlants";#N/A,#N/A,FALSE,"Utah";#N/A,#N/A,FALSE,"Idaho";#N/A,#N/A,FALSE,"Lewis River";#N/A,#N/A,FALSE,"NrthUmpq";#N/A,#N/A,FALSE,"KlamRog"}</definedName>
    <definedName name="___________OM1_2" localSheetId="3" hidden="1">{#N/A,#N/A,FALSE,"Summary";#N/A,#N/A,FALSE,"SmPlants";#N/A,#N/A,FALSE,"Utah";#N/A,#N/A,FALSE,"Idaho";#N/A,#N/A,FALSE,"Lewis River";#N/A,#N/A,FALSE,"NrthUmpq";#N/A,#N/A,FALSE,"KlamRog"}</definedName>
    <definedName name="___________OM1_2" localSheetId="4" hidden="1">{#N/A,#N/A,FALSE,"Summary";#N/A,#N/A,FALSE,"SmPlants";#N/A,#N/A,FALSE,"Utah";#N/A,#N/A,FALSE,"Idaho";#N/A,#N/A,FALSE,"Lewis River";#N/A,#N/A,FALSE,"NrthUmpq";#N/A,#N/A,FALSE,"KlamRog"}</definedName>
    <definedName name="___________OM1_2" localSheetId="5" hidden="1">{#N/A,#N/A,FALSE,"Summary";#N/A,#N/A,FALSE,"SmPlants";#N/A,#N/A,FALSE,"Utah";#N/A,#N/A,FALSE,"Idaho";#N/A,#N/A,FALSE,"Lewis River";#N/A,#N/A,FALSE,"NrthUmpq";#N/A,#N/A,FALSE,"KlamRog"}</definedName>
    <definedName name="___________OM1_2" localSheetId="6" hidden="1">{#N/A,#N/A,FALSE,"Summary";#N/A,#N/A,FALSE,"SmPlants";#N/A,#N/A,FALSE,"Utah";#N/A,#N/A,FALSE,"Idaho";#N/A,#N/A,FALSE,"Lewis River";#N/A,#N/A,FALSE,"NrthUmpq";#N/A,#N/A,FALSE,"KlamRog"}</definedName>
    <definedName name="___________OM1_2" localSheetId="7" hidden="1">{#N/A,#N/A,FALSE,"Summary";#N/A,#N/A,FALSE,"SmPlants";#N/A,#N/A,FALSE,"Utah";#N/A,#N/A,FALSE,"Idaho";#N/A,#N/A,FALSE,"Lewis River";#N/A,#N/A,FALSE,"NrthUmpq";#N/A,#N/A,FALSE,"KlamRog"}</definedName>
    <definedName name="___________OM1_2" localSheetId="8" hidden="1">{#N/A,#N/A,FALSE,"Summary";#N/A,#N/A,FALSE,"SmPlants";#N/A,#N/A,FALSE,"Utah";#N/A,#N/A,FALSE,"Idaho";#N/A,#N/A,FALSE,"Lewis River";#N/A,#N/A,FALSE,"NrthUmpq";#N/A,#N/A,FALSE,"KlamRog"}</definedName>
    <definedName name="___________OM1_2" localSheetId="9" hidden="1">{#N/A,#N/A,FALSE,"Summary";#N/A,#N/A,FALSE,"SmPlants";#N/A,#N/A,FALSE,"Utah";#N/A,#N/A,FALSE,"Idaho";#N/A,#N/A,FALSE,"Lewis River";#N/A,#N/A,FALSE,"NrthUmpq";#N/A,#N/A,FALSE,"KlamRog"}</definedName>
    <definedName name="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OM1_2" localSheetId="0" hidden="1">{#N/A,#N/A,FALSE,"Summary";#N/A,#N/A,FALSE,"SmPlants";#N/A,#N/A,FALSE,"Utah";#N/A,#N/A,FALSE,"Idaho";#N/A,#N/A,FALSE,"Lewis River";#N/A,#N/A,FALSE,"NrthUmpq";#N/A,#N/A,FALSE,"KlamRog"}</definedName>
    <definedName name="___________OM1_2" hidden="1">{#N/A,#N/A,FALSE,"Summary";#N/A,#N/A,FALSE,"SmPlants";#N/A,#N/A,FALSE,"Utah";#N/A,#N/A,FALSE,"Idaho";#N/A,#N/A,FALSE,"Lewis River";#N/A,#N/A,FALSE,"NrthUmpq";#N/A,#N/A,FALSE,"KlamRog"}</definedName>
    <definedName name="___________OM1_3" localSheetId="1" hidden="1">{#N/A,#N/A,FALSE,"Summary";#N/A,#N/A,FALSE,"SmPlants";#N/A,#N/A,FALSE,"Utah";#N/A,#N/A,FALSE,"Idaho";#N/A,#N/A,FALSE,"Lewis River";#N/A,#N/A,FALSE,"NrthUmpq";#N/A,#N/A,FALSE,"KlamRog"}</definedName>
    <definedName name="___________OM1_3" localSheetId="3" hidden="1">{#N/A,#N/A,FALSE,"Summary";#N/A,#N/A,FALSE,"SmPlants";#N/A,#N/A,FALSE,"Utah";#N/A,#N/A,FALSE,"Idaho";#N/A,#N/A,FALSE,"Lewis River";#N/A,#N/A,FALSE,"NrthUmpq";#N/A,#N/A,FALSE,"KlamRog"}</definedName>
    <definedName name="___________OM1_3" localSheetId="4" hidden="1">{#N/A,#N/A,FALSE,"Summary";#N/A,#N/A,FALSE,"SmPlants";#N/A,#N/A,FALSE,"Utah";#N/A,#N/A,FALSE,"Idaho";#N/A,#N/A,FALSE,"Lewis River";#N/A,#N/A,FALSE,"NrthUmpq";#N/A,#N/A,FALSE,"KlamRog"}</definedName>
    <definedName name="___________OM1_3" localSheetId="5" hidden="1">{#N/A,#N/A,FALSE,"Summary";#N/A,#N/A,FALSE,"SmPlants";#N/A,#N/A,FALSE,"Utah";#N/A,#N/A,FALSE,"Idaho";#N/A,#N/A,FALSE,"Lewis River";#N/A,#N/A,FALSE,"NrthUmpq";#N/A,#N/A,FALSE,"KlamRog"}</definedName>
    <definedName name="___________OM1_3" localSheetId="6" hidden="1">{#N/A,#N/A,FALSE,"Summary";#N/A,#N/A,FALSE,"SmPlants";#N/A,#N/A,FALSE,"Utah";#N/A,#N/A,FALSE,"Idaho";#N/A,#N/A,FALSE,"Lewis River";#N/A,#N/A,FALSE,"NrthUmpq";#N/A,#N/A,FALSE,"KlamRog"}</definedName>
    <definedName name="___________OM1_3" localSheetId="7" hidden="1">{#N/A,#N/A,FALSE,"Summary";#N/A,#N/A,FALSE,"SmPlants";#N/A,#N/A,FALSE,"Utah";#N/A,#N/A,FALSE,"Idaho";#N/A,#N/A,FALSE,"Lewis River";#N/A,#N/A,FALSE,"NrthUmpq";#N/A,#N/A,FALSE,"KlamRog"}</definedName>
    <definedName name="___________OM1_3" localSheetId="8" hidden="1">{#N/A,#N/A,FALSE,"Summary";#N/A,#N/A,FALSE,"SmPlants";#N/A,#N/A,FALSE,"Utah";#N/A,#N/A,FALSE,"Idaho";#N/A,#N/A,FALSE,"Lewis River";#N/A,#N/A,FALSE,"NrthUmpq";#N/A,#N/A,FALSE,"KlamRog"}</definedName>
    <definedName name="___________OM1_3" localSheetId="9" hidden="1">{#N/A,#N/A,FALSE,"Summary";#N/A,#N/A,FALSE,"SmPlants";#N/A,#N/A,FALSE,"Utah";#N/A,#N/A,FALSE,"Idaho";#N/A,#N/A,FALSE,"Lewis River";#N/A,#N/A,FALSE,"NrthUmpq";#N/A,#N/A,FALSE,"KlamRog"}</definedName>
    <definedName name="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OM1_3" localSheetId="0" hidden="1">{#N/A,#N/A,FALSE,"Summary";#N/A,#N/A,FALSE,"SmPlants";#N/A,#N/A,FALSE,"Utah";#N/A,#N/A,FALSE,"Idaho";#N/A,#N/A,FALSE,"Lewis River";#N/A,#N/A,FALSE,"NrthUmpq";#N/A,#N/A,FALSE,"KlamRog"}</definedName>
    <definedName name="___________OM1_3" hidden="1">{#N/A,#N/A,FALSE,"Summary";#N/A,#N/A,FALSE,"SmPlants";#N/A,#N/A,FALSE,"Utah";#N/A,#N/A,FALSE,"Idaho";#N/A,#N/A,FALSE,"Lewis River";#N/A,#N/A,FALSE,"NrthUmpq";#N/A,#N/A,FALSE,"KlamRog"}</definedName>
    <definedName name="___________OM1_4" localSheetId="1" hidden="1">{#N/A,#N/A,FALSE,"Summary";#N/A,#N/A,FALSE,"SmPlants";#N/A,#N/A,FALSE,"Utah";#N/A,#N/A,FALSE,"Idaho";#N/A,#N/A,FALSE,"Lewis River";#N/A,#N/A,FALSE,"NrthUmpq";#N/A,#N/A,FALSE,"KlamRog"}</definedName>
    <definedName name="___________OM1_4" localSheetId="3" hidden="1">{#N/A,#N/A,FALSE,"Summary";#N/A,#N/A,FALSE,"SmPlants";#N/A,#N/A,FALSE,"Utah";#N/A,#N/A,FALSE,"Idaho";#N/A,#N/A,FALSE,"Lewis River";#N/A,#N/A,FALSE,"NrthUmpq";#N/A,#N/A,FALSE,"KlamRog"}</definedName>
    <definedName name="___________OM1_4" localSheetId="4" hidden="1">{#N/A,#N/A,FALSE,"Summary";#N/A,#N/A,FALSE,"SmPlants";#N/A,#N/A,FALSE,"Utah";#N/A,#N/A,FALSE,"Idaho";#N/A,#N/A,FALSE,"Lewis River";#N/A,#N/A,FALSE,"NrthUmpq";#N/A,#N/A,FALSE,"KlamRog"}</definedName>
    <definedName name="___________OM1_4" localSheetId="5" hidden="1">{#N/A,#N/A,FALSE,"Summary";#N/A,#N/A,FALSE,"SmPlants";#N/A,#N/A,FALSE,"Utah";#N/A,#N/A,FALSE,"Idaho";#N/A,#N/A,FALSE,"Lewis River";#N/A,#N/A,FALSE,"NrthUmpq";#N/A,#N/A,FALSE,"KlamRog"}</definedName>
    <definedName name="___________OM1_4" localSheetId="6" hidden="1">{#N/A,#N/A,FALSE,"Summary";#N/A,#N/A,FALSE,"SmPlants";#N/A,#N/A,FALSE,"Utah";#N/A,#N/A,FALSE,"Idaho";#N/A,#N/A,FALSE,"Lewis River";#N/A,#N/A,FALSE,"NrthUmpq";#N/A,#N/A,FALSE,"KlamRog"}</definedName>
    <definedName name="___________OM1_4" localSheetId="7" hidden="1">{#N/A,#N/A,FALSE,"Summary";#N/A,#N/A,FALSE,"SmPlants";#N/A,#N/A,FALSE,"Utah";#N/A,#N/A,FALSE,"Idaho";#N/A,#N/A,FALSE,"Lewis River";#N/A,#N/A,FALSE,"NrthUmpq";#N/A,#N/A,FALSE,"KlamRog"}</definedName>
    <definedName name="___________OM1_4" localSheetId="8" hidden="1">{#N/A,#N/A,FALSE,"Summary";#N/A,#N/A,FALSE,"SmPlants";#N/A,#N/A,FALSE,"Utah";#N/A,#N/A,FALSE,"Idaho";#N/A,#N/A,FALSE,"Lewis River";#N/A,#N/A,FALSE,"NrthUmpq";#N/A,#N/A,FALSE,"KlamRog"}</definedName>
    <definedName name="___________OM1_4" localSheetId="9" hidden="1">{#N/A,#N/A,FALSE,"Summary";#N/A,#N/A,FALSE,"SmPlants";#N/A,#N/A,FALSE,"Utah";#N/A,#N/A,FALSE,"Idaho";#N/A,#N/A,FALSE,"Lewis River";#N/A,#N/A,FALSE,"NrthUmpq";#N/A,#N/A,FALSE,"KlamRog"}</definedName>
    <definedName name="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OM1_4" localSheetId="0" hidden="1">{#N/A,#N/A,FALSE,"Summary";#N/A,#N/A,FALSE,"SmPlants";#N/A,#N/A,FALSE,"Utah";#N/A,#N/A,FALSE,"Idaho";#N/A,#N/A,FALSE,"Lewis River";#N/A,#N/A,FALSE,"NrthUmpq";#N/A,#N/A,FALSE,"KlamRog"}</definedName>
    <definedName name="___________OM1_4" hidden="1">{#N/A,#N/A,FALSE,"Summary";#N/A,#N/A,FALSE,"SmPlants";#N/A,#N/A,FALSE,"Utah";#N/A,#N/A,FALSE,"Idaho";#N/A,#N/A,FALSE,"Lewis River";#N/A,#N/A,FALSE,"NrthUmpq";#N/A,#N/A,FALSE,"KlamRog"}</definedName>
    <definedName name="___________OM1_5" localSheetId="1" hidden="1">{#N/A,#N/A,FALSE,"Summary";#N/A,#N/A,FALSE,"SmPlants";#N/A,#N/A,FALSE,"Utah";#N/A,#N/A,FALSE,"Idaho";#N/A,#N/A,FALSE,"Lewis River";#N/A,#N/A,FALSE,"NrthUmpq";#N/A,#N/A,FALSE,"KlamRog"}</definedName>
    <definedName name="___________OM1_5" localSheetId="3" hidden="1">{#N/A,#N/A,FALSE,"Summary";#N/A,#N/A,FALSE,"SmPlants";#N/A,#N/A,FALSE,"Utah";#N/A,#N/A,FALSE,"Idaho";#N/A,#N/A,FALSE,"Lewis River";#N/A,#N/A,FALSE,"NrthUmpq";#N/A,#N/A,FALSE,"KlamRog"}</definedName>
    <definedName name="___________OM1_5" localSheetId="4" hidden="1">{#N/A,#N/A,FALSE,"Summary";#N/A,#N/A,FALSE,"SmPlants";#N/A,#N/A,FALSE,"Utah";#N/A,#N/A,FALSE,"Idaho";#N/A,#N/A,FALSE,"Lewis River";#N/A,#N/A,FALSE,"NrthUmpq";#N/A,#N/A,FALSE,"KlamRog"}</definedName>
    <definedName name="___________OM1_5" localSheetId="5" hidden="1">{#N/A,#N/A,FALSE,"Summary";#N/A,#N/A,FALSE,"SmPlants";#N/A,#N/A,FALSE,"Utah";#N/A,#N/A,FALSE,"Idaho";#N/A,#N/A,FALSE,"Lewis River";#N/A,#N/A,FALSE,"NrthUmpq";#N/A,#N/A,FALSE,"KlamRog"}</definedName>
    <definedName name="___________OM1_5" localSheetId="6" hidden="1">{#N/A,#N/A,FALSE,"Summary";#N/A,#N/A,FALSE,"SmPlants";#N/A,#N/A,FALSE,"Utah";#N/A,#N/A,FALSE,"Idaho";#N/A,#N/A,FALSE,"Lewis River";#N/A,#N/A,FALSE,"NrthUmpq";#N/A,#N/A,FALSE,"KlamRog"}</definedName>
    <definedName name="___________OM1_5" localSheetId="7" hidden="1">{#N/A,#N/A,FALSE,"Summary";#N/A,#N/A,FALSE,"SmPlants";#N/A,#N/A,FALSE,"Utah";#N/A,#N/A,FALSE,"Idaho";#N/A,#N/A,FALSE,"Lewis River";#N/A,#N/A,FALSE,"NrthUmpq";#N/A,#N/A,FALSE,"KlamRog"}</definedName>
    <definedName name="___________OM1_5" localSheetId="8" hidden="1">{#N/A,#N/A,FALSE,"Summary";#N/A,#N/A,FALSE,"SmPlants";#N/A,#N/A,FALSE,"Utah";#N/A,#N/A,FALSE,"Idaho";#N/A,#N/A,FALSE,"Lewis River";#N/A,#N/A,FALSE,"NrthUmpq";#N/A,#N/A,FALSE,"KlamRog"}</definedName>
    <definedName name="___________OM1_5" localSheetId="9" hidden="1">{#N/A,#N/A,FALSE,"Summary";#N/A,#N/A,FALSE,"SmPlants";#N/A,#N/A,FALSE,"Utah";#N/A,#N/A,FALSE,"Idaho";#N/A,#N/A,FALSE,"Lewis River";#N/A,#N/A,FALSE,"NrthUmpq";#N/A,#N/A,FALSE,"KlamRog"}</definedName>
    <definedName name="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OM1_5" localSheetId="0" hidden="1">{#N/A,#N/A,FALSE,"Summary";#N/A,#N/A,FALSE,"SmPlants";#N/A,#N/A,FALSE,"Utah";#N/A,#N/A,FALSE,"Idaho";#N/A,#N/A,FALSE,"Lewis River";#N/A,#N/A,FALSE,"NrthUmpq";#N/A,#N/A,FALSE,"KlamRog"}</definedName>
    <definedName name="___________OM1_5" hidden="1">{#N/A,#N/A,FALSE,"Summary";#N/A,#N/A,FALSE,"SmPlants";#N/A,#N/A,FALSE,"Utah";#N/A,#N/A,FALSE,"Idaho";#N/A,#N/A,FALSE,"Lewis River";#N/A,#N/A,FALSE,"NrthUmpq";#N/A,#N/A,FALSE,"KlamRog"}</definedName>
    <definedName name="_________OM1" localSheetId="1" hidden="1">{#N/A,#N/A,FALSE,"Summary";#N/A,#N/A,FALSE,"SmPlants";#N/A,#N/A,FALSE,"Utah";#N/A,#N/A,FALSE,"Idaho";#N/A,#N/A,FALSE,"Lewis River";#N/A,#N/A,FALSE,"NrthUmpq";#N/A,#N/A,FALSE,"KlamRog"}</definedName>
    <definedName name="_________OM1" localSheetId="3" hidden="1">{#N/A,#N/A,FALSE,"Summary";#N/A,#N/A,FALSE,"SmPlants";#N/A,#N/A,FALSE,"Utah";#N/A,#N/A,FALSE,"Idaho";#N/A,#N/A,FALSE,"Lewis River";#N/A,#N/A,FALSE,"NrthUmpq";#N/A,#N/A,FALSE,"KlamRog"}</definedName>
    <definedName name="_________OM1" localSheetId="4" hidden="1">{#N/A,#N/A,FALSE,"Summary";#N/A,#N/A,FALSE,"SmPlants";#N/A,#N/A,FALSE,"Utah";#N/A,#N/A,FALSE,"Idaho";#N/A,#N/A,FALSE,"Lewis River";#N/A,#N/A,FALSE,"NrthUmpq";#N/A,#N/A,FALSE,"KlamRog"}</definedName>
    <definedName name="_________OM1" localSheetId="5" hidden="1">{#N/A,#N/A,FALSE,"Summary";#N/A,#N/A,FALSE,"SmPlants";#N/A,#N/A,FALSE,"Utah";#N/A,#N/A,FALSE,"Idaho";#N/A,#N/A,FALSE,"Lewis River";#N/A,#N/A,FALSE,"NrthUmpq";#N/A,#N/A,FALSE,"KlamRog"}</definedName>
    <definedName name="_________OM1" localSheetId="6" hidden="1">{#N/A,#N/A,FALSE,"Summary";#N/A,#N/A,FALSE,"SmPlants";#N/A,#N/A,FALSE,"Utah";#N/A,#N/A,FALSE,"Idaho";#N/A,#N/A,FALSE,"Lewis River";#N/A,#N/A,FALSE,"NrthUmpq";#N/A,#N/A,FALSE,"KlamRog"}</definedName>
    <definedName name="_________OM1" localSheetId="7" hidden="1">{#N/A,#N/A,FALSE,"Summary";#N/A,#N/A,FALSE,"SmPlants";#N/A,#N/A,FALSE,"Utah";#N/A,#N/A,FALSE,"Idaho";#N/A,#N/A,FALSE,"Lewis River";#N/A,#N/A,FALSE,"NrthUmpq";#N/A,#N/A,FALSE,"KlamRog"}</definedName>
    <definedName name="_________OM1" localSheetId="8" hidden="1">{#N/A,#N/A,FALSE,"Summary";#N/A,#N/A,FALSE,"SmPlants";#N/A,#N/A,FALSE,"Utah";#N/A,#N/A,FALSE,"Idaho";#N/A,#N/A,FALSE,"Lewis River";#N/A,#N/A,FALSE,"NrthUmpq";#N/A,#N/A,FALSE,"KlamRog"}</definedName>
    <definedName name="_________OM1" localSheetId="9" hidden="1">{#N/A,#N/A,FALSE,"Summary";#N/A,#N/A,FALSE,"SmPlants";#N/A,#N/A,FALSE,"Utah";#N/A,#N/A,FALSE,"Idaho";#N/A,#N/A,FALSE,"Lewis River";#N/A,#N/A,FALSE,"NrthUmpq";#N/A,#N/A,FALSE,"KlamRog"}</definedName>
    <definedName name="_________OM1" localSheetId="10" hidden="1">{#N/A,#N/A,FALSE,"Summary";#N/A,#N/A,FALSE,"SmPlants";#N/A,#N/A,FALSE,"Utah";#N/A,#N/A,FALSE,"Idaho";#N/A,#N/A,FALSE,"Lewis River";#N/A,#N/A,FALSE,"NrthUmpq";#N/A,#N/A,FALSE,"KlamRog"}</definedName>
    <definedName name="_________OM1" localSheetId="15" hidden="1">{#N/A,#N/A,FALSE,"Summary";#N/A,#N/A,FALSE,"SmPlants";#N/A,#N/A,FALSE,"Utah";#N/A,#N/A,FALSE,"Idaho";#N/A,#N/A,FALSE,"Lewis River";#N/A,#N/A,FALSE,"NrthUmpq";#N/A,#N/A,FALSE,"KlamRog"}</definedName>
    <definedName name="_________OM1" localSheetId="0" hidden="1">{#N/A,#N/A,FALSE,"Summary";#N/A,#N/A,FALSE,"SmPlants";#N/A,#N/A,FALSE,"Utah";#N/A,#N/A,FALSE,"Idaho";#N/A,#N/A,FALSE,"Lewis River";#N/A,#N/A,FALSE,"NrthUmpq";#N/A,#N/A,FALSE,"KlamRog"}</definedName>
    <definedName name="_________OM1" hidden="1">{#N/A,#N/A,FALSE,"Summary";#N/A,#N/A,FALSE,"SmPlants";#N/A,#N/A,FALSE,"Utah";#N/A,#N/A,FALSE,"Idaho";#N/A,#N/A,FALSE,"Lewis River";#N/A,#N/A,FALSE,"NrthUmpq";#N/A,#N/A,FALSE,"KlamRog"}</definedName>
    <definedName name="_________OM1_1" localSheetId="1" hidden="1">{#N/A,#N/A,FALSE,"Summary";#N/A,#N/A,FALSE,"SmPlants";#N/A,#N/A,FALSE,"Utah";#N/A,#N/A,FALSE,"Idaho";#N/A,#N/A,FALSE,"Lewis River";#N/A,#N/A,FALSE,"NrthUmpq";#N/A,#N/A,FALSE,"KlamRog"}</definedName>
    <definedName name="_________OM1_1" localSheetId="3" hidden="1">{#N/A,#N/A,FALSE,"Summary";#N/A,#N/A,FALSE,"SmPlants";#N/A,#N/A,FALSE,"Utah";#N/A,#N/A,FALSE,"Idaho";#N/A,#N/A,FALSE,"Lewis River";#N/A,#N/A,FALSE,"NrthUmpq";#N/A,#N/A,FALSE,"KlamRog"}</definedName>
    <definedName name="_________OM1_1" localSheetId="4" hidden="1">{#N/A,#N/A,FALSE,"Summary";#N/A,#N/A,FALSE,"SmPlants";#N/A,#N/A,FALSE,"Utah";#N/A,#N/A,FALSE,"Idaho";#N/A,#N/A,FALSE,"Lewis River";#N/A,#N/A,FALSE,"NrthUmpq";#N/A,#N/A,FALSE,"KlamRog"}</definedName>
    <definedName name="_________OM1_1" localSheetId="5" hidden="1">{#N/A,#N/A,FALSE,"Summary";#N/A,#N/A,FALSE,"SmPlants";#N/A,#N/A,FALSE,"Utah";#N/A,#N/A,FALSE,"Idaho";#N/A,#N/A,FALSE,"Lewis River";#N/A,#N/A,FALSE,"NrthUmpq";#N/A,#N/A,FALSE,"KlamRog"}</definedName>
    <definedName name="_________OM1_1" localSheetId="6" hidden="1">{#N/A,#N/A,FALSE,"Summary";#N/A,#N/A,FALSE,"SmPlants";#N/A,#N/A,FALSE,"Utah";#N/A,#N/A,FALSE,"Idaho";#N/A,#N/A,FALSE,"Lewis River";#N/A,#N/A,FALSE,"NrthUmpq";#N/A,#N/A,FALSE,"KlamRog"}</definedName>
    <definedName name="_________OM1_1" localSheetId="7" hidden="1">{#N/A,#N/A,FALSE,"Summary";#N/A,#N/A,FALSE,"SmPlants";#N/A,#N/A,FALSE,"Utah";#N/A,#N/A,FALSE,"Idaho";#N/A,#N/A,FALSE,"Lewis River";#N/A,#N/A,FALSE,"NrthUmpq";#N/A,#N/A,FALSE,"KlamRog"}</definedName>
    <definedName name="_________OM1_1" localSheetId="8" hidden="1">{#N/A,#N/A,FALSE,"Summary";#N/A,#N/A,FALSE,"SmPlants";#N/A,#N/A,FALSE,"Utah";#N/A,#N/A,FALSE,"Idaho";#N/A,#N/A,FALSE,"Lewis River";#N/A,#N/A,FALSE,"NrthUmpq";#N/A,#N/A,FALSE,"KlamRog"}</definedName>
    <definedName name="_________OM1_1" localSheetId="9" hidden="1">{#N/A,#N/A,FALSE,"Summary";#N/A,#N/A,FALSE,"SmPlants";#N/A,#N/A,FALSE,"Utah";#N/A,#N/A,FALSE,"Idaho";#N/A,#N/A,FALSE,"Lewis River";#N/A,#N/A,FALSE,"NrthUmpq";#N/A,#N/A,FALSE,"KlamRog"}</definedName>
    <definedName name="_________OM1_1" localSheetId="10" hidden="1">{#N/A,#N/A,FALSE,"Summary";#N/A,#N/A,FALSE,"SmPlants";#N/A,#N/A,FALSE,"Utah";#N/A,#N/A,FALSE,"Idaho";#N/A,#N/A,FALSE,"Lewis River";#N/A,#N/A,FALSE,"NrthUmpq";#N/A,#N/A,FALSE,"KlamRog"}</definedName>
    <definedName name="_________OM1_1" localSheetId="15" hidden="1">{#N/A,#N/A,FALSE,"Summary";#N/A,#N/A,FALSE,"SmPlants";#N/A,#N/A,FALSE,"Utah";#N/A,#N/A,FALSE,"Idaho";#N/A,#N/A,FALSE,"Lewis River";#N/A,#N/A,FALSE,"NrthUmpq";#N/A,#N/A,FALSE,"KlamRog"}</definedName>
    <definedName name="_________OM1_1" localSheetId="0" hidden="1">{#N/A,#N/A,FALSE,"Summary";#N/A,#N/A,FALSE,"SmPlants";#N/A,#N/A,FALSE,"Utah";#N/A,#N/A,FALSE,"Idaho";#N/A,#N/A,FALSE,"Lewis River";#N/A,#N/A,FALSE,"NrthUmpq";#N/A,#N/A,FALSE,"KlamRog"}</definedName>
    <definedName name="_________OM1_1" hidden="1">{#N/A,#N/A,FALSE,"Summary";#N/A,#N/A,FALSE,"SmPlants";#N/A,#N/A,FALSE,"Utah";#N/A,#N/A,FALSE,"Idaho";#N/A,#N/A,FALSE,"Lewis River";#N/A,#N/A,FALSE,"NrthUmpq";#N/A,#N/A,FALSE,"KlamRog"}</definedName>
    <definedName name="_________OM1_2" localSheetId="1" hidden="1">{#N/A,#N/A,FALSE,"Summary";#N/A,#N/A,FALSE,"SmPlants";#N/A,#N/A,FALSE,"Utah";#N/A,#N/A,FALSE,"Idaho";#N/A,#N/A,FALSE,"Lewis River";#N/A,#N/A,FALSE,"NrthUmpq";#N/A,#N/A,FALSE,"KlamRog"}</definedName>
    <definedName name="_________OM1_2" localSheetId="3" hidden="1">{#N/A,#N/A,FALSE,"Summary";#N/A,#N/A,FALSE,"SmPlants";#N/A,#N/A,FALSE,"Utah";#N/A,#N/A,FALSE,"Idaho";#N/A,#N/A,FALSE,"Lewis River";#N/A,#N/A,FALSE,"NrthUmpq";#N/A,#N/A,FALSE,"KlamRog"}</definedName>
    <definedName name="_________OM1_2" localSheetId="4" hidden="1">{#N/A,#N/A,FALSE,"Summary";#N/A,#N/A,FALSE,"SmPlants";#N/A,#N/A,FALSE,"Utah";#N/A,#N/A,FALSE,"Idaho";#N/A,#N/A,FALSE,"Lewis River";#N/A,#N/A,FALSE,"NrthUmpq";#N/A,#N/A,FALSE,"KlamRog"}</definedName>
    <definedName name="_________OM1_2" localSheetId="5" hidden="1">{#N/A,#N/A,FALSE,"Summary";#N/A,#N/A,FALSE,"SmPlants";#N/A,#N/A,FALSE,"Utah";#N/A,#N/A,FALSE,"Idaho";#N/A,#N/A,FALSE,"Lewis River";#N/A,#N/A,FALSE,"NrthUmpq";#N/A,#N/A,FALSE,"KlamRog"}</definedName>
    <definedName name="_________OM1_2" localSheetId="6" hidden="1">{#N/A,#N/A,FALSE,"Summary";#N/A,#N/A,FALSE,"SmPlants";#N/A,#N/A,FALSE,"Utah";#N/A,#N/A,FALSE,"Idaho";#N/A,#N/A,FALSE,"Lewis River";#N/A,#N/A,FALSE,"NrthUmpq";#N/A,#N/A,FALSE,"KlamRog"}</definedName>
    <definedName name="_________OM1_2" localSheetId="7" hidden="1">{#N/A,#N/A,FALSE,"Summary";#N/A,#N/A,FALSE,"SmPlants";#N/A,#N/A,FALSE,"Utah";#N/A,#N/A,FALSE,"Idaho";#N/A,#N/A,FALSE,"Lewis River";#N/A,#N/A,FALSE,"NrthUmpq";#N/A,#N/A,FALSE,"KlamRog"}</definedName>
    <definedName name="_________OM1_2" localSheetId="8" hidden="1">{#N/A,#N/A,FALSE,"Summary";#N/A,#N/A,FALSE,"SmPlants";#N/A,#N/A,FALSE,"Utah";#N/A,#N/A,FALSE,"Idaho";#N/A,#N/A,FALSE,"Lewis River";#N/A,#N/A,FALSE,"NrthUmpq";#N/A,#N/A,FALSE,"KlamRog"}</definedName>
    <definedName name="_________OM1_2" localSheetId="9" hidden="1">{#N/A,#N/A,FALSE,"Summary";#N/A,#N/A,FALSE,"SmPlants";#N/A,#N/A,FALSE,"Utah";#N/A,#N/A,FALSE,"Idaho";#N/A,#N/A,FALSE,"Lewis River";#N/A,#N/A,FALSE,"NrthUmpq";#N/A,#N/A,FALSE,"KlamRog"}</definedName>
    <definedName name="_________OM1_2" localSheetId="10" hidden="1">{#N/A,#N/A,FALSE,"Summary";#N/A,#N/A,FALSE,"SmPlants";#N/A,#N/A,FALSE,"Utah";#N/A,#N/A,FALSE,"Idaho";#N/A,#N/A,FALSE,"Lewis River";#N/A,#N/A,FALSE,"NrthUmpq";#N/A,#N/A,FALSE,"KlamRog"}</definedName>
    <definedName name="_________OM1_2" localSheetId="15" hidden="1">{#N/A,#N/A,FALSE,"Summary";#N/A,#N/A,FALSE,"SmPlants";#N/A,#N/A,FALSE,"Utah";#N/A,#N/A,FALSE,"Idaho";#N/A,#N/A,FALSE,"Lewis River";#N/A,#N/A,FALSE,"NrthUmpq";#N/A,#N/A,FALSE,"KlamRog"}</definedName>
    <definedName name="_________OM1_2" localSheetId="0" hidden="1">{#N/A,#N/A,FALSE,"Summary";#N/A,#N/A,FALSE,"SmPlants";#N/A,#N/A,FALSE,"Utah";#N/A,#N/A,FALSE,"Idaho";#N/A,#N/A,FALSE,"Lewis River";#N/A,#N/A,FALSE,"NrthUmpq";#N/A,#N/A,FALSE,"KlamRog"}</definedName>
    <definedName name="_________OM1_2" hidden="1">{#N/A,#N/A,FALSE,"Summary";#N/A,#N/A,FALSE,"SmPlants";#N/A,#N/A,FALSE,"Utah";#N/A,#N/A,FALSE,"Idaho";#N/A,#N/A,FALSE,"Lewis River";#N/A,#N/A,FALSE,"NrthUmpq";#N/A,#N/A,FALSE,"KlamRog"}</definedName>
    <definedName name="_________OM1_3" localSheetId="1" hidden="1">{#N/A,#N/A,FALSE,"Summary";#N/A,#N/A,FALSE,"SmPlants";#N/A,#N/A,FALSE,"Utah";#N/A,#N/A,FALSE,"Idaho";#N/A,#N/A,FALSE,"Lewis River";#N/A,#N/A,FALSE,"NrthUmpq";#N/A,#N/A,FALSE,"KlamRog"}</definedName>
    <definedName name="_________OM1_3" localSheetId="3" hidden="1">{#N/A,#N/A,FALSE,"Summary";#N/A,#N/A,FALSE,"SmPlants";#N/A,#N/A,FALSE,"Utah";#N/A,#N/A,FALSE,"Idaho";#N/A,#N/A,FALSE,"Lewis River";#N/A,#N/A,FALSE,"NrthUmpq";#N/A,#N/A,FALSE,"KlamRog"}</definedName>
    <definedName name="_________OM1_3" localSheetId="4" hidden="1">{#N/A,#N/A,FALSE,"Summary";#N/A,#N/A,FALSE,"SmPlants";#N/A,#N/A,FALSE,"Utah";#N/A,#N/A,FALSE,"Idaho";#N/A,#N/A,FALSE,"Lewis River";#N/A,#N/A,FALSE,"NrthUmpq";#N/A,#N/A,FALSE,"KlamRog"}</definedName>
    <definedName name="_________OM1_3" localSheetId="5" hidden="1">{#N/A,#N/A,FALSE,"Summary";#N/A,#N/A,FALSE,"SmPlants";#N/A,#N/A,FALSE,"Utah";#N/A,#N/A,FALSE,"Idaho";#N/A,#N/A,FALSE,"Lewis River";#N/A,#N/A,FALSE,"NrthUmpq";#N/A,#N/A,FALSE,"KlamRog"}</definedName>
    <definedName name="_________OM1_3" localSheetId="6" hidden="1">{#N/A,#N/A,FALSE,"Summary";#N/A,#N/A,FALSE,"SmPlants";#N/A,#N/A,FALSE,"Utah";#N/A,#N/A,FALSE,"Idaho";#N/A,#N/A,FALSE,"Lewis River";#N/A,#N/A,FALSE,"NrthUmpq";#N/A,#N/A,FALSE,"KlamRog"}</definedName>
    <definedName name="_________OM1_3" localSheetId="7" hidden="1">{#N/A,#N/A,FALSE,"Summary";#N/A,#N/A,FALSE,"SmPlants";#N/A,#N/A,FALSE,"Utah";#N/A,#N/A,FALSE,"Idaho";#N/A,#N/A,FALSE,"Lewis River";#N/A,#N/A,FALSE,"NrthUmpq";#N/A,#N/A,FALSE,"KlamRog"}</definedName>
    <definedName name="_________OM1_3" localSheetId="8" hidden="1">{#N/A,#N/A,FALSE,"Summary";#N/A,#N/A,FALSE,"SmPlants";#N/A,#N/A,FALSE,"Utah";#N/A,#N/A,FALSE,"Idaho";#N/A,#N/A,FALSE,"Lewis River";#N/A,#N/A,FALSE,"NrthUmpq";#N/A,#N/A,FALSE,"KlamRog"}</definedName>
    <definedName name="_________OM1_3" localSheetId="9" hidden="1">{#N/A,#N/A,FALSE,"Summary";#N/A,#N/A,FALSE,"SmPlants";#N/A,#N/A,FALSE,"Utah";#N/A,#N/A,FALSE,"Idaho";#N/A,#N/A,FALSE,"Lewis River";#N/A,#N/A,FALSE,"NrthUmpq";#N/A,#N/A,FALSE,"KlamRog"}</definedName>
    <definedName name="_________OM1_3" localSheetId="10" hidden="1">{#N/A,#N/A,FALSE,"Summary";#N/A,#N/A,FALSE,"SmPlants";#N/A,#N/A,FALSE,"Utah";#N/A,#N/A,FALSE,"Idaho";#N/A,#N/A,FALSE,"Lewis River";#N/A,#N/A,FALSE,"NrthUmpq";#N/A,#N/A,FALSE,"KlamRog"}</definedName>
    <definedName name="_________OM1_3" localSheetId="15" hidden="1">{#N/A,#N/A,FALSE,"Summary";#N/A,#N/A,FALSE,"SmPlants";#N/A,#N/A,FALSE,"Utah";#N/A,#N/A,FALSE,"Idaho";#N/A,#N/A,FALSE,"Lewis River";#N/A,#N/A,FALSE,"NrthUmpq";#N/A,#N/A,FALSE,"KlamRog"}</definedName>
    <definedName name="_________OM1_3" localSheetId="0" hidden="1">{#N/A,#N/A,FALSE,"Summary";#N/A,#N/A,FALSE,"SmPlants";#N/A,#N/A,FALSE,"Utah";#N/A,#N/A,FALSE,"Idaho";#N/A,#N/A,FALSE,"Lewis River";#N/A,#N/A,FALSE,"NrthUmpq";#N/A,#N/A,FALSE,"KlamRog"}</definedName>
    <definedName name="_________OM1_3" hidden="1">{#N/A,#N/A,FALSE,"Summary";#N/A,#N/A,FALSE,"SmPlants";#N/A,#N/A,FALSE,"Utah";#N/A,#N/A,FALSE,"Idaho";#N/A,#N/A,FALSE,"Lewis River";#N/A,#N/A,FALSE,"NrthUmpq";#N/A,#N/A,FALSE,"KlamRog"}</definedName>
    <definedName name="_________OM1_4" localSheetId="1" hidden="1">{#N/A,#N/A,FALSE,"Summary";#N/A,#N/A,FALSE,"SmPlants";#N/A,#N/A,FALSE,"Utah";#N/A,#N/A,FALSE,"Idaho";#N/A,#N/A,FALSE,"Lewis River";#N/A,#N/A,FALSE,"NrthUmpq";#N/A,#N/A,FALSE,"KlamRog"}</definedName>
    <definedName name="_________OM1_4" localSheetId="3" hidden="1">{#N/A,#N/A,FALSE,"Summary";#N/A,#N/A,FALSE,"SmPlants";#N/A,#N/A,FALSE,"Utah";#N/A,#N/A,FALSE,"Idaho";#N/A,#N/A,FALSE,"Lewis River";#N/A,#N/A,FALSE,"NrthUmpq";#N/A,#N/A,FALSE,"KlamRog"}</definedName>
    <definedName name="_________OM1_4" localSheetId="4" hidden="1">{#N/A,#N/A,FALSE,"Summary";#N/A,#N/A,FALSE,"SmPlants";#N/A,#N/A,FALSE,"Utah";#N/A,#N/A,FALSE,"Idaho";#N/A,#N/A,FALSE,"Lewis River";#N/A,#N/A,FALSE,"NrthUmpq";#N/A,#N/A,FALSE,"KlamRog"}</definedName>
    <definedName name="_________OM1_4" localSheetId="5" hidden="1">{#N/A,#N/A,FALSE,"Summary";#N/A,#N/A,FALSE,"SmPlants";#N/A,#N/A,FALSE,"Utah";#N/A,#N/A,FALSE,"Idaho";#N/A,#N/A,FALSE,"Lewis River";#N/A,#N/A,FALSE,"NrthUmpq";#N/A,#N/A,FALSE,"KlamRog"}</definedName>
    <definedName name="_________OM1_4" localSheetId="6" hidden="1">{#N/A,#N/A,FALSE,"Summary";#N/A,#N/A,FALSE,"SmPlants";#N/A,#N/A,FALSE,"Utah";#N/A,#N/A,FALSE,"Idaho";#N/A,#N/A,FALSE,"Lewis River";#N/A,#N/A,FALSE,"NrthUmpq";#N/A,#N/A,FALSE,"KlamRog"}</definedName>
    <definedName name="_________OM1_4" localSheetId="7" hidden="1">{#N/A,#N/A,FALSE,"Summary";#N/A,#N/A,FALSE,"SmPlants";#N/A,#N/A,FALSE,"Utah";#N/A,#N/A,FALSE,"Idaho";#N/A,#N/A,FALSE,"Lewis River";#N/A,#N/A,FALSE,"NrthUmpq";#N/A,#N/A,FALSE,"KlamRog"}</definedName>
    <definedName name="_________OM1_4" localSheetId="8" hidden="1">{#N/A,#N/A,FALSE,"Summary";#N/A,#N/A,FALSE,"SmPlants";#N/A,#N/A,FALSE,"Utah";#N/A,#N/A,FALSE,"Idaho";#N/A,#N/A,FALSE,"Lewis River";#N/A,#N/A,FALSE,"NrthUmpq";#N/A,#N/A,FALSE,"KlamRog"}</definedName>
    <definedName name="_________OM1_4" localSheetId="9" hidden="1">{#N/A,#N/A,FALSE,"Summary";#N/A,#N/A,FALSE,"SmPlants";#N/A,#N/A,FALSE,"Utah";#N/A,#N/A,FALSE,"Idaho";#N/A,#N/A,FALSE,"Lewis River";#N/A,#N/A,FALSE,"NrthUmpq";#N/A,#N/A,FALSE,"KlamRog"}</definedName>
    <definedName name="_________OM1_4" localSheetId="10" hidden="1">{#N/A,#N/A,FALSE,"Summary";#N/A,#N/A,FALSE,"SmPlants";#N/A,#N/A,FALSE,"Utah";#N/A,#N/A,FALSE,"Idaho";#N/A,#N/A,FALSE,"Lewis River";#N/A,#N/A,FALSE,"NrthUmpq";#N/A,#N/A,FALSE,"KlamRog"}</definedName>
    <definedName name="_________OM1_4" localSheetId="15" hidden="1">{#N/A,#N/A,FALSE,"Summary";#N/A,#N/A,FALSE,"SmPlants";#N/A,#N/A,FALSE,"Utah";#N/A,#N/A,FALSE,"Idaho";#N/A,#N/A,FALSE,"Lewis River";#N/A,#N/A,FALSE,"NrthUmpq";#N/A,#N/A,FALSE,"KlamRog"}</definedName>
    <definedName name="_________OM1_4" localSheetId="0" hidden="1">{#N/A,#N/A,FALSE,"Summary";#N/A,#N/A,FALSE,"SmPlants";#N/A,#N/A,FALSE,"Utah";#N/A,#N/A,FALSE,"Idaho";#N/A,#N/A,FALSE,"Lewis River";#N/A,#N/A,FALSE,"NrthUmpq";#N/A,#N/A,FALSE,"KlamRog"}</definedName>
    <definedName name="_________OM1_4" hidden="1">{#N/A,#N/A,FALSE,"Summary";#N/A,#N/A,FALSE,"SmPlants";#N/A,#N/A,FALSE,"Utah";#N/A,#N/A,FALSE,"Idaho";#N/A,#N/A,FALSE,"Lewis River";#N/A,#N/A,FALSE,"NrthUmpq";#N/A,#N/A,FALSE,"KlamRog"}</definedName>
    <definedName name="_________OM1_5" localSheetId="1" hidden="1">{#N/A,#N/A,FALSE,"Summary";#N/A,#N/A,FALSE,"SmPlants";#N/A,#N/A,FALSE,"Utah";#N/A,#N/A,FALSE,"Idaho";#N/A,#N/A,FALSE,"Lewis River";#N/A,#N/A,FALSE,"NrthUmpq";#N/A,#N/A,FALSE,"KlamRog"}</definedName>
    <definedName name="_________OM1_5" localSheetId="3" hidden="1">{#N/A,#N/A,FALSE,"Summary";#N/A,#N/A,FALSE,"SmPlants";#N/A,#N/A,FALSE,"Utah";#N/A,#N/A,FALSE,"Idaho";#N/A,#N/A,FALSE,"Lewis River";#N/A,#N/A,FALSE,"NrthUmpq";#N/A,#N/A,FALSE,"KlamRog"}</definedName>
    <definedName name="_________OM1_5" localSheetId="4" hidden="1">{#N/A,#N/A,FALSE,"Summary";#N/A,#N/A,FALSE,"SmPlants";#N/A,#N/A,FALSE,"Utah";#N/A,#N/A,FALSE,"Idaho";#N/A,#N/A,FALSE,"Lewis River";#N/A,#N/A,FALSE,"NrthUmpq";#N/A,#N/A,FALSE,"KlamRog"}</definedName>
    <definedName name="_________OM1_5" localSheetId="5" hidden="1">{#N/A,#N/A,FALSE,"Summary";#N/A,#N/A,FALSE,"SmPlants";#N/A,#N/A,FALSE,"Utah";#N/A,#N/A,FALSE,"Idaho";#N/A,#N/A,FALSE,"Lewis River";#N/A,#N/A,FALSE,"NrthUmpq";#N/A,#N/A,FALSE,"KlamRog"}</definedName>
    <definedName name="_________OM1_5" localSheetId="6" hidden="1">{#N/A,#N/A,FALSE,"Summary";#N/A,#N/A,FALSE,"SmPlants";#N/A,#N/A,FALSE,"Utah";#N/A,#N/A,FALSE,"Idaho";#N/A,#N/A,FALSE,"Lewis River";#N/A,#N/A,FALSE,"NrthUmpq";#N/A,#N/A,FALSE,"KlamRog"}</definedName>
    <definedName name="_________OM1_5" localSheetId="7" hidden="1">{#N/A,#N/A,FALSE,"Summary";#N/A,#N/A,FALSE,"SmPlants";#N/A,#N/A,FALSE,"Utah";#N/A,#N/A,FALSE,"Idaho";#N/A,#N/A,FALSE,"Lewis River";#N/A,#N/A,FALSE,"NrthUmpq";#N/A,#N/A,FALSE,"KlamRog"}</definedName>
    <definedName name="_________OM1_5" localSheetId="8" hidden="1">{#N/A,#N/A,FALSE,"Summary";#N/A,#N/A,FALSE,"SmPlants";#N/A,#N/A,FALSE,"Utah";#N/A,#N/A,FALSE,"Idaho";#N/A,#N/A,FALSE,"Lewis River";#N/A,#N/A,FALSE,"NrthUmpq";#N/A,#N/A,FALSE,"KlamRog"}</definedName>
    <definedName name="_________OM1_5" localSheetId="9" hidden="1">{#N/A,#N/A,FALSE,"Summary";#N/A,#N/A,FALSE,"SmPlants";#N/A,#N/A,FALSE,"Utah";#N/A,#N/A,FALSE,"Idaho";#N/A,#N/A,FALSE,"Lewis River";#N/A,#N/A,FALSE,"NrthUmpq";#N/A,#N/A,FALSE,"KlamRog"}</definedName>
    <definedName name="_________OM1_5" localSheetId="10" hidden="1">{#N/A,#N/A,FALSE,"Summary";#N/A,#N/A,FALSE,"SmPlants";#N/A,#N/A,FALSE,"Utah";#N/A,#N/A,FALSE,"Idaho";#N/A,#N/A,FALSE,"Lewis River";#N/A,#N/A,FALSE,"NrthUmpq";#N/A,#N/A,FALSE,"KlamRog"}</definedName>
    <definedName name="_________OM1_5" localSheetId="15" hidden="1">{#N/A,#N/A,FALSE,"Summary";#N/A,#N/A,FALSE,"SmPlants";#N/A,#N/A,FALSE,"Utah";#N/A,#N/A,FALSE,"Idaho";#N/A,#N/A,FALSE,"Lewis River";#N/A,#N/A,FALSE,"NrthUmpq";#N/A,#N/A,FALSE,"KlamRog"}</definedName>
    <definedName name="_________OM1_5" localSheetId="0" hidden="1">{#N/A,#N/A,FALSE,"Summary";#N/A,#N/A,FALSE,"SmPlants";#N/A,#N/A,FALSE,"Utah";#N/A,#N/A,FALSE,"Idaho";#N/A,#N/A,FALSE,"Lewis River";#N/A,#N/A,FALSE,"NrthUmpq";#N/A,#N/A,FALSE,"KlamRog"}</definedName>
    <definedName name="_________OM1_5" hidden="1">{#N/A,#N/A,FALSE,"Summary";#N/A,#N/A,FALSE,"SmPlants";#N/A,#N/A,FALSE,"Utah";#N/A,#N/A,FALSE,"Idaho";#N/A,#N/A,FALSE,"Lewis River";#N/A,#N/A,FALSE,"NrthUmpq";#N/A,#N/A,FALSE,"KlamRog"}</definedName>
    <definedName name="_______OM1" localSheetId="1" hidden="1">{#N/A,#N/A,FALSE,"Summary";#N/A,#N/A,FALSE,"SmPlants";#N/A,#N/A,FALSE,"Utah";#N/A,#N/A,FALSE,"Idaho";#N/A,#N/A,FALSE,"Lewis River";#N/A,#N/A,FALSE,"NrthUmpq";#N/A,#N/A,FALSE,"KlamRog"}</definedName>
    <definedName name="_______OM1" localSheetId="3" hidden="1">{#N/A,#N/A,FALSE,"Summary";#N/A,#N/A,FALSE,"SmPlants";#N/A,#N/A,FALSE,"Utah";#N/A,#N/A,FALSE,"Idaho";#N/A,#N/A,FALSE,"Lewis River";#N/A,#N/A,FALSE,"NrthUmpq";#N/A,#N/A,FALSE,"KlamRog"}</definedName>
    <definedName name="_______OM1" localSheetId="4" hidden="1">{#N/A,#N/A,FALSE,"Summary";#N/A,#N/A,FALSE,"SmPlants";#N/A,#N/A,FALSE,"Utah";#N/A,#N/A,FALSE,"Idaho";#N/A,#N/A,FALSE,"Lewis River";#N/A,#N/A,FALSE,"NrthUmpq";#N/A,#N/A,FALSE,"KlamRog"}</definedName>
    <definedName name="_______OM1" localSheetId="5" hidden="1">{#N/A,#N/A,FALSE,"Summary";#N/A,#N/A,FALSE,"SmPlants";#N/A,#N/A,FALSE,"Utah";#N/A,#N/A,FALSE,"Idaho";#N/A,#N/A,FALSE,"Lewis River";#N/A,#N/A,FALSE,"NrthUmpq";#N/A,#N/A,FALSE,"KlamRog"}</definedName>
    <definedName name="_______OM1" localSheetId="6" hidden="1">{#N/A,#N/A,FALSE,"Summary";#N/A,#N/A,FALSE,"SmPlants";#N/A,#N/A,FALSE,"Utah";#N/A,#N/A,FALSE,"Idaho";#N/A,#N/A,FALSE,"Lewis River";#N/A,#N/A,FALSE,"NrthUmpq";#N/A,#N/A,FALSE,"KlamRog"}</definedName>
    <definedName name="_______OM1" localSheetId="7" hidden="1">{#N/A,#N/A,FALSE,"Summary";#N/A,#N/A,FALSE,"SmPlants";#N/A,#N/A,FALSE,"Utah";#N/A,#N/A,FALSE,"Idaho";#N/A,#N/A,FALSE,"Lewis River";#N/A,#N/A,FALSE,"NrthUmpq";#N/A,#N/A,FALSE,"KlamRog"}</definedName>
    <definedName name="_______OM1" localSheetId="8" hidden="1">{#N/A,#N/A,FALSE,"Summary";#N/A,#N/A,FALSE,"SmPlants";#N/A,#N/A,FALSE,"Utah";#N/A,#N/A,FALSE,"Idaho";#N/A,#N/A,FALSE,"Lewis River";#N/A,#N/A,FALSE,"NrthUmpq";#N/A,#N/A,FALSE,"KlamRog"}</definedName>
    <definedName name="_______OM1" localSheetId="9" hidden="1">{#N/A,#N/A,FALSE,"Summary";#N/A,#N/A,FALSE,"SmPlants";#N/A,#N/A,FALSE,"Utah";#N/A,#N/A,FALSE,"Idaho";#N/A,#N/A,FALSE,"Lewis River";#N/A,#N/A,FALSE,"NrthUmpq";#N/A,#N/A,FALSE,"KlamRog"}</definedName>
    <definedName name="_______OM1" localSheetId="10" hidden="1">{#N/A,#N/A,FALSE,"Summary";#N/A,#N/A,FALSE,"SmPlants";#N/A,#N/A,FALSE,"Utah";#N/A,#N/A,FALSE,"Idaho";#N/A,#N/A,FALSE,"Lewis River";#N/A,#N/A,FALSE,"NrthUmpq";#N/A,#N/A,FALSE,"KlamRog"}</definedName>
    <definedName name="_______OM1" localSheetId="15" hidden="1">{#N/A,#N/A,FALSE,"Summary";#N/A,#N/A,FALSE,"SmPlants";#N/A,#N/A,FALSE,"Utah";#N/A,#N/A,FALSE,"Idaho";#N/A,#N/A,FALSE,"Lewis River";#N/A,#N/A,FALSE,"NrthUmpq";#N/A,#N/A,FALSE,"KlamRog"}</definedName>
    <definedName name="_______OM1" localSheetId="0" hidden="1">{#N/A,#N/A,FALSE,"Summary";#N/A,#N/A,FALSE,"SmPlants";#N/A,#N/A,FALSE,"Utah";#N/A,#N/A,FALSE,"Idaho";#N/A,#N/A,FALSE,"Lewis River";#N/A,#N/A,FALSE,"NrthUmpq";#N/A,#N/A,FALSE,"KlamRog"}</definedName>
    <definedName name="_______OM1" hidden="1">{#N/A,#N/A,FALSE,"Summary";#N/A,#N/A,FALSE,"SmPlants";#N/A,#N/A,FALSE,"Utah";#N/A,#N/A,FALSE,"Idaho";#N/A,#N/A,FALSE,"Lewis River";#N/A,#N/A,FALSE,"NrthUmpq";#N/A,#N/A,FALSE,"KlamRog"}</definedName>
    <definedName name="_______OM1_1" localSheetId="1" hidden="1">{#N/A,#N/A,FALSE,"Summary";#N/A,#N/A,FALSE,"SmPlants";#N/A,#N/A,FALSE,"Utah";#N/A,#N/A,FALSE,"Idaho";#N/A,#N/A,FALSE,"Lewis River";#N/A,#N/A,FALSE,"NrthUmpq";#N/A,#N/A,FALSE,"KlamRog"}</definedName>
    <definedName name="_______OM1_1" localSheetId="3" hidden="1">{#N/A,#N/A,FALSE,"Summary";#N/A,#N/A,FALSE,"SmPlants";#N/A,#N/A,FALSE,"Utah";#N/A,#N/A,FALSE,"Idaho";#N/A,#N/A,FALSE,"Lewis River";#N/A,#N/A,FALSE,"NrthUmpq";#N/A,#N/A,FALSE,"KlamRog"}</definedName>
    <definedName name="_______OM1_1" localSheetId="4" hidden="1">{#N/A,#N/A,FALSE,"Summary";#N/A,#N/A,FALSE,"SmPlants";#N/A,#N/A,FALSE,"Utah";#N/A,#N/A,FALSE,"Idaho";#N/A,#N/A,FALSE,"Lewis River";#N/A,#N/A,FALSE,"NrthUmpq";#N/A,#N/A,FALSE,"KlamRog"}</definedName>
    <definedName name="_______OM1_1" localSheetId="5" hidden="1">{#N/A,#N/A,FALSE,"Summary";#N/A,#N/A,FALSE,"SmPlants";#N/A,#N/A,FALSE,"Utah";#N/A,#N/A,FALSE,"Idaho";#N/A,#N/A,FALSE,"Lewis River";#N/A,#N/A,FALSE,"NrthUmpq";#N/A,#N/A,FALSE,"KlamRog"}</definedName>
    <definedName name="_______OM1_1" localSheetId="6" hidden="1">{#N/A,#N/A,FALSE,"Summary";#N/A,#N/A,FALSE,"SmPlants";#N/A,#N/A,FALSE,"Utah";#N/A,#N/A,FALSE,"Idaho";#N/A,#N/A,FALSE,"Lewis River";#N/A,#N/A,FALSE,"NrthUmpq";#N/A,#N/A,FALSE,"KlamRog"}</definedName>
    <definedName name="_______OM1_1" localSheetId="7" hidden="1">{#N/A,#N/A,FALSE,"Summary";#N/A,#N/A,FALSE,"SmPlants";#N/A,#N/A,FALSE,"Utah";#N/A,#N/A,FALSE,"Idaho";#N/A,#N/A,FALSE,"Lewis River";#N/A,#N/A,FALSE,"NrthUmpq";#N/A,#N/A,FALSE,"KlamRog"}</definedName>
    <definedName name="_______OM1_1" localSheetId="8" hidden="1">{#N/A,#N/A,FALSE,"Summary";#N/A,#N/A,FALSE,"SmPlants";#N/A,#N/A,FALSE,"Utah";#N/A,#N/A,FALSE,"Idaho";#N/A,#N/A,FALSE,"Lewis River";#N/A,#N/A,FALSE,"NrthUmpq";#N/A,#N/A,FALSE,"KlamRog"}</definedName>
    <definedName name="_______OM1_1" localSheetId="9" hidden="1">{#N/A,#N/A,FALSE,"Summary";#N/A,#N/A,FALSE,"SmPlants";#N/A,#N/A,FALSE,"Utah";#N/A,#N/A,FALSE,"Idaho";#N/A,#N/A,FALSE,"Lewis River";#N/A,#N/A,FALSE,"NrthUmpq";#N/A,#N/A,FALSE,"KlamRog"}</definedName>
    <definedName name="_______OM1_1" localSheetId="10" hidden="1">{#N/A,#N/A,FALSE,"Summary";#N/A,#N/A,FALSE,"SmPlants";#N/A,#N/A,FALSE,"Utah";#N/A,#N/A,FALSE,"Idaho";#N/A,#N/A,FALSE,"Lewis River";#N/A,#N/A,FALSE,"NrthUmpq";#N/A,#N/A,FALSE,"KlamRog"}</definedName>
    <definedName name="_______OM1_1" localSheetId="15" hidden="1">{#N/A,#N/A,FALSE,"Summary";#N/A,#N/A,FALSE,"SmPlants";#N/A,#N/A,FALSE,"Utah";#N/A,#N/A,FALSE,"Idaho";#N/A,#N/A,FALSE,"Lewis River";#N/A,#N/A,FALSE,"NrthUmpq";#N/A,#N/A,FALSE,"KlamRog"}</definedName>
    <definedName name="_______OM1_1" localSheetId="0" hidden="1">{#N/A,#N/A,FALSE,"Summary";#N/A,#N/A,FALSE,"SmPlants";#N/A,#N/A,FALSE,"Utah";#N/A,#N/A,FALSE,"Idaho";#N/A,#N/A,FALSE,"Lewis River";#N/A,#N/A,FALSE,"NrthUmpq";#N/A,#N/A,FALSE,"KlamRog"}</definedName>
    <definedName name="_______OM1_1" hidden="1">{#N/A,#N/A,FALSE,"Summary";#N/A,#N/A,FALSE,"SmPlants";#N/A,#N/A,FALSE,"Utah";#N/A,#N/A,FALSE,"Idaho";#N/A,#N/A,FALSE,"Lewis River";#N/A,#N/A,FALSE,"NrthUmpq";#N/A,#N/A,FALSE,"KlamRog"}</definedName>
    <definedName name="_______OM1_2" localSheetId="1" hidden="1">{#N/A,#N/A,FALSE,"Summary";#N/A,#N/A,FALSE,"SmPlants";#N/A,#N/A,FALSE,"Utah";#N/A,#N/A,FALSE,"Idaho";#N/A,#N/A,FALSE,"Lewis River";#N/A,#N/A,FALSE,"NrthUmpq";#N/A,#N/A,FALSE,"KlamRog"}</definedName>
    <definedName name="_______OM1_2" localSheetId="3" hidden="1">{#N/A,#N/A,FALSE,"Summary";#N/A,#N/A,FALSE,"SmPlants";#N/A,#N/A,FALSE,"Utah";#N/A,#N/A,FALSE,"Idaho";#N/A,#N/A,FALSE,"Lewis River";#N/A,#N/A,FALSE,"NrthUmpq";#N/A,#N/A,FALSE,"KlamRog"}</definedName>
    <definedName name="_______OM1_2" localSheetId="4" hidden="1">{#N/A,#N/A,FALSE,"Summary";#N/A,#N/A,FALSE,"SmPlants";#N/A,#N/A,FALSE,"Utah";#N/A,#N/A,FALSE,"Idaho";#N/A,#N/A,FALSE,"Lewis River";#N/A,#N/A,FALSE,"NrthUmpq";#N/A,#N/A,FALSE,"KlamRog"}</definedName>
    <definedName name="_______OM1_2" localSheetId="5" hidden="1">{#N/A,#N/A,FALSE,"Summary";#N/A,#N/A,FALSE,"SmPlants";#N/A,#N/A,FALSE,"Utah";#N/A,#N/A,FALSE,"Idaho";#N/A,#N/A,FALSE,"Lewis River";#N/A,#N/A,FALSE,"NrthUmpq";#N/A,#N/A,FALSE,"KlamRog"}</definedName>
    <definedName name="_______OM1_2" localSheetId="6" hidden="1">{#N/A,#N/A,FALSE,"Summary";#N/A,#N/A,FALSE,"SmPlants";#N/A,#N/A,FALSE,"Utah";#N/A,#N/A,FALSE,"Idaho";#N/A,#N/A,FALSE,"Lewis River";#N/A,#N/A,FALSE,"NrthUmpq";#N/A,#N/A,FALSE,"KlamRog"}</definedName>
    <definedName name="_______OM1_2" localSheetId="7" hidden="1">{#N/A,#N/A,FALSE,"Summary";#N/A,#N/A,FALSE,"SmPlants";#N/A,#N/A,FALSE,"Utah";#N/A,#N/A,FALSE,"Idaho";#N/A,#N/A,FALSE,"Lewis River";#N/A,#N/A,FALSE,"NrthUmpq";#N/A,#N/A,FALSE,"KlamRog"}</definedName>
    <definedName name="_______OM1_2" localSheetId="8" hidden="1">{#N/A,#N/A,FALSE,"Summary";#N/A,#N/A,FALSE,"SmPlants";#N/A,#N/A,FALSE,"Utah";#N/A,#N/A,FALSE,"Idaho";#N/A,#N/A,FALSE,"Lewis River";#N/A,#N/A,FALSE,"NrthUmpq";#N/A,#N/A,FALSE,"KlamRog"}</definedName>
    <definedName name="_______OM1_2" localSheetId="9" hidden="1">{#N/A,#N/A,FALSE,"Summary";#N/A,#N/A,FALSE,"SmPlants";#N/A,#N/A,FALSE,"Utah";#N/A,#N/A,FALSE,"Idaho";#N/A,#N/A,FALSE,"Lewis River";#N/A,#N/A,FALSE,"NrthUmpq";#N/A,#N/A,FALSE,"KlamRog"}</definedName>
    <definedName name="_______OM1_2" localSheetId="10" hidden="1">{#N/A,#N/A,FALSE,"Summary";#N/A,#N/A,FALSE,"SmPlants";#N/A,#N/A,FALSE,"Utah";#N/A,#N/A,FALSE,"Idaho";#N/A,#N/A,FALSE,"Lewis River";#N/A,#N/A,FALSE,"NrthUmpq";#N/A,#N/A,FALSE,"KlamRog"}</definedName>
    <definedName name="_______OM1_2" localSheetId="15" hidden="1">{#N/A,#N/A,FALSE,"Summary";#N/A,#N/A,FALSE,"SmPlants";#N/A,#N/A,FALSE,"Utah";#N/A,#N/A,FALSE,"Idaho";#N/A,#N/A,FALSE,"Lewis River";#N/A,#N/A,FALSE,"NrthUmpq";#N/A,#N/A,FALSE,"KlamRog"}</definedName>
    <definedName name="_______OM1_2" localSheetId="0" hidden="1">{#N/A,#N/A,FALSE,"Summary";#N/A,#N/A,FALSE,"SmPlants";#N/A,#N/A,FALSE,"Utah";#N/A,#N/A,FALSE,"Idaho";#N/A,#N/A,FALSE,"Lewis River";#N/A,#N/A,FALSE,"NrthUmpq";#N/A,#N/A,FALSE,"KlamRog"}</definedName>
    <definedName name="_______OM1_2" hidden="1">{#N/A,#N/A,FALSE,"Summary";#N/A,#N/A,FALSE,"SmPlants";#N/A,#N/A,FALSE,"Utah";#N/A,#N/A,FALSE,"Idaho";#N/A,#N/A,FALSE,"Lewis River";#N/A,#N/A,FALSE,"NrthUmpq";#N/A,#N/A,FALSE,"KlamRog"}</definedName>
    <definedName name="_______OM1_3" localSheetId="1" hidden="1">{#N/A,#N/A,FALSE,"Summary";#N/A,#N/A,FALSE,"SmPlants";#N/A,#N/A,FALSE,"Utah";#N/A,#N/A,FALSE,"Idaho";#N/A,#N/A,FALSE,"Lewis River";#N/A,#N/A,FALSE,"NrthUmpq";#N/A,#N/A,FALSE,"KlamRog"}</definedName>
    <definedName name="_______OM1_3" localSheetId="3" hidden="1">{#N/A,#N/A,FALSE,"Summary";#N/A,#N/A,FALSE,"SmPlants";#N/A,#N/A,FALSE,"Utah";#N/A,#N/A,FALSE,"Idaho";#N/A,#N/A,FALSE,"Lewis River";#N/A,#N/A,FALSE,"NrthUmpq";#N/A,#N/A,FALSE,"KlamRog"}</definedName>
    <definedName name="_______OM1_3" localSheetId="4" hidden="1">{#N/A,#N/A,FALSE,"Summary";#N/A,#N/A,FALSE,"SmPlants";#N/A,#N/A,FALSE,"Utah";#N/A,#N/A,FALSE,"Idaho";#N/A,#N/A,FALSE,"Lewis River";#N/A,#N/A,FALSE,"NrthUmpq";#N/A,#N/A,FALSE,"KlamRog"}</definedName>
    <definedName name="_______OM1_3" localSheetId="5" hidden="1">{#N/A,#N/A,FALSE,"Summary";#N/A,#N/A,FALSE,"SmPlants";#N/A,#N/A,FALSE,"Utah";#N/A,#N/A,FALSE,"Idaho";#N/A,#N/A,FALSE,"Lewis River";#N/A,#N/A,FALSE,"NrthUmpq";#N/A,#N/A,FALSE,"KlamRog"}</definedName>
    <definedName name="_______OM1_3" localSheetId="6" hidden="1">{#N/A,#N/A,FALSE,"Summary";#N/A,#N/A,FALSE,"SmPlants";#N/A,#N/A,FALSE,"Utah";#N/A,#N/A,FALSE,"Idaho";#N/A,#N/A,FALSE,"Lewis River";#N/A,#N/A,FALSE,"NrthUmpq";#N/A,#N/A,FALSE,"KlamRog"}</definedName>
    <definedName name="_______OM1_3" localSheetId="7" hidden="1">{#N/A,#N/A,FALSE,"Summary";#N/A,#N/A,FALSE,"SmPlants";#N/A,#N/A,FALSE,"Utah";#N/A,#N/A,FALSE,"Idaho";#N/A,#N/A,FALSE,"Lewis River";#N/A,#N/A,FALSE,"NrthUmpq";#N/A,#N/A,FALSE,"KlamRog"}</definedName>
    <definedName name="_______OM1_3" localSheetId="8" hidden="1">{#N/A,#N/A,FALSE,"Summary";#N/A,#N/A,FALSE,"SmPlants";#N/A,#N/A,FALSE,"Utah";#N/A,#N/A,FALSE,"Idaho";#N/A,#N/A,FALSE,"Lewis River";#N/A,#N/A,FALSE,"NrthUmpq";#N/A,#N/A,FALSE,"KlamRog"}</definedName>
    <definedName name="_______OM1_3" localSheetId="9" hidden="1">{#N/A,#N/A,FALSE,"Summary";#N/A,#N/A,FALSE,"SmPlants";#N/A,#N/A,FALSE,"Utah";#N/A,#N/A,FALSE,"Idaho";#N/A,#N/A,FALSE,"Lewis River";#N/A,#N/A,FALSE,"NrthUmpq";#N/A,#N/A,FALSE,"KlamRog"}</definedName>
    <definedName name="_______OM1_3" localSheetId="10" hidden="1">{#N/A,#N/A,FALSE,"Summary";#N/A,#N/A,FALSE,"SmPlants";#N/A,#N/A,FALSE,"Utah";#N/A,#N/A,FALSE,"Idaho";#N/A,#N/A,FALSE,"Lewis River";#N/A,#N/A,FALSE,"NrthUmpq";#N/A,#N/A,FALSE,"KlamRog"}</definedName>
    <definedName name="_______OM1_3" localSheetId="15" hidden="1">{#N/A,#N/A,FALSE,"Summary";#N/A,#N/A,FALSE,"SmPlants";#N/A,#N/A,FALSE,"Utah";#N/A,#N/A,FALSE,"Idaho";#N/A,#N/A,FALSE,"Lewis River";#N/A,#N/A,FALSE,"NrthUmpq";#N/A,#N/A,FALSE,"KlamRog"}</definedName>
    <definedName name="_______OM1_3" localSheetId="0" hidden="1">{#N/A,#N/A,FALSE,"Summary";#N/A,#N/A,FALSE,"SmPlants";#N/A,#N/A,FALSE,"Utah";#N/A,#N/A,FALSE,"Idaho";#N/A,#N/A,FALSE,"Lewis River";#N/A,#N/A,FALSE,"NrthUmpq";#N/A,#N/A,FALSE,"KlamRog"}</definedName>
    <definedName name="_______OM1_3" hidden="1">{#N/A,#N/A,FALSE,"Summary";#N/A,#N/A,FALSE,"SmPlants";#N/A,#N/A,FALSE,"Utah";#N/A,#N/A,FALSE,"Idaho";#N/A,#N/A,FALSE,"Lewis River";#N/A,#N/A,FALSE,"NrthUmpq";#N/A,#N/A,FALSE,"KlamRog"}</definedName>
    <definedName name="_______OM1_4" localSheetId="1" hidden="1">{#N/A,#N/A,FALSE,"Summary";#N/A,#N/A,FALSE,"SmPlants";#N/A,#N/A,FALSE,"Utah";#N/A,#N/A,FALSE,"Idaho";#N/A,#N/A,FALSE,"Lewis River";#N/A,#N/A,FALSE,"NrthUmpq";#N/A,#N/A,FALSE,"KlamRog"}</definedName>
    <definedName name="_______OM1_4" localSheetId="3" hidden="1">{#N/A,#N/A,FALSE,"Summary";#N/A,#N/A,FALSE,"SmPlants";#N/A,#N/A,FALSE,"Utah";#N/A,#N/A,FALSE,"Idaho";#N/A,#N/A,FALSE,"Lewis River";#N/A,#N/A,FALSE,"NrthUmpq";#N/A,#N/A,FALSE,"KlamRog"}</definedName>
    <definedName name="_______OM1_4" localSheetId="4" hidden="1">{#N/A,#N/A,FALSE,"Summary";#N/A,#N/A,FALSE,"SmPlants";#N/A,#N/A,FALSE,"Utah";#N/A,#N/A,FALSE,"Idaho";#N/A,#N/A,FALSE,"Lewis River";#N/A,#N/A,FALSE,"NrthUmpq";#N/A,#N/A,FALSE,"KlamRog"}</definedName>
    <definedName name="_______OM1_4" localSheetId="5" hidden="1">{#N/A,#N/A,FALSE,"Summary";#N/A,#N/A,FALSE,"SmPlants";#N/A,#N/A,FALSE,"Utah";#N/A,#N/A,FALSE,"Idaho";#N/A,#N/A,FALSE,"Lewis River";#N/A,#N/A,FALSE,"NrthUmpq";#N/A,#N/A,FALSE,"KlamRog"}</definedName>
    <definedName name="_______OM1_4" localSheetId="6" hidden="1">{#N/A,#N/A,FALSE,"Summary";#N/A,#N/A,FALSE,"SmPlants";#N/A,#N/A,FALSE,"Utah";#N/A,#N/A,FALSE,"Idaho";#N/A,#N/A,FALSE,"Lewis River";#N/A,#N/A,FALSE,"NrthUmpq";#N/A,#N/A,FALSE,"KlamRog"}</definedName>
    <definedName name="_______OM1_4" localSheetId="7" hidden="1">{#N/A,#N/A,FALSE,"Summary";#N/A,#N/A,FALSE,"SmPlants";#N/A,#N/A,FALSE,"Utah";#N/A,#N/A,FALSE,"Idaho";#N/A,#N/A,FALSE,"Lewis River";#N/A,#N/A,FALSE,"NrthUmpq";#N/A,#N/A,FALSE,"KlamRog"}</definedName>
    <definedName name="_______OM1_4" localSheetId="8" hidden="1">{#N/A,#N/A,FALSE,"Summary";#N/A,#N/A,FALSE,"SmPlants";#N/A,#N/A,FALSE,"Utah";#N/A,#N/A,FALSE,"Idaho";#N/A,#N/A,FALSE,"Lewis River";#N/A,#N/A,FALSE,"NrthUmpq";#N/A,#N/A,FALSE,"KlamRog"}</definedName>
    <definedName name="_______OM1_4" localSheetId="9" hidden="1">{#N/A,#N/A,FALSE,"Summary";#N/A,#N/A,FALSE,"SmPlants";#N/A,#N/A,FALSE,"Utah";#N/A,#N/A,FALSE,"Idaho";#N/A,#N/A,FALSE,"Lewis River";#N/A,#N/A,FALSE,"NrthUmpq";#N/A,#N/A,FALSE,"KlamRog"}</definedName>
    <definedName name="_______OM1_4" localSheetId="10" hidden="1">{#N/A,#N/A,FALSE,"Summary";#N/A,#N/A,FALSE,"SmPlants";#N/A,#N/A,FALSE,"Utah";#N/A,#N/A,FALSE,"Idaho";#N/A,#N/A,FALSE,"Lewis River";#N/A,#N/A,FALSE,"NrthUmpq";#N/A,#N/A,FALSE,"KlamRog"}</definedName>
    <definedName name="_______OM1_4" localSheetId="15" hidden="1">{#N/A,#N/A,FALSE,"Summary";#N/A,#N/A,FALSE,"SmPlants";#N/A,#N/A,FALSE,"Utah";#N/A,#N/A,FALSE,"Idaho";#N/A,#N/A,FALSE,"Lewis River";#N/A,#N/A,FALSE,"NrthUmpq";#N/A,#N/A,FALSE,"KlamRog"}</definedName>
    <definedName name="_______OM1_4" localSheetId="0" hidden="1">{#N/A,#N/A,FALSE,"Summary";#N/A,#N/A,FALSE,"SmPlants";#N/A,#N/A,FALSE,"Utah";#N/A,#N/A,FALSE,"Idaho";#N/A,#N/A,FALSE,"Lewis River";#N/A,#N/A,FALSE,"NrthUmpq";#N/A,#N/A,FALSE,"KlamRog"}</definedName>
    <definedName name="_______OM1_4" hidden="1">{#N/A,#N/A,FALSE,"Summary";#N/A,#N/A,FALSE,"SmPlants";#N/A,#N/A,FALSE,"Utah";#N/A,#N/A,FALSE,"Idaho";#N/A,#N/A,FALSE,"Lewis River";#N/A,#N/A,FALSE,"NrthUmpq";#N/A,#N/A,FALSE,"KlamRog"}</definedName>
    <definedName name="_______OM1_5" localSheetId="1" hidden="1">{#N/A,#N/A,FALSE,"Summary";#N/A,#N/A,FALSE,"SmPlants";#N/A,#N/A,FALSE,"Utah";#N/A,#N/A,FALSE,"Idaho";#N/A,#N/A,FALSE,"Lewis River";#N/A,#N/A,FALSE,"NrthUmpq";#N/A,#N/A,FALSE,"KlamRog"}</definedName>
    <definedName name="_______OM1_5" localSheetId="3" hidden="1">{#N/A,#N/A,FALSE,"Summary";#N/A,#N/A,FALSE,"SmPlants";#N/A,#N/A,FALSE,"Utah";#N/A,#N/A,FALSE,"Idaho";#N/A,#N/A,FALSE,"Lewis River";#N/A,#N/A,FALSE,"NrthUmpq";#N/A,#N/A,FALSE,"KlamRog"}</definedName>
    <definedName name="_______OM1_5" localSheetId="4" hidden="1">{#N/A,#N/A,FALSE,"Summary";#N/A,#N/A,FALSE,"SmPlants";#N/A,#N/A,FALSE,"Utah";#N/A,#N/A,FALSE,"Idaho";#N/A,#N/A,FALSE,"Lewis River";#N/A,#N/A,FALSE,"NrthUmpq";#N/A,#N/A,FALSE,"KlamRog"}</definedName>
    <definedName name="_______OM1_5" localSheetId="5" hidden="1">{#N/A,#N/A,FALSE,"Summary";#N/A,#N/A,FALSE,"SmPlants";#N/A,#N/A,FALSE,"Utah";#N/A,#N/A,FALSE,"Idaho";#N/A,#N/A,FALSE,"Lewis River";#N/A,#N/A,FALSE,"NrthUmpq";#N/A,#N/A,FALSE,"KlamRog"}</definedName>
    <definedName name="_______OM1_5" localSheetId="6" hidden="1">{#N/A,#N/A,FALSE,"Summary";#N/A,#N/A,FALSE,"SmPlants";#N/A,#N/A,FALSE,"Utah";#N/A,#N/A,FALSE,"Idaho";#N/A,#N/A,FALSE,"Lewis River";#N/A,#N/A,FALSE,"NrthUmpq";#N/A,#N/A,FALSE,"KlamRog"}</definedName>
    <definedName name="_______OM1_5" localSheetId="7" hidden="1">{#N/A,#N/A,FALSE,"Summary";#N/A,#N/A,FALSE,"SmPlants";#N/A,#N/A,FALSE,"Utah";#N/A,#N/A,FALSE,"Idaho";#N/A,#N/A,FALSE,"Lewis River";#N/A,#N/A,FALSE,"NrthUmpq";#N/A,#N/A,FALSE,"KlamRog"}</definedName>
    <definedName name="_______OM1_5" localSheetId="8" hidden="1">{#N/A,#N/A,FALSE,"Summary";#N/A,#N/A,FALSE,"SmPlants";#N/A,#N/A,FALSE,"Utah";#N/A,#N/A,FALSE,"Idaho";#N/A,#N/A,FALSE,"Lewis River";#N/A,#N/A,FALSE,"NrthUmpq";#N/A,#N/A,FALSE,"KlamRog"}</definedName>
    <definedName name="_______OM1_5" localSheetId="9" hidden="1">{#N/A,#N/A,FALSE,"Summary";#N/A,#N/A,FALSE,"SmPlants";#N/A,#N/A,FALSE,"Utah";#N/A,#N/A,FALSE,"Idaho";#N/A,#N/A,FALSE,"Lewis River";#N/A,#N/A,FALSE,"NrthUmpq";#N/A,#N/A,FALSE,"KlamRog"}</definedName>
    <definedName name="_______OM1_5" localSheetId="10" hidden="1">{#N/A,#N/A,FALSE,"Summary";#N/A,#N/A,FALSE,"SmPlants";#N/A,#N/A,FALSE,"Utah";#N/A,#N/A,FALSE,"Idaho";#N/A,#N/A,FALSE,"Lewis River";#N/A,#N/A,FALSE,"NrthUmpq";#N/A,#N/A,FALSE,"KlamRog"}</definedName>
    <definedName name="_______OM1_5" localSheetId="15" hidden="1">{#N/A,#N/A,FALSE,"Summary";#N/A,#N/A,FALSE,"SmPlants";#N/A,#N/A,FALSE,"Utah";#N/A,#N/A,FALSE,"Idaho";#N/A,#N/A,FALSE,"Lewis River";#N/A,#N/A,FALSE,"NrthUmpq";#N/A,#N/A,FALSE,"KlamRog"}</definedName>
    <definedName name="_______OM1_5" localSheetId="0" hidden="1">{#N/A,#N/A,FALSE,"Summary";#N/A,#N/A,FALSE,"SmPlants";#N/A,#N/A,FALSE,"Utah";#N/A,#N/A,FALSE,"Idaho";#N/A,#N/A,FALSE,"Lewis River";#N/A,#N/A,FALSE,"NrthUmpq";#N/A,#N/A,FALSE,"KlamRog"}</definedName>
    <definedName name="_______OM1_5" hidden="1">{#N/A,#N/A,FALSE,"Summary";#N/A,#N/A,FALSE,"SmPlants";#N/A,#N/A,FALSE,"Utah";#N/A,#N/A,FALSE,"Idaho";#N/A,#N/A,FALSE,"Lewis River";#N/A,#N/A,FALSE,"NrthUmpq";#N/A,#N/A,FALSE,"KlamRog"}</definedName>
    <definedName name="_____OM1" localSheetId="1" hidden="1">{#N/A,#N/A,FALSE,"Summary";#N/A,#N/A,FALSE,"SmPlants";#N/A,#N/A,FALSE,"Utah";#N/A,#N/A,FALSE,"Idaho";#N/A,#N/A,FALSE,"Lewis River";#N/A,#N/A,FALSE,"NrthUmpq";#N/A,#N/A,FALSE,"KlamRog"}</definedName>
    <definedName name="_____OM1" localSheetId="3" hidden="1">{#N/A,#N/A,FALSE,"Summary";#N/A,#N/A,FALSE,"SmPlants";#N/A,#N/A,FALSE,"Utah";#N/A,#N/A,FALSE,"Idaho";#N/A,#N/A,FALSE,"Lewis River";#N/A,#N/A,FALSE,"NrthUmpq";#N/A,#N/A,FALSE,"KlamRog"}</definedName>
    <definedName name="_____OM1" localSheetId="4" hidden="1">{#N/A,#N/A,FALSE,"Summary";#N/A,#N/A,FALSE,"SmPlants";#N/A,#N/A,FALSE,"Utah";#N/A,#N/A,FALSE,"Idaho";#N/A,#N/A,FALSE,"Lewis River";#N/A,#N/A,FALSE,"NrthUmpq";#N/A,#N/A,FALSE,"KlamRog"}</definedName>
    <definedName name="_____OM1" localSheetId="5" hidden="1">{#N/A,#N/A,FALSE,"Summary";#N/A,#N/A,FALSE,"SmPlants";#N/A,#N/A,FALSE,"Utah";#N/A,#N/A,FALSE,"Idaho";#N/A,#N/A,FALSE,"Lewis River";#N/A,#N/A,FALSE,"NrthUmpq";#N/A,#N/A,FALSE,"KlamRog"}</definedName>
    <definedName name="_____OM1" localSheetId="6" hidden="1">{#N/A,#N/A,FALSE,"Summary";#N/A,#N/A,FALSE,"SmPlants";#N/A,#N/A,FALSE,"Utah";#N/A,#N/A,FALSE,"Idaho";#N/A,#N/A,FALSE,"Lewis River";#N/A,#N/A,FALSE,"NrthUmpq";#N/A,#N/A,FALSE,"KlamRog"}</definedName>
    <definedName name="_____OM1" localSheetId="7" hidden="1">{#N/A,#N/A,FALSE,"Summary";#N/A,#N/A,FALSE,"SmPlants";#N/A,#N/A,FALSE,"Utah";#N/A,#N/A,FALSE,"Idaho";#N/A,#N/A,FALSE,"Lewis River";#N/A,#N/A,FALSE,"NrthUmpq";#N/A,#N/A,FALSE,"KlamRog"}</definedName>
    <definedName name="_____OM1" localSheetId="8" hidden="1">{#N/A,#N/A,FALSE,"Summary";#N/A,#N/A,FALSE,"SmPlants";#N/A,#N/A,FALSE,"Utah";#N/A,#N/A,FALSE,"Idaho";#N/A,#N/A,FALSE,"Lewis River";#N/A,#N/A,FALSE,"NrthUmpq";#N/A,#N/A,FALSE,"KlamRog"}</definedName>
    <definedName name="_____OM1" localSheetId="9" hidden="1">{#N/A,#N/A,FALSE,"Summary";#N/A,#N/A,FALSE,"SmPlants";#N/A,#N/A,FALSE,"Utah";#N/A,#N/A,FALSE,"Idaho";#N/A,#N/A,FALSE,"Lewis River";#N/A,#N/A,FALSE,"NrthUmpq";#N/A,#N/A,FALSE,"KlamRog"}</definedName>
    <definedName name="_____OM1" localSheetId="10" hidden="1">{#N/A,#N/A,FALSE,"Summary";#N/A,#N/A,FALSE,"SmPlants";#N/A,#N/A,FALSE,"Utah";#N/A,#N/A,FALSE,"Idaho";#N/A,#N/A,FALSE,"Lewis River";#N/A,#N/A,FALSE,"NrthUmpq";#N/A,#N/A,FALSE,"KlamRog"}</definedName>
    <definedName name="_____OM1" localSheetId="15" hidden="1">{#N/A,#N/A,FALSE,"Summary";#N/A,#N/A,FALSE,"SmPlants";#N/A,#N/A,FALSE,"Utah";#N/A,#N/A,FALSE,"Idaho";#N/A,#N/A,FALSE,"Lewis River";#N/A,#N/A,FALSE,"NrthUmpq";#N/A,#N/A,FALSE,"KlamRog"}</definedName>
    <definedName name="_____OM1" localSheetId="0" hidden="1">{#N/A,#N/A,FALSE,"Summary";#N/A,#N/A,FALSE,"SmPlants";#N/A,#N/A,FALSE,"Utah";#N/A,#N/A,FALSE,"Idaho";#N/A,#N/A,FALSE,"Lewis River";#N/A,#N/A,FALSE,"NrthUmpq";#N/A,#N/A,FALSE,"KlamRog"}</definedName>
    <definedName name="_____OM1" hidden="1">{#N/A,#N/A,FALSE,"Summary";#N/A,#N/A,FALSE,"SmPlants";#N/A,#N/A,FALSE,"Utah";#N/A,#N/A,FALSE,"Idaho";#N/A,#N/A,FALSE,"Lewis River";#N/A,#N/A,FALSE,"NrthUmpq";#N/A,#N/A,FALSE,"KlamRog"}</definedName>
    <definedName name="_____OM1_1" localSheetId="1" hidden="1">{#N/A,#N/A,FALSE,"Summary";#N/A,#N/A,FALSE,"SmPlants";#N/A,#N/A,FALSE,"Utah";#N/A,#N/A,FALSE,"Idaho";#N/A,#N/A,FALSE,"Lewis River";#N/A,#N/A,FALSE,"NrthUmpq";#N/A,#N/A,FALSE,"KlamRog"}</definedName>
    <definedName name="_____OM1_1" localSheetId="3" hidden="1">{#N/A,#N/A,FALSE,"Summary";#N/A,#N/A,FALSE,"SmPlants";#N/A,#N/A,FALSE,"Utah";#N/A,#N/A,FALSE,"Idaho";#N/A,#N/A,FALSE,"Lewis River";#N/A,#N/A,FALSE,"NrthUmpq";#N/A,#N/A,FALSE,"KlamRog"}</definedName>
    <definedName name="_____OM1_1" localSheetId="4" hidden="1">{#N/A,#N/A,FALSE,"Summary";#N/A,#N/A,FALSE,"SmPlants";#N/A,#N/A,FALSE,"Utah";#N/A,#N/A,FALSE,"Idaho";#N/A,#N/A,FALSE,"Lewis River";#N/A,#N/A,FALSE,"NrthUmpq";#N/A,#N/A,FALSE,"KlamRog"}</definedName>
    <definedName name="_____OM1_1" localSheetId="5" hidden="1">{#N/A,#N/A,FALSE,"Summary";#N/A,#N/A,FALSE,"SmPlants";#N/A,#N/A,FALSE,"Utah";#N/A,#N/A,FALSE,"Idaho";#N/A,#N/A,FALSE,"Lewis River";#N/A,#N/A,FALSE,"NrthUmpq";#N/A,#N/A,FALSE,"KlamRog"}</definedName>
    <definedName name="_____OM1_1" localSheetId="6" hidden="1">{#N/A,#N/A,FALSE,"Summary";#N/A,#N/A,FALSE,"SmPlants";#N/A,#N/A,FALSE,"Utah";#N/A,#N/A,FALSE,"Idaho";#N/A,#N/A,FALSE,"Lewis River";#N/A,#N/A,FALSE,"NrthUmpq";#N/A,#N/A,FALSE,"KlamRog"}</definedName>
    <definedName name="_____OM1_1" localSheetId="7" hidden="1">{#N/A,#N/A,FALSE,"Summary";#N/A,#N/A,FALSE,"SmPlants";#N/A,#N/A,FALSE,"Utah";#N/A,#N/A,FALSE,"Idaho";#N/A,#N/A,FALSE,"Lewis River";#N/A,#N/A,FALSE,"NrthUmpq";#N/A,#N/A,FALSE,"KlamRog"}</definedName>
    <definedName name="_____OM1_1" localSheetId="8" hidden="1">{#N/A,#N/A,FALSE,"Summary";#N/A,#N/A,FALSE,"SmPlants";#N/A,#N/A,FALSE,"Utah";#N/A,#N/A,FALSE,"Idaho";#N/A,#N/A,FALSE,"Lewis River";#N/A,#N/A,FALSE,"NrthUmpq";#N/A,#N/A,FALSE,"KlamRog"}</definedName>
    <definedName name="_____OM1_1" localSheetId="9" hidden="1">{#N/A,#N/A,FALSE,"Summary";#N/A,#N/A,FALSE,"SmPlants";#N/A,#N/A,FALSE,"Utah";#N/A,#N/A,FALSE,"Idaho";#N/A,#N/A,FALSE,"Lewis River";#N/A,#N/A,FALSE,"NrthUmpq";#N/A,#N/A,FALSE,"KlamRog"}</definedName>
    <definedName name="_____OM1_1" localSheetId="10" hidden="1">{#N/A,#N/A,FALSE,"Summary";#N/A,#N/A,FALSE,"SmPlants";#N/A,#N/A,FALSE,"Utah";#N/A,#N/A,FALSE,"Idaho";#N/A,#N/A,FALSE,"Lewis River";#N/A,#N/A,FALSE,"NrthUmpq";#N/A,#N/A,FALSE,"KlamRog"}</definedName>
    <definedName name="_____OM1_1" localSheetId="15" hidden="1">{#N/A,#N/A,FALSE,"Summary";#N/A,#N/A,FALSE,"SmPlants";#N/A,#N/A,FALSE,"Utah";#N/A,#N/A,FALSE,"Idaho";#N/A,#N/A,FALSE,"Lewis River";#N/A,#N/A,FALSE,"NrthUmpq";#N/A,#N/A,FALSE,"KlamRog"}</definedName>
    <definedName name="_____OM1_1" localSheetId="0" hidden="1">{#N/A,#N/A,FALSE,"Summary";#N/A,#N/A,FALSE,"SmPlants";#N/A,#N/A,FALSE,"Utah";#N/A,#N/A,FALSE,"Idaho";#N/A,#N/A,FALSE,"Lewis River";#N/A,#N/A,FALSE,"NrthUmpq";#N/A,#N/A,FALSE,"KlamRog"}</definedName>
    <definedName name="_____OM1_1" hidden="1">{#N/A,#N/A,FALSE,"Summary";#N/A,#N/A,FALSE,"SmPlants";#N/A,#N/A,FALSE,"Utah";#N/A,#N/A,FALSE,"Idaho";#N/A,#N/A,FALSE,"Lewis River";#N/A,#N/A,FALSE,"NrthUmpq";#N/A,#N/A,FALSE,"KlamRog"}</definedName>
    <definedName name="_____OM1_2" localSheetId="1" hidden="1">{#N/A,#N/A,FALSE,"Summary";#N/A,#N/A,FALSE,"SmPlants";#N/A,#N/A,FALSE,"Utah";#N/A,#N/A,FALSE,"Idaho";#N/A,#N/A,FALSE,"Lewis River";#N/A,#N/A,FALSE,"NrthUmpq";#N/A,#N/A,FALSE,"KlamRog"}</definedName>
    <definedName name="_____OM1_2" localSheetId="3" hidden="1">{#N/A,#N/A,FALSE,"Summary";#N/A,#N/A,FALSE,"SmPlants";#N/A,#N/A,FALSE,"Utah";#N/A,#N/A,FALSE,"Idaho";#N/A,#N/A,FALSE,"Lewis River";#N/A,#N/A,FALSE,"NrthUmpq";#N/A,#N/A,FALSE,"KlamRog"}</definedName>
    <definedName name="_____OM1_2" localSheetId="4" hidden="1">{#N/A,#N/A,FALSE,"Summary";#N/A,#N/A,FALSE,"SmPlants";#N/A,#N/A,FALSE,"Utah";#N/A,#N/A,FALSE,"Idaho";#N/A,#N/A,FALSE,"Lewis River";#N/A,#N/A,FALSE,"NrthUmpq";#N/A,#N/A,FALSE,"KlamRog"}</definedName>
    <definedName name="_____OM1_2" localSheetId="5" hidden="1">{#N/A,#N/A,FALSE,"Summary";#N/A,#N/A,FALSE,"SmPlants";#N/A,#N/A,FALSE,"Utah";#N/A,#N/A,FALSE,"Idaho";#N/A,#N/A,FALSE,"Lewis River";#N/A,#N/A,FALSE,"NrthUmpq";#N/A,#N/A,FALSE,"KlamRog"}</definedName>
    <definedName name="_____OM1_2" localSheetId="6" hidden="1">{#N/A,#N/A,FALSE,"Summary";#N/A,#N/A,FALSE,"SmPlants";#N/A,#N/A,FALSE,"Utah";#N/A,#N/A,FALSE,"Idaho";#N/A,#N/A,FALSE,"Lewis River";#N/A,#N/A,FALSE,"NrthUmpq";#N/A,#N/A,FALSE,"KlamRog"}</definedName>
    <definedName name="_____OM1_2" localSheetId="7" hidden="1">{#N/A,#N/A,FALSE,"Summary";#N/A,#N/A,FALSE,"SmPlants";#N/A,#N/A,FALSE,"Utah";#N/A,#N/A,FALSE,"Idaho";#N/A,#N/A,FALSE,"Lewis River";#N/A,#N/A,FALSE,"NrthUmpq";#N/A,#N/A,FALSE,"KlamRog"}</definedName>
    <definedName name="_____OM1_2" localSheetId="8" hidden="1">{#N/A,#N/A,FALSE,"Summary";#N/A,#N/A,FALSE,"SmPlants";#N/A,#N/A,FALSE,"Utah";#N/A,#N/A,FALSE,"Idaho";#N/A,#N/A,FALSE,"Lewis River";#N/A,#N/A,FALSE,"NrthUmpq";#N/A,#N/A,FALSE,"KlamRog"}</definedName>
    <definedName name="_____OM1_2" localSheetId="9" hidden="1">{#N/A,#N/A,FALSE,"Summary";#N/A,#N/A,FALSE,"SmPlants";#N/A,#N/A,FALSE,"Utah";#N/A,#N/A,FALSE,"Idaho";#N/A,#N/A,FALSE,"Lewis River";#N/A,#N/A,FALSE,"NrthUmpq";#N/A,#N/A,FALSE,"KlamRog"}</definedName>
    <definedName name="_____OM1_2" localSheetId="10" hidden="1">{#N/A,#N/A,FALSE,"Summary";#N/A,#N/A,FALSE,"SmPlants";#N/A,#N/A,FALSE,"Utah";#N/A,#N/A,FALSE,"Idaho";#N/A,#N/A,FALSE,"Lewis River";#N/A,#N/A,FALSE,"NrthUmpq";#N/A,#N/A,FALSE,"KlamRog"}</definedName>
    <definedName name="_____OM1_2" localSheetId="15" hidden="1">{#N/A,#N/A,FALSE,"Summary";#N/A,#N/A,FALSE,"SmPlants";#N/A,#N/A,FALSE,"Utah";#N/A,#N/A,FALSE,"Idaho";#N/A,#N/A,FALSE,"Lewis River";#N/A,#N/A,FALSE,"NrthUmpq";#N/A,#N/A,FALSE,"KlamRog"}</definedName>
    <definedName name="_____OM1_2" localSheetId="0" hidden="1">{#N/A,#N/A,FALSE,"Summary";#N/A,#N/A,FALSE,"SmPlants";#N/A,#N/A,FALSE,"Utah";#N/A,#N/A,FALSE,"Idaho";#N/A,#N/A,FALSE,"Lewis River";#N/A,#N/A,FALSE,"NrthUmpq";#N/A,#N/A,FALSE,"KlamRog"}</definedName>
    <definedName name="_____OM1_2" hidden="1">{#N/A,#N/A,FALSE,"Summary";#N/A,#N/A,FALSE,"SmPlants";#N/A,#N/A,FALSE,"Utah";#N/A,#N/A,FALSE,"Idaho";#N/A,#N/A,FALSE,"Lewis River";#N/A,#N/A,FALSE,"NrthUmpq";#N/A,#N/A,FALSE,"KlamRog"}</definedName>
    <definedName name="_____OM1_3" localSheetId="1" hidden="1">{#N/A,#N/A,FALSE,"Summary";#N/A,#N/A,FALSE,"SmPlants";#N/A,#N/A,FALSE,"Utah";#N/A,#N/A,FALSE,"Idaho";#N/A,#N/A,FALSE,"Lewis River";#N/A,#N/A,FALSE,"NrthUmpq";#N/A,#N/A,FALSE,"KlamRog"}</definedName>
    <definedName name="_____OM1_3" localSheetId="3" hidden="1">{#N/A,#N/A,FALSE,"Summary";#N/A,#N/A,FALSE,"SmPlants";#N/A,#N/A,FALSE,"Utah";#N/A,#N/A,FALSE,"Idaho";#N/A,#N/A,FALSE,"Lewis River";#N/A,#N/A,FALSE,"NrthUmpq";#N/A,#N/A,FALSE,"KlamRog"}</definedName>
    <definedName name="_____OM1_3" localSheetId="4" hidden="1">{#N/A,#N/A,FALSE,"Summary";#N/A,#N/A,FALSE,"SmPlants";#N/A,#N/A,FALSE,"Utah";#N/A,#N/A,FALSE,"Idaho";#N/A,#N/A,FALSE,"Lewis River";#N/A,#N/A,FALSE,"NrthUmpq";#N/A,#N/A,FALSE,"KlamRog"}</definedName>
    <definedName name="_____OM1_3" localSheetId="5" hidden="1">{#N/A,#N/A,FALSE,"Summary";#N/A,#N/A,FALSE,"SmPlants";#N/A,#N/A,FALSE,"Utah";#N/A,#N/A,FALSE,"Idaho";#N/A,#N/A,FALSE,"Lewis River";#N/A,#N/A,FALSE,"NrthUmpq";#N/A,#N/A,FALSE,"KlamRog"}</definedName>
    <definedName name="_____OM1_3" localSheetId="6" hidden="1">{#N/A,#N/A,FALSE,"Summary";#N/A,#N/A,FALSE,"SmPlants";#N/A,#N/A,FALSE,"Utah";#N/A,#N/A,FALSE,"Idaho";#N/A,#N/A,FALSE,"Lewis River";#N/A,#N/A,FALSE,"NrthUmpq";#N/A,#N/A,FALSE,"KlamRog"}</definedName>
    <definedName name="_____OM1_3" localSheetId="7" hidden="1">{#N/A,#N/A,FALSE,"Summary";#N/A,#N/A,FALSE,"SmPlants";#N/A,#N/A,FALSE,"Utah";#N/A,#N/A,FALSE,"Idaho";#N/A,#N/A,FALSE,"Lewis River";#N/A,#N/A,FALSE,"NrthUmpq";#N/A,#N/A,FALSE,"KlamRog"}</definedName>
    <definedName name="_____OM1_3" localSheetId="8" hidden="1">{#N/A,#N/A,FALSE,"Summary";#N/A,#N/A,FALSE,"SmPlants";#N/A,#N/A,FALSE,"Utah";#N/A,#N/A,FALSE,"Idaho";#N/A,#N/A,FALSE,"Lewis River";#N/A,#N/A,FALSE,"NrthUmpq";#N/A,#N/A,FALSE,"KlamRog"}</definedName>
    <definedName name="_____OM1_3" localSheetId="9" hidden="1">{#N/A,#N/A,FALSE,"Summary";#N/A,#N/A,FALSE,"SmPlants";#N/A,#N/A,FALSE,"Utah";#N/A,#N/A,FALSE,"Idaho";#N/A,#N/A,FALSE,"Lewis River";#N/A,#N/A,FALSE,"NrthUmpq";#N/A,#N/A,FALSE,"KlamRog"}</definedName>
    <definedName name="_____OM1_3" localSheetId="10" hidden="1">{#N/A,#N/A,FALSE,"Summary";#N/A,#N/A,FALSE,"SmPlants";#N/A,#N/A,FALSE,"Utah";#N/A,#N/A,FALSE,"Idaho";#N/A,#N/A,FALSE,"Lewis River";#N/A,#N/A,FALSE,"NrthUmpq";#N/A,#N/A,FALSE,"KlamRog"}</definedName>
    <definedName name="_____OM1_3" localSheetId="15" hidden="1">{#N/A,#N/A,FALSE,"Summary";#N/A,#N/A,FALSE,"SmPlants";#N/A,#N/A,FALSE,"Utah";#N/A,#N/A,FALSE,"Idaho";#N/A,#N/A,FALSE,"Lewis River";#N/A,#N/A,FALSE,"NrthUmpq";#N/A,#N/A,FALSE,"KlamRog"}</definedName>
    <definedName name="_____OM1_3" localSheetId="0" hidden="1">{#N/A,#N/A,FALSE,"Summary";#N/A,#N/A,FALSE,"SmPlants";#N/A,#N/A,FALSE,"Utah";#N/A,#N/A,FALSE,"Idaho";#N/A,#N/A,FALSE,"Lewis River";#N/A,#N/A,FALSE,"NrthUmpq";#N/A,#N/A,FALSE,"KlamRog"}</definedName>
    <definedName name="_____OM1_3" hidden="1">{#N/A,#N/A,FALSE,"Summary";#N/A,#N/A,FALSE,"SmPlants";#N/A,#N/A,FALSE,"Utah";#N/A,#N/A,FALSE,"Idaho";#N/A,#N/A,FALSE,"Lewis River";#N/A,#N/A,FALSE,"NrthUmpq";#N/A,#N/A,FALSE,"KlamRog"}</definedName>
    <definedName name="_____OM1_4" localSheetId="1" hidden="1">{#N/A,#N/A,FALSE,"Summary";#N/A,#N/A,FALSE,"SmPlants";#N/A,#N/A,FALSE,"Utah";#N/A,#N/A,FALSE,"Idaho";#N/A,#N/A,FALSE,"Lewis River";#N/A,#N/A,FALSE,"NrthUmpq";#N/A,#N/A,FALSE,"KlamRog"}</definedName>
    <definedName name="_____OM1_4" localSheetId="3" hidden="1">{#N/A,#N/A,FALSE,"Summary";#N/A,#N/A,FALSE,"SmPlants";#N/A,#N/A,FALSE,"Utah";#N/A,#N/A,FALSE,"Idaho";#N/A,#N/A,FALSE,"Lewis River";#N/A,#N/A,FALSE,"NrthUmpq";#N/A,#N/A,FALSE,"KlamRog"}</definedName>
    <definedName name="_____OM1_4" localSheetId="4" hidden="1">{#N/A,#N/A,FALSE,"Summary";#N/A,#N/A,FALSE,"SmPlants";#N/A,#N/A,FALSE,"Utah";#N/A,#N/A,FALSE,"Idaho";#N/A,#N/A,FALSE,"Lewis River";#N/A,#N/A,FALSE,"NrthUmpq";#N/A,#N/A,FALSE,"KlamRog"}</definedName>
    <definedName name="_____OM1_4" localSheetId="5" hidden="1">{#N/A,#N/A,FALSE,"Summary";#N/A,#N/A,FALSE,"SmPlants";#N/A,#N/A,FALSE,"Utah";#N/A,#N/A,FALSE,"Idaho";#N/A,#N/A,FALSE,"Lewis River";#N/A,#N/A,FALSE,"NrthUmpq";#N/A,#N/A,FALSE,"KlamRog"}</definedName>
    <definedName name="_____OM1_4" localSheetId="6" hidden="1">{#N/A,#N/A,FALSE,"Summary";#N/A,#N/A,FALSE,"SmPlants";#N/A,#N/A,FALSE,"Utah";#N/A,#N/A,FALSE,"Idaho";#N/A,#N/A,FALSE,"Lewis River";#N/A,#N/A,FALSE,"NrthUmpq";#N/A,#N/A,FALSE,"KlamRog"}</definedName>
    <definedName name="_____OM1_4" localSheetId="7" hidden="1">{#N/A,#N/A,FALSE,"Summary";#N/A,#N/A,FALSE,"SmPlants";#N/A,#N/A,FALSE,"Utah";#N/A,#N/A,FALSE,"Idaho";#N/A,#N/A,FALSE,"Lewis River";#N/A,#N/A,FALSE,"NrthUmpq";#N/A,#N/A,FALSE,"KlamRog"}</definedName>
    <definedName name="_____OM1_4" localSheetId="8" hidden="1">{#N/A,#N/A,FALSE,"Summary";#N/A,#N/A,FALSE,"SmPlants";#N/A,#N/A,FALSE,"Utah";#N/A,#N/A,FALSE,"Idaho";#N/A,#N/A,FALSE,"Lewis River";#N/A,#N/A,FALSE,"NrthUmpq";#N/A,#N/A,FALSE,"KlamRog"}</definedName>
    <definedName name="_____OM1_4" localSheetId="9" hidden="1">{#N/A,#N/A,FALSE,"Summary";#N/A,#N/A,FALSE,"SmPlants";#N/A,#N/A,FALSE,"Utah";#N/A,#N/A,FALSE,"Idaho";#N/A,#N/A,FALSE,"Lewis River";#N/A,#N/A,FALSE,"NrthUmpq";#N/A,#N/A,FALSE,"KlamRog"}</definedName>
    <definedName name="_____OM1_4" localSheetId="10" hidden="1">{#N/A,#N/A,FALSE,"Summary";#N/A,#N/A,FALSE,"SmPlants";#N/A,#N/A,FALSE,"Utah";#N/A,#N/A,FALSE,"Idaho";#N/A,#N/A,FALSE,"Lewis River";#N/A,#N/A,FALSE,"NrthUmpq";#N/A,#N/A,FALSE,"KlamRog"}</definedName>
    <definedName name="_____OM1_4" localSheetId="15" hidden="1">{#N/A,#N/A,FALSE,"Summary";#N/A,#N/A,FALSE,"SmPlants";#N/A,#N/A,FALSE,"Utah";#N/A,#N/A,FALSE,"Idaho";#N/A,#N/A,FALSE,"Lewis River";#N/A,#N/A,FALSE,"NrthUmpq";#N/A,#N/A,FALSE,"KlamRog"}</definedName>
    <definedName name="_____OM1_4" localSheetId="0" hidden="1">{#N/A,#N/A,FALSE,"Summary";#N/A,#N/A,FALSE,"SmPlants";#N/A,#N/A,FALSE,"Utah";#N/A,#N/A,FALSE,"Idaho";#N/A,#N/A,FALSE,"Lewis River";#N/A,#N/A,FALSE,"NrthUmpq";#N/A,#N/A,FALSE,"KlamRog"}</definedName>
    <definedName name="_____OM1_4" hidden="1">{#N/A,#N/A,FALSE,"Summary";#N/A,#N/A,FALSE,"SmPlants";#N/A,#N/A,FALSE,"Utah";#N/A,#N/A,FALSE,"Idaho";#N/A,#N/A,FALSE,"Lewis River";#N/A,#N/A,FALSE,"NrthUmpq";#N/A,#N/A,FALSE,"KlamRog"}</definedName>
    <definedName name="_____OM1_5" localSheetId="1" hidden="1">{#N/A,#N/A,FALSE,"Summary";#N/A,#N/A,FALSE,"SmPlants";#N/A,#N/A,FALSE,"Utah";#N/A,#N/A,FALSE,"Idaho";#N/A,#N/A,FALSE,"Lewis River";#N/A,#N/A,FALSE,"NrthUmpq";#N/A,#N/A,FALSE,"KlamRog"}</definedName>
    <definedName name="_____OM1_5" localSheetId="3" hidden="1">{#N/A,#N/A,FALSE,"Summary";#N/A,#N/A,FALSE,"SmPlants";#N/A,#N/A,FALSE,"Utah";#N/A,#N/A,FALSE,"Idaho";#N/A,#N/A,FALSE,"Lewis River";#N/A,#N/A,FALSE,"NrthUmpq";#N/A,#N/A,FALSE,"KlamRog"}</definedName>
    <definedName name="_____OM1_5" localSheetId="4" hidden="1">{#N/A,#N/A,FALSE,"Summary";#N/A,#N/A,FALSE,"SmPlants";#N/A,#N/A,FALSE,"Utah";#N/A,#N/A,FALSE,"Idaho";#N/A,#N/A,FALSE,"Lewis River";#N/A,#N/A,FALSE,"NrthUmpq";#N/A,#N/A,FALSE,"KlamRog"}</definedName>
    <definedName name="_____OM1_5" localSheetId="5" hidden="1">{#N/A,#N/A,FALSE,"Summary";#N/A,#N/A,FALSE,"SmPlants";#N/A,#N/A,FALSE,"Utah";#N/A,#N/A,FALSE,"Idaho";#N/A,#N/A,FALSE,"Lewis River";#N/A,#N/A,FALSE,"NrthUmpq";#N/A,#N/A,FALSE,"KlamRog"}</definedName>
    <definedName name="_____OM1_5" localSheetId="6" hidden="1">{#N/A,#N/A,FALSE,"Summary";#N/A,#N/A,FALSE,"SmPlants";#N/A,#N/A,FALSE,"Utah";#N/A,#N/A,FALSE,"Idaho";#N/A,#N/A,FALSE,"Lewis River";#N/A,#N/A,FALSE,"NrthUmpq";#N/A,#N/A,FALSE,"KlamRog"}</definedName>
    <definedName name="_____OM1_5" localSheetId="7" hidden="1">{#N/A,#N/A,FALSE,"Summary";#N/A,#N/A,FALSE,"SmPlants";#N/A,#N/A,FALSE,"Utah";#N/A,#N/A,FALSE,"Idaho";#N/A,#N/A,FALSE,"Lewis River";#N/A,#N/A,FALSE,"NrthUmpq";#N/A,#N/A,FALSE,"KlamRog"}</definedName>
    <definedName name="_____OM1_5" localSheetId="8" hidden="1">{#N/A,#N/A,FALSE,"Summary";#N/A,#N/A,FALSE,"SmPlants";#N/A,#N/A,FALSE,"Utah";#N/A,#N/A,FALSE,"Idaho";#N/A,#N/A,FALSE,"Lewis River";#N/A,#N/A,FALSE,"NrthUmpq";#N/A,#N/A,FALSE,"KlamRog"}</definedName>
    <definedName name="_____OM1_5" localSheetId="9" hidden="1">{#N/A,#N/A,FALSE,"Summary";#N/A,#N/A,FALSE,"SmPlants";#N/A,#N/A,FALSE,"Utah";#N/A,#N/A,FALSE,"Idaho";#N/A,#N/A,FALSE,"Lewis River";#N/A,#N/A,FALSE,"NrthUmpq";#N/A,#N/A,FALSE,"KlamRog"}</definedName>
    <definedName name="_____OM1_5" localSheetId="10" hidden="1">{#N/A,#N/A,FALSE,"Summary";#N/A,#N/A,FALSE,"SmPlants";#N/A,#N/A,FALSE,"Utah";#N/A,#N/A,FALSE,"Idaho";#N/A,#N/A,FALSE,"Lewis River";#N/A,#N/A,FALSE,"NrthUmpq";#N/A,#N/A,FALSE,"KlamRog"}</definedName>
    <definedName name="_____OM1_5" localSheetId="15" hidden="1">{#N/A,#N/A,FALSE,"Summary";#N/A,#N/A,FALSE,"SmPlants";#N/A,#N/A,FALSE,"Utah";#N/A,#N/A,FALSE,"Idaho";#N/A,#N/A,FALSE,"Lewis River";#N/A,#N/A,FALSE,"NrthUmpq";#N/A,#N/A,FALSE,"KlamRog"}</definedName>
    <definedName name="_____OM1_5" localSheetId="0" hidden="1">{#N/A,#N/A,FALSE,"Summary";#N/A,#N/A,FALSE,"SmPlants";#N/A,#N/A,FALSE,"Utah";#N/A,#N/A,FALSE,"Idaho";#N/A,#N/A,FALSE,"Lewis River";#N/A,#N/A,FALSE,"NrthUmpq";#N/A,#N/A,FALSE,"KlamRog"}</definedName>
    <definedName name="_____OM1_5" hidden="1">{#N/A,#N/A,FALSE,"Summary";#N/A,#N/A,FALSE,"SmPlants";#N/A,#N/A,FALSE,"Utah";#N/A,#N/A,FALSE,"Idaho";#N/A,#N/A,FALSE,"Lewis River";#N/A,#N/A,FALSE,"NrthUmpq";#N/A,#N/A,FALSE,"KlamRog"}</definedName>
    <definedName name="____OM1" localSheetId="1" hidden="1">{#N/A,#N/A,FALSE,"Summary";#N/A,#N/A,FALSE,"SmPlants";#N/A,#N/A,FALSE,"Utah";#N/A,#N/A,FALSE,"Idaho";#N/A,#N/A,FALSE,"Lewis River";#N/A,#N/A,FALSE,"NrthUmpq";#N/A,#N/A,FALSE,"KlamRog"}</definedName>
    <definedName name="____OM1" localSheetId="3" hidden="1">{#N/A,#N/A,FALSE,"Summary";#N/A,#N/A,FALSE,"SmPlants";#N/A,#N/A,FALSE,"Utah";#N/A,#N/A,FALSE,"Idaho";#N/A,#N/A,FALSE,"Lewis River";#N/A,#N/A,FALSE,"NrthUmpq";#N/A,#N/A,FALSE,"KlamRog"}</definedName>
    <definedName name="____OM1" localSheetId="4" hidden="1">{#N/A,#N/A,FALSE,"Summary";#N/A,#N/A,FALSE,"SmPlants";#N/A,#N/A,FALSE,"Utah";#N/A,#N/A,FALSE,"Idaho";#N/A,#N/A,FALSE,"Lewis River";#N/A,#N/A,FALSE,"NrthUmpq";#N/A,#N/A,FALSE,"KlamRog"}</definedName>
    <definedName name="____OM1" localSheetId="5" hidden="1">{#N/A,#N/A,FALSE,"Summary";#N/A,#N/A,FALSE,"SmPlants";#N/A,#N/A,FALSE,"Utah";#N/A,#N/A,FALSE,"Idaho";#N/A,#N/A,FALSE,"Lewis River";#N/A,#N/A,FALSE,"NrthUmpq";#N/A,#N/A,FALSE,"KlamRog"}</definedName>
    <definedName name="____OM1" localSheetId="6" hidden="1">{#N/A,#N/A,FALSE,"Summary";#N/A,#N/A,FALSE,"SmPlants";#N/A,#N/A,FALSE,"Utah";#N/A,#N/A,FALSE,"Idaho";#N/A,#N/A,FALSE,"Lewis River";#N/A,#N/A,FALSE,"NrthUmpq";#N/A,#N/A,FALSE,"KlamRog"}</definedName>
    <definedName name="____OM1" localSheetId="7" hidden="1">{#N/A,#N/A,FALSE,"Summary";#N/A,#N/A,FALSE,"SmPlants";#N/A,#N/A,FALSE,"Utah";#N/A,#N/A,FALSE,"Idaho";#N/A,#N/A,FALSE,"Lewis River";#N/A,#N/A,FALSE,"NrthUmpq";#N/A,#N/A,FALSE,"KlamRog"}</definedName>
    <definedName name="____OM1" localSheetId="8" hidden="1">{#N/A,#N/A,FALSE,"Summary";#N/A,#N/A,FALSE,"SmPlants";#N/A,#N/A,FALSE,"Utah";#N/A,#N/A,FALSE,"Idaho";#N/A,#N/A,FALSE,"Lewis River";#N/A,#N/A,FALSE,"NrthUmpq";#N/A,#N/A,FALSE,"KlamRog"}</definedName>
    <definedName name="____OM1" localSheetId="9" hidden="1">{#N/A,#N/A,FALSE,"Summary";#N/A,#N/A,FALSE,"SmPlants";#N/A,#N/A,FALSE,"Utah";#N/A,#N/A,FALSE,"Idaho";#N/A,#N/A,FALSE,"Lewis River";#N/A,#N/A,FALSE,"NrthUmpq";#N/A,#N/A,FALSE,"KlamRog"}</definedName>
    <definedName name="____OM1" localSheetId="10" hidden="1">{#N/A,#N/A,FALSE,"Summary";#N/A,#N/A,FALSE,"SmPlants";#N/A,#N/A,FALSE,"Utah";#N/A,#N/A,FALSE,"Idaho";#N/A,#N/A,FALSE,"Lewis River";#N/A,#N/A,FALSE,"NrthUmpq";#N/A,#N/A,FALSE,"KlamRog"}</definedName>
    <definedName name="____OM1" localSheetId="15" hidden="1">{#N/A,#N/A,FALSE,"Summary";#N/A,#N/A,FALSE,"SmPlants";#N/A,#N/A,FALSE,"Utah";#N/A,#N/A,FALSE,"Idaho";#N/A,#N/A,FALSE,"Lewis River";#N/A,#N/A,FALSE,"NrthUmpq";#N/A,#N/A,FALSE,"KlamRog"}</definedName>
    <definedName name="____OM1" localSheetId="0" hidden="1">{#N/A,#N/A,FALSE,"Summary";#N/A,#N/A,FALSE,"SmPlants";#N/A,#N/A,FALSE,"Utah";#N/A,#N/A,FALSE,"Idaho";#N/A,#N/A,FALSE,"Lewis River";#N/A,#N/A,FALSE,"NrthUmpq";#N/A,#N/A,FALSE,"KlamRog"}</definedName>
    <definedName name="____OM1" hidden="1">{#N/A,#N/A,FALSE,"Summary";#N/A,#N/A,FALSE,"SmPlants";#N/A,#N/A,FALSE,"Utah";#N/A,#N/A,FALSE,"Idaho";#N/A,#N/A,FALSE,"Lewis River";#N/A,#N/A,FALSE,"NrthUmpq";#N/A,#N/A,FALSE,"KlamRog"}</definedName>
    <definedName name="____OM1_1" localSheetId="1" hidden="1">{#N/A,#N/A,FALSE,"Summary";#N/A,#N/A,FALSE,"SmPlants";#N/A,#N/A,FALSE,"Utah";#N/A,#N/A,FALSE,"Idaho";#N/A,#N/A,FALSE,"Lewis River";#N/A,#N/A,FALSE,"NrthUmpq";#N/A,#N/A,FALSE,"KlamRog"}</definedName>
    <definedName name="____OM1_1" localSheetId="3" hidden="1">{#N/A,#N/A,FALSE,"Summary";#N/A,#N/A,FALSE,"SmPlants";#N/A,#N/A,FALSE,"Utah";#N/A,#N/A,FALSE,"Idaho";#N/A,#N/A,FALSE,"Lewis River";#N/A,#N/A,FALSE,"NrthUmpq";#N/A,#N/A,FALSE,"KlamRog"}</definedName>
    <definedName name="____OM1_1" localSheetId="4" hidden="1">{#N/A,#N/A,FALSE,"Summary";#N/A,#N/A,FALSE,"SmPlants";#N/A,#N/A,FALSE,"Utah";#N/A,#N/A,FALSE,"Idaho";#N/A,#N/A,FALSE,"Lewis River";#N/A,#N/A,FALSE,"NrthUmpq";#N/A,#N/A,FALSE,"KlamRog"}</definedName>
    <definedName name="____OM1_1" localSheetId="5" hidden="1">{#N/A,#N/A,FALSE,"Summary";#N/A,#N/A,FALSE,"SmPlants";#N/A,#N/A,FALSE,"Utah";#N/A,#N/A,FALSE,"Idaho";#N/A,#N/A,FALSE,"Lewis River";#N/A,#N/A,FALSE,"NrthUmpq";#N/A,#N/A,FALSE,"KlamRog"}</definedName>
    <definedName name="____OM1_1" localSheetId="6" hidden="1">{#N/A,#N/A,FALSE,"Summary";#N/A,#N/A,FALSE,"SmPlants";#N/A,#N/A,FALSE,"Utah";#N/A,#N/A,FALSE,"Idaho";#N/A,#N/A,FALSE,"Lewis River";#N/A,#N/A,FALSE,"NrthUmpq";#N/A,#N/A,FALSE,"KlamRog"}</definedName>
    <definedName name="____OM1_1" localSheetId="7" hidden="1">{#N/A,#N/A,FALSE,"Summary";#N/A,#N/A,FALSE,"SmPlants";#N/A,#N/A,FALSE,"Utah";#N/A,#N/A,FALSE,"Idaho";#N/A,#N/A,FALSE,"Lewis River";#N/A,#N/A,FALSE,"NrthUmpq";#N/A,#N/A,FALSE,"KlamRog"}</definedName>
    <definedName name="____OM1_1" localSheetId="8" hidden="1">{#N/A,#N/A,FALSE,"Summary";#N/A,#N/A,FALSE,"SmPlants";#N/A,#N/A,FALSE,"Utah";#N/A,#N/A,FALSE,"Idaho";#N/A,#N/A,FALSE,"Lewis River";#N/A,#N/A,FALSE,"NrthUmpq";#N/A,#N/A,FALSE,"KlamRog"}</definedName>
    <definedName name="____OM1_1" localSheetId="9" hidden="1">{#N/A,#N/A,FALSE,"Summary";#N/A,#N/A,FALSE,"SmPlants";#N/A,#N/A,FALSE,"Utah";#N/A,#N/A,FALSE,"Idaho";#N/A,#N/A,FALSE,"Lewis River";#N/A,#N/A,FALSE,"NrthUmpq";#N/A,#N/A,FALSE,"KlamRog"}</definedName>
    <definedName name="____OM1_1" localSheetId="10" hidden="1">{#N/A,#N/A,FALSE,"Summary";#N/A,#N/A,FALSE,"SmPlants";#N/A,#N/A,FALSE,"Utah";#N/A,#N/A,FALSE,"Idaho";#N/A,#N/A,FALSE,"Lewis River";#N/A,#N/A,FALSE,"NrthUmpq";#N/A,#N/A,FALSE,"KlamRog"}</definedName>
    <definedName name="____OM1_1" localSheetId="15" hidden="1">{#N/A,#N/A,FALSE,"Summary";#N/A,#N/A,FALSE,"SmPlants";#N/A,#N/A,FALSE,"Utah";#N/A,#N/A,FALSE,"Idaho";#N/A,#N/A,FALSE,"Lewis River";#N/A,#N/A,FALSE,"NrthUmpq";#N/A,#N/A,FALSE,"KlamRog"}</definedName>
    <definedName name="____OM1_1" localSheetId="0" hidden="1">{#N/A,#N/A,FALSE,"Summary";#N/A,#N/A,FALSE,"SmPlants";#N/A,#N/A,FALSE,"Utah";#N/A,#N/A,FALSE,"Idaho";#N/A,#N/A,FALSE,"Lewis River";#N/A,#N/A,FALSE,"NrthUmpq";#N/A,#N/A,FALSE,"KlamRog"}</definedName>
    <definedName name="____OM1_1" hidden="1">{#N/A,#N/A,FALSE,"Summary";#N/A,#N/A,FALSE,"SmPlants";#N/A,#N/A,FALSE,"Utah";#N/A,#N/A,FALSE,"Idaho";#N/A,#N/A,FALSE,"Lewis River";#N/A,#N/A,FALSE,"NrthUmpq";#N/A,#N/A,FALSE,"KlamRog"}</definedName>
    <definedName name="____OM1_2" localSheetId="1" hidden="1">{#N/A,#N/A,FALSE,"Summary";#N/A,#N/A,FALSE,"SmPlants";#N/A,#N/A,FALSE,"Utah";#N/A,#N/A,FALSE,"Idaho";#N/A,#N/A,FALSE,"Lewis River";#N/A,#N/A,FALSE,"NrthUmpq";#N/A,#N/A,FALSE,"KlamRog"}</definedName>
    <definedName name="____OM1_2" localSheetId="3" hidden="1">{#N/A,#N/A,FALSE,"Summary";#N/A,#N/A,FALSE,"SmPlants";#N/A,#N/A,FALSE,"Utah";#N/A,#N/A,FALSE,"Idaho";#N/A,#N/A,FALSE,"Lewis River";#N/A,#N/A,FALSE,"NrthUmpq";#N/A,#N/A,FALSE,"KlamRog"}</definedName>
    <definedName name="____OM1_2" localSheetId="4" hidden="1">{#N/A,#N/A,FALSE,"Summary";#N/A,#N/A,FALSE,"SmPlants";#N/A,#N/A,FALSE,"Utah";#N/A,#N/A,FALSE,"Idaho";#N/A,#N/A,FALSE,"Lewis River";#N/A,#N/A,FALSE,"NrthUmpq";#N/A,#N/A,FALSE,"KlamRog"}</definedName>
    <definedName name="____OM1_2" localSheetId="5" hidden="1">{#N/A,#N/A,FALSE,"Summary";#N/A,#N/A,FALSE,"SmPlants";#N/A,#N/A,FALSE,"Utah";#N/A,#N/A,FALSE,"Idaho";#N/A,#N/A,FALSE,"Lewis River";#N/A,#N/A,FALSE,"NrthUmpq";#N/A,#N/A,FALSE,"KlamRog"}</definedName>
    <definedName name="____OM1_2" localSheetId="6" hidden="1">{#N/A,#N/A,FALSE,"Summary";#N/A,#N/A,FALSE,"SmPlants";#N/A,#N/A,FALSE,"Utah";#N/A,#N/A,FALSE,"Idaho";#N/A,#N/A,FALSE,"Lewis River";#N/A,#N/A,FALSE,"NrthUmpq";#N/A,#N/A,FALSE,"KlamRog"}</definedName>
    <definedName name="____OM1_2" localSheetId="7" hidden="1">{#N/A,#N/A,FALSE,"Summary";#N/A,#N/A,FALSE,"SmPlants";#N/A,#N/A,FALSE,"Utah";#N/A,#N/A,FALSE,"Idaho";#N/A,#N/A,FALSE,"Lewis River";#N/A,#N/A,FALSE,"NrthUmpq";#N/A,#N/A,FALSE,"KlamRog"}</definedName>
    <definedName name="____OM1_2" localSheetId="8" hidden="1">{#N/A,#N/A,FALSE,"Summary";#N/A,#N/A,FALSE,"SmPlants";#N/A,#N/A,FALSE,"Utah";#N/A,#N/A,FALSE,"Idaho";#N/A,#N/A,FALSE,"Lewis River";#N/A,#N/A,FALSE,"NrthUmpq";#N/A,#N/A,FALSE,"KlamRog"}</definedName>
    <definedName name="____OM1_2" localSheetId="9" hidden="1">{#N/A,#N/A,FALSE,"Summary";#N/A,#N/A,FALSE,"SmPlants";#N/A,#N/A,FALSE,"Utah";#N/A,#N/A,FALSE,"Idaho";#N/A,#N/A,FALSE,"Lewis River";#N/A,#N/A,FALSE,"NrthUmpq";#N/A,#N/A,FALSE,"KlamRog"}</definedName>
    <definedName name="____OM1_2" localSheetId="10" hidden="1">{#N/A,#N/A,FALSE,"Summary";#N/A,#N/A,FALSE,"SmPlants";#N/A,#N/A,FALSE,"Utah";#N/A,#N/A,FALSE,"Idaho";#N/A,#N/A,FALSE,"Lewis River";#N/A,#N/A,FALSE,"NrthUmpq";#N/A,#N/A,FALSE,"KlamRog"}</definedName>
    <definedName name="____OM1_2" localSheetId="15" hidden="1">{#N/A,#N/A,FALSE,"Summary";#N/A,#N/A,FALSE,"SmPlants";#N/A,#N/A,FALSE,"Utah";#N/A,#N/A,FALSE,"Idaho";#N/A,#N/A,FALSE,"Lewis River";#N/A,#N/A,FALSE,"NrthUmpq";#N/A,#N/A,FALSE,"KlamRog"}</definedName>
    <definedName name="____OM1_2" localSheetId="0" hidden="1">{#N/A,#N/A,FALSE,"Summary";#N/A,#N/A,FALSE,"SmPlants";#N/A,#N/A,FALSE,"Utah";#N/A,#N/A,FALSE,"Idaho";#N/A,#N/A,FALSE,"Lewis River";#N/A,#N/A,FALSE,"NrthUmpq";#N/A,#N/A,FALSE,"KlamRog"}</definedName>
    <definedName name="____OM1_2" hidden="1">{#N/A,#N/A,FALSE,"Summary";#N/A,#N/A,FALSE,"SmPlants";#N/A,#N/A,FALSE,"Utah";#N/A,#N/A,FALSE,"Idaho";#N/A,#N/A,FALSE,"Lewis River";#N/A,#N/A,FALSE,"NrthUmpq";#N/A,#N/A,FALSE,"KlamRog"}</definedName>
    <definedName name="____OM1_3" localSheetId="1" hidden="1">{#N/A,#N/A,FALSE,"Summary";#N/A,#N/A,FALSE,"SmPlants";#N/A,#N/A,FALSE,"Utah";#N/A,#N/A,FALSE,"Idaho";#N/A,#N/A,FALSE,"Lewis River";#N/A,#N/A,FALSE,"NrthUmpq";#N/A,#N/A,FALSE,"KlamRog"}</definedName>
    <definedName name="____OM1_3" localSheetId="3" hidden="1">{#N/A,#N/A,FALSE,"Summary";#N/A,#N/A,FALSE,"SmPlants";#N/A,#N/A,FALSE,"Utah";#N/A,#N/A,FALSE,"Idaho";#N/A,#N/A,FALSE,"Lewis River";#N/A,#N/A,FALSE,"NrthUmpq";#N/A,#N/A,FALSE,"KlamRog"}</definedName>
    <definedName name="____OM1_3" localSheetId="4" hidden="1">{#N/A,#N/A,FALSE,"Summary";#N/A,#N/A,FALSE,"SmPlants";#N/A,#N/A,FALSE,"Utah";#N/A,#N/A,FALSE,"Idaho";#N/A,#N/A,FALSE,"Lewis River";#N/A,#N/A,FALSE,"NrthUmpq";#N/A,#N/A,FALSE,"KlamRog"}</definedName>
    <definedName name="____OM1_3" localSheetId="5" hidden="1">{#N/A,#N/A,FALSE,"Summary";#N/A,#N/A,FALSE,"SmPlants";#N/A,#N/A,FALSE,"Utah";#N/A,#N/A,FALSE,"Idaho";#N/A,#N/A,FALSE,"Lewis River";#N/A,#N/A,FALSE,"NrthUmpq";#N/A,#N/A,FALSE,"KlamRog"}</definedName>
    <definedName name="____OM1_3" localSheetId="6" hidden="1">{#N/A,#N/A,FALSE,"Summary";#N/A,#N/A,FALSE,"SmPlants";#N/A,#N/A,FALSE,"Utah";#N/A,#N/A,FALSE,"Idaho";#N/A,#N/A,FALSE,"Lewis River";#N/A,#N/A,FALSE,"NrthUmpq";#N/A,#N/A,FALSE,"KlamRog"}</definedName>
    <definedName name="____OM1_3" localSheetId="7" hidden="1">{#N/A,#N/A,FALSE,"Summary";#N/A,#N/A,FALSE,"SmPlants";#N/A,#N/A,FALSE,"Utah";#N/A,#N/A,FALSE,"Idaho";#N/A,#N/A,FALSE,"Lewis River";#N/A,#N/A,FALSE,"NrthUmpq";#N/A,#N/A,FALSE,"KlamRog"}</definedName>
    <definedName name="____OM1_3" localSheetId="8" hidden="1">{#N/A,#N/A,FALSE,"Summary";#N/A,#N/A,FALSE,"SmPlants";#N/A,#N/A,FALSE,"Utah";#N/A,#N/A,FALSE,"Idaho";#N/A,#N/A,FALSE,"Lewis River";#N/A,#N/A,FALSE,"NrthUmpq";#N/A,#N/A,FALSE,"KlamRog"}</definedName>
    <definedName name="____OM1_3" localSheetId="9" hidden="1">{#N/A,#N/A,FALSE,"Summary";#N/A,#N/A,FALSE,"SmPlants";#N/A,#N/A,FALSE,"Utah";#N/A,#N/A,FALSE,"Idaho";#N/A,#N/A,FALSE,"Lewis River";#N/A,#N/A,FALSE,"NrthUmpq";#N/A,#N/A,FALSE,"KlamRog"}</definedName>
    <definedName name="____OM1_3" localSheetId="10" hidden="1">{#N/A,#N/A,FALSE,"Summary";#N/A,#N/A,FALSE,"SmPlants";#N/A,#N/A,FALSE,"Utah";#N/A,#N/A,FALSE,"Idaho";#N/A,#N/A,FALSE,"Lewis River";#N/A,#N/A,FALSE,"NrthUmpq";#N/A,#N/A,FALSE,"KlamRog"}</definedName>
    <definedName name="____OM1_3" localSheetId="15" hidden="1">{#N/A,#N/A,FALSE,"Summary";#N/A,#N/A,FALSE,"SmPlants";#N/A,#N/A,FALSE,"Utah";#N/A,#N/A,FALSE,"Idaho";#N/A,#N/A,FALSE,"Lewis River";#N/A,#N/A,FALSE,"NrthUmpq";#N/A,#N/A,FALSE,"KlamRog"}</definedName>
    <definedName name="____OM1_3" localSheetId="0" hidden="1">{#N/A,#N/A,FALSE,"Summary";#N/A,#N/A,FALSE,"SmPlants";#N/A,#N/A,FALSE,"Utah";#N/A,#N/A,FALSE,"Idaho";#N/A,#N/A,FALSE,"Lewis River";#N/A,#N/A,FALSE,"NrthUmpq";#N/A,#N/A,FALSE,"KlamRog"}</definedName>
    <definedName name="____OM1_3" hidden="1">{#N/A,#N/A,FALSE,"Summary";#N/A,#N/A,FALSE,"SmPlants";#N/A,#N/A,FALSE,"Utah";#N/A,#N/A,FALSE,"Idaho";#N/A,#N/A,FALSE,"Lewis River";#N/A,#N/A,FALSE,"NrthUmpq";#N/A,#N/A,FALSE,"KlamRog"}</definedName>
    <definedName name="____OM1_4" localSheetId="1" hidden="1">{#N/A,#N/A,FALSE,"Summary";#N/A,#N/A,FALSE,"SmPlants";#N/A,#N/A,FALSE,"Utah";#N/A,#N/A,FALSE,"Idaho";#N/A,#N/A,FALSE,"Lewis River";#N/A,#N/A,FALSE,"NrthUmpq";#N/A,#N/A,FALSE,"KlamRog"}</definedName>
    <definedName name="____OM1_4" localSheetId="3" hidden="1">{#N/A,#N/A,FALSE,"Summary";#N/A,#N/A,FALSE,"SmPlants";#N/A,#N/A,FALSE,"Utah";#N/A,#N/A,FALSE,"Idaho";#N/A,#N/A,FALSE,"Lewis River";#N/A,#N/A,FALSE,"NrthUmpq";#N/A,#N/A,FALSE,"KlamRog"}</definedName>
    <definedName name="____OM1_4" localSheetId="4" hidden="1">{#N/A,#N/A,FALSE,"Summary";#N/A,#N/A,FALSE,"SmPlants";#N/A,#N/A,FALSE,"Utah";#N/A,#N/A,FALSE,"Idaho";#N/A,#N/A,FALSE,"Lewis River";#N/A,#N/A,FALSE,"NrthUmpq";#N/A,#N/A,FALSE,"KlamRog"}</definedName>
    <definedName name="____OM1_4" localSheetId="5" hidden="1">{#N/A,#N/A,FALSE,"Summary";#N/A,#N/A,FALSE,"SmPlants";#N/A,#N/A,FALSE,"Utah";#N/A,#N/A,FALSE,"Idaho";#N/A,#N/A,FALSE,"Lewis River";#N/A,#N/A,FALSE,"NrthUmpq";#N/A,#N/A,FALSE,"KlamRog"}</definedName>
    <definedName name="____OM1_4" localSheetId="6" hidden="1">{#N/A,#N/A,FALSE,"Summary";#N/A,#N/A,FALSE,"SmPlants";#N/A,#N/A,FALSE,"Utah";#N/A,#N/A,FALSE,"Idaho";#N/A,#N/A,FALSE,"Lewis River";#N/A,#N/A,FALSE,"NrthUmpq";#N/A,#N/A,FALSE,"KlamRog"}</definedName>
    <definedName name="____OM1_4" localSheetId="7" hidden="1">{#N/A,#N/A,FALSE,"Summary";#N/A,#N/A,FALSE,"SmPlants";#N/A,#N/A,FALSE,"Utah";#N/A,#N/A,FALSE,"Idaho";#N/A,#N/A,FALSE,"Lewis River";#N/A,#N/A,FALSE,"NrthUmpq";#N/A,#N/A,FALSE,"KlamRog"}</definedName>
    <definedName name="____OM1_4" localSheetId="8" hidden="1">{#N/A,#N/A,FALSE,"Summary";#N/A,#N/A,FALSE,"SmPlants";#N/A,#N/A,FALSE,"Utah";#N/A,#N/A,FALSE,"Idaho";#N/A,#N/A,FALSE,"Lewis River";#N/A,#N/A,FALSE,"NrthUmpq";#N/A,#N/A,FALSE,"KlamRog"}</definedName>
    <definedName name="____OM1_4" localSheetId="9" hidden="1">{#N/A,#N/A,FALSE,"Summary";#N/A,#N/A,FALSE,"SmPlants";#N/A,#N/A,FALSE,"Utah";#N/A,#N/A,FALSE,"Idaho";#N/A,#N/A,FALSE,"Lewis River";#N/A,#N/A,FALSE,"NrthUmpq";#N/A,#N/A,FALSE,"KlamRog"}</definedName>
    <definedName name="____OM1_4" localSheetId="10" hidden="1">{#N/A,#N/A,FALSE,"Summary";#N/A,#N/A,FALSE,"SmPlants";#N/A,#N/A,FALSE,"Utah";#N/A,#N/A,FALSE,"Idaho";#N/A,#N/A,FALSE,"Lewis River";#N/A,#N/A,FALSE,"NrthUmpq";#N/A,#N/A,FALSE,"KlamRog"}</definedName>
    <definedName name="____OM1_4" localSheetId="15" hidden="1">{#N/A,#N/A,FALSE,"Summary";#N/A,#N/A,FALSE,"SmPlants";#N/A,#N/A,FALSE,"Utah";#N/A,#N/A,FALSE,"Idaho";#N/A,#N/A,FALSE,"Lewis River";#N/A,#N/A,FALSE,"NrthUmpq";#N/A,#N/A,FALSE,"KlamRog"}</definedName>
    <definedName name="____OM1_4" localSheetId="0" hidden="1">{#N/A,#N/A,FALSE,"Summary";#N/A,#N/A,FALSE,"SmPlants";#N/A,#N/A,FALSE,"Utah";#N/A,#N/A,FALSE,"Idaho";#N/A,#N/A,FALSE,"Lewis River";#N/A,#N/A,FALSE,"NrthUmpq";#N/A,#N/A,FALSE,"KlamRog"}</definedName>
    <definedName name="____OM1_4" hidden="1">{#N/A,#N/A,FALSE,"Summary";#N/A,#N/A,FALSE,"SmPlants";#N/A,#N/A,FALSE,"Utah";#N/A,#N/A,FALSE,"Idaho";#N/A,#N/A,FALSE,"Lewis River";#N/A,#N/A,FALSE,"NrthUmpq";#N/A,#N/A,FALSE,"KlamRog"}</definedName>
    <definedName name="____OM1_5" localSheetId="1" hidden="1">{#N/A,#N/A,FALSE,"Summary";#N/A,#N/A,FALSE,"SmPlants";#N/A,#N/A,FALSE,"Utah";#N/A,#N/A,FALSE,"Idaho";#N/A,#N/A,FALSE,"Lewis River";#N/A,#N/A,FALSE,"NrthUmpq";#N/A,#N/A,FALSE,"KlamRog"}</definedName>
    <definedName name="____OM1_5" localSheetId="3" hidden="1">{#N/A,#N/A,FALSE,"Summary";#N/A,#N/A,FALSE,"SmPlants";#N/A,#N/A,FALSE,"Utah";#N/A,#N/A,FALSE,"Idaho";#N/A,#N/A,FALSE,"Lewis River";#N/A,#N/A,FALSE,"NrthUmpq";#N/A,#N/A,FALSE,"KlamRog"}</definedName>
    <definedName name="____OM1_5" localSheetId="4" hidden="1">{#N/A,#N/A,FALSE,"Summary";#N/A,#N/A,FALSE,"SmPlants";#N/A,#N/A,FALSE,"Utah";#N/A,#N/A,FALSE,"Idaho";#N/A,#N/A,FALSE,"Lewis River";#N/A,#N/A,FALSE,"NrthUmpq";#N/A,#N/A,FALSE,"KlamRog"}</definedName>
    <definedName name="____OM1_5" localSheetId="5" hidden="1">{#N/A,#N/A,FALSE,"Summary";#N/A,#N/A,FALSE,"SmPlants";#N/A,#N/A,FALSE,"Utah";#N/A,#N/A,FALSE,"Idaho";#N/A,#N/A,FALSE,"Lewis River";#N/A,#N/A,FALSE,"NrthUmpq";#N/A,#N/A,FALSE,"KlamRog"}</definedName>
    <definedName name="____OM1_5" localSheetId="6" hidden="1">{#N/A,#N/A,FALSE,"Summary";#N/A,#N/A,FALSE,"SmPlants";#N/A,#N/A,FALSE,"Utah";#N/A,#N/A,FALSE,"Idaho";#N/A,#N/A,FALSE,"Lewis River";#N/A,#N/A,FALSE,"NrthUmpq";#N/A,#N/A,FALSE,"KlamRog"}</definedName>
    <definedName name="____OM1_5" localSheetId="7" hidden="1">{#N/A,#N/A,FALSE,"Summary";#N/A,#N/A,FALSE,"SmPlants";#N/A,#N/A,FALSE,"Utah";#N/A,#N/A,FALSE,"Idaho";#N/A,#N/A,FALSE,"Lewis River";#N/A,#N/A,FALSE,"NrthUmpq";#N/A,#N/A,FALSE,"KlamRog"}</definedName>
    <definedName name="____OM1_5" localSheetId="8" hidden="1">{#N/A,#N/A,FALSE,"Summary";#N/A,#N/A,FALSE,"SmPlants";#N/A,#N/A,FALSE,"Utah";#N/A,#N/A,FALSE,"Idaho";#N/A,#N/A,FALSE,"Lewis River";#N/A,#N/A,FALSE,"NrthUmpq";#N/A,#N/A,FALSE,"KlamRog"}</definedName>
    <definedName name="____OM1_5" localSheetId="9" hidden="1">{#N/A,#N/A,FALSE,"Summary";#N/A,#N/A,FALSE,"SmPlants";#N/A,#N/A,FALSE,"Utah";#N/A,#N/A,FALSE,"Idaho";#N/A,#N/A,FALSE,"Lewis River";#N/A,#N/A,FALSE,"NrthUmpq";#N/A,#N/A,FALSE,"KlamRog"}</definedName>
    <definedName name="____OM1_5" localSheetId="10" hidden="1">{#N/A,#N/A,FALSE,"Summary";#N/A,#N/A,FALSE,"SmPlants";#N/A,#N/A,FALSE,"Utah";#N/A,#N/A,FALSE,"Idaho";#N/A,#N/A,FALSE,"Lewis River";#N/A,#N/A,FALSE,"NrthUmpq";#N/A,#N/A,FALSE,"KlamRog"}</definedName>
    <definedName name="____OM1_5" localSheetId="15" hidden="1">{#N/A,#N/A,FALSE,"Summary";#N/A,#N/A,FALSE,"SmPlants";#N/A,#N/A,FALSE,"Utah";#N/A,#N/A,FALSE,"Idaho";#N/A,#N/A,FALSE,"Lewis River";#N/A,#N/A,FALSE,"NrthUmpq";#N/A,#N/A,FALSE,"KlamRog"}</definedName>
    <definedName name="____OM1_5" localSheetId="0" hidden="1">{#N/A,#N/A,FALSE,"Summary";#N/A,#N/A,FALSE,"SmPlants";#N/A,#N/A,FALSE,"Utah";#N/A,#N/A,FALSE,"Idaho";#N/A,#N/A,FALSE,"Lewis River";#N/A,#N/A,FALSE,"NrthUmpq";#N/A,#N/A,FALSE,"KlamRog"}</definedName>
    <definedName name="____OM1_5" hidden="1">{#N/A,#N/A,FALSE,"Summary";#N/A,#N/A,FALSE,"SmPlants";#N/A,#N/A,FALSE,"Utah";#N/A,#N/A,FALSE,"Idaho";#N/A,#N/A,FALSE,"Lewis River";#N/A,#N/A,FALSE,"NrthUmpq";#N/A,#N/A,FALSE,"KlamRog"}</definedName>
    <definedName name="__OM1" localSheetId="1" hidden="1">{#N/A,#N/A,FALSE,"Summary";#N/A,#N/A,FALSE,"SmPlants";#N/A,#N/A,FALSE,"Utah";#N/A,#N/A,FALSE,"Idaho";#N/A,#N/A,FALSE,"Lewis River";#N/A,#N/A,FALSE,"NrthUmpq";#N/A,#N/A,FALSE,"KlamRog"}</definedName>
    <definedName name="__OM1" localSheetId="3" hidden="1">{#N/A,#N/A,FALSE,"Summary";#N/A,#N/A,FALSE,"SmPlants";#N/A,#N/A,FALSE,"Utah";#N/A,#N/A,FALSE,"Idaho";#N/A,#N/A,FALSE,"Lewis River";#N/A,#N/A,FALSE,"NrthUmpq";#N/A,#N/A,FALSE,"KlamRog"}</definedName>
    <definedName name="__OM1" localSheetId="4" hidden="1">{#N/A,#N/A,FALSE,"Summary";#N/A,#N/A,FALSE,"SmPlants";#N/A,#N/A,FALSE,"Utah";#N/A,#N/A,FALSE,"Idaho";#N/A,#N/A,FALSE,"Lewis River";#N/A,#N/A,FALSE,"NrthUmpq";#N/A,#N/A,FALSE,"KlamRog"}</definedName>
    <definedName name="__OM1" localSheetId="5" hidden="1">{#N/A,#N/A,FALSE,"Summary";#N/A,#N/A,FALSE,"SmPlants";#N/A,#N/A,FALSE,"Utah";#N/A,#N/A,FALSE,"Idaho";#N/A,#N/A,FALSE,"Lewis River";#N/A,#N/A,FALSE,"NrthUmpq";#N/A,#N/A,FALSE,"KlamRog"}</definedName>
    <definedName name="__OM1" localSheetId="6" hidden="1">{#N/A,#N/A,FALSE,"Summary";#N/A,#N/A,FALSE,"SmPlants";#N/A,#N/A,FALSE,"Utah";#N/A,#N/A,FALSE,"Idaho";#N/A,#N/A,FALSE,"Lewis River";#N/A,#N/A,FALSE,"NrthUmpq";#N/A,#N/A,FALSE,"KlamRog"}</definedName>
    <definedName name="__OM1" localSheetId="7" hidden="1">{#N/A,#N/A,FALSE,"Summary";#N/A,#N/A,FALSE,"SmPlants";#N/A,#N/A,FALSE,"Utah";#N/A,#N/A,FALSE,"Idaho";#N/A,#N/A,FALSE,"Lewis River";#N/A,#N/A,FALSE,"NrthUmpq";#N/A,#N/A,FALSE,"KlamRog"}</definedName>
    <definedName name="__OM1" localSheetId="8" hidden="1">{#N/A,#N/A,FALSE,"Summary";#N/A,#N/A,FALSE,"SmPlants";#N/A,#N/A,FALSE,"Utah";#N/A,#N/A,FALSE,"Idaho";#N/A,#N/A,FALSE,"Lewis River";#N/A,#N/A,FALSE,"NrthUmpq";#N/A,#N/A,FALSE,"KlamRog"}</definedName>
    <definedName name="__OM1" localSheetId="9" hidden="1">{#N/A,#N/A,FALSE,"Summary";#N/A,#N/A,FALSE,"SmPlants";#N/A,#N/A,FALSE,"Utah";#N/A,#N/A,FALSE,"Idaho";#N/A,#N/A,FALSE,"Lewis River";#N/A,#N/A,FALSE,"NrthUmpq";#N/A,#N/A,FALSE,"KlamRog"}</definedName>
    <definedName name="__OM1" localSheetId="10" hidden="1">{#N/A,#N/A,FALSE,"Summary";#N/A,#N/A,FALSE,"SmPlants";#N/A,#N/A,FALSE,"Utah";#N/A,#N/A,FALSE,"Idaho";#N/A,#N/A,FALSE,"Lewis River";#N/A,#N/A,FALSE,"NrthUmpq";#N/A,#N/A,FALSE,"KlamRog"}</definedName>
    <definedName name="__OM1" localSheetId="15" hidden="1">{#N/A,#N/A,FALSE,"Summary";#N/A,#N/A,FALSE,"SmPlants";#N/A,#N/A,FALSE,"Utah";#N/A,#N/A,FALSE,"Idaho";#N/A,#N/A,FALSE,"Lewis River";#N/A,#N/A,FALSE,"NrthUmpq";#N/A,#N/A,FALSE,"KlamRog"}</definedName>
    <definedName name="__OM1" localSheetId="0" hidden="1">{#N/A,#N/A,FALSE,"Summary";#N/A,#N/A,FALSE,"SmPlants";#N/A,#N/A,FALSE,"Utah";#N/A,#N/A,FALSE,"Idaho";#N/A,#N/A,FALSE,"Lewis River";#N/A,#N/A,FALSE,"NrthUmpq";#N/A,#N/A,FALSE,"KlamRog"}</definedName>
    <definedName name="__OM1" hidden="1">{#N/A,#N/A,FALSE,"Summary";#N/A,#N/A,FALSE,"SmPlants";#N/A,#N/A,FALSE,"Utah";#N/A,#N/A,FALSE,"Idaho";#N/A,#N/A,FALSE,"Lewis River";#N/A,#N/A,FALSE,"NrthUmpq";#N/A,#N/A,FALSE,"KlamRog"}</definedName>
    <definedName name="__OM1_1" localSheetId="1" hidden="1">{#N/A,#N/A,FALSE,"Summary";#N/A,#N/A,FALSE,"SmPlants";#N/A,#N/A,FALSE,"Utah";#N/A,#N/A,FALSE,"Idaho";#N/A,#N/A,FALSE,"Lewis River";#N/A,#N/A,FALSE,"NrthUmpq";#N/A,#N/A,FALSE,"KlamRog"}</definedName>
    <definedName name="__OM1_1" localSheetId="3" hidden="1">{#N/A,#N/A,FALSE,"Summary";#N/A,#N/A,FALSE,"SmPlants";#N/A,#N/A,FALSE,"Utah";#N/A,#N/A,FALSE,"Idaho";#N/A,#N/A,FALSE,"Lewis River";#N/A,#N/A,FALSE,"NrthUmpq";#N/A,#N/A,FALSE,"KlamRog"}</definedName>
    <definedName name="__OM1_1" localSheetId="4" hidden="1">{#N/A,#N/A,FALSE,"Summary";#N/A,#N/A,FALSE,"SmPlants";#N/A,#N/A,FALSE,"Utah";#N/A,#N/A,FALSE,"Idaho";#N/A,#N/A,FALSE,"Lewis River";#N/A,#N/A,FALSE,"NrthUmpq";#N/A,#N/A,FALSE,"KlamRog"}</definedName>
    <definedName name="__OM1_1" localSheetId="5" hidden="1">{#N/A,#N/A,FALSE,"Summary";#N/A,#N/A,FALSE,"SmPlants";#N/A,#N/A,FALSE,"Utah";#N/A,#N/A,FALSE,"Idaho";#N/A,#N/A,FALSE,"Lewis River";#N/A,#N/A,FALSE,"NrthUmpq";#N/A,#N/A,FALSE,"KlamRog"}</definedName>
    <definedName name="__OM1_1" localSheetId="6" hidden="1">{#N/A,#N/A,FALSE,"Summary";#N/A,#N/A,FALSE,"SmPlants";#N/A,#N/A,FALSE,"Utah";#N/A,#N/A,FALSE,"Idaho";#N/A,#N/A,FALSE,"Lewis River";#N/A,#N/A,FALSE,"NrthUmpq";#N/A,#N/A,FALSE,"KlamRog"}</definedName>
    <definedName name="__OM1_1" localSheetId="7" hidden="1">{#N/A,#N/A,FALSE,"Summary";#N/A,#N/A,FALSE,"SmPlants";#N/A,#N/A,FALSE,"Utah";#N/A,#N/A,FALSE,"Idaho";#N/A,#N/A,FALSE,"Lewis River";#N/A,#N/A,FALSE,"NrthUmpq";#N/A,#N/A,FALSE,"KlamRog"}</definedName>
    <definedName name="__OM1_1" localSheetId="8" hidden="1">{#N/A,#N/A,FALSE,"Summary";#N/A,#N/A,FALSE,"SmPlants";#N/A,#N/A,FALSE,"Utah";#N/A,#N/A,FALSE,"Idaho";#N/A,#N/A,FALSE,"Lewis River";#N/A,#N/A,FALSE,"NrthUmpq";#N/A,#N/A,FALSE,"KlamRog"}</definedName>
    <definedName name="__OM1_1" localSheetId="9" hidden="1">{#N/A,#N/A,FALSE,"Summary";#N/A,#N/A,FALSE,"SmPlants";#N/A,#N/A,FALSE,"Utah";#N/A,#N/A,FALSE,"Idaho";#N/A,#N/A,FALSE,"Lewis River";#N/A,#N/A,FALSE,"NrthUmpq";#N/A,#N/A,FALSE,"KlamRog"}</definedName>
    <definedName name="__OM1_1" localSheetId="10" hidden="1">{#N/A,#N/A,FALSE,"Summary";#N/A,#N/A,FALSE,"SmPlants";#N/A,#N/A,FALSE,"Utah";#N/A,#N/A,FALSE,"Idaho";#N/A,#N/A,FALSE,"Lewis River";#N/A,#N/A,FALSE,"NrthUmpq";#N/A,#N/A,FALSE,"KlamRog"}</definedName>
    <definedName name="__OM1_1" localSheetId="15" hidden="1">{#N/A,#N/A,FALSE,"Summary";#N/A,#N/A,FALSE,"SmPlants";#N/A,#N/A,FALSE,"Utah";#N/A,#N/A,FALSE,"Idaho";#N/A,#N/A,FALSE,"Lewis River";#N/A,#N/A,FALSE,"NrthUmpq";#N/A,#N/A,FALSE,"KlamRog"}</definedName>
    <definedName name="__OM1_1" localSheetId="0" hidden="1">{#N/A,#N/A,FALSE,"Summary";#N/A,#N/A,FALSE,"SmPlants";#N/A,#N/A,FALSE,"Utah";#N/A,#N/A,FALSE,"Idaho";#N/A,#N/A,FALSE,"Lewis River";#N/A,#N/A,FALSE,"NrthUmpq";#N/A,#N/A,FALSE,"KlamRog"}</definedName>
    <definedName name="__OM1_1" hidden="1">{#N/A,#N/A,FALSE,"Summary";#N/A,#N/A,FALSE,"SmPlants";#N/A,#N/A,FALSE,"Utah";#N/A,#N/A,FALSE,"Idaho";#N/A,#N/A,FALSE,"Lewis River";#N/A,#N/A,FALSE,"NrthUmpq";#N/A,#N/A,FALSE,"KlamRog"}</definedName>
    <definedName name="__OM1_2" localSheetId="1" hidden="1">{#N/A,#N/A,FALSE,"Summary";#N/A,#N/A,FALSE,"SmPlants";#N/A,#N/A,FALSE,"Utah";#N/A,#N/A,FALSE,"Idaho";#N/A,#N/A,FALSE,"Lewis River";#N/A,#N/A,FALSE,"NrthUmpq";#N/A,#N/A,FALSE,"KlamRog"}</definedName>
    <definedName name="__OM1_2" localSheetId="3" hidden="1">{#N/A,#N/A,FALSE,"Summary";#N/A,#N/A,FALSE,"SmPlants";#N/A,#N/A,FALSE,"Utah";#N/A,#N/A,FALSE,"Idaho";#N/A,#N/A,FALSE,"Lewis River";#N/A,#N/A,FALSE,"NrthUmpq";#N/A,#N/A,FALSE,"KlamRog"}</definedName>
    <definedName name="__OM1_2" localSheetId="4" hidden="1">{#N/A,#N/A,FALSE,"Summary";#N/A,#N/A,FALSE,"SmPlants";#N/A,#N/A,FALSE,"Utah";#N/A,#N/A,FALSE,"Idaho";#N/A,#N/A,FALSE,"Lewis River";#N/A,#N/A,FALSE,"NrthUmpq";#N/A,#N/A,FALSE,"KlamRog"}</definedName>
    <definedName name="__OM1_2" localSheetId="5" hidden="1">{#N/A,#N/A,FALSE,"Summary";#N/A,#N/A,FALSE,"SmPlants";#N/A,#N/A,FALSE,"Utah";#N/A,#N/A,FALSE,"Idaho";#N/A,#N/A,FALSE,"Lewis River";#N/A,#N/A,FALSE,"NrthUmpq";#N/A,#N/A,FALSE,"KlamRog"}</definedName>
    <definedName name="__OM1_2" localSheetId="6" hidden="1">{#N/A,#N/A,FALSE,"Summary";#N/A,#N/A,FALSE,"SmPlants";#N/A,#N/A,FALSE,"Utah";#N/A,#N/A,FALSE,"Idaho";#N/A,#N/A,FALSE,"Lewis River";#N/A,#N/A,FALSE,"NrthUmpq";#N/A,#N/A,FALSE,"KlamRog"}</definedName>
    <definedName name="__OM1_2" localSheetId="7" hidden="1">{#N/A,#N/A,FALSE,"Summary";#N/A,#N/A,FALSE,"SmPlants";#N/A,#N/A,FALSE,"Utah";#N/A,#N/A,FALSE,"Idaho";#N/A,#N/A,FALSE,"Lewis River";#N/A,#N/A,FALSE,"NrthUmpq";#N/A,#N/A,FALSE,"KlamRog"}</definedName>
    <definedName name="__OM1_2" localSheetId="8" hidden="1">{#N/A,#N/A,FALSE,"Summary";#N/A,#N/A,FALSE,"SmPlants";#N/A,#N/A,FALSE,"Utah";#N/A,#N/A,FALSE,"Idaho";#N/A,#N/A,FALSE,"Lewis River";#N/A,#N/A,FALSE,"NrthUmpq";#N/A,#N/A,FALSE,"KlamRog"}</definedName>
    <definedName name="__OM1_2" localSheetId="9" hidden="1">{#N/A,#N/A,FALSE,"Summary";#N/A,#N/A,FALSE,"SmPlants";#N/A,#N/A,FALSE,"Utah";#N/A,#N/A,FALSE,"Idaho";#N/A,#N/A,FALSE,"Lewis River";#N/A,#N/A,FALSE,"NrthUmpq";#N/A,#N/A,FALSE,"KlamRog"}</definedName>
    <definedName name="__OM1_2" localSheetId="10" hidden="1">{#N/A,#N/A,FALSE,"Summary";#N/A,#N/A,FALSE,"SmPlants";#N/A,#N/A,FALSE,"Utah";#N/A,#N/A,FALSE,"Idaho";#N/A,#N/A,FALSE,"Lewis River";#N/A,#N/A,FALSE,"NrthUmpq";#N/A,#N/A,FALSE,"KlamRog"}</definedName>
    <definedName name="__OM1_2" localSheetId="15" hidden="1">{#N/A,#N/A,FALSE,"Summary";#N/A,#N/A,FALSE,"SmPlants";#N/A,#N/A,FALSE,"Utah";#N/A,#N/A,FALSE,"Idaho";#N/A,#N/A,FALSE,"Lewis River";#N/A,#N/A,FALSE,"NrthUmpq";#N/A,#N/A,FALSE,"KlamRog"}</definedName>
    <definedName name="__OM1_2" localSheetId="0" hidden="1">{#N/A,#N/A,FALSE,"Summary";#N/A,#N/A,FALSE,"SmPlants";#N/A,#N/A,FALSE,"Utah";#N/A,#N/A,FALSE,"Idaho";#N/A,#N/A,FALSE,"Lewis River";#N/A,#N/A,FALSE,"NrthUmpq";#N/A,#N/A,FALSE,"KlamRog"}</definedName>
    <definedName name="__OM1_2" hidden="1">{#N/A,#N/A,FALSE,"Summary";#N/A,#N/A,FALSE,"SmPlants";#N/A,#N/A,FALSE,"Utah";#N/A,#N/A,FALSE,"Idaho";#N/A,#N/A,FALSE,"Lewis River";#N/A,#N/A,FALSE,"NrthUmpq";#N/A,#N/A,FALSE,"KlamRog"}</definedName>
    <definedName name="__OM1_3" localSheetId="1" hidden="1">{#N/A,#N/A,FALSE,"Summary";#N/A,#N/A,FALSE,"SmPlants";#N/A,#N/A,FALSE,"Utah";#N/A,#N/A,FALSE,"Idaho";#N/A,#N/A,FALSE,"Lewis River";#N/A,#N/A,FALSE,"NrthUmpq";#N/A,#N/A,FALSE,"KlamRog"}</definedName>
    <definedName name="__OM1_3" localSheetId="3" hidden="1">{#N/A,#N/A,FALSE,"Summary";#N/A,#N/A,FALSE,"SmPlants";#N/A,#N/A,FALSE,"Utah";#N/A,#N/A,FALSE,"Idaho";#N/A,#N/A,FALSE,"Lewis River";#N/A,#N/A,FALSE,"NrthUmpq";#N/A,#N/A,FALSE,"KlamRog"}</definedName>
    <definedName name="__OM1_3" localSheetId="4" hidden="1">{#N/A,#N/A,FALSE,"Summary";#N/A,#N/A,FALSE,"SmPlants";#N/A,#N/A,FALSE,"Utah";#N/A,#N/A,FALSE,"Idaho";#N/A,#N/A,FALSE,"Lewis River";#N/A,#N/A,FALSE,"NrthUmpq";#N/A,#N/A,FALSE,"KlamRog"}</definedName>
    <definedName name="__OM1_3" localSheetId="5" hidden="1">{#N/A,#N/A,FALSE,"Summary";#N/A,#N/A,FALSE,"SmPlants";#N/A,#N/A,FALSE,"Utah";#N/A,#N/A,FALSE,"Idaho";#N/A,#N/A,FALSE,"Lewis River";#N/A,#N/A,FALSE,"NrthUmpq";#N/A,#N/A,FALSE,"KlamRog"}</definedName>
    <definedName name="__OM1_3" localSheetId="6" hidden="1">{#N/A,#N/A,FALSE,"Summary";#N/A,#N/A,FALSE,"SmPlants";#N/A,#N/A,FALSE,"Utah";#N/A,#N/A,FALSE,"Idaho";#N/A,#N/A,FALSE,"Lewis River";#N/A,#N/A,FALSE,"NrthUmpq";#N/A,#N/A,FALSE,"KlamRog"}</definedName>
    <definedName name="__OM1_3" localSheetId="7" hidden="1">{#N/A,#N/A,FALSE,"Summary";#N/A,#N/A,FALSE,"SmPlants";#N/A,#N/A,FALSE,"Utah";#N/A,#N/A,FALSE,"Idaho";#N/A,#N/A,FALSE,"Lewis River";#N/A,#N/A,FALSE,"NrthUmpq";#N/A,#N/A,FALSE,"KlamRog"}</definedName>
    <definedName name="__OM1_3" localSheetId="8" hidden="1">{#N/A,#N/A,FALSE,"Summary";#N/A,#N/A,FALSE,"SmPlants";#N/A,#N/A,FALSE,"Utah";#N/A,#N/A,FALSE,"Idaho";#N/A,#N/A,FALSE,"Lewis River";#N/A,#N/A,FALSE,"NrthUmpq";#N/A,#N/A,FALSE,"KlamRog"}</definedName>
    <definedName name="__OM1_3" localSheetId="9" hidden="1">{#N/A,#N/A,FALSE,"Summary";#N/A,#N/A,FALSE,"SmPlants";#N/A,#N/A,FALSE,"Utah";#N/A,#N/A,FALSE,"Idaho";#N/A,#N/A,FALSE,"Lewis River";#N/A,#N/A,FALSE,"NrthUmpq";#N/A,#N/A,FALSE,"KlamRog"}</definedName>
    <definedName name="__OM1_3" localSheetId="10" hidden="1">{#N/A,#N/A,FALSE,"Summary";#N/A,#N/A,FALSE,"SmPlants";#N/A,#N/A,FALSE,"Utah";#N/A,#N/A,FALSE,"Idaho";#N/A,#N/A,FALSE,"Lewis River";#N/A,#N/A,FALSE,"NrthUmpq";#N/A,#N/A,FALSE,"KlamRog"}</definedName>
    <definedName name="__OM1_3" localSheetId="15" hidden="1">{#N/A,#N/A,FALSE,"Summary";#N/A,#N/A,FALSE,"SmPlants";#N/A,#N/A,FALSE,"Utah";#N/A,#N/A,FALSE,"Idaho";#N/A,#N/A,FALSE,"Lewis River";#N/A,#N/A,FALSE,"NrthUmpq";#N/A,#N/A,FALSE,"KlamRog"}</definedName>
    <definedName name="__OM1_3" localSheetId="0" hidden="1">{#N/A,#N/A,FALSE,"Summary";#N/A,#N/A,FALSE,"SmPlants";#N/A,#N/A,FALSE,"Utah";#N/A,#N/A,FALSE,"Idaho";#N/A,#N/A,FALSE,"Lewis River";#N/A,#N/A,FALSE,"NrthUmpq";#N/A,#N/A,FALSE,"KlamRog"}</definedName>
    <definedName name="__OM1_3" hidden="1">{#N/A,#N/A,FALSE,"Summary";#N/A,#N/A,FALSE,"SmPlants";#N/A,#N/A,FALSE,"Utah";#N/A,#N/A,FALSE,"Idaho";#N/A,#N/A,FALSE,"Lewis River";#N/A,#N/A,FALSE,"NrthUmpq";#N/A,#N/A,FALSE,"KlamRog"}</definedName>
    <definedName name="__OM1_4" localSheetId="1" hidden="1">{#N/A,#N/A,FALSE,"Summary";#N/A,#N/A,FALSE,"SmPlants";#N/A,#N/A,FALSE,"Utah";#N/A,#N/A,FALSE,"Idaho";#N/A,#N/A,FALSE,"Lewis River";#N/A,#N/A,FALSE,"NrthUmpq";#N/A,#N/A,FALSE,"KlamRog"}</definedName>
    <definedName name="__OM1_4" localSheetId="3" hidden="1">{#N/A,#N/A,FALSE,"Summary";#N/A,#N/A,FALSE,"SmPlants";#N/A,#N/A,FALSE,"Utah";#N/A,#N/A,FALSE,"Idaho";#N/A,#N/A,FALSE,"Lewis River";#N/A,#N/A,FALSE,"NrthUmpq";#N/A,#N/A,FALSE,"KlamRog"}</definedName>
    <definedName name="__OM1_4" localSheetId="4" hidden="1">{#N/A,#N/A,FALSE,"Summary";#N/A,#N/A,FALSE,"SmPlants";#N/A,#N/A,FALSE,"Utah";#N/A,#N/A,FALSE,"Idaho";#N/A,#N/A,FALSE,"Lewis River";#N/A,#N/A,FALSE,"NrthUmpq";#N/A,#N/A,FALSE,"KlamRog"}</definedName>
    <definedName name="__OM1_4" localSheetId="5" hidden="1">{#N/A,#N/A,FALSE,"Summary";#N/A,#N/A,FALSE,"SmPlants";#N/A,#N/A,FALSE,"Utah";#N/A,#N/A,FALSE,"Idaho";#N/A,#N/A,FALSE,"Lewis River";#N/A,#N/A,FALSE,"NrthUmpq";#N/A,#N/A,FALSE,"KlamRog"}</definedName>
    <definedName name="__OM1_4" localSheetId="6" hidden="1">{#N/A,#N/A,FALSE,"Summary";#N/A,#N/A,FALSE,"SmPlants";#N/A,#N/A,FALSE,"Utah";#N/A,#N/A,FALSE,"Idaho";#N/A,#N/A,FALSE,"Lewis River";#N/A,#N/A,FALSE,"NrthUmpq";#N/A,#N/A,FALSE,"KlamRog"}</definedName>
    <definedName name="__OM1_4" localSheetId="7" hidden="1">{#N/A,#N/A,FALSE,"Summary";#N/A,#N/A,FALSE,"SmPlants";#N/A,#N/A,FALSE,"Utah";#N/A,#N/A,FALSE,"Idaho";#N/A,#N/A,FALSE,"Lewis River";#N/A,#N/A,FALSE,"NrthUmpq";#N/A,#N/A,FALSE,"KlamRog"}</definedName>
    <definedName name="__OM1_4" localSheetId="8" hidden="1">{#N/A,#N/A,FALSE,"Summary";#N/A,#N/A,FALSE,"SmPlants";#N/A,#N/A,FALSE,"Utah";#N/A,#N/A,FALSE,"Idaho";#N/A,#N/A,FALSE,"Lewis River";#N/A,#N/A,FALSE,"NrthUmpq";#N/A,#N/A,FALSE,"KlamRog"}</definedName>
    <definedName name="__OM1_4" localSheetId="9" hidden="1">{#N/A,#N/A,FALSE,"Summary";#N/A,#N/A,FALSE,"SmPlants";#N/A,#N/A,FALSE,"Utah";#N/A,#N/A,FALSE,"Idaho";#N/A,#N/A,FALSE,"Lewis River";#N/A,#N/A,FALSE,"NrthUmpq";#N/A,#N/A,FALSE,"KlamRog"}</definedName>
    <definedName name="__OM1_4" localSheetId="10" hidden="1">{#N/A,#N/A,FALSE,"Summary";#N/A,#N/A,FALSE,"SmPlants";#N/A,#N/A,FALSE,"Utah";#N/A,#N/A,FALSE,"Idaho";#N/A,#N/A,FALSE,"Lewis River";#N/A,#N/A,FALSE,"NrthUmpq";#N/A,#N/A,FALSE,"KlamRog"}</definedName>
    <definedName name="__OM1_4" localSheetId="15" hidden="1">{#N/A,#N/A,FALSE,"Summary";#N/A,#N/A,FALSE,"SmPlants";#N/A,#N/A,FALSE,"Utah";#N/A,#N/A,FALSE,"Idaho";#N/A,#N/A,FALSE,"Lewis River";#N/A,#N/A,FALSE,"NrthUmpq";#N/A,#N/A,FALSE,"KlamRog"}</definedName>
    <definedName name="__OM1_4" localSheetId="0" hidden="1">{#N/A,#N/A,FALSE,"Summary";#N/A,#N/A,FALSE,"SmPlants";#N/A,#N/A,FALSE,"Utah";#N/A,#N/A,FALSE,"Idaho";#N/A,#N/A,FALSE,"Lewis River";#N/A,#N/A,FALSE,"NrthUmpq";#N/A,#N/A,FALSE,"KlamRog"}</definedName>
    <definedName name="__OM1_4" hidden="1">{#N/A,#N/A,FALSE,"Summary";#N/A,#N/A,FALSE,"SmPlants";#N/A,#N/A,FALSE,"Utah";#N/A,#N/A,FALSE,"Idaho";#N/A,#N/A,FALSE,"Lewis River";#N/A,#N/A,FALSE,"NrthUmpq";#N/A,#N/A,FALSE,"KlamRog"}</definedName>
    <definedName name="__OM1_5" localSheetId="1" hidden="1">{#N/A,#N/A,FALSE,"Summary";#N/A,#N/A,FALSE,"SmPlants";#N/A,#N/A,FALSE,"Utah";#N/A,#N/A,FALSE,"Idaho";#N/A,#N/A,FALSE,"Lewis River";#N/A,#N/A,FALSE,"NrthUmpq";#N/A,#N/A,FALSE,"KlamRog"}</definedName>
    <definedName name="__OM1_5" localSheetId="3" hidden="1">{#N/A,#N/A,FALSE,"Summary";#N/A,#N/A,FALSE,"SmPlants";#N/A,#N/A,FALSE,"Utah";#N/A,#N/A,FALSE,"Idaho";#N/A,#N/A,FALSE,"Lewis River";#N/A,#N/A,FALSE,"NrthUmpq";#N/A,#N/A,FALSE,"KlamRog"}</definedName>
    <definedName name="__OM1_5" localSheetId="4" hidden="1">{#N/A,#N/A,FALSE,"Summary";#N/A,#N/A,FALSE,"SmPlants";#N/A,#N/A,FALSE,"Utah";#N/A,#N/A,FALSE,"Idaho";#N/A,#N/A,FALSE,"Lewis River";#N/A,#N/A,FALSE,"NrthUmpq";#N/A,#N/A,FALSE,"KlamRog"}</definedName>
    <definedName name="__OM1_5" localSheetId="5" hidden="1">{#N/A,#N/A,FALSE,"Summary";#N/A,#N/A,FALSE,"SmPlants";#N/A,#N/A,FALSE,"Utah";#N/A,#N/A,FALSE,"Idaho";#N/A,#N/A,FALSE,"Lewis River";#N/A,#N/A,FALSE,"NrthUmpq";#N/A,#N/A,FALSE,"KlamRog"}</definedName>
    <definedName name="__OM1_5" localSheetId="6" hidden="1">{#N/A,#N/A,FALSE,"Summary";#N/A,#N/A,FALSE,"SmPlants";#N/A,#N/A,FALSE,"Utah";#N/A,#N/A,FALSE,"Idaho";#N/A,#N/A,FALSE,"Lewis River";#N/A,#N/A,FALSE,"NrthUmpq";#N/A,#N/A,FALSE,"KlamRog"}</definedName>
    <definedName name="__OM1_5" localSheetId="7" hidden="1">{#N/A,#N/A,FALSE,"Summary";#N/A,#N/A,FALSE,"SmPlants";#N/A,#N/A,FALSE,"Utah";#N/A,#N/A,FALSE,"Idaho";#N/A,#N/A,FALSE,"Lewis River";#N/A,#N/A,FALSE,"NrthUmpq";#N/A,#N/A,FALSE,"KlamRog"}</definedName>
    <definedName name="__OM1_5" localSheetId="8" hidden="1">{#N/A,#N/A,FALSE,"Summary";#N/A,#N/A,FALSE,"SmPlants";#N/A,#N/A,FALSE,"Utah";#N/A,#N/A,FALSE,"Idaho";#N/A,#N/A,FALSE,"Lewis River";#N/A,#N/A,FALSE,"NrthUmpq";#N/A,#N/A,FALSE,"KlamRog"}</definedName>
    <definedName name="__OM1_5" localSheetId="9" hidden="1">{#N/A,#N/A,FALSE,"Summary";#N/A,#N/A,FALSE,"SmPlants";#N/A,#N/A,FALSE,"Utah";#N/A,#N/A,FALSE,"Idaho";#N/A,#N/A,FALSE,"Lewis River";#N/A,#N/A,FALSE,"NrthUmpq";#N/A,#N/A,FALSE,"KlamRog"}</definedName>
    <definedName name="__OM1_5" localSheetId="10" hidden="1">{#N/A,#N/A,FALSE,"Summary";#N/A,#N/A,FALSE,"SmPlants";#N/A,#N/A,FALSE,"Utah";#N/A,#N/A,FALSE,"Idaho";#N/A,#N/A,FALSE,"Lewis River";#N/A,#N/A,FALSE,"NrthUmpq";#N/A,#N/A,FALSE,"KlamRog"}</definedName>
    <definedName name="__OM1_5" localSheetId="15" hidden="1">{#N/A,#N/A,FALSE,"Summary";#N/A,#N/A,FALSE,"SmPlants";#N/A,#N/A,FALSE,"Utah";#N/A,#N/A,FALSE,"Idaho";#N/A,#N/A,FALSE,"Lewis River";#N/A,#N/A,FALSE,"NrthUmpq";#N/A,#N/A,FALSE,"KlamRog"}</definedName>
    <definedName name="__OM1_5" localSheetId="0" hidden="1">{#N/A,#N/A,FALSE,"Summary";#N/A,#N/A,FALSE,"SmPlants";#N/A,#N/A,FALSE,"Utah";#N/A,#N/A,FALSE,"Idaho";#N/A,#N/A,FALSE,"Lewis River";#N/A,#N/A,FALSE,"NrthUmpq";#N/A,#N/A,FALSE,"KlamRog"}</definedName>
    <definedName name="__OM1_5" hidden="1">{#N/A,#N/A,FALSE,"Summary";#N/A,#N/A,FALSE,"SmPlants";#N/A,#N/A,FALSE,"Utah";#N/A,#N/A,FALSE,"Idaho";#N/A,#N/A,FALSE,"Lewis River";#N/A,#N/A,FALSE,"NrthUmpq";#N/A,#N/A,FALSE,"KlamRog"}</definedName>
    <definedName name="_OM1" localSheetId="1" hidden="1">{#N/A,#N/A,FALSE,"Summary";#N/A,#N/A,FALSE,"SmPlants";#N/A,#N/A,FALSE,"Utah";#N/A,#N/A,FALSE,"Idaho";#N/A,#N/A,FALSE,"Lewis River";#N/A,#N/A,FALSE,"NrthUmpq";#N/A,#N/A,FALSE,"KlamRog"}</definedName>
    <definedName name="_OM1" localSheetId="3" hidden="1">{#N/A,#N/A,FALSE,"Summary";#N/A,#N/A,FALSE,"SmPlants";#N/A,#N/A,FALSE,"Utah";#N/A,#N/A,FALSE,"Idaho";#N/A,#N/A,FALSE,"Lewis River";#N/A,#N/A,FALSE,"NrthUmpq";#N/A,#N/A,FALSE,"KlamRog"}</definedName>
    <definedName name="_OM1" localSheetId="4" hidden="1">{#N/A,#N/A,FALSE,"Summary";#N/A,#N/A,FALSE,"SmPlants";#N/A,#N/A,FALSE,"Utah";#N/A,#N/A,FALSE,"Idaho";#N/A,#N/A,FALSE,"Lewis River";#N/A,#N/A,FALSE,"NrthUmpq";#N/A,#N/A,FALSE,"KlamRog"}</definedName>
    <definedName name="_OM1" localSheetId="5" hidden="1">{#N/A,#N/A,FALSE,"Summary";#N/A,#N/A,FALSE,"SmPlants";#N/A,#N/A,FALSE,"Utah";#N/A,#N/A,FALSE,"Idaho";#N/A,#N/A,FALSE,"Lewis River";#N/A,#N/A,FALSE,"NrthUmpq";#N/A,#N/A,FALSE,"KlamRog"}</definedName>
    <definedName name="_OM1" localSheetId="6" hidden="1">{#N/A,#N/A,FALSE,"Summary";#N/A,#N/A,FALSE,"SmPlants";#N/A,#N/A,FALSE,"Utah";#N/A,#N/A,FALSE,"Idaho";#N/A,#N/A,FALSE,"Lewis River";#N/A,#N/A,FALSE,"NrthUmpq";#N/A,#N/A,FALSE,"KlamRog"}</definedName>
    <definedName name="_OM1" localSheetId="7" hidden="1">{#N/A,#N/A,FALSE,"Summary";#N/A,#N/A,FALSE,"SmPlants";#N/A,#N/A,FALSE,"Utah";#N/A,#N/A,FALSE,"Idaho";#N/A,#N/A,FALSE,"Lewis River";#N/A,#N/A,FALSE,"NrthUmpq";#N/A,#N/A,FALSE,"KlamRog"}</definedName>
    <definedName name="_OM1" localSheetId="8" hidden="1">{#N/A,#N/A,FALSE,"Summary";#N/A,#N/A,FALSE,"SmPlants";#N/A,#N/A,FALSE,"Utah";#N/A,#N/A,FALSE,"Idaho";#N/A,#N/A,FALSE,"Lewis River";#N/A,#N/A,FALSE,"NrthUmpq";#N/A,#N/A,FALSE,"KlamRog"}</definedName>
    <definedName name="_OM1" localSheetId="9" hidden="1">{#N/A,#N/A,FALSE,"Summary";#N/A,#N/A,FALSE,"SmPlants";#N/A,#N/A,FALSE,"Utah";#N/A,#N/A,FALSE,"Idaho";#N/A,#N/A,FALSE,"Lewis River";#N/A,#N/A,FALSE,"NrthUmpq";#N/A,#N/A,FALSE,"KlamRog"}</definedName>
    <definedName name="_OM1" localSheetId="10" hidden="1">{#N/A,#N/A,FALSE,"Summary";#N/A,#N/A,FALSE,"SmPlants";#N/A,#N/A,FALSE,"Utah";#N/A,#N/A,FALSE,"Idaho";#N/A,#N/A,FALSE,"Lewis River";#N/A,#N/A,FALSE,"NrthUmpq";#N/A,#N/A,FALSE,"KlamRog"}</definedName>
    <definedName name="_OM1" localSheetId="15" hidden="1">{#N/A,#N/A,FALSE,"Summary";#N/A,#N/A,FALSE,"SmPlants";#N/A,#N/A,FALSE,"Utah";#N/A,#N/A,FALSE,"Idaho";#N/A,#N/A,FALSE,"Lewis River";#N/A,#N/A,FALSE,"NrthUmpq";#N/A,#N/A,FALSE,"KlamRog"}</definedName>
    <definedName name="_OM1" localSheetId="0" hidden="1">{#N/A,#N/A,FALSE,"Summary";#N/A,#N/A,FALSE,"SmPlants";#N/A,#N/A,FALSE,"Utah";#N/A,#N/A,FALSE,"Idaho";#N/A,#N/A,FALSE,"Lewis River";#N/A,#N/A,FALSE,"NrthUmpq";#N/A,#N/A,FALSE,"KlamRog"}</definedName>
    <definedName name="_OM1" hidden="1">{#N/A,#N/A,FALSE,"Summary";#N/A,#N/A,FALSE,"SmPlants";#N/A,#N/A,FALSE,"Utah";#N/A,#N/A,FALSE,"Idaho";#N/A,#N/A,FALSE,"Lewis River";#N/A,#N/A,FALSE,"NrthUmpq";#N/A,#N/A,FALSE,"KlamRog"}</definedName>
    <definedName name="_OM1_1" localSheetId="1" hidden="1">{#N/A,#N/A,FALSE,"Summary";#N/A,#N/A,FALSE,"SmPlants";#N/A,#N/A,FALSE,"Utah";#N/A,#N/A,FALSE,"Idaho";#N/A,#N/A,FALSE,"Lewis River";#N/A,#N/A,FALSE,"NrthUmpq";#N/A,#N/A,FALSE,"KlamRog"}</definedName>
    <definedName name="_OM1_1" localSheetId="3" hidden="1">{#N/A,#N/A,FALSE,"Summary";#N/A,#N/A,FALSE,"SmPlants";#N/A,#N/A,FALSE,"Utah";#N/A,#N/A,FALSE,"Idaho";#N/A,#N/A,FALSE,"Lewis River";#N/A,#N/A,FALSE,"NrthUmpq";#N/A,#N/A,FALSE,"KlamRog"}</definedName>
    <definedName name="_OM1_1" localSheetId="4" hidden="1">{#N/A,#N/A,FALSE,"Summary";#N/A,#N/A,FALSE,"SmPlants";#N/A,#N/A,FALSE,"Utah";#N/A,#N/A,FALSE,"Idaho";#N/A,#N/A,FALSE,"Lewis River";#N/A,#N/A,FALSE,"NrthUmpq";#N/A,#N/A,FALSE,"KlamRog"}</definedName>
    <definedName name="_OM1_1" localSheetId="5" hidden="1">{#N/A,#N/A,FALSE,"Summary";#N/A,#N/A,FALSE,"SmPlants";#N/A,#N/A,FALSE,"Utah";#N/A,#N/A,FALSE,"Idaho";#N/A,#N/A,FALSE,"Lewis River";#N/A,#N/A,FALSE,"NrthUmpq";#N/A,#N/A,FALSE,"KlamRog"}</definedName>
    <definedName name="_OM1_1" localSheetId="6" hidden="1">{#N/A,#N/A,FALSE,"Summary";#N/A,#N/A,FALSE,"SmPlants";#N/A,#N/A,FALSE,"Utah";#N/A,#N/A,FALSE,"Idaho";#N/A,#N/A,FALSE,"Lewis River";#N/A,#N/A,FALSE,"NrthUmpq";#N/A,#N/A,FALSE,"KlamRog"}</definedName>
    <definedName name="_OM1_1" localSheetId="7" hidden="1">{#N/A,#N/A,FALSE,"Summary";#N/A,#N/A,FALSE,"SmPlants";#N/A,#N/A,FALSE,"Utah";#N/A,#N/A,FALSE,"Idaho";#N/A,#N/A,FALSE,"Lewis River";#N/A,#N/A,FALSE,"NrthUmpq";#N/A,#N/A,FALSE,"KlamRog"}</definedName>
    <definedName name="_OM1_1" localSheetId="8" hidden="1">{#N/A,#N/A,FALSE,"Summary";#N/A,#N/A,FALSE,"SmPlants";#N/A,#N/A,FALSE,"Utah";#N/A,#N/A,FALSE,"Idaho";#N/A,#N/A,FALSE,"Lewis River";#N/A,#N/A,FALSE,"NrthUmpq";#N/A,#N/A,FALSE,"KlamRog"}</definedName>
    <definedName name="_OM1_1" localSheetId="9" hidden="1">{#N/A,#N/A,FALSE,"Summary";#N/A,#N/A,FALSE,"SmPlants";#N/A,#N/A,FALSE,"Utah";#N/A,#N/A,FALSE,"Idaho";#N/A,#N/A,FALSE,"Lewis River";#N/A,#N/A,FALSE,"NrthUmpq";#N/A,#N/A,FALSE,"KlamRog"}</definedName>
    <definedName name="_OM1_1" localSheetId="10" hidden="1">{#N/A,#N/A,FALSE,"Summary";#N/A,#N/A,FALSE,"SmPlants";#N/A,#N/A,FALSE,"Utah";#N/A,#N/A,FALSE,"Idaho";#N/A,#N/A,FALSE,"Lewis River";#N/A,#N/A,FALSE,"NrthUmpq";#N/A,#N/A,FALSE,"KlamRog"}</definedName>
    <definedName name="_OM1_1" localSheetId="15" hidden="1">{#N/A,#N/A,FALSE,"Summary";#N/A,#N/A,FALSE,"SmPlants";#N/A,#N/A,FALSE,"Utah";#N/A,#N/A,FALSE,"Idaho";#N/A,#N/A,FALSE,"Lewis River";#N/A,#N/A,FALSE,"NrthUmpq";#N/A,#N/A,FALSE,"KlamRog"}</definedName>
    <definedName name="_OM1_1" localSheetId="0" hidden="1">{#N/A,#N/A,FALSE,"Summary";#N/A,#N/A,FALSE,"SmPlants";#N/A,#N/A,FALSE,"Utah";#N/A,#N/A,FALSE,"Idaho";#N/A,#N/A,FALSE,"Lewis River";#N/A,#N/A,FALSE,"NrthUmpq";#N/A,#N/A,FALSE,"KlamRog"}</definedName>
    <definedName name="_OM1_1" hidden="1">{#N/A,#N/A,FALSE,"Summary";#N/A,#N/A,FALSE,"SmPlants";#N/A,#N/A,FALSE,"Utah";#N/A,#N/A,FALSE,"Idaho";#N/A,#N/A,FALSE,"Lewis River";#N/A,#N/A,FALSE,"NrthUmpq";#N/A,#N/A,FALSE,"KlamRog"}</definedName>
    <definedName name="_OM1_2" localSheetId="1" hidden="1">{#N/A,#N/A,FALSE,"Summary";#N/A,#N/A,FALSE,"SmPlants";#N/A,#N/A,FALSE,"Utah";#N/A,#N/A,FALSE,"Idaho";#N/A,#N/A,FALSE,"Lewis River";#N/A,#N/A,FALSE,"NrthUmpq";#N/A,#N/A,FALSE,"KlamRog"}</definedName>
    <definedName name="_OM1_2" localSheetId="3" hidden="1">{#N/A,#N/A,FALSE,"Summary";#N/A,#N/A,FALSE,"SmPlants";#N/A,#N/A,FALSE,"Utah";#N/A,#N/A,FALSE,"Idaho";#N/A,#N/A,FALSE,"Lewis River";#N/A,#N/A,FALSE,"NrthUmpq";#N/A,#N/A,FALSE,"KlamRog"}</definedName>
    <definedName name="_OM1_2" localSheetId="4" hidden="1">{#N/A,#N/A,FALSE,"Summary";#N/A,#N/A,FALSE,"SmPlants";#N/A,#N/A,FALSE,"Utah";#N/A,#N/A,FALSE,"Idaho";#N/A,#N/A,FALSE,"Lewis River";#N/A,#N/A,FALSE,"NrthUmpq";#N/A,#N/A,FALSE,"KlamRog"}</definedName>
    <definedName name="_OM1_2" localSheetId="5" hidden="1">{#N/A,#N/A,FALSE,"Summary";#N/A,#N/A,FALSE,"SmPlants";#N/A,#N/A,FALSE,"Utah";#N/A,#N/A,FALSE,"Idaho";#N/A,#N/A,FALSE,"Lewis River";#N/A,#N/A,FALSE,"NrthUmpq";#N/A,#N/A,FALSE,"KlamRog"}</definedName>
    <definedName name="_OM1_2" localSheetId="6" hidden="1">{#N/A,#N/A,FALSE,"Summary";#N/A,#N/A,FALSE,"SmPlants";#N/A,#N/A,FALSE,"Utah";#N/A,#N/A,FALSE,"Idaho";#N/A,#N/A,FALSE,"Lewis River";#N/A,#N/A,FALSE,"NrthUmpq";#N/A,#N/A,FALSE,"KlamRog"}</definedName>
    <definedName name="_OM1_2" localSheetId="7" hidden="1">{#N/A,#N/A,FALSE,"Summary";#N/A,#N/A,FALSE,"SmPlants";#N/A,#N/A,FALSE,"Utah";#N/A,#N/A,FALSE,"Idaho";#N/A,#N/A,FALSE,"Lewis River";#N/A,#N/A,FALSE,"NrthUmpq";#N/A,#N/A,FALSE,"KlamRog"}</definedName>
    <definedName name="_OM1_2" localSheetId="8" hidden="1">{#N/A,#N/A,FALSE,"Summary";#N/A,#N/A,FALSE,"SmPlants";#N/A,#N/A,FALSE,"Utah";#N/A,#N/A,FALSE,"Idaho";#N/A,#N/A,FALSE,"Lewis River";#N/A,#N/A,FALSE,"NrthUmpq";#N/A,#N/A,FALSE,"KlamRog"}</definedName>
    <definedName name="_OM1_2" localSheetId="9" hidden="1">{#N/A,#N/A,FALSE,"Summary";#N/A,#N/A,FALSE,"SmPlants";#N/A,#N/A,FALSE,"Utah";#N/A,#N/A,FALSE,"Idaho";#N/A,#N/A,FALSE,"Lewis River";#N/A,#N/A,FALSE,"NrthUmpq";#N/A,#N/A,FALSE,"KlamRog"}</definedName>
    <definedName name="_OM1_2" localSheetId="10" hidden="1">{#N/A,#N/A,FALSE,"Summary";#N/A,#N/A,FALSE,"SmPlants";#N/A,#N/A,FALSE,"Utah";#N/A,#N/A,FALSE,"Idaho";#N/A,#N/A,FALSE,"Lewis River";#N/A,#N/A,FALSE,"NrthUmpq";#N/A,#N/A,FALSE,"KlamRog"}</definedName>
    <definedName name="_OM1_2" localSheetId="15" hidden="1">{#N/A,#N/A,FALSE,"Summary";#N/A,#N/A,FALSE,"SmPlants";#N/A,#N/A,FALSE,"Utah";#N/A,#N/A,FALSE,"Idaho";#N/A,#N/A,FALSE,"Lewis River";#N/A,#N/A,FALSE,"NrthUmpq";#N/A,#N/A,FALSE,"KlamRog"}</definedName>
    <definedName name="_OM1_2" localSheetId="0" hidden="1">{#N/A,#N/A,FALSE,"Summary";#N/A,#N/A,FALSE,"SmPlants";#N/A,#N/A,FALSE,"Utah";#N/A,#N/A,FALSE,"Idaho";#N/A,#N/A,FALSE,"Lewis River";#N/A,#N/A,FALSE,"NrthUmpq";#N/A,#N/A,FALSE,"KlamRog"}</definedName>
    <definedName name="_OM1_2" hidden="1">{#N/A,#N/A,FALSE,"Summary";#N/A,#N/A,FALSE,"SmPlants";#N/A,#N/A,FALSE,"Utah";#N/A,#N/A,FALSE,"Idaho";#N/A,#N/A,FALSE,"Lewis River";#N/A,#N/A,FALSE,"NrthUmpq";#N/A,#N/A,FALSE,"KlamRog"}</definedName>
    <definedName name="_OM1_3" localSheetId="1" hidden="1">{#N/A,#N/A,FALSE,"Summary";#N/A,#N/A,FALSE,"SmPlants";#N/A,#N/A,FALSE,"Utah";#N/A,#N/A,FALSE,"Idaho";#N/A,#N/A,FALSE,"Lewis River";#N/A,#N/A,FALSE,"NrthUmpq";#N/A,#N/A,FALSE,"KlamRog"}</definedName>
    <definedName name="_OM1_3" localSheetId="3" hidden="1">{#N/A,#N/A,FALSE,"Summary";#N/A,#N/A,FALSE,"SmPlants";#N/A,#N/A,FALSE,"Utah";#N/A,#N/A,FALSE,"Idaho";#N/A,#N/A,FALSE,"Lewis River";#N/A,#N/A,FALSE,"NrthUmpq";#N/A,#N/A,FALSE,"KlamRog"}</definedName>
    <definedName name="_OM1_3" localSheetId="4" hidden="1">{#N/A,#N/A,FALSE,"Summary";#N/A,#N/A,FALSE,"SmPlants";#N/A,#N/A,FALSE,"Utah";#N/A,#N/A,FALSE,"Idaho";#N/A,#N/A,FALSE,"Lewis River";#N/A,#N/A,FALSE,"NrthUmpq";#N/A,#N/A,FALSE,"KlamRog"}</definedName>
    <definedName name="_OM1_3" localSheetId="5" hidden="1">{#N/A,#N/A,FALSE,"Summary";#N/A,#N/A,FALSE,"SmPlants";#N/A,#N/A,FALSE,"Utah";#N/A,#N/A,FALSE,"Idaho";#N/A,#N/A,FALSE,"Lewis River";#N/A,#N/A,FALSE,"NrthUmpq";#N/A,#N/A,FALSE,"KlamRog"}</definedName>
    <definedName name="_OM1_3" localSheetId="6" hidden="1">{#N/A,#N/A,FALSE,"Summary";#N/A,#N/A,FALSE,"SmPlants";#N/A,#N/A,FALSE,"Utah";#N/A,#N/A,FALSE,"Idaho";#N/A,#N/A,FALSE,"Lewis River";#N/A,#N/A,FALSE,"NrthUmpq";#N/A,#N/A,FALSE,"KlamRog"}</definedName>
    <definedName name="_OM1_3" localSheetId="7" hidden="1">{#N/A,#N/A,FALSE,"Summary";#N/A,#N/A,FALSE,"SmPlants";#N/A,#N/A,FALSE,"Utah";#N/A,#N/A,FALSE,"Idaho";#N/A,#N/A,FALSE,"Lewis River";#N/A,#N/A,FALSE,"NrthUmpq";#N/A,#N/A,FALSE,"KlamRog"}</definedName>
    <definedName name="_OM1_3" localSheetId="8" hidden="1">{#N/A,#N/A,FALSE,"Summary";#N/A,#N/A,FALSE,"SmPlants";#N/A,#N/A,FALSE,"Utah";#N/A,#N/A,FALSE,"Idaho";#N/A,#N/A,FALSE,"Lewis River";#N/A,#N/A,FALSE,"NrthUmpq";#N/A,#N/A,FALSE,"KlamRog"}</definedName>
    <definedName name="_OM1_3" localSheetId="9" hidden="1">{#N/A,#N/A,FALSE,"Summary";#N/A,#N/A,FALSE,"SmPlants";#N/A,#N/A,FALSE,"Utah";#N/A,#N/A,FALSE,"Idaho";#N/A,#N/A,FALSE,"Lewis River";#N/A,#N/A,FALSE,"NrthUmpq";#N/A,#N/A,FALSE,"KlamRog"}</definedName>
    <definedName name="_OM1_3" localSheetId="10" hidden="1">{#N/A,#N/A,FALSE,"Summary";#N/A,#N/A,FALSE,"SmPlants";#N/A,#N/A,FALSE,"Utah";#N/A,#N/A,FALSE,"Idaho";#N/A,#N/A,FALSE,"Lewis River";#N/A,#N/A,FALSE,"NrthUmpq";#N/A,#N/A,FALSE,"KlamRog"}</definedName>
    <definedName name="_OM1_3" localSheetId="15" hidden="1">{#N/A,#N/A,FALSE,"Summary";#N/A,#N/A,FALSE,"SmPlants";#N/A,#N/A,FALSE,"Utah";#N/A,#N/A,FALSE,"Idaho";#N/A,#N/A,FALSE,"Lewis River";#N/A,#N/A,FALSE,"NrthUmpq";#N/A,#N/A,FALSE,"KlamRog"}</definedName>
    <definedName name="_OM1_3" localSheetId="0" hidden="1">{#N/A,#N/A,FALSE,"Summary";#N/A,#N/A,FALSE,"SmPlants";#N/A,#N/A,FALSE,"Utah";#N/A,#N/A,FALSE,"Idaho";#N/A,#N/A,FALSE,"Lewis River";#N/A,#N/A,FALSE,"NrthUmpq";#N/A,#N/A,FALSE,"KlamRog"}</definedName>
    <definedName name="_OM1_3" hidden="1">{#N/A,#N/A,FALSE,"Summary";#N/A,#N/A,FALSE,"SmPlants";#N/A,#N/A,FALSE,"Utah";#N/A,#N/A,FALSE,"Idaho";#N/A,#N/A,FALSE,"Lewis River";#N/A,#N/A,FALSE,"NrthUmpq";#N/A,#N/A,FALSE,"KlamRog"}</definedName>
    <definedName name="_OM1_4" localSheetId="1" hidden="1">{#N/A,#N/A,FALSE,"Summary";#N/A,#N/A,FALSE,"SmPlants";#N/A,#N/A,FALSE,"Utah";#N/A,#N/A,FALSE,"Idaho";#N/A,#N/A,FALSE,"Lewis River";#N/A,#N/A,FALSE,"NrthUmpq";#N/A,#N/A,FALSE,"KlamRog"}</definedName>
    <definedName name="_OM1_4" localSheetId="3" hidden="1">{#N/A,#N/A,FALSE,"Summary";#N/A,#N/A,FALSE,"SmPlants";#N/A,#N/A,FALSE,"Utah";#N/A,#N/A,FALSE,"Idaho";#N/A,#N/A,FALSE,"Lewis River";#N/A,#N/A,FALSE,"NrthUmpq";#N/A,#N/A,FALSE,"KlamRog"}</definedName>
    <definedName name="_OM1_4" localSheetId="4" hidden="1">{#N/A,#N/A,FALSE,"Summary";#N/A,#N/A,FALSE,"SmPlants";#N/A,#N/A,FALSE,"Utah";#N/A,#N/A,FALSE,"Idaho";#N/A,#N/A,FALSE,"Lewis River";#N/A,#N/A,FALSE,"NrthUmpq";#N/A,#N/A,FALSE,"KlamRog"}</definedName>
    <definedName name="_OM1_4" localSheetId="5" hidden="1">{#N/A,#N/A,FALSE,"Summary";#N/A,#N/A,FALSE,"SmPlants";#N/A,#N/A,FALSE,"Utah";#N/A,#N/A,FALSE,"Idaho";#N/A,#N/A,FALSE,"Lewis River";#N/A,#N/A,FALSE,"NrthUmpq";#N/A,#N/A,FALSE,"KlamRog"}</definedName>
    <definedName name="_OM1_4" localSheetId="6" hidden="1">{#N/A,#N/A,FALSE,"Summary";#N/A,#N/A,FALSE,"SmPlants";#N/A,#N/A,FALSE,"Utah";#N/A,#N/A,FALSE,"Idaho";#N/A,#N/A,FALSE,"Lewis River";#N/A,#N/A,FALSE,"NrthUmpq";#N/A,#N/A,FALSE,"KlamRog"}</definedName>
    <definedName name="_OM1_4" localSheetId="7" hidden="1">{#N/A,#N/A,FALSE,"Summary";#N/A,#N/A,FALSE,"SmPlants";#N/A,#N/A,FALSE,"Utah";#N/A,#N/A,FALSE,"Idaho";#N/A,#N/A,FALSE,"Lewis River";#N/A,#N/A,FALSE,"NrthUmpq";#N/A,#N/A,FALSE,"KlamRog"}</definedName>
    <definedName name="_OM1_4" localSheetId="8" hidden="1">{#N/A,#N/A,FALSE,"Summary";#N/A,#N/A,FALSE,"SmPlants";#N/A,#N/A,FALSE,"Utah";#N/A,#N/A,FALSE,"Idaho";#N/A,#N/A,FALSE,"Lewis River";#N/A,#N/A,FALSE,"NrthUmpq";#N/A,#N/A,FALSE,"KlamRog"}</definedName>
    <definedName name="_OM1_4" localSheetId="9" hidden="1">{#N/A,#N/A,FALSE,"Summary";#N/A,#N/A,FALSE,"SmPlants";#N/A,#N/A,FALSE,"Utah";#N/A,#N/A,FALSE,"Idaho";#N/A,#N/A,FALSE,"Lewis River";#N/A,#N/A,FALSE,"NrthUmpq";#N/A,#N/A,FALSE,"KlamRog"}</definedName>
    <definedName name="_OM1_4" localSheetId="10" hidden="1">{#N/A,#N/A,FALSE,"Summary";#N/A,#N/A,FALSE,"SmPlants";#N/A,#N/A,FALSE,"Utah";#N/A,#N/A,FALSE,"Idaho";#N/A,#N/A,FALSE,"Lewis River";#N/A,#N/A,FALSE,"NrthUmpq";#N/A,#N/A,FALSE,"KlamRog"}</definedName>
    <definedName name="_OM1_4" localSheetId="15" hidden="1">{#N/A,#N/A,FALSE,"Summary";#N/A,#N/A,FALSE,"SmPlants";#N/A,#N/A,FALSE,"Utah";#N/A,#N/A,FALSE,"Idaho";#N/A,#N/A,FALSE,"Lewis River";#N/A,#N/A,FALSE,"NrthUmpq";#N/A,#N/A,FALSE,"KlamRog"}</definedName>
    <definedName name="_OM1_4" localSheetId="0" hidden="1">{#N/A,#N/A,FALSE,"Summary";#N/A,#N/A,FALSE,"SmPlants";#N/A,#N/A,FALSE,"Utah";#N/A,#N/A,FALSE,"Idaho";#N/A,#N/A,FALSE,"Lewis River";#N/A,#N/A,FALSE,"NrthUmpq";#N/A,#N/A,FALSE,"KlamRog"}</definedName>
    <definedName name="_OM1_4" hidden="1">{#N/A,#N/A,FALSE,"Summary";#N/A,#N/A,FALSE,"SmPlants";#N/A,#N/A,FALSE,"Utah";#N/A,#N/A,FALSE,"Idaho";#N/A,#N/A,FALSE,"Lewis River";#N/A,#N/A,FALSE,"NrthUmpq";#N/A,#N/A,FALSE,"KlamRog"}</definedName>
    <definedName name="_OM1_5" localSheetId="1" hidden="1">{#N/A,#N/A,FALSE,"Summary";#N/A,#N/A,FALSE,"SmPlants";#N/A,#N/A,FALSE,"Utah";#N/A,#N/A,FALSE,"Idaho";#N/A,#N/A,FALSE,"Lewis River";#N/A,#N/A,FALSE,"NrthUmpq";#N/A,#N/A,FALSE,"KlamRog"}</definedName>
    <definedName name="_OM1_5" localSheetId="3" hidden="1">{#N/A,#N/A,FALSE,"Summary";#N/A,#N/A,FALSE,"SmPlants";#N/A,#N/A,FALSE,"Utah";#N/A,#N/A,FALSE,"Idaho";#N/A,#N/A,FALSE,"Lewis River";#N/A,#N/A,FALSE,"NrthUmpq";#N/A,#N/A,FALSE,"KlamRog"}</definedName>
    <definedName name="_OM1_5" localSheetId="4" hidden="1">{#N/A,#N/A,FALSE,"Summary";#N/A,#N/A,FALSE,"SmPlants";#N/A,#N/A,FALSE,"Utah";#N/A,#N/A,FALSE,"Idaho";#N/A,#N/A,FALSE,"Lewis River";#N/A,#N/A,FALSE,"NrthUmpq";#N/A,#N/A,FALSE,"KlamRog"}</definedName>
    <definedName name="_OM1_5" localSheetId="5" hidden="1">{#N/A,#N/A,FALSE,"Summary";#N/A,#N/A,FALSE,"SmPlants";#N/A,#N/A,FALSE,"Utah";#N/A,#N/A,FALSE,"Idaho";#N/A,#N/A,FALSE,"Lewis River";#N/A,#N/A,FALSE,"NrthUmpq";#N/A,#N/A,FALSE,"KlamRog"}</definedName>
    <definedName name="_OM1_5" localSheetId="6" hidden="1">{#N/A,#N/A,FALSE,"Summary";#N/A,#N/A,FALSE,"SmPlants";#N/A,#N/A,FALSE,"Utah";#N/A,#N/A,FALSE,"Idaho";#N/A,#N/A,FALSE,"Lewis River";#N/A,#N/A,FALSE,"NrthUmpq";#N/A,#N/A,FALSE,"KlamRog"}</definedName>
    <definedName name="_OM1_5" localSheetId="7" hidden="1">{#N/A,#N/A,FALSE,"Summary";#N/A,#N/A,FALSE,"SmPlants";#N/A,#N/A,FALSE,"Utah";#N/A,#N/A,FALSE,"Idaho";#N/A,#N/A,FALSE,"Lewis River";#N/A,#N/A,FALSE,"NrthUmpq";#N/A,#N/A,FALSE,"KlamRog"}</definedName>
    <definedName name="_OM1_5" localSheetId="8" hidden="1">{#N/A,#N/A,FALSE,"Summary";#N/A,#N/A,FALSE,"SmPlants";#N/A,#N/A,FALSE,"Utah";#N/A,#N/A,FALSE,"Idaho";#N/A,#N/A,FALSE,"Lewis River";#N/A,#N/A,FALSE,"NrthUmpq";#N/A,#N/A,FALSE,"KlamRog"}</definedName>
    <definedName name="_OM1_5" localSheetId="9" hidden="1">{#N/A,#N/A,FALSE,"Summary";#N/A,#N/A,FALSE,"SmPlants";#N/A,#N/A,FALSE,"Utah";#N/A,#N/A,FALSE,"Idaho";#N/A,#N/A,FALSE,"Lewis River";#N/A,#N/A,FALSE,"NrthUmpq";#N/A,#N/A,FALSE,"KlamRog"}</definedName>
    <definedName name="_OM1_5" localSheetId="10" hidden="1">{#N/A,#N/A,FALSE,"Summary";#N/A,#N/A,FALSE,"SmPlants";#N/A,#N/A,FALSE,"Utah";#N/A,#N/A,FALSE,"Idaho";#N/A,#N/A,FALSE,"Lewis River";#N/A,#N/A,FALSE,"NrthUmpq";#N/A,#N/A,FALSE,"KlamRog"}</definedName>
    <definedName name="_OM1_5" localSheetId="15" hidden="1">{#N/A,#N/A,FALSE,"Summary";#N/A,#N/A,FALSE,"SmPlants";#N/A,#N/A,FALSE,"Utah";#N/A,#N/A,FALSE,"Idaho";#N/A,#N/A,FALSE,"Lewis River";#N/A,#N/A,FALSE,"NrthUmpq";#N/A,#N/A,FALSE,"KlamRog"}</definedName>
    <definedName name="_OM1_5" localSheetId="0" hidden="1">{#N/A,#N/A,FALSE,"Summary";#N/A,#N/A,FALSE,"SmPlants";#N/A,#N/A,FALSE,"Utah";#N/A,#N/A,FALSE,"Idaho";#N/A,#N/A,FALSE,"Lewis River";#N/A,#N/A,FALSE,"NrthUmpq";#N/A,#N/A,FALSE,"KlamRog"}</definedName>
    <definedName name="_OM1_5" hidden="1">{#N/A,#N/A,FALSE,"Summary";#N/A,#N/A,FALSE,"SmPlants";#N/A,#N/A,FALSE,"Utah";#N/A,#N/A,FALSE,"Idaho";#N/A,#N/A,FALSE,"Lewis River";#N/A,#N/A,FALSE,"NrthUmpq";#N/A,#N/A,FALSE,"KlamRog"}</definedName>
    <definedName name="_Order1" hidden="1">255</definedName>
    <definedName name="_Order2" hidden="1">255</definedName>
    <definedName name="Access_Button1" hidden="1">"Headcount_Workbook_Schedules_List"</definedName>
    <definedName name="AccessDatabase" hidden="1">"P:\HR\SharonPlummer\Headcount Workbook.mdb"</definedName>
    <definedName name="Camas" localSheetId="1" hidden="1">{#N/A,#N/A,FALSE,"Summary";#N/A,#N/A,FALSE,"SmPlants";#N/A,#N/A,FALSE,"Utah";#N/A,#N/A,FALSE,"Idaho";#N/A,#N/A,FALSE,"Lewis River";#N/A,#N/A,FALSE,"NrthUmpq";#N/A,#N/A,FALSE,"KlamRog"}</definedName>
    <definedName name="Camas" localSheetId="3" hidden="1">{#N/A,#N/A,FALSE,"Summary";#N/A,#N/A,FALSE,"SmPlants";#N/A,#N/A,FALSE,"Utah";#N/A,#N/A,FALSE,"Idaho";#N/A,#N/A,FALSE,"Lewis River";#N/A,#N/A,FALSE,"NrthUmpq";#N/A,#N/A,FALSE,"KlamRog"}</definedName>
    <definedName name="Camas" localSheetId="4" hidden="1">{#N/A,#N/A,FALSE,"Summary";#N/A,#N/A,FALSE,"SmPlants";#N/A,#N/A,FALSE,"Utah";#N/A,#N/A,FALSE,"Idaho";#N/A,#N/A,FALSE,"Lewis River";#N/A,#N/A,FALSE,"NrthUmpq";#N/A,#N/A,FALSE,"KlamRog"}</definedName>
    <definedName name="Camas" localSheetId="5" hidden="1">{#N/A,#N/A,FALSE,"Summary";#N/A,#N/A,FALSE,"SmPlants";#N/A,#N/A,FALSE,"Utah";#N/A,#N/A,FALSE,"Idaho";#N/A,#N/A,FALSE,"Lewis River";#N/A,#N/A,FALSE,"NrthUmpq";#N/A,#N/A,FALSE,"KlamRog"}</definedName>
    <definedName name="Camas" localSheetId="6" hidden="1">{#N/A,#N/A,FALSE,"Summary";#N/A,#N/A,FALSE,"SmPlants";#N/A,#N/A,FALSE,"Utah";#N/A,#N/A,FALSE,"Idaho";#N/A,#N/A,FALSE,"Lewis River";#N/A,#N/A,FALSE,"NrthUmpq";#N/A,#N/A,FALSE,"KlamRog"}</definedName>
    <definedName name="Camas" localSheetId="7" hidden="1">{#N/A,#N/A,FALSE,"Summary";#N/A,#N/A,FALSE,"SmPlants";#N/A,#N/A,FALSE,"Utah";#N/A,#N/A,FALSE,"Idaho";#N/A,#N/A,FALSE,"Lewis River";#N/A,#N/A,FALSE,"NrthUmpq";#N/A,#N/A,FALSE,"KlamRog"}</definedName>
    <definedName name="Camas" localSheetId="8" hidden="1">{#N/A,#N/A,FALSE,"Summary";#N/A,#N/A,FALSE,"SmPlants";#N/A,#N/A,FALSE,"Utah";#N/A,#N/A,FALSE,"Idaho";#N/A,#N/A,FALSE,"Lewis River";#N/A,#N/A,FALSE,"NrthUmpq";#N/A,#N/A,FALSE,"KlamRog"}</definedName>
    <definedName name="Camas" localSheetId="9" hidden="1">{#N/A,#N/A,FALSE,"Summary";#N/A,#N/A,FALSE,"SmPlants";#N/A,#N/A,FALSE,"Utah";#N/A,#N/A,FALSE,"Idaho";#N/A,#N/A,FALSE,"Lewis River";#N/A,#N/A,FALSE,"NrthUmpq";#N/A,#N/A,FALSE,"KlamRog"}</definedName>
    <definedName name="Camas" localSheetId="10" hidden="1">{#N/A,#N/A,FALSE,"Summary";#N/A,#N/A,FALSE,"SmPlants";#N/A,#N/A,FALSE,"Utah";#N/A,#N/A,FALSE,"Idaho";#N/A,#N/A,FALSE,"Lewis River";#N/A,#N/A,FALSE,"NrthUmpq";#N/A,#N/A,FALSE,"KlamRog"}</definedName>
    <definedName name="Camas" localSheetId="15" hidden="1">{#N/A,#N/A,FALSE,"Summary";#N/A,#N/A,FALSE,"SmPlants";#N/A,#N/A,FALSE,"Utah";#N/A,#N/A,FALSE,"Idaho";#N/A,#N/A,FALSE,"Lewis River";#N/A,#N/A,FALSE,"NrthUmpq";#N/A,#N/A,FALSE,"KlamRog"}</definedName>
    <definedName name="Camas" localSheetId="0" hidden="1">{#N/A,#N/A,FALSE,"Summary";#N/A,#N/A,FALSE,"SmPlants";#N/A,#N/A,FALSE,"Utah";#N/A,#N/A,FALSE,"Idaho";#N/A,#N/A,FALSE,"Lewis River";#N/A,#N/A,FALSE,"NrthUmpq";#N/A,#N/A,FALSE,"KlamRog"}</definedName>
    <definedName name="Camas" hidden="1">{#N/A,#N/A,FALSE,"Summary";#N/A,#N/A,FALSE,"SmPlants";#N/A,#N/A,FALSE,"Utah";#N/A,#N/A,FALSE,"Idaho";#N/A,#N/A,FALSE,"Lewis River";#N/A,#N/A,FALSE,"NrthUmpq";#N/A,#N/A,FALSE,"KlamRog"}</definedName>
    <definedName name="Camas_1" localSheetId="1" hidden="1">{#N/A,#N/A,FALSE,"Summary";#N/A,#N/A,FALSE,"SmPlants";#N/A,#N/A,FALSE,"Utah";#N/A,#N/A,FALSE,"Idaho";#N/A,#N/A,FALSE,"Lewis River";#N/A,#N/A,FALSE,"NrthUmpq";#N/A,#N/A,FALSE,"KlamRog"}</definedName>
    <definedName name="Camas_1" localSheetId="3" hidden="1">{#N/A,#N/A,FALSE,"Summary";#N/A,#N/A,FALSE,"SmPlants";#N/A,#N/A,FALSE,"Utah";#N/A,#N/A,FALSE,"Idaho";#N/A,#N/A,FALSE,"Lewis River";#N/A,#N/A,FALSE,"NrthUmpq";#N/A,#N/A,FALSE,"KlamRog"}</definedName>
    <definedName name="Camas_1" localSheetId="4" hidden="1">{#N/A,#N/A,FALSE,"Summary";#N/A,#N/A,FALSE,"SmPlants";#N/A,#N/A,FALSE,"Utah";#N/A,#N/A,FALSE,"Idaho";#N/A,#N/A,FALSE,"Lewis River";#N/A,#N/A,FALSE,"NrthUmpq";#N/A,#N/A,FALSE,"KlamRog"}</definedName>
    <definedName name="Camas_1" localSheetId="5" hidden="1">{#N/A,#N/A,FALSE,"Summary";#N/A,#N/A,FALSE,"SmPlants";#N/A,#N/A,FALSE,"Utah";#N/A,#N/A,FALSE,"Idaho";#N/A,#N/A,FALSE,"Lewis River";#N/A,#N/A,FALSE,"NrthUmpq";#N/A,#N/A,FALSE,"KlamRog"}</definedName>
    <definedName name="Camas_1" localSheetId="6" hidden="1">{#N/A,#N/A,FALSE,"Summary";#N/A,#N/A,FALSE,"SmPlants";#N/A,#N/A,FALSE,"Utah";#N/A,#N/A,FALSE,"Idaho";#N/A,#N/A,FALSE,"Lewis River";#N/A,#N/A,FALSE,"NrthUmpq";#N/A,#N/A,FALSE,"KlamRog"}</definedName>
    <definedName name="Camas_1" localSheetId="7" hidden="1">{#N/A,#N/A,FALSE,"Summary";#N/A,#N/A,FALSE,"SmPlants";#N/A,#N/A,FALSE,"Utah";#N/A,#N/A,FALSE,"Idaho";#N/A,#N/A,FALSE,"Lewis River";#N/A,#N/A,FALSE,"NrthUmpq";#N/A,#N/A,FALSE,"KlamRog"}</definedName>
    <definedName name="Camas_1" localSheetId="8" hidden="1">{#N/A,#N/A,FALSE,"Summary";#N/A,#N/A,FALSE,"SmPlants";#N/A,#N/A,FALSE,"Utah";#N/A,#N/A,FALSE,"Idaho";#N/A,#N/A,FALSE,"Lewis River";#N/A,#N/A,FALSE,"NrthUmpq";#N/A,#N/A,FALSE,"KlamRog"}</definedName>
    <definedName name="Camas_1" localSheetId="9" hidden="1">{#N/A,#N/A,FALSE,"Summary";#N/A,#N/A,FALSE,"SmPlants";#N/A,#N/A,FALSE,"Utah";#N/A,#N/A,FALSE,"Idaho";#N/A,#N/A,FALSE,"Lewis River";#N/A,#N/A,FALSE,"NrthUmpq";#N/A,#N/A,FALSE,"KlamRog"}</definedName>
    <definedName name="Camas_1" localSheetId="10" hidden="1">{#N/A,#N/A,FALSE,"Summary";#N/A,#N/A,FALSE,"SmPlants";#N/A,#N/A,FALSE,"Utah";#N/A,#N/A,FALSE,"Idaho";#N/A,#N/A,FALSE,"Lewis River";#N/A,#N/A,FALSE,"NrthUmpq";#N/A,#N/A,FALSE,"KlamRog"}</definedName>
    <definedName name="Camas_1" localSheetId="15" hidden="1">{#N/A,#N/A,FALSE,"Summary";#N/A,#N/A,FALSE,"SmPlants";#N/A,#N/A,FALSE,"Utah";#N/A,#N/A,FALSE,"Idaho";#N/A,#N/A,FALSE,"Lewis River";#N/A,#N/A,FALSE,"NrthUmpq";#N/A,#N/A,FALSE,"KlamRog"}</definedName>
    <definedName name="Camas_1" localSheetId="0" hidden="1">{#N/A,#N/A,FALSE,"Summary";#N/A,#N/A,FALSE,"SmPlants";#N/A,#N/A,FALSE,"Utah";#N/A,#N/A,FALSE,"Idaho";#N/A,#N/A,FALSE,"Lewis River";#N/A,#N/A,FALSE,"NrthUmpq";#N/A,#N/A,FALSE,"KlamRog"}</definedName>
    <definedName name="Camas_1" hidden="1">{#N/A,#N/A,FALSE,"Summary";#N/A,#N/A,FALSE,"SmPlants";#N/A,#N/A,FALSE,"Utah";#N/A,#N/A,FALSE,"Idaho";#N/A,#N/A,FALSE,"Lewis River";#N/A,#N/A,FALSE,"NrthUmpq";#N/A,#N/A,FALSE,"KlamRog"}</definedName>
    <definedName name="Camas_2" localSheetId="1" hidden="1">{#N/A,#N/A,FALSE,"Summary";#N/A,#N/A,FALSE,"SmPlants";#N/A,#N/A,FALSE,"Utah";#N/A,#N/A,FALSE,"Idaho";#N/A,#N/A,FALSE,"Lewis River";#N/A,#N/A,FALSE,"NrthUmpq";#N/A,#N/A,FALSE,"KlamRog"}</definedName>
    <definedName name="Camas_2" localSheetId="3" hidden="1">{#N/A,#N/A,FALSE,"Summary";#N/A,#N/A,FALSE,"SmPlants";#N/A,#N/A,FALSE,"Utah";#N/A,#N/A,FALSE,"Idaho";#N/A,#N/A,FALSE,"Lewis River";#N/A,#N/A,FALSE,"NrthUmpq";#N/A,#N/A,FALSE,"KlamRog"}</definedName>
    <definedName name="Camas_2" localSheetId="4" hidden="1">{#N/A,#N/A,FALSE,"Summary";#N/A,#N/A,FALSE,"SmPlants";#N/A,#N/A,FALSE,"Utah";#N/A,#N/A,FALSE,"Idaho";#N/A,#N/A,FALSE,"Lewis River";#N/A,#N/A,FALSE,"NrthUmpq";#N/A,#N/A,FALSE,"KlamRog"}</definedName>
    <definedName name="Camas_2" localSheetId="5" hidden="1">{#N/A,#N/A,FALSE,"Summary";#N/A,#N/A,FALSE,"SmPlants";#N/A,#N/A,FALSE,"Utah";#N/A,#N/A,FALSE,"Idaho";#N/A,#N/A,FALSE,"Lewis River";#N/A,#N/A,FALSE,"NrthUmpq";#N/A,#N/A,FALSE,"KlamRog"}</definedName>
    <definedName name="Camas_2" localSheetId="6" hidden="1">{#N/A,#N/A,FALSE,"Summary";#N/A,#N/A,FALSE,"SmPlants";#N/A,#N/A,FALSE,"Utah";#N/A,#N/A,FALSE,"Idaho";#N/A,#N/A,FALSE,"Lewis River";#N/A,#N/A,FALSE,"NrthUmpq";#N/A,#N/A,FALSE,"KlamRog"}</definedName>
    <definedName name="Camas_2" localSheetId="7" hidden="1">{#N/A,#N/A,FALSE,"Summary";#N/A,#N/A,FALSE,"SmPlants";#N/A,#N/A,FALSE,"Utah";#N/A,#N/A,FALSE,"Idaho";#N/A,#N/A,FALSE,"Lewis River";#N/A,#N/A,FALSE,"NrthUmpq";#N/A,#N/A,FALSE,"KlamRog"}</definedName>
    <definedName name="Camas_2" localSheetId="8" hidden="1">{#N/A,#N/A,FALSE,"Summary";#N/A,#N/A,FALSE,"SmPlants";#N/A,#N/A,FALSE,"Utah";#N/A,#N/A,FALSE,"Idaho";#N/A,#N/A,FALSE,"Lewis River";#N/A,#N/A,FALSE,"NrthUmpq";#N/A,#N/A,FALSE,"KlamRog"}</definedName>
    <definedName name="Camas_2" localSheetId="9" hidden="1">{#N/A,#N/A,FALSE,"Summary";#N/A,#N/A,FALSE,"SmPlants";#N/A,#N/A,FALSE,"Utah";#N/A,#N/A,FALSE,"Idaho";#N/A,#N/A,FALSE,"Lewis River";#N/A,#N/A,FALSE,"NrthUmpq";#N/A,#N/A,FALSE,"KlamRog"}</definedName>
    <definedName name="Camas_2" localSheetId="10" hidden="1">{#N/A,#N/A,FALSE,"Summary";#N/A,#N/A,FALSE,"SmPlants";#N/A,#N/A,FALSE,"Utah";#N/A,#N/A,FALSE,"Idaho";#N/A,#N/A,FALSE,"Lewis River";#N/A,#N/A,FALSE,"NrthUmpq";#N/A,#N/A,FALSE,"KlamRog"}</definedName>
    <definedName name="Camas_2" localSheetId="15" hidden="1">{#N/A,#N/A,FALSE,"Summary";#N/A,#N/A,FALSE,"SmPlants";#N/A,#N/A,FALSE,"Utah";#N/A,#N/A,FALSE,"Idaho";#N/A,#N/A,FALSE,"Lewis River";#N/A,#N/A,FALSE,"NrthUmpq";#N/A,#N/A,FALSE,"KlamRog"}</definedName>
    <definedName name="Camas_2" localSheetId="0" hidden="1">{#N/A,#N/A,FALSE,"Summary";#N/A,#N/A,FALSE,"SmPlants";#N/A,#N/A,FALSE,"Utah";#N/A,#N/A,FALSE,"Idaho";#N/A,#N/A,FALSE,"Lewis River";#N/A,#N/A,FALSE,"NrthUmpq";#N/A,#N/A,FALSE,"KlamRog"}</definedName>
    <definedName name="Camas_2" hidden="1">{#N/A,#N/A,FALSE,"Summary";#N/A,#N/A,FALSE,"SmPlants";#N/A,#N/A,FALSE,"Utah";#N/A,#N/A,FALSE,"Idaho";#N/A,#N/A,FALSE,"Lewis River";#N/A,#N/A,FALSE,"NrthUmpq";#N/A,#N/A,FALSE,"KlamRog"}</definedName>
    <definedName name="Camas_3" localSheetId="1" hidden="1">{#N/A,#N/A,FALSE,"Summary";#N/A,#N/A,FALSE,"SmPlants";#N/A,#N/A,FALSE,"Utah";#N/A,#N/A,FALSE,"Idaho";#N/A,#N/A,FALSE,"Lewis River";#N/A,#N/A,FALSE,"NrthUmpq";#N/A,#N/A,FALSE,"KlamRog"}</definedName>
    <definedName name="Camas_3" localSheetId="3" hidden="1">{#N/A,#N/A,FALSE,"Summary";#N/A,#N/A,FALSE,"SmPlants";#N/A,#N/A,FALSE,"Utah";#N/A,#N/A,FALSE,"Idaho";#N/A,#N/A,FALSE,"Lewis River";#N/A,#N/A,FALSE,"NrthUmpq";#N/A,#N/A,FALSE,"KlamRog"}</definedName>
    <definedName name="Camas_3" localSheetId="4" hidden="1">{#N/A,#N/A,FALSE,"Summary";#N/A,#N/A,FALSE,"SmPlants";#N/A,#N/A,FALSE,"Utah";#N/A,#N/A,FALSE,"Idaho";#N/A,#N/A,FALSE,"Lewis River";#N/A,#N/A,FALSE,"NrthUmpq";#N/A,#N/A,FALSE,"KlamRog"}</definedName>
    <definedName name="Camas_3" localSheetId="5" hidden="1">{#N/A,#N/A,FALSE,"Summary";#N/A,#N/A,FALSE,"SmPlants";#N/A,#N/A,FALSE,"Utah";#N/A,#N/A,FALSE,"Idaho";#N/A,#N/A,FALSE,"Lewis River";#N/A,#N/A,FALSE,"NrthUmpq";#N/A,#N/A,FALSE,"KlamRog"}</definedName>
    <definedName name="Camas_3" localSheetId="6" hidden="1">{#N/A,#N/A,FALSE,"Summary";#N/A,#N/A,FALSE,"SmPlants";#N/A,#N/A,FALSE,"Utah";#N/A,#N/A,FALSE,"Idaho";#N/A,#N/A,FALSE,"Lewis River";#N/A,#N/A,FALSE,"NrthUmpq";#N/A,#N/A,FALSE,"KlamRog"}</definedName>
    <definedName name="Camas_3" localSheetId="7" hidden="1">{#N/A,#N/A,FALSE,"Summary";#N/A,#N/A,FALSE,"SmPlants";#N/A,#N/A,FALSE,"Utah";#N/A,#N/A,FALSE,"Idaho";#N/A,#N/A,FALSE,"Lewis River";#N/A,#N/A,FALSE,"NrthUmpq";#N/A,#N/A,FALSE,"KlamRog"}</definedName>
    <definedName name="Camas_3" localSheetId="8" hidden="1">{#N/A,#N/A,FALSE,"Summary";#N/A,#N/A,FALSE,"SmPlants";#N/A,#N/A,FALSE,"Utah";#N/A,#N/A,FALSE,"Idaho";#N/A,#N/A,FALSE,"Lewis River";#N/A,#N/A,FALSE,"NrthUmpq";#N/A,#N/A,FALSE,"KlamRog"}</definedName>
    <definedName name="Camas_3" localSheetId="9" hidden="1">{#N/A,#N/A,FALSE,"Summary";#N/A,#N/A,FALSE,"SmPlants";#N/A,#N/A,FALSE,"Utah";#N/A,#N/A,FALSE,"Idaho";#N/A,#N/A,FALSE,"Lewis River";#N/A,#N/A,FALSE,"NrthUmpq";#N/A,#N/A,FALSE,"KlamRog"}</definedName>
    <definedName name="Camas_3" localSheetId="10" hidden="1">{#N/A,#N/A,FALSE,"Summary";#N/A,#N/A,FALSE,"SmPlants";#N/A,#N/A,FALSE,"Utah";#N/A,#N/A,FALSE,"Idaho";#N/A,#N/A,FALSE,"Lewis River";#N/A,#N/A,FALSE,"NrthUmpq";#N/A,#N/A,FALSE,"KlamRog"}</definedName>
    <definedName name="Camas_3" localSheetId="15" hidden="1">{#N/A,#N/A,FALSE,"Summary";#N/A,#N/A,FALSE,"SmPlants";#N/A,#N/A,FALSE,"Utah";#N/A,#N/A,FALSE,"Idaho";#N/A,#N/A,FALSE,"Lewis River";#N/A,#N/A,FALSE,"NrthUmpq";#N/A,#N/A,FALSE,"KlamRog"}</definedName>
    <definedName name="Camas_3" localSheetId="0" hidden="1">{#N/A,#N/A,FALSE,"Summary";#N/A,#N/A,FALSE,"SmPlants";#N/A,#N/A,FALSE,"Utah";#N/A,#N/A,FALSE,"Idaho";#N/A,#N/A,FALSE,"Lewis River";#N/A,#N/A,FALSE,"NrthUmpq";#N/A,#N/A,FALSE,"KlamRog"}</definedName>
    <definedName name="Camas_3" hidden="1">{#N/A,#N/A,FALSE,"Summary";#N/A,#N/A,FALSE,"SmPlants";#N/A,#N/A,FALSE,"Utah";#N/A,#N/A,FALSE,"Idaho";#N/A,#N/A,FALSE,"Lewis River";#N/A,#N/A,FALSE,"NrthUmpq";#N/A,#N/A,FALSE,"KlamRog"}</definedName>
    <definedName name="Camas_4" localSheetId="1" hidden="1">{#N/A,#N/A,FALSE,"Summary";#N/A,#N/A,FALSE,"SmPlants";#N/A,#N/A,FALSE,"Utah";#N/A,#N/A,FALSE,"Idaho";#N/A,#N/A,FALSE,"Lewis River";#N/A,#N/A,FALSE,"NrthUmpq";#N/A,#N/A,FALSE,"KlamRog"}</definedName>
    <definedName name="Camas_4" localSheetId="3" hidden="1">{#N/A,#N/A,FALSE,"Summary";#N/A,#N/A,FALSE,"SmPlants";#N/A,#N/A,FALSE,"Utah";#N/A,#N/A,FALSE,"Idaho";#N/A,#N/A,FALSE,"Lewis River";#N/A,#N/A,FALSE,"NrthUmpq";#N/A,#N/A,FALSE,"KlamRog"}</definedName>
    <definedName name="Camas_4" localSheetId="4" hidden="1">{#N/A,#N/A,FALSE,"Summary";#N/A,#N/A,FALSE,"SmPlants";#N/A,#N/A,FALSE,"Utah";#N/A,#N/A,FALSE,"Idaho";#N/A,#N/A,FALSE,"Lewis River";#N/A,#N/A,FALSE,"NrthUmpq";#N/A,#N/A,FALSE,"KlamRog"}</definedName>
    <definedName name="Camas_4" localSheetId="5" hidden="1">{#N/A,#N/A,FALSE,"Summary";#N/A,#N/A,FALSE,"SmPlants";#N/A,#N/A,FALSE,"Utah";#N/A,#N/A,FALSE,"Idaho";#N/A,#N/A,FALSE,"Lewis River";#N/A,#N/A,FALSE,"NrthUmpq";#N/A,#N/A,FALSE,"KlamRog"}</definedName>
    <definedName name="Camas_4" localSheetId="6" hidden="1">{#N/A,#N/A,FALSE,"Summary";#N/A,#N/A,FALSE,"SmPlants";#N/A,#N/A,FALSE,"Utah";#N/A,#N/A,FALSE,"Idaho";#N/A,#N/A,FALSE,"Lewis River";#N/A,#N/A,FALSE,"NrthUmpq";#N/A,#N/A,FALSE,"KlamRog"}</definedName>
    <definedName name="Camas_4" localSheetId="7" hidden="1">{#N/A,#N/A,FALSE,"Summary";#N/A,#N/A,FALSE,"SmPlants";#N/A,#N/A,FALSE,"Utah";#N/A,#N/A,FALSE,"Idaho";#N/A,#N/A,FALSE,"Lewis River";#N/A,#N/A,FALSE,"NrthUmpq";#N/A,#N/A,FALSE,"KlamRog"}</definedName>
    <definedName name="Camas_4" localSheetId="8" hidden="1">{#N/A,#N/A,FALSE,"Summary";#N/A,#N/A,FALSE,"SmPlants";#N/A,#N/A,FALSE,"Utah";#N/A,#N/A,FALSE,"Idaho";#N/A,#N/A,FALSE,"Lewis River";#N/A,#N/A,FALSE,"NrthUmpq";#N/A,#N/A,FALSE,"KlamRog"}</definedName>
    <definedName name="Camas_4" localSheetId="9" hidden="1">{#N/A,#N/A,FALSE,"Summary";#N/A,#N/A,FALSE,"SmPlants";#N/A,#N/A,FALSE,"Utah";#N/A,#N/A,FALSE,"Idaho";#N/A,#N/A,FALSE,"Lewis River";#N/A,#N/A,FALSE,"NrthUmpq";#N/A,#N/A,FALSE,"KlamRog"}</definedName>
    <definedName name="Camas_4" localSheetId="10" hidden="1">{#N/A,#N/A,FALSE,"Summary";#N/A,#N/A,FALSE,"SmPlants";#N/A,#N/A,FALSE,"Utah";#N/A,#N/A,FALSE,"Idaho";#N/A,#N/A,FALSE,"Lewis River";#N/A,#N/A,FALSE,"NrthUmpq";#N/A,#N/A,FALSE,"KlamRog"}</definedName>
    <definedName name="Camas_4" localSheetId="15" hidden="1">{#N/A,#N/A,FALSE,"Summary";#N/A,#N/A,FALSE,"SmPlants";#N/A,#N/A,FALSE,"Utah";#N/A,#N/A,FALSE,"Idaho";#N/A,#N/A,FALSE,"Lewis River";#N/A,#N/A,FALSE,"NrthUmpq";#N/A,#N/A,FALSE,"KlamRog"}</definedName>
    <definedName name="Camas_4" localSheetId="0" hidden="1">{#N/A,#N/A,FALSE,"Summary";#N/A,#N/A,FALSE,"SmPlants";#N/A,#N/A,FALSE,"Utah";#N/A,#N/A,FALSE,"Idaho";#N/A,#N/A,FALSE,"Lewis River";#N/A,#N/A,FALSE,"NrthUmpq";#N/A,#N/A,FALSE,"KlamRog"}</definedName>
    <definedName name="Camas_4" hidden="1">{#N/A,#N/A,FALSE,"Summary";#N/A,#N/A,FALSE,"SmPlants";#N/A,#N/A,FALSE,"Utah";#N/A,#N/A,FALSE,"Idaho";#N/A,#N/A,FALSE,"Lewis River";#N/A,#N/A,FALSE,"NrthUmpq";#N/A,#N/A,FALSE,"KlamRog"}</definedName>
    <definedName name="Camas_5" localSheetId="1" hidden="1">{#N/A,#N/A,FALSE,"Summary";#N/A,#N/A,FALSE,"SmPlants";#N/A,#N/A,FALSE,"Utah";#N/A,#N/A,FALSE,"Idaho";#N/A,#N/A,FALSE,"Lewis River";#N/A,#N/A,FALSE,"NrthUmpq";#N/A,#N/A,FALSE,"KlamRog"}</definedName>
    <definedName name="Camas_5" localSheetId="3" hidden="1">{#N/A,#N/A,FALSE,"Summary";#N/A,#N/A,FALSE,"SmPlants";#N/A,#N/A,FALSE,"Utah";#N/A,#N/A,FALSE,"Idaho";#N/A,#N/A,FALSE,"Lewis River";#N/A,#N/A,FALSE,"NrthUmpq";#N/A,#N/A,FALSE,"KlamRog"}</definedName>
    <definedName name="Camas_5" localSheetId="4" hidden="1">{#N/A,#N/A,FALSE,"Summary";#N/A,#N/A,FALSE,"SmPlants";#N/A,#N/A,FALSE,"Utah";#N/A,#N/A,FALSE,"Idaho";#N/A,#N/A,FALSE,"Lewis River";#N/A,#N/A,FALSE,"NrthUmpq";#N/A,#N/A,FALSE,"KlamRog"}</definedName>
    <definedName name="Camas_5" localSheetId="5" hidden="1">{#N/A,#N/A,FALSE,"Summary";#N/A,#N/A,FALSE,"SmPlants";#N/A,#N/A,FALSE,"Utah";#N/A,#N/A,FALSE,"Idaho";#N/A,#N/A,FALSE,"Lewis River";#N/A,#N/A,FALSE,"NrthUmpq";#N/A,#N/A,FALSE,"KlamRog"}</definedName>
    <definedName name="Camas_5" localSheetId="6" hidden="1">{#N/A,#N/A,FALSE,"Summary";#N/A,#N/A,FALSE,"SmPlants";#N/A,#N/A,FALSE,"Utah";#N/A,#N/A,FALSE,"Idaho";#N/A,#N/A,FALSE,"Lewis River";#N/A,#N/A,FALSE,"NrthUmpq";#N/A,#N/A,FALSE,"KlamRog"}</definedName>
    <definedName name="Camas_5" localSheetId="7" hidden="1">{#N/A,#N/A,FALSE,"Summary";#N/A,#N/A,FALSE,"SmPlants";#N/A,#N/A,FALSE,"Utah";#N/A,#N/A,FALSE,"Idaho";#N/A,#N/A,FALSE,"Lewis River";#N/A,#N/A,FALSE,"NrthUmpq";#N/A,#N/A,FALSE,"KlamRog"}</definedName>
    <definedName name="Camas_5" localSheetId="8" hidden="1">{#N/A,#N/A,FALSE,"Summary";#N/A,#N/A,FALSE,"SmPlants";#N/A,#N/A,FALSE,"Utah";#N/A,#N/A,FALSE,"Idaho";#N/A,#N/A,FALSE,"Lewis River";#N/A,#N/A,FALSE,"NrthUmpq";#N/A,#N/A,FALSE,"KlamRog"}</definedName>
    <definedName name="Camas_5" localSheetId="9" hidden="1">{#N/A,#N/A,FALSE,"Summary";#N/A,#N/A,FALSE,"SmPlants";#N/A,#N/A,FALSE,"Utah";#N/A,#N/A,FALSE,"Idaho";#N/A,#N/A,FALSE,"Lewis River";#N/A,#N/A,FALSE,"NrthUmpq";#N/A,#N/A,FALSE,"KlamRog"}</definedName>
    <definedName name="Camas_5" localSheetId="10" hidden="1">{#N/A,#N/A,FALSE,"Summary";#N/A,#N/A,FALSE,"SmPlants";#N/A,#N/A,FALSE,"Utah";#N/A,#N/A,FALSE,"Idaho";#N/A,#N/A,FALSE,"Lewis River";#N/A,#N/A,FALSE,"NrthUmpq";#N/A,#N/A,FALSE,"KlamRog"}</definedName>
    <definedName name="Camas_5" localSheetId="15" hidden="1">{#N/A,#N/A,FALSE,"Summary";#N/A,#N/A,FALSE,"SmPlants";#N/A,#N/A,FALSE,"Utah";#N/A,#N/A,FALSE,"Idaho";#N/A,#N/A,FALSE,"Lewis River";#N/A,#N/A,FALSE,"NrthUmpq";#N/A,#N/A,FALSE,"KlamRog"}</definedName>
    <definedName name="Camas_5" localSheetId="0" hidden="1">{#N/A,#N/A,FALSE,"Summary";#N/A,#N/A,FALSE,"SmPlants";#N/A,#N/A,FALSE,"Utah";#N/A,#N/A,FALSE,"Idaho";#N/A,#N/A,FALSE,"Lewis River";#N/A,#N/A,FALSE,"NrthUmpq";#N/A,#N/A,FALSE,"KlamRog"}</definedName>
    <definedName name="Camas_5" hidden="1">{#N/A,#N/A,FALSE,"Summary";#N/A,#N/A,FALSE,"SmPlants";#N/A,#N/A,FALSE,"Utah";#N/A,#N/A,FALSE,"Idaho";#N/A,#N/A,FALSE,"Lewis River";#N/A,#N/A,FALSE,"NrthUmpq";#N/A,#N/A,FALSE,"KlamRog"}</definedName>
    <definedName name="CF_assum">[1]Levelizer!$C$11</definedName>
    <definedName name="DATA1" localSheetId="6">'[2]OR RPS - Const cost'!#REF!</definedName>
    <definedName name="DATA1" localSheetId="7">'[2]OR RPS - Const cost'!#REF!</definedName>
    <definedName name="DATA1" localSheetId="8">'[2]OR RPS - Const cost'!#REF!</definedName>
    <definedName name="DATA1" localSheetId="9">'[2]OR RPS - Const cost'!#REF!</definedName>
    <definedName name="DATA1" localSheetId="10">'[2]OR RPS - Const cost'!#REF!</definedName>
    <definedName name="DATA1" localSheetId="11">'[2]OR RPS - Const cost'!#REF!</definedName>
    <definedName name="DATA1" localSheetId="12">'[2]OR RPS - Const cost'!#REF!</definedName>
    <definedName name="DATA1" localSheetId="13">'[2]OR RPS - Const cost'!#REF!</definedName>
    <definedName name="DATA1" localSheetId="14">'[2]OR RPS - Const cost'!#REF!</definedName>
    <definedName name="DATA1">'[2]OR RPS - Const cost'!#REF!</definedName>
    <definedName name="DATA10" localSheetId="6">'[3]Marengo II'!#REF!</definedName>
    <definedName name="DATA10" localSheetId="7">'[3]Marengo II'!#REF!</definedName>
    <definedName name="DATA10" localSheetId="8">'[3]Marengo II'!#REF!</definedName>
    <definedName name="DATA10" localSheetId="9">'[3]Marengo II'!#REF!</definedName>
    <definedName name="DATA10" localSheetId="10">'[3]Marengo II'!#REF!</definedName>
    <definedName name="DATA10" localSheetId="11">'[3]Marengo II'!#REF!</definedName>
    <definedName name="DATA10" localSheetId="12">'[3]Marengo II'!#REF!</definedName>
    <definedName name="DATA10" localSheetId="13">'[3]Marengo II'!#REF!</definedName>
    <definedName name="DATA10" localSheetId="14">'[3]Marengo II'!#REF!</definedName>
    <definedName name="DATA10">'[3]Marengo II'!#REF!</definedName>
    <definedName name="DATA11" localSheetId="6">'[3]Marengo II'!#REF!</definedName>
    <definedName name="DATA11" localSheetId="7">'[3]Marengo II'!#REF!</definedName>
    <definedName name="DATA11" localSheetId="8">'[3]Marengo II'!#REF!</definedName>
    <definedName name="DATA11" localSheetId="9">'[3]Marengo II'!#REF!</definedName>
    <definedName name="DATA11" localSheetId="10">'[3]Marengo II'!#REF!</definedName>
    <definedName name="DATA11" localSheetId="11">'[3]Marengo II'!#REF!</definedName>
    <definedName name="DATA11" localSheetId="12">'[3]Marengo II'!#REF!</definedName>
    <definedName name="DATA11" localSheetId="13">'[3]Marengo II'!#REF!</definedName>
    <definedName name="DATA11" localSheetId="14">'[3]Marengo II'!#REF!</definedName>
    <definedName name="DATA11">'[3]Marengo II'!#REF!</definedName>
    <definedName name="DATA12" localSheetId="6">'[3]Marengo II'!#REF!</definedName>
    <definedName name="DATA12" localSheetId="7">'[3]Marengo II'!#REF!</definedName>
    <definedName name="DATA12" localSheetId="8">'[3]Marengo II'!#REF!</definedName>
    <definedName name="DATA12" localSheetId="9">'[3]Marengo II'!#REF!</definedName>
    <definedName name="DATA12" localSheetId="10">'[3]Marengo II'!#REF!</definedName>
    <definedName name="DATA12" localSheetId="11">'[3]Marengo II'!#REF!</definedName>
    <definedName name="DATA12" localSheetId="12">'[3]Marengo II'!#REF!</definedName>
    <definedName name="DATA12" localSheetId="13">'[3]Marengo II'!#REF!</definedName>
    <definedName name="DATA12" localSheetId="14">'[3]Marengo II'!#REF!</definedName>
    <definedName name="DATA12">'[3]Marengo II'!#REF!</definedName>
    <definedName name="DATA13" localSheetId="6">'[3]Marengo II'!#REF!</definedName>
    <definedName name="DATA13" localSheetId="7">'[3]Marengo II'!#REF!</definedName>
    <definedName name="DATA13" localSheetId="8">'[3]Marengo II'!#REF!</definedName>
    <definedName name="DATA13" localSheetId="9">'[3]Marengo II'!#REF!</definedName>
    <definedName name="DATA13" localSheetId="10">'[3]Marengo II'!#REF!</definedName>
    <definedName name="DATA13" localSheetId="11">'[3]Marengo II'!#REF!</definedName>
    <definedName name="DATA13" localSheetId="12">'[3]Marengo II'!#REF!</definedName>
    <definedName name="DATA13" localSheetId="13">'[3]Marengo II'!#REF!</definedName>
    <definedName name="DATA13" localSheetId="14">'[3]Marengo II'!#REF!</definedName>
    <definedName name="DATA13">'[3]Marengo II'!#REF!</definedName>
    <definedName name="DATA14" localSheetId="6">'[3]Marengo II'!#REF!</definedName>
    <definedName name="DATA14" localSheetId="7">'[3]Marengo II'!#REF!</definedName>
    <definedName name="DATA14" localSheetId="8">'[3]Marengo II'!#REF!</definedName>
    <definedName name="DATA14" localSheetId="9">'[3]Marengo II'!#REF!</definedName>
    <definedName name="DATA14" localSheetId="10">'[3]Marengo II'!#REF!</definedName>
    <definedName name="DATA14" localSheetId="11">'[3]Marengo II'!#REF!</definedName>
    <definedName name="DATA14" localSheetId="12">'[3]Marengo II'!#REF!</definedName>
    <definedName name="DATA14" localSheetId="13">'[3]Marengo II'!#REF!</definedName>
    <definedName name="DATA14" localSheetId="14">'[3]Marengo II'!#REF!</definedName>
    <definedName name="DATA14">'[3]Marengo II'!#REF!</definedName>
    <definedName name="DATA15" localSheetId="6">'[3]Marengo II'!#REF!</definedName>
    <definedName name="DATA15" localSheetId="7">'[3]Marengo II'!#REF!</definedName>
    <definedName name="DATA15" localSheetId="8">'[3]Marengo II'!#REF!</definedName>
    <definedName name="DATA15" localSheetId="9">'[3]Marengo II'!#REF!</definedName>
    <definedName name="DATA15" localSheetId="10">'[3]Marengo II'!#REF!</definedName>
    <definedName name="DATA15" localSheetId="11">'[3]Marengo II'!#REF!</definedName>
    <definedName name="DATA15" localSheetId="12">'[3]Marengo II'!#REF!</definedName>
    <definedName name="DATA15" localSheetId="13">'[3]Marengo II'!#REF!</definedName>
    <definedName name="DATA15" localSheetId="14">'[3]Marengo II'!#REF!</definedName>
    <definedName name="DATA15">'[3]Marengo II'!#REF!</definedName>
    <definedName name="DATA16" localSheetId="6">'[3]Marengo II'!#REF!</definedName>
    <definedName name="DATA16" localSheetId="7">'[3]Marengo II'!#REF!</definedName>
    <definedName name="DATA16" localSheetId="8">'[3]Marengo II'!#REF!</definedName>
    <definedName name="DATA16" localSheetId="9">'[3]Marengo II'!#REF!</definedName>
    <definedName name="DATA16" localSheetId="10">'[3]Marengo II'!#REF!</definedName>
    <definedName name="DATA16" localSheetId="11">'[3]Marengo II'!#REF!</definedName>
    <definedName name="DATA16" localSheetId="12">'[3]Marengo II'!#REF!</definedName>
    <definedName name="DATA16" localSheetId="13">'[3]Marengo II'!#REF!</definedName>
    <definedName name="DATA16" localSheetId="14">'[3]Marengo II'!#REF!</definedName>
    <definedName name="DATA16">'[3]Marengo II'!#REF!</definedName>
    <definedName name="DATA17" localSheetId="6">'[3]Marengo II'!#REF!</definedName>
    <definedName name="DATA17" localSheetId="7">'[3]Marengo II'!#REF!</definedName>
    <definedName name="DATA17" localSheetId="8">'[3]Marengo II'!#REF!</definedName>
    <definedName name="DATA17" localSheetId="9">'[3]Marengo II'!#REF!</definedName>
    <definedName name="DATA17" localSheetId="10">'[3]Marengo II'!#REF!</definedName>
    <definedName name="DATA17" localSheetId="11">'[3]Marengo II'!#REF!</definedName>
    <definedName name="DATA17" localSheetId="12">'[3]Marengo II'!#REF!</definedName>
    <definedName name="DATA17" localSheetId="13">'[3]Marengo II'!#REF!</definedName>
    <definedName name="DATA17" localSheetId="14">'[3]Marengo II'!#REF!</definedName>
    <definedName name="DATA17">'[3]Marengo II'!#REF!</definedName>
    <definedName name="DATA18" localSheetId="6">'[3]Marengo II'!#REF!</definedName>
    <definedName name="DATA18" localSheetId="7">'[3]Marengo II'!#REF!</definedName>
    <definedName name="DATA18" localSheetId="8">'[3]Marengo II'!#REF!</definedName>
    <definedName name="DATA18" localSheetId="9">'[3]Marengo II'!#REF!</definedName>
    <definedName name="DATA18" localSheetId="10">'[3]Marengo II'!#REF!</definedName>
    <definedName name="DATA18" localSheetId="11">'[3]Marengo II'!#REF!</definedName>
    <definedName name="DATA18" localSheetId="12">'[3]Marengo II'!#REF!</definedName>
    <definedName name="DATA18" localSheetId="13">'[3]Marengo II'!#REF!</definedName>
    <definedName name="DATA18" localSheetId="14">'[3]Marengo II'!#REF!</definedName>
    <definedName name="DATA18">'[3]Marengo II'!#REF!</definedName>
    <definedName name="DATA19" localSheetId="6">'[3]Marengo II'!#REF!</definedName>
    <definedName name="DATA19" localSheetId="7">'[3]Marengo II'!#REF!</definedName>
    <definedName name="DATA19" localSheetId="8">'[3]Marengo II'!#REF!</definedName>
    <definedName name="DATA19" localSheetId="9">'[3]Marengo II'!#REF!</definedName>
    <definedName name="DATA19" localSheetId="10">'[3]Marengo II'!#REF!</definedName>
    <definedName name="DATA19" localSheetId="11">'[3]Marengo II'!#REF!</definedName>
    <definedName name="DATA19" localSheetId="12">'[3]Marengo II'!#REF!</definedName>
    <definedName name="DATA19" localSheetId="13">'[3]Marengo II'!#REF!</definedName>
    <definedName name="DATA19" localSheetId="14">'[3]Marengo II'!#REF!</definedName>
    <definedName name="DATA19">'[3]Marengo II'!#REF!</definedName>
    <definedName name="DATA2" localSheetId="6">'[2]OR RPS - Const cost'!#REF!</definedName>
    <definedName name="DATA2" localSheetId="7">'[2]OR RPS - Const cost'!#REF!</definedName>
    <definedName name="DATA2" localSheetId="8">'[2]OR RPS - Const cost'!#REF!</definedName>
    <definedName name="DATA2" localSheetId="9">'[2]OR RPS - Const cost'!#REF!</definedName>
    <definedName name="DATA2" localSheetId="10">'[2]OR RPS - Const cost'!#REF!</definedName>
    <definedName name="DATA2" localSheetId="11">'[2]OR RPS - Const cost'!#REF!</definedName>
    <definedName name="DATA2" localSheetId="12">'[2]OR RPS - Const cost'!#REF!</definedName>
    <definedName name="DATA2" localSheetId="13">'[2]OR RPS - Const cost'!#REF!</definedName>
    <definedName name="DATA2" localSheetId="14">'[2]OR RPS - Const cost'!#REF!</definedName>
    <definedName name="DATA2">'[2]OR RPS - Const cost'!#REF!</definedName>
    <definedName name="DATA20" localSheetId="6">'[3]Marengo II'!#REF!</definedName>
    <definedName name="DATA20" localSheetId="7">'[3]Marengo II'!#REF!</definedName>
    <definedName name="DATA20" localSheetId="8">'[3]Marengo II'!#REF!</definedName>
    <definedName name="DATA20" localSheetId="9">'[3]Marengo II'!#REF!</definedName>
    <definedName name="DATA20" localSheetId="10">'[3]Marengo II'!#REF!</definedName>
    <definedName name="DATA20" localSheetId="11">'[3]Marengo II'!#REF!</definedName>
    <definedName name="DATA20" localSheetId="12">'[3]Marengo II'!#REF!</definedName>
    <definedName name="DATA20" localSheetId="13">'[3]Marengo II'!#REF!</definedName>
    <definedName name="DATA20" localSheetId="14">'[3]Marengo II'!#REF!</definedName>
    <definedName name="DATA20">'[3]Marengo II'!#REF!</definedName>
    <definedName name="DATA21" localSheetId="6">'[3]Marengo II'!#REF!</definedName>
    <definedName name="DATA21" localSheetId="7">'[3]Marengo II'!#REF!</definedName>
    <definedName name="DATA21" localSheetId="8">'[3]Marengo II'!#REF!</definedName>
    <definedName name="DATA21" localSheetId="9">'[3]Marengo II'!#REF!</definedName>
    <definedName name="DATA21" localSheetId="10">'[3]Marengo II'!#REF!</definedName>
    <definedName name="DATA21" localSheetId="11">'[3]Marengo II'!#REF!</definedName>
    <definedName name="DATA21" localSheetId="12">'[3]Marengo II'!#REF!</definedName>
    <definedName name="DATA21" localSheetId="13">'[3]Marengo II'!#REF!</definedName>
    <definedName name="DATA21" localSheetId="14">'[3]Marengo II'!#REF!</definedName>
    <definedName name="DATA21">'[3]Marengo II'!#REF!</definedName>
    <definedName name="DATA22" localSheetId="6">'[3]Marengo II'!#REF!</definedName>
    <definedName name="DATA22" localSheetId="7">'[3]Marengo II'!#REF!</definedName>
    <definedName name="DATA22" localSheetId="8">'[3]Marengo II'!#REF!</definedName>
    <definedName name="DATA22" localSheetId="9">'[3]Marengo II'!#REF!</definedName>
    <definedName name="DATA22" localSheetId="10">'[3]Marengo II'!#REF!</definedName>
    <definedName name="DATA22" localSheetId="11">'[3]Marengo II'!#REF!</definedName>
    <definedName name="DATA22" localSheetId="12">'[3]Marengo II'!#REF!</definedName>
    <definedName name="DATA22" localSheetId="13">'[3]Marengo II'!#REF!</definedName>
    <definedName name="DATA22" localSheetId="14">'[3]Marengo II'!#REF!</definedName>
    <definedName name="DATA22">'[3]Marengo II'!#REF!</definedName>
    <definedName name="DATA23" localSheetId="6">'[3]Marengo II'!#REF!</definedName>
    <definedName name="DATA23" localSheetId="7">'[3]Marengo II'!#REF!</definedName>
    <definedName name="DATA23" localSheetId="8">'[3]Marengo II'!#REF!</definedName>
    <definedName name="DATA23" localSheetId="9">'[3]Marengo II'!#REF!</definedName>
    <definedName name="DATA23" localSheetId="10">'[3]Marengo II'!#REF!</definedName>
    <definedName name="DATA23" localSheetId="11">'[3]Marengo II'!#REF!</definedName>
    <definedName name="DATA23" localSheetId="12">'[3]Marengo II'!#REF!</definedName>
    <definedName name="DATA23" localSheetId="13">'[3]Marengo II'!#REF!</definedName>
    <definedName name="DATA23" localSheetId="14">'[3]Marengo II'!#REF!</definedName>
    <definedName name="DATA23">'[3]Marengo II'!#REF!</definedName>
    <definedName name="DATA24" localSheetId="6">'[3]Marengo II'!#REF!</definedName>
    <definedName name="DATA24" localSheetId="7">'[3]Marengo II'!#REF!</definedName>
    <definedName name="DATA24" localSheetId="8">'[3]Marengo II'!#REF!</definedName>
    <definedName name="DATA24" localSheetId="9">'[3]Marengo II'!#REF!</definedName>
    <definedName name="DATA24" localSheetId="10">'[3]Marengo II'!#REF!</definedName>
    <definedName name="DATA24" localSheetId="11">'[3]Marengo II'!#REF!</definedName>
    <definedName name="DATA24" localSheetId="12">'[3]Marengo II'!#REF!</definedName>
    <definedName name="DATA24" localSheetId="13">'[3]Marengo II'!#REF!</definedName>
    <definedName name="DATA24" localSheetId="14">'[3]Marengo II'!#REF!</definedName>
    <definedName name="DATA24">'[3]Marengo II'!#REF!</definedName>
    <definedName name="DATA25" localSheetId="6">'[3]Marengo II'!#REF!</definedName>
    <definedName name="DATA25" localSheetId="7">'[3]Marengo II'!#REF!</definedName>
    <definedName name="DATA25" localSheetId="8">'[3]Marengo II'!#REF!</definedName>
    <definedName name="DATA25" localSheetId="9">'[3]Marengo II'!#REF!</definedName>
    <definedName name="DATA25" localSheetId="10">'[3]Marengo II'!#REF!</definedName>
    <definedName name="DATA25" localSheetId="11">'[3]Marengo II'!#REF!</definedName>
    <definedName name="DATA25" localSheetId="12">'[3]Marengo II'!#REF!</definedName>
    <definedName name="DATA25" localSheetId="13">'[3]Marengo II'!#REF!</definedName>
    <definedName name="DATA25" localSheetId="14">'[3]Marengo II'!#REF!</definedName>
    <definedName name="DATA25">'[3]Marengo II'!#REF!</definedName>
    <definedName name="DATA26" localSheetId="6">'[3]Marengo II'!#REF!</definedName>
    <definedName name="DATA26" localSheetId="7">'[3]Marengo II'!#REF!</definedName>
    <definedName name="DATA26" localSheetId="8">'[3]Marengo II'!#REF!</definedName>
    <definedName name="DATA26" localSheetId="9">'[3]Marengo II'!#REF!</definedName>
    <definedName name="DATA26" localSheetId="10">'[3]Marengo II'!#REF!</definedName>
    <definedName name="DATA26" localSheetId="11">'[3]Marengo II'!#REF!</definedName>
    <definedName name="DATA26" localSheetId="12">'[3]Marengo II'!#REF!</definedName>
    <definedName name="DATA26" localSheetId="13">'[3]Marengo II'!#REF!</definedName>
    <definedName name="DATA26" localSheetId="14">'[3]Marengo II'!#REF!</definedName>
    <definedName name="DATA26">'[3]Marengo II'!#REF!</definedName>
    <definedName name="DATA27" localSheetId="6">'[3]Marengo II'!#REF!</definedName>
    <definedName name="DATA27" localSheetId="7">'[3]Marengo II'!#REF!</definedName>
    <definedName name="DATA27" localSheetId="8">'[3]Marengo II'!#REF!</definedName>
    <definedName name="DATA27" localSheetId="9">'[3]Marengo II'!#REF!</definedName>
    <definedName name="DATA27" localSheetId="10">'[3]Marengo II'!#REF!</definedName>
    <definedName name="DATA27" localSheetId="11">'[3]Marengo II'!#REF!</definedName>
    <definedName name="DATA27" localSheetId="12">'[3]Marengo II'!#REF!</definedName>
    <definedName name="DATA27" localSheetId="13">'[3]Marengo II'!#REF!</definedName>
    <definedName name="DATA27" localSheetId="14">'[3]Marengo II'!#REF!</definedName>
    <definedName name="DATA27">'[3]Marengo II'!#REF!</definedName>
    <definedName name="DATA28" localSheetId="6">'[3]Marengo II'!#REF!</definedName>
    <definedName name="DATA28" localSheetId="7">'[3]Marengo II'!#REF!</definedName>
    <definedName name="DATA28" localSheetId="8">'[3]Marengo II'!#REF!</definedName>
    <definedName name="DATA28" localSheetId="9">'[3]Marengo II'!#REF!</definedName>
    <definedName name="DATA28" localSheetId="10">'[3]Marengo II'!#REF!</definedName>
    <definedName name="DATA28" localSheetId="11">'[3]Marengo II'!#REF!</definedName>
    <definedName name="DATA28" localSheetId="12">'[3]Marengo II'!#REF!</definedName>
    <definedName name="DATA28" localSheetId="13">'[3]Marengo II'!#REF!</definedName>
    <definedName name="DATA28" localSheetId="14">'[3]Marengo II'!#REF!</definedName>
    <definedName name="DATA28">'[3]Marengo II'!#REF!</definedName>
    <definedName name="DATA29" localSheetId="6">'[3]Marengo II'!#REF!</definedName>
    <definedName name="DATA29" localSheetId="7">'[3]Marengo II'!#REF!</definedName>
    <definedName name="DATA29" localSheetId="8">'[3]Marengo II'!#REF!</definedName>
    <definedName name="DATA29" localSheetId="9">'[3]Marengo II'!#REF!</definedName>
    <definedName name="DATA29" localSheetId="10">'[3]Marengo II'!#REF!</definedName>
    <definedName name="DATA29" localSheetId="11">'[3]Marengo II'!#REF!</definedName>
    <definedName name="DATA29" localSheetId="12">'[3]Marengo II'!#REF!</definedName>
    <definedName name="DATA29" localSheetId="13">'[3]Marengo II'!#REF!</definedName>
    <definedName name="DATA29" localSheetId="14">'[3]Marengo II'!#REF!</definedName>
    <definedName name="DATA29">'[3]Marengo II'!#REF!</definedName>
    <definedName name="DATA3">'[3]Marengo II'!$B$4:$B$41</definedName>
    <definedName name="DATA30" localSheetId="6">'[3]Marengo II'!#REF!</definedName>
    <definedName name="DATA30" localSheetId="7">'[3]Marengo II'!#REF!</definedName>
    <definedName name="DATA30" localSheetId="8">'[3]Marengo II'!#REF!</definedName>
    <definedName name="DATA30" localSheetId="9">'[3]Marengo II'!#REF!</definedName>
    <definedName name="DATA30" localSheetId="10">'[3]Marengo II'!#REF!</definedName>
    <definedName name="DATA30" localSheetId="11">'[3]Marengo II'!#REF!</definedName>
    <definedName name="DATA30" localSheetId="12">'[3]Marengo II'!#REF!</definedName>
    <definedName name="DATA30" localSheetId="13">'[3]Marengo II'!#REF!</definedName>
    <definedName name="DATA30" localSheetId="14">'[3]Marengo II'!#REF!</definedName>
    <definedName name="DATA30" localSheetId="0">'[3]Marengo II'!#REF!</definedName>
    <definedName name="DATA30">'[3]Marengo II'!#REF!</definedName>
    <definedName name="DATA31" localSheetId="6">'[3]Marengo II'!#REF!</definedName>
    <definedName name="DATA31" localSheetId="7">'[3]Marengo II'!#REF!</definedName>
    <definedName name="DATA31" localSheetId="8">'[3]Marengo II'!#REF!</definedName>
    <definedName name="DATA31" localSheetId="9">'[3]Marengo II'!#REF!</definedName>
    <definedName name="DATA31" localSheetId="10">'[3]Marengo II'!#REF!</definedName>
    <definedName name="DATA31" localSheetId="11">'[3]Marengo II'!#REF!</definedName>
    <definedName name="DATA31" localSheetId="12">'[3]Marengo II'!#REF!</definedName>
    <definedName name="DATA31" localSheetId="13">'[3]Marengo II'!#REF!</definedName>
    <definedName name="DATA31" localSheetId="14">'[3]Marengo II'!#REF!</definedName>
    <definedName name="DATA31">'[3]Marengo II'!#REF!</definedName>
    <definedName name="DATA32" localSheetId="6">'[3]Marengo II'!#REF!</definedName>
    <definedName name="DATA32" localSheetId="7">'[3]Marengo II'!#REF!</definedName>
    <definedName name="DATA32" localSheetId="8">'[3]Marengo II'!#REF!</definedName>
    <definedName name="DATA32" localSheetId="9">'[3]Marengo II'!#REF!</definedName>
    <definedName name="DATA32" localSheetId="10">'[3]Marengo II'!#REF!</definedName>
    <definedName name="DATA32" localSheetId="11">'[3]Marengo II'!#REF!</definedName>
    <definedName name="DATA32" localSheetId="12">'[3]Marengo II'!#REF!</definedName>
    <definedName name="DATA32" localSheetId="13">'[3]Marengo II'!#REF!</definedName>
    <definedName name="DATA32" localSheetId="14">'[3]Marengo II'!#REF!</definedName>
    <definedName name="DATA32">'[3]Marengo II'!#REF!</definedName>
    <definedName name="DATA33" localSheetId="6">'[3]Marengo II'!#REF!</definedName>
    <definedName name="DATA33" localSheetId="7">'[3]Marengo II'!#REF!</definedName>
    <definedName name="DATA33" localSheetId="8">'[3]Marengo II'!#REF!</definedName>
    <definedName name="DATA33" localSheetId="9">'[3]Marengo II'!#REF!</definedName>
    <definedName name="DATA33" localSheetId="10">'[3]Marengo II'!#REF!</definedName>
    <definedName name="DATA33" localSheetId="11">'[3]Marengo II'!#REF!</definedName>
    <definedName name="DATA33" localSheetId="12">'[3]Marengo II'!#REF!</definedName>
    <definedName name="DATA33" localSheetId="13">'[3]Marengo II'!#REF!</definedName>
    <definedName name="DATA33" localSheetId="14">'[3]Marengo II'!#REF!</definedName>
    <definedName name="DATA33">'[3]Marengo II'!#REF!</definedName>
    <definedName name="DATA34" localSheetId="6">'[3]Marengo II'!#REF!</definedName>
    <definedName name="DATA34" localSheetId="7">'[3]Marengo II'!#REF!</definedName>
    <definedName name="DATA34" localSheetId="8">'[3]Marengo II'!#REF!</definedName>
    <definedName name="DATA34" localSheetId="9">'[3]Marengo II'!#REF!</definedName>
    <definedName name="DATA34" localSheetId="10">'[3]Marengo II'!#REF!</definedName>
    <definedName name="DATA34" localSheetId="11">'[3]Marengo II'!#REF!</definedName>
    <definedName name="DATA34" localSheetId="12">'[3]Marengo II'!#REF!</definedName>
    <definedName name="DATA34" localSheetId="13">'[3]Marengo II'!#REF!</definedName>
    <definedName name="DATA34" localSheetId="14">'[3]Marengo II'!#REF!</definedName>
    <definedName name="DATA34">'[3]Marengo II'!#REF!</definedName>
    <definedName name="DATA35" localSheetId="6">'[3]Marengo II'!#REF!</definedName>
    <definedName name="DATA35" localSheetId="7">'[3]Marengo II'!#REF!</definedName>
    <definedName name="DATA35" localSheetId="8">'[3]Marengo II'!#REF!</definedName>
    <definedName name="DATA35" localSheetId="9">'[3]Marengo II'!#REF!</definedName>
    <definedName name="DATA35" localSheetId="10">'[3]Marengo II'!#REF!</definedName>
    <definedName name="DATA35" localSheetId="11">'[3]Marengo II'!#REF!</definedName>
    <definedName name="DATA35" localSheetId="12">'[3]Marengo II'!#REF!</definedName>
    <definedName name="DATA35" localSheetId="13">'[3]Marengo II'!#REF!</definedName>
    <definedName name="DATA35" localSheetId="14">'[3]Marengo II'!#REF!</definedName>
    <definedName name="DATA35">'[3]Marengo II'!#REF!</definedName>
    <definedName name="DATA36" localSheetId="6">'[3]Marengo II'!#REF!</definedName>
    <definedName name="DATA36" localSheetId="7">'[3]Marengo II'!#REF!</definedName>
    <definedName name="DATA36" localSheetId="8">'[3]Marengo II'!#REF!</definedName>
    <definedName name="DATA36" localSheetId="9">'[3]Marengo II'!#REF!</definedName>
    <definedName name="DATA36" localSheetId="10">'[3]Marengo II'!#REF!</definedName>
    <definedName name="DATA36" localSheetId="11">'[3]Marengo II'!#REF!</definedName>
    <definedName name="DATA36" localSheetId="12">'[3]Marengo II'!#REF!</definedName>
    <definedName name="DATA36" localSheetId="13">'[3]Marengo II'!#REF!</definedName>
    <definedName name="DATA36" localSheetId="14">'[3]Marengo II'!#REF!</definedName>
    <definedName name="DATA36">'[3]Marengo II'!#REF!</definedName>
    <definedName name="DATA37" localSheetId="6">'[3]Marengo II'!#REF!</definedName>
    <definedName name="DATA37" localSheetId="7">'[3]Marengo II'!#REF!</definedName>
    <definedName name="DATA37" localSheetId="8">'[3]Marengo II'!#REF!</definedName>
    <definedName name="DATA37" localSheetId="9">'[3]Marengo II'!#REF!</definedName>
    <definedName name="DATA37" localSheetId="10">'[3]Marengo II'!#REF!</definedName>
    <definedName name="DATA37" localSheetId="11">'[3]Marengo II'!#REF!</definedName>
    <definedName name="DATA37" localSheetId="12">'[3]Marengo II'!#REF!</definedName>
    <definedName name="DATA37" localSheetId="13">'[3]Marengo II'!#REF!</definedName>
    <definedName name="DATA37" localSheetId="14">'[3]Marengo II'!#REF!</definedName>
    <definedName name="DATA37">'[3]Marengo II'!#REF!</definedName>
    <definedName name="DATA38" localSheetId="6">'[3]Marengo II'!#REF!</definedName>
    <definedName name="DATA38" localSheetId="7">'[3]Marengo II'!#REF!</definedName>
    <definedName name="DATA38" localSheetId="8">'[3]Marengo II'!#REF!</definedName>
    <definedName name="DATA38" localSheetId="9">'[3]Marengo II'!#REF!</definedName>
    <definedName name="DATA38" localSheetId="10">'[3]Marengo II'!#REF!</definedName>
    <definedName name="DATA38" localSheetId="11">'[3]Marengo II'!#REF!</definedName>
    <definedName name="DATA38" localSheetId="12">'[3]Marengo II'!#REF!</definedName>
    <definedName name="DATA38" localSheetId="13">'[3]Marengo II'!#REF!</definedName>
    <definedName name="DATA38" localSheetId="14">'[3]Marengo II'!#REF!</definedName>
    <definedName name="DATA38">'[3]Marengo II'!#REF!</definedName>
    <definedName name="DATA39" localSheetId="6">'[3]Marengo II'!#REF!</definedName>
    <definedName name="DATA39" localSheetId="7">'[3]Marengo II'!#REF!</definedName>
    <definedName name="DATA39" localSheetId="8">'[3]Marengo II'!#REF!</definedName>
    <definedName name="DATA39" localSheetId="9">'[3]Marengo II'!#REF!</definedName>
    <definedName name="DATA39" localSheetId="10">'[3]Marengo II'!#REF!</definedName>
    <definedName name="DATA39" localSheetId="11">'[3]Marengo II'!#REF!</definedName>
    <definedName name="DATA39" localSheetId="12">'[3]Marengo II'!#REF!</definedName>
    <definedName name="DATA39" localSheetId="13">'[3]Marengo II'!#REF!</definedName>
    <definedName name="DATA39" localSheetId="14">'[3]Marengo II'!#REF!</definedName>
    <definedName name="DATA39">'[3]Marengo II'!#REF!</definedName>
    <definedName name="DATA4" localSheetId="6">'[2]OR RPS - Const cost'!#REF!</definedName>
    <definedName name="DATA4" localSheetId="7">'[2]OR RPS - Const cost'!#REF!</definedName>
    <definedName name="DATA4" localSheetId="8">'[2]OR RPS - Const cost'!#REF!</definedName>
    <definedName name="DATA4" localSheetId="9">'[2]OR RPS - Const cost'!#REF!</definedName>
    <definedName name="DATA4" localSheetId="10">'[2]OR RPS - Const cost'!#REF!</definedName>
    <definedName name="DATA4" localSheetId="11">'[2]OR RPS - Const cost'!#REF!</definedName>
    <definedName name="DATA4" localSheetId="12">'[2]OR RPS - Const cost'!#REF!</definedName>
    <definedName name="DATA4" localSheetId="13">'[2]OR RPS - Const cost'!#REF!</definedName>
    <definedName name="DATA4" localSheetId="14">'[2]OR RPS - Const cost'!#REF!</definedName>
    <definedName name="DATA4">'[2]OR RPS - Const cost'!#REF!</definedName>
    <definedName name="DATA40" localSheetId="6">'[3]Marengo II'!#REF!</definedName>
    <definedName name="DATA40" localSheetId="7">'[3]Marengo II'!#REF!</definedName>
    <definedName name="DATA40" localSheetId="8">'[3]Marengo II'!#REF!</definedName>
    <definedName name="DATA40" localSheetId="9">'[3]Marengo II'!#REF!</definedName>
    <definedName name="DATA40" localSheetId="10">'[3]Marengo II'!#REF!</definedName>
    <definedName name="DATA40" localSheetId="11">'[3]Marengo II'!#REF!</definedName>
    <definedName name="DATA40" localSheetId="12">'[3]Marengo II'!#REF!</definedName>
    <definedName name="DATA40" localSheetId="13">'[3]Marengo II'!#REF!</definedName>
    <definedName name="DATA40" localSheetId="14">'[3]Marengo II'!#REF!</definedName>
    <definedName name="DATA40">'[3]Marengo II'!#REF!</definedName>
    <definedName name="DATA41" localSheetId="6">'[3]Marengo II'!#REF!</definedName>
    <definedName name="DATA41" localSheetId="7">'[3]Marengo II'!#REF!</definedName>
    <definedName name="DATA41" localSheetId="8">'[3]Marengo II'!#REF!</definedName>
    <definedName name="DATA41" localSheetId="9">'[3]Marengo II'!#REF!</definedName>
    <definedName name="DATA41" localSheetId="10">'[3]Marengo II'!#REF!</definedName>
    <definedName name="DATA41" localSheetId="11">'[3]Marengo II'!#REF!</definedName>
    <definedName name="DATA41" localSheetId="12">'[3]Marengo II'!#REF!</definedName>
    <definedName name="DATA41" localSheetId="13">'[3]Marengo II'!#REF!</definedName>
    <definedName name="DATA41" localSheetId="14">'[3]Marengo II'!#REF!</definedName>
    <definedName name="DATA41">'[3]Marengo II'!#REF!</definedName>
    <definedName name="DATA42" localSheetId="6">'[3]Marengo II'!#REF!</definedName>
    <definedName name="DATA42" localSheetId="7">'[3]Marengo II'!#REF!</definedName>
    <definedName name="DATA42" localSheetId="8">'[3]Marengo II'!#REF!</definedName>
    <definedName name="DATA42" localSheetId="9">'[3]Marengo II'!#REF!</definedName>
    <definedName name="DATA42" localSheetId="10">'[3]Marengo II'!#REF!</definedName>
    <definedName name="DATA42" localSheetId="11">'[3]Marengo II'!#REF!</definedName>
    <definedName name="DATA42" localSheetId="12">'[3]Marengo II'!#REF!</definedName>
    <definedName name="DATA42" localSheetId="13">'[3]Marengo II'!#REF!</definedName>
    <definedName name="DATA42" localSheetId="14">'[3]Marengo II'!#REF!</definedName>
    <definedName name="DATA42">'[3]Marengo II'!#REF!</definedName>
    <definedName name="DATA43" localSheetId="6">'[3]Marengo II'!#REF!</definedName>
    <definedName name="DATA43" localSheetId="7">'[3]Marengo II'!#REF!</definedName>
    <definedName name="DATA43" localSheetId="8">'[3]Marengo II'!#REF!</definedName>
    <definedName name="DATA43" localSheetId="9">'[3]Marengo II'!#REF!</definedName>
    <definedName name="DATA43" localSheetId="10">'[3]Marengo II'!#REF!</definedName>
    <definedName name="DATA43" localSheetId="11">'[3]Marengo II'!#REF!</definedName>
    <definedName name="DATA43" localSheetId="12">'[3]Marengo II'!#REF!</definedName>
    <definedName name="DATA43" localSheetId="13">'[3]Marengo II'!#REF!</definedName>
    <definedName name="DATA43" localSheetId="14">'[3]Marengo II'!#REF!</definedName>
    <definedName name="DATA43">'[3]Marengo II'!#REF!</definedName>
    <definedName name="DATA44" localSheetId="6">'[3]Marengo II'!#REF!</definedName>
    <definedName name="DATA44" localSheetId="7">'[3]Marengo II'!#REF!</definedName>
    <definedName name="DATA44" localSheetId="8">'[3]Marengo II'!#REF!</definedName>
    <definedName name="DATA44" localSheetId="9">'[3]Marengo II'!#REF!</definedName>
    <definedName name="DATA44" localSheetId="10">'[3]Marengo II'!#REF!</definedName>
    <definedName name="DATA44" localSheetId="11">'[3]Marengo II'!#REF!</definedName>
    <definedName name="DATA44" localSheetId="12">'[3]Marengo II'!#REF!</definedName>
    <definedName name="DATA44" localSheetId="13">'[3]Marengo II'!#REF!</definedName>
    <definedName name="DATA44" localSheetId="14">'[3]Marengo II'!#REF!</definedName>
    <definedName name="DATA44">'[3]Marengo II'!#REF!</definedName>
    <definedName name="DATA45" localSheetId="6">'[3]Marengo II'!#REF!</definedName>
    <definedName name="DATA45" localSheetId="7">'[3]Marengo II'!#REF!</definedName>
    <definedName name="DATA45" localSheetId="8">'[3]Marengo II'!#REF!</definedName>
    <definedName name="DATA45" localSheetId="9">'[3]Marengo II'!#REF!</definedName>
    <definedName name="DATA45" localSheetId="10">'[3]Marengo II'!#REF!</definedName>
    <definedName name="DATA45" localSheetId="11">'[3]Marengo II'!#REF!</definedName>
    <definedName name="DATA45" localSheetId="12">'[3]Marengo II'!#REF!</definedName>
    <definedName name="DATA45" localSheetId="13">'[3]Marengo II'!#REF!</definedName>
    <definedName name="DATA45" localSheetId="14">'[3]Marengo II'!#REF!</definedName>
    <definedName name="DATA45">'[3]Marengo II'!#REF!</definedName>
    <definedName name="DATA5" localSheetId="6">'[3]Marengo II'!#REF!</definedName>
    <definedName name="DATA5" localSheetId="7">'[3]Marengo II'!#REF!</definedName>
    <definedName name="DATA5" localSheetId="8">'[3]Marengo II'!#REF!</definedName>
    <definedName name="DATA5" localSheetId="9">'[3]Marengo II'!#REF!</definedName>
    <definedName name="DATA5" localSheetId="10">'[3]Marengo II'!#REF!</definedName>
    <definedName name="DATA5" localSheetId="11">'[3]Marengo II'!#REF!</definedName>
    <definedName name="DATA5" localSheetId="12">'[3]Marengo II'!#REF!</definedName>
    <definedName name="DATA5" localSheetId="13">'[3]Marengo II'!#REF!</definedName>
    <definedName name="DATA5" localSheetId="14">'[3]Marengo II'!#REF!</definedName>
    <definedName name="DATA5">'[3]Marengo II'!#REF!</definedName>
    <definedName name="DATA6" localSheetId="6">'[2]OR RPS - Const cost'!#REF!</definedName>
    <definedName name="DATA6" localSheetId="7">'[2]OR RPS - Const cost'!#REF!</definedName>
    <definedName name="DATA6" localSheetId="8">'[2]OR RPS - Const cost'!#REF!</definedName>
    <definedName name="DATA6" localSheetId="9">'[2]OR RPS - Const cost'!#REF!</definedName>
    <definedName name="DATA6" localSheetId="10">'[2]OR RPS - Const cost'!#REF!</definedName>
    <definedName name="DATA6" localSheetId="11">'[2]OR RPS - Const cost'!#REF!</definedName>
    <definedName name="DATA6" localSheetId="12">'[2]OR RPS - Const cost'!#REF!</definedName>
    <definedName name="DATA6" localSheetId="13">'[2]OR RPS - Const cost'!#REF!</definedName>
    <definedName name="DATA6" localSheetId="14">'[2]OR RPS - Const cost'!#REF!</definedName>
    <definedName name="DATA6">'[2]OR RPS - Const cost'!#REF!</definedName>
    <definedName name="DATA7" localSheetId="6">'[2]OR RPS - Const cost'!#REF!</definedName>
    <definedName name="DATA7" localSheetId="7">'[2]OR RPS - Const cost'!#REF!</definedName>
    <definedName name="DATA7" localSheetId="8">'[2]OR RPS - Const cost'!#REF!</definedName>
    <definedName name="DATA7" localSheetId="9">'[2]OR RPS - Const cost'!#REF!</definedName>
    <definedName name="DATA7" localSheetId="10">'[2]OR RPS - Const cost'!#REF!</definedName>
    <definedName name="DATA7" localSheetId="11">'[2]OR RPS - Const cost'!#REF!</definedName>
    <definedName name="DATA7" localSheetId="12">'[2]OR RPS - Const cost'!#REF!</definedName>
    <definedName name="DATA7" localSheetId="13">'[2]OR RPS - Const cost'!#REF!</definedName>
    <definedName name="DATA7" localSheetId="14">'[2]OR RPS - Const cost'!#REF!</definedName>
    <definedName name="DATA7">'[2]OR RPS - Const cost'!#REF!</definedName>
    <definedName name="DATA8" localSheetId="6">'[2]OR RPS - Const cost'!#REF!</definedName>
    <definedName name="DATA8" localSheetId="7">'[2]OR RPS - Const cost'!#REF!</definedName>
    <definedName name="DATA8" localSheetId="8">'[2]OR RPS - Const cost'!#REF!</definedName>
    <definedName name="DATA8" localSheetId="9">'[2]OR RPS - Const cost'!#REF!</definedName>
    <definedName name="DATA8" localSheetId="10">'[2]OR RPS - Const cost'!#REF!</definedName>
    <definedName name="DATA8" localSheetId="11">'[2]OR RPS - Const cost'!#REF!</definedName>
    <definedName name="DATA8" localSheetId="12">'[2]OR RPS - Const cost'!#REF!</definedName>
    <definedName name="DATA8" localSheetId="13">'[2]OR RPS - Const cost'!#REF!</definedName>
    <definedName name="DATA8" localSheetId="14">'[2]OR RPS - Const cost'!#REF!</definedName>
    <definedName name="DATA8">'[2]OR RPS - Const cost'!#REF!</definedName>
    <definedName name="DATA9" localSheetId="6">'[3]Marengo II'!#REF!</definedName>
    <definedName name="DATA9" localSheetId="7">'[3]Marengo II'!#REF!</definedName>
    <definedName name="DATA9" localSheetId="8">'[3]Marengo II'!#REF!</definedName>
    <definedName name="DATA9" localSheetId="9">'[3]Marengo II'!#REF!</definedName>
    <definedName name="DATA9" localSheetId="10">'[3]Marengo II'!#REF!</definedName>
    <definedName name="DATA9" localSheetId="11">'[3]Marengo II'!#REF!</definedName>
    <definedName name="DATA9" localSheetId="12">'[3]Marengo II'!#REF!</definedName>
    <definedName name="DATA9" localSheetId="13">'[3]Marengo II'!#REF!</definedName>
    <definedName name="DATA9" localSheetId="14">'[3]Marengo II'!#REF!</definedName>
    <definedName name="DATA9">'[3]Marengo II'!#REF!</definedName>
    <definedName name="disc">[1]Levelizer!$C$4</definedName>
    <definedName name="Disc_Rate" localSheetId="10">[4]Assumptions!$B$5</definedName>
    <definedName name="Disc_Rate">[5]Assumptions!$B$5</definedName>
    <definedName name="energy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uel_Scenario_Name">'[6](1.a) Filing Summary'!$C$3</definedName>
    <definedName name="Fuel_Scenario_Name_DJ">'[4]Filing Summary'!$C$14</definedName>
    <definedName name="Fuel_Scenario_Name_LS">'[4]Filing Summary'!$C$3</definedName>
    <definedName name="Fuel_Scenario_Name_West">'[4]Filing Summary'!$C$24</definedName>
    <definedName name="Gas_Sce_Number">'[6](1.a) Filing Summary'!$B$3</definedName>
    <definedName name="Gas_Sce_Number_DJ">'[4]Filing Summary'!$B$14</definedName>
    <definedName name="Gas_Sce_Number_LS">'[4]Filing Summary'!$B$3</definedName>
    <definedName name="Gas_Sce_Number_West">'[4]Filing Summary'!$B$24</definedName>
    <definedName name="HROptim" localSheetId="1" hidden="1">{#N/A,#N/A,FALSE,"Summary";#N/A,#N/A,FALSE,"SmPlants";#N/A,#N/A,FALSE,"Utah";#N/A,#N/A,FALSE,"Idaho";#N/A,#N/A,FALSE,"Lewis River";#N/A,#N/A,FALSE,"NrthUmpq";#N/A,#N/A,FALSE,"KlamRog"}</definedName>
    <definedName name="HROptim" localSheetId="3" hidden="1">{#N/A,#N/A,FALSE,"Summary";#N/A,#N/A,FALSE,"SmPlants";#N/A,#N/A,FALSE,"Utah";#N/A,#N/A,FALSE,"Idaho";#N/A,#N/A,FALSE,"Lewis River";#N/A,#N/A,FALSE,"NrthUmpq";#N/A,#N/A,FALSE,"KlamRog"}</definedName>
    <definedName name="HROptim" localSheetId="4" hidden="1">{#N/A,#N/A,FALSE,"Summary";#N/A,#N/A,FALSE,"SmPlants";#N/A,#N/A,FALSE,"Utah";#N/A,#N/A,FALSE,"Idaho";#N/A,#N/A,FALSE,"Lewis River";#N/A,#N/A,FALSE,"NrthUmpq";#N/A,#N/A,FALSE,"KlamRog"}</definedName>
    <definedName name="HROptim" localSheetId="5" hidden="1">{#N/A,#N/A,FALSE,"Summary";#N/A,#N/A,FALSE,"SmPlants";#N/A,#N/A,FALSE,"Utah";#N/A,#N/A,FALSE,"Idaho";#N/A,#N/A,FALSE,"Lewis River";#N/A,#N/A,FALSE,"NrthUmpq";#N/A,#N/A,FALSE,"KlamRog"}</definedName>
    <definedName name="HROptim" localSheetId="6" hidden="1">{#N/A,#N/A,FALSE,"Summary";#N/A,#N/A,FALSE,"SmPlants";#N/A,#N/A,FALSE,"Utah";#N/A,#N/A,FALSE,"Idaho";#N/A,#N/A,FALSE,"Lewis River";#N/A,#N/A,FALSE,"NrthUmpq";#N/A,#N/A,FALSE,"KlamRog"}</definedName>
    <definedName name="HROptim" localSheetId="7" hidden="1">{#N/A,#N/A,FALSE,"Summary";#N/A,#N/A,FALSE,"SmPlants";#N/A,#N/A,FALSE,"Utah";#N/A,#N/A,FALSE,"Idaho";#N/A,#N/A,FALSE,"Lewis River";#N/A,#N/A,FALSE,"NrthUmpq";#N/A,#N/A,FALSE,"KlamRog"}</definedName>
    <definedName name="HROptim" localSheetId="8" hidden="1">{#N/A,#N/A,FALSE,"Summary";#N/A,#N/A,FALSE,"SmPlants";#N/A,#N/A,FALSE,"Utah";#N/A,#N/A,FALSE,"Idaho";#N/A,#N/A,FALSE,"Lewis River";#N/A,#N/A,FALSE,"NrthUmpq";#N/A,#N/A,FALSE,"KlamRog"}</definedName>
    <definedName name="HROptim" localSheetId="9" hidden="1">{#N/A,#N/A,FALSE,"Summary";#N/A,#N/A,FALSE,"SmPlants";#N/A,#N/A,FALSE,"Utah";#N/A,#N/A,FALSE,"Idaho";#N/A,#N/A,FALSE,"Lewis River";#N/A,#N/A,FALSE,"NrthUmpq";#N/A,#N/A,FALSE,"KlamRog"}</definedName>
    <definedName name="HROptim" localSheetId="10" hidden="1">{#N/A,#N/A,FALSE,"Summary";#N/A,#N/A,FALSE,"SmPlants";#N/A,#N/A,FALSE,"Utah";#N/A,#N/A,FALSE,"Idaho";#N/A,#N/A,FALSE,"Lewis River";#N/A,#N/A,FALSE,"NrthUmpq";#N/A,#N/A,FALSE,"KlamRog"}</definedName>
    <definedName name="HROptim" localSheetId="15" hidden="1">{#N/A,#N/A,FALSE,"Summary";#N/A,#N/A,FALSE,"SmPlants";#N/A,#N/A,FALSE,"Utah";#N/A,#N/A,FALSE,"Idaho";#N/A,#N/A,FALSE,"Lewis River";#N/A,#N/A,FALSE,"NrthUmpq";#N/A,#N/A,FALSE,"KlamRog"}</definedName>
    <definedName name="HROptim" localSheetId="0" hidden="1">{#N/A,#N/A,FALSE,"Summary";#N/A,#N/A,FALSE,"SmPlants";#N/A,#N/A,FALSE,"Utah";#N/A,#N/A,FALSE,"Idaho";#N/A,#N/A,FALSE,"Lewis River";#N/A,#N/A,FALSE,"NrthUmpq";#N/A,#N/A,FALSE,"KlamRog"}</definedName>
    <definedName name="HROptim" hidden="1">{#N/A,#N/A,FALSE,"Summary";#N/A,#N/A,FALSE,"SmPlants";#N/A,#N/A,FALSE,"Utah";#N/A,#N/A,FALSE,"Idaho";#N/A,#N/A,FALSE,"Lewis River";#N/A,#N/A,FALSE,"NrthUmpq";#N/A,#N/A,FALSE,"KlamRog"}</definedName>
    <definedName name="HROptim_1" localSheetId="1" hidden="1">{#N/A,#N/A,FALSE,"Summary";#N/A,#N/A,FALSE,"SmPlants";#N/A,#N/A,FALSE,"Utah";#N/A,#N/A,FALSE,"Idaho";#N/A,#N/A,FALSE,"Lewis River";#N/A,#N/A,FALSE,"NrthUmpq";#N/A,#N/A,FALSE,"KlamRog"}</definedName>
    <definedName name="HROptim_1" localSheetId="3" hidden="1">{#N/A,#N/A,FALSE,"Summary";#N/A,#N/A,FALSE,"SmPlants";#N/A,#N/A,FALSE,"Utah";#N/A,#N/A,FALSE,"Idaho";#N/A,#N/A,FALSE,"Lewis River";#N/A,#N/A,FALSE,"NrthUmpq";#N/A,#N/A,FALSE,"KlamRog"}</definedName>
    <definedName name="HROptim_1" localSheetId="4" hidden="1">{#N/A,#N/A,FALSE,"Summary";#N/A,#N/A,FALSE,"SmPlants";#N/A,#N/A,FALSE,"Utah";#N/A,#N/A,FALSE,"Idaho";#N/A,#N/A,FALSE,"Lewis River";#N/A,#N/A,FALSE,"NrthUmpq";#N/A,#N/A,FALSE,"KlamRog"}</definedName>
    <definedName name="HROptim_1" localSheetId="5" hidden="1">{#N/A,#N/A,FALSE,"Summary";#N/A,#N/A,FALSE,"SmPlants";#N/A,#N/A,FALSE,"Utah";#N/A,#N/A,FALSE,"Idaho";#N/A,#N/A,FALSE,"Lewis River";#N/A,#N/A,FALSE,"NrthUmpq";#N/A,#N/A,FALSE,"KlamRog"}</definedName>
    <definedName name="HROptim_1" localSheetId="6" hidden="1">{#N/A,#N/A,FALSE,"Summary";#N/A,#N/A,FALSE,"SmPlants";#N/A,#N/A,FALSE,"Utah";#N/A,#N/A,FALSE,"Idaho";#N/A,#N/A,FALSE,"Lewis River";#N/A,#N/A,FALSE,"NrthUmpq";#N/A,#N/A,FALSE,"KlamRog"}</definedName>
    <definedName name="HROptim_1" localSheetId="7" hidden="1">{#N/A,#N/A,FALSE,"Summary";#N/A,#N/A,FALSE,"SmPlants";#N/A,#N/A,FALSE,"Utah";#N/A,#N/A,FALSE,"Idaho";#N/A,#N/A,FALSE,"Lewis River";#N/A,#N/A,FALSE,"NrthUmpq";#N/A,#N/A,FALSE,"KlamRog"}</definedName>
    <definedName name="HROptim_1" localSheetId="8" hidden="1">{#N/A,#N/A,FALSE,"Summary";#N/A,#N/A,FALSE,"SmPlants";#N/A,#N/A,FALSE,"Utah";#N/A,#N/A,FALSE,"Idaho";#N/A,#N/A,FALSE,"Lewis River";#N/A,#N/A,FALSE,"NrthUmpq";#N/A,#N/A,FALSE,"KlamRog"}</definedName>
    <definedName name="HROptim_1" localSheetId="9" hidden="1">{#N/A,#N/A,FALSE,"Summary";#N/A,#N/A,FALSE,"SmPlants";#N/A,#N/A,FALSE,"Utah";#N/A,#N/A,FALSE,"Idaho";#N/A,#N/A,FALSE,"Lewis River";#N/A,#N/A,FALSE,"NrthUmpq";#N/A,#N/A,FALSE,"KlamRog"}</definedName>
    <definedName name="HROptim_1" localSheetId="10" hidden="1">{#N/A,#N/A,FALSE,"Summary";#N/A,#N/A,FALSE,"SmPlants";#N/A,#N/A,FALSE,"Utah";#N/A,#N/A,FALSE,"Idaho";#N/A,#N/A,FALSE,"Lewis River";#N/A,#N/A,FALSE,"NrthUmpq";#N/A,#N/A,FALSE,"KlamRog"}</definedName>
    <definedName name="HROptim_1" localSheetId="15" hidden="1">{#N/A,#N/A,FALSE,"Summary";#N/A,#N/A,FALSE,"SmPlants";#N/A,#N/A,FALSE,"Utah";#N/A,#N/A,FALSE,"Idaho";#N/A,#N/A,FALSE,"Lewis River";#N/A,#N/A,FALSE,"NrthUmpq";#N/A,#N/A,FALSE,"KlamRog"}</definedName>
    <definedName name="HROptim_1" localSheetId="0" hidden="1">{#N/A,#N/A,FALSE,"Summary";#N/A,#N/A,FALSE,"SmPlants";#N/A,#N/A,FALSE,"Utah";#N/A,#N/A,FALSE,"Idaho";#N/A,#N/A,FALSE,"Lewis River";#N/A,#N/A,FALSE,"NrthUmpq";#N/A,#N/A,FALSE,"KlamRog"}</definedName>
    <definedName name="HROptim_1" hidden="1">{#N/A,#N/A,FALSE,"Summary";#N/A,#N/A,FALSE,"SmPlants";#N/A,#N/A,FALSE,"Utah";#N/A,#N/A,FALSE,"Idaho";#N/A,#N/A,FALSE,"Lewis River";#N/A,#N/A,FALSE,"NrthUmpq";#N/A,#N/A,FALSE,"KlamRog"}</definedName>
    <definedName name="HROptim_2" localSheetId="1" hidden="1">{#N/A,#N/A,FALSE,"Summary";#N/A,#N/A,FALSE,"SmPlants";#N/A,#N/A,FALSE,"Utah";#N/A,#N/A,FALSE,"Idaho";#N/A,#N/A,FALSE,"Lewis River";#N/A,#N/A,FALSE,"NrthUmpq";#N/A,#N/A,FALSE,"KlamRog"}</definedName>
    <definedName name="HROptim_2" localSheetId="3" hidden="1">{#N/A,#N/A,FALSE,"Summary";#N/A,#N/A,FALSE,"SmPlants";#N/A,#N/A,FALSE,"Utah";#N/A,#N/A,FALSE,"Idaho";#N/A,#N/A,FALSE,"Lewis River";#N/A,#N/A,FALSE,"NrthUmpq";#N/A,#N/A,FALSE,"KlamRog"}</definedName>
    <definedName name="HROptim_2" localSheetId="4" hidden="1">{#N/A,#N/A,FALSE,"Summary";#N/A,#N/A,FALSE,"SmPlants";#N/A,#N/A,FALSE,"Utah";#N/A,#N/A,FALSE,"Idaho";#N/A,#N/A,FALSE,"Lewis River";#N/A,#N/A,FALSE,"NrthUmpq";#N/A,#N/A,FALSE,"KlamRog"}</definedName>
    <definedName name="HROptim_2" localSheetId="5" hidden="1">{#N/A,#N/A,FALSE,"Summary";#N/A,#N/A,FALSE,"SmPlants";#N/A,#N/A,FALSE,"Utah";#N/A,#N/A,FALSE,"Idaho";#N/A,#N/A,FALSE,"Lewis River";#N/A,#N/A,FALSE,"NrthUmpq";#N/A,#N/A,FALSE,"KlamRog"}</definedName>
    <definedName name="HROptim_2" localSheetId="6" hidden="1">{#N/A,#N/A,FALSE,"Summary";#N/A,#N/A,FALSE,"SmPlants";#N/A,#N/A,FALSE,"Utah";#N/A,#N/A,FALSE,"Idaho";#N/A,#N/A,FALSE,"Lewis River";#N/A,#N/A,FALSE,"NrthUmpq";#N/A,#N/A,FALSE,"KlamRog"}</definedName>
    <definedName name="HROptim_2" localSheetId="7" hidden="1">{#N/A,#N/A,FALSE,"Summary";#N/A,#N/A,FALSE,"SmPlants";#N/A,#N/A,FALSE,"Utah";#N/A,#N/A,FALSE,"Idaho";#N/A,#N/A,FALSE,"Lewis River";#N/A,#N/A,FALSE,"NrthUmpq";#N/A,#N/A,FALSE,"KlamRog"}</definedName>
    <definedName name="HROptim_2" localSheetId="8" hidden="1">{#N/A,#N/A,FALSE,"Summary";#N/A,#N/A,FALSE,"SmPlants";#N/A,#N/A,FALSE,"Utah";#N/A,#N/A,FALSE,"Idaho";#N/A,#N/A,FALSE,"Lewis River";#N/A,#N/A,FALSE,"NrthUmpq";#N/A,#N/A,FALSE,"KlamRog"}</definedName>
    <definedName name="HROptim_2" localSheetId="9" hidden="1">{#N/A,#N/A,FALSE,"Summary";#N/A,#N/A,FALSE,"SmPlants";#N/A,#N/A,FALSE,"Utah";#N/A,#N/A,FALSE,"Idaho";#N/A,#N/A,FALSE,"Lewis River";#N/A,#N/A,FALSE,"NrthUmpq";#N/A,#N/A,FALSE,"KlamRog"}</definedName>
    <definedName name="HROptim_2" localSheetId="10" hidden="1">{#N/A,#N/A,FALSE,"Summary";#N/A,#N/A,FALSE,"SmPlants";#N/A,#N/A,FALSE,"Utah";#N/A,#N/A,FALSE,"Idaho";#N/A,#N/A,FALSE,"Lewis River";#N/A,#N/A,FALSE,"NrthUmpq";#N/A,#N/A,FALSE,"KlamRog"}</definedName>
    <definedName name="HROptim_2" localSheetId="15" hidden="1">{#N/A,#N/A,FALSE,"Summary";#N/A,#N/A,FALSE,"SmPlants";#N/A,#N/A,FALSE,"Utah";#N/A,#N/A,FALSE,"Idaho";#N/A,#N/A,FALSE,"Lewis River";#N/A,#N/A,FALSE,"NrthUmpq";#N/A,#N/A,FALSE,"KlamRog"}</definedName>
    <definedName name="HROptim_2" localSheetId="0" hidden="1">{#N/A,#N/A,FALSE,"Summary";#N/A,#N/A,FALSE,"SmPlants";#N/A,#N/A,FALSE,"Utah";#N/A,#N/A,FALSE,"Idaho";#N/A,#N/A,FALSE,"Lewis River";#N/A,#N/A,FALSE,"NrthUmpq";#N/A,#N/A,FALSE,"KlamRog"}</definedName>
    <definedName name="HROptim_2" hidden="1">{#N/A,#N/A,FALSE,"Summary";#N/A,#N/A,FALSE,"SmPlants";#N/A,#N/A,FALSE,"Utah";#N/A,#N/A,FALSE,"Idaho";#N/A,#N/A,FALSE,"Lewis River";#N/A,#N/A,FALSE,"NrthUmpq";#N/A,#N/A,FALSE,"KlamRog"}</definedName>
    <definedName name="HROptim_3" localSheetId="1" hidden="1">{#N/A,#N/A,FALSE,"Summary";#N/A,#N/A,FALSE,"SmPlants";#N/A,#N/A,FALSE,"Utah";#N/A,#N/A,FALSE,"Idaho";#N/A,#N/A,FALSE,"Lewis River";#N/A,#N/A,FALSE,"NrthUmpq";#N/A,#N/A,FALSE,"KlamRog"}</definedName>
    <definedName name="HROptim_3" localSheetId="3" hidden="1">{#N/A,#N/A,FALSE,"Summary";#N/A,#N/A,FALSE,"SmPlants";#N/A,#N/A,FALSE,"Utah";#N/A,#N/A,FALSE,"Idaho";#N/A,#N/A,FALSE,"Lewis River";#N/A,#N/A,FALSE,"NrthUmpq";#N/A,#N/A,FALSE,"KlamRog"}</definedName>
    <definedName name="HROptim_3" localSheetId="4" hidden="1">{#N/A,#N/A,FALSE,"Summary";#N/A,#N/A,FALSE,"SmPlants";#N/A,#N/A,FALSE,"Utah";#N/A,#N/A,FALSE,"Idaho";#N/A,#N/A,FALSE,"Lewis River";#N/A,#N/A,FALSE,"NrthUmpq";#N/A,#N/A,FALSE,"KlamRog"}</definedName>
    <definedName name="HROptim_3" localSheetId="5" hidden="1">{#N/A,#N/A,FALSE,"Summary";#N/A,#N/A,FALSE,"SmPlants";#N/A,#N/A,FALSE,"Utah";#N/A,#N/A,FALSE,"Idaho";#N/A,#N/A,FALSE,"Lewis River";#N/A,#N/A,FALSE,"NrthUmpq";#N/A,#N/A,FALSE,"KlamRog"}</definedName>
    <definedName name="HROptim_3" localSheetId="6" hidden="1">{#N/A,#N/A,FALSE,"Summary";#N/A,#N/A,FALSE,"SmPlants";#N/A,#N/A,FALSE,"Utah";#N/A,#N/A,FALSE,"Idaho";#N/A,#N/A,FALSE,"Lewis River";#N/A,#N/A,FALSE,"NrthUmpq";#N/A,#N/A,FALSE,"KlamRog"}</definedName>
    <definedName name="HROptim_3" localSheetId="7" hidden="1">{#N/A,#N/A,FALSE,"Summary";#N/A,#N/A,FALSE,"SmPlants";#N/A,#N/A,FALSE,"Utah";#N/A,#N/A,FALSE,"Idaho";#N/A,#N/A,FALSE,"Lewis River";#N/A,#N/A,FALSE,"NrthUmpq";#N/A,#N/A,FALSE,"KlamRog"}</definedName>
    <definedName name="HROptim_3" localSheetId="8" hidden="1">{#N/A,#N/A,FALSE,"Summary";#N/A,#N/A,FALSE,"SmPlants";#N/A,#N/A,FALSE,"Utah";#N/A,#N/A,FALSE,"Idaho";#N/A,#N/A,FALSE,"Lewis River";#N/A,#N/A,FALSE,"NrthUmpq";#N/A,#N/A,FALSE,"KlamRog"}</definedName>
    <definedName name="HROptim_3" localSheetId="9" hidden="1">{#N/A,#N/A,FALSE,"Summary";#N/A,#N/A,FALSE,"SmPlants";#N/A,#N/A,FALSE,"Utah";#N/A,#N/A,FALSE,"Idaho";#N/A,#N/A,FALSE,"Lewis River";#N/A,#N/A,FALSE,"NrthUmpq";#N/A,#N/A,FALSE,"KlamRog"}</definedName>
    <definedName name="HROptim_3" localSheetId="10" hidden="1">{#N/A,#N/A,FALSE,"Summary";#N/A,#N/A,FALSE,"SmPlants";#N/A,#N/A,FALSE,"Utah";#N/A,#N/A,FALSE,"Idaho";#N/A,#N/A,FALSE,"Lewis River";#N/A,#N/A,FALSE,"NrthUmpq";#N/A,#N/A,FALSE,"KlamRog"}</definedName>
    <definedName name="HROptim_3" localSheetId="15" hidden="1">{#N/A,#N/A,FALSE,"Summary";#N/A,#N/A,FALSE,"SmPlants";#N/A,#N/A,FALSE,"Utah";#N/A,#N/A,FALSE,"Idaho";#N/A,#N/A,FALSE,"Lewis River";#N/A,#N/A,FALSE,"NrthUmpq";#N/A,#N/A,FALSE,"KlamRog"}</definedName>
    <definedName name="HROptim_3" localSheetId="0" hidden="1">{#N/A,#N/A,FALSE,"Summary";#N/A,#N/A,FALSE,"SmPlants";#N/A,#N/A,FALSE,"Utah";#N/A,#N/A,FALSE,"Idaho";#N/A,#N/A,FALSE,"Lewis River";#N/A,#N/A,FALSE,"NrthUmpq";#N/A,#N/A,FALSE,"KlamRog"}</definedName>
    <definedName name="HROptim_3" hidden="1">{#N/A,#N/A,FALSE,"Summary";#N/A,#N/A,FALSE,"SmPlants";#N/A,#N/A,FALSE,"Utah";#N/A,#N/A,FALSE,"Idaho";#N/A,#N/A,FALSE,"Lewis River";#N/A,#N/A,FALSE,"NrthUmpq";#N/A,#N/A,FALSE,"KlamRog"}</definedName>
    <definedName name="HROptim_4" localSheetId="1" hidden="1">{#N/A,#N/A,FALSE,"Summary";#N/A,#N/A,FALSE,"SmPlants";#N/A,#N/A,FALSE,"Utah";#N/A,#N/A,FALSE,"Idaho";#N/A,#N/A,FALSE,"Lewis River";#N/A,#N/A,FALSE,"NrthUmpq";#N/A,#N/A,FALSE,"KlamRog"}</definedName>
    <definedName name="HROptim_4" localSheetId="3" hidden="1">{#N/A,#N/A,FALSE,"Summary";#N/A,#N/A,FALSE,"SmPlants";#N/A,#N/A,FALSE,"Utah";#N/A,#N/A,FALSE,"Idaho";#N/A,#N/A,FALSE,"Lewis River";#N/A,#N/A,FALSE,"NrthUmpq";#N/A,#N/A,FALSE,"KlamRog"}</definedName>
    <definedName name="HROptim_4" localSheetId="4" hidden="1">{#N/A,#N/A,FALSE,"Summary";#N/A,#N/A,FALSE,"SmPlants";#N/A,#N/A,FALSE,"Utah";#N/A,#N/A,FALSE,"Idaho";#N/A,#N/A,FALSE,"Lewis River";#N/A,#N/A,FALSE,"NrthUmpq";#N/A,#N/A,FALSE,"KlamRog"}</definedName>
    <definedName name="HROptim_4" localSheetId="5" hidden="1">{#N/A,#N/A,FALSE,"Summary";#N/A,#N/A,FALSE,"SmPlants";#N/A,#N/A,FALSE,"Utah";#N/A,#N/A,FALSE,"Idaho";#N/A,#N/A,FALSE,"Lewis River";#N/A,#N/A,FALSE,"NrthUmpq";#N/A,#N/A,FALSE,"KlamRog"}</definedName>
    <definedName name="HROptim_4" localSheetId="6" hidden="1">{#N/A,#N/A,FALSE,"Summary";#N/A,#N/A,FALSE,"SmPlants";#N/A,#N/A,FALSE,"Utah";#N/A,#N/A,FALSE,"Idaho";#N/A,#N/A,FALSE,"Lewis River";#N/A,#N/A,FALSE,"NrthUmpq";#N/A,#N/A,FALSE,"KlamRog"}</definedName>
    <definedName name="HROptim_4" localSheetId="7" hidden="1">{#N/A,#N/A,FALSE,"Summary";#N/A,#N/A,FALSE,"SmPlants";#N/A,#N/A,FALSE,"Utah";#N/A,#N/A,FALSE,"Idaho";#N/A,#N/A,FALSE,"Lewis River";#N/A,#N/A,FALSE,"NrthUmpq";#N/A,#N/A,FALSE,"KlamRog"}</definedName>
    <definedName name="HROptim_4" localSheetId="8" hidden="1">{#N/A,#N/A,FALSE,"Summary";#N/A,#N/A,FALSE,"SmPlants";#N/A,#N/A,FALSE,"Utah";#N/A,#N/A,FALSE,"Idaho";#N/A,#N/A,FALSE,"Lewis River";#N/A,#N/A,FALSE,"NrthUmpq";#N/A,#N/A,FALSE,"KlamRog"}</definedName>
    <definedName name="HROptim_4" localSheetId="9" hidden="1">{#N/A,#N/A,FALSE,"Summary";#N/A,#N/A,FALSE,"SmPlants";#N/A,#N/A,FALSE,"Utah";#N/A,#N/A,FALSE,"Idaho";#N/A,#N/A,FALSE,"Lewis River";#N/A,#N/A,FALSE,"NrthUmpq";#N/A,#N/A,FALSE,"KlamRog"}</definedName>
    <definedName name="HROptim_4" localSheetId="10" hidden="1">{#N/A,#N/A,FALSE,"Summary";#N/A,#N/A,FALSE,"SmPlants";#N/A,#N/A,FALSE,"Utah";#N/A,#N/A,FALSE,"Idaho";#N/A,#N/A,FALSE,"Lewis River";#N/A,#N/A,FALSE,"NrthUmpq";#N/A,#N/A,FALSE,"KlamRog"}</definedName>
    <definedName name="HROptim_4" localSheetId="15" hidden="1">{#N/A,#N/A,FALSE,"Summary";#N/A,#N/A,FALSE,"SmPlants";#N/A,#N/A,FALSE,"Utah";#N/A,#N/A,FALSE,"Idaho";#N/A,#N/A,FALSE,"Lewis River";#N/A,#N/A,FALSE,"NrthUmpq";#N/A,#N/A,FALSE,"KlamRog"}</definedName>
    <definedName name="HROptim_4" localSheetId="0" hidden="1">{#N/A,#N/A,FALSE,"Summary";#N/A,#N/A,FALSE,"SmPlants";#N/A,#N/A,FALSE,"Utah";#N/A,#N/A,FALSE,"Idaho";#N/A,#N/A,FALSE,"Lewis River";#N/A,#N/A,FALSE,"NrthUmpq";#N/A,#N/A,FALSE,"KlamRog"}</definedName>
    <definedName name="HROptim_4" hidden="1">{#N/A,#N/A,FALSE,"Summary";#N/A,#N/A,FALSE,"SmPlants";#N/A,#N/A,FALSE,"Utah";#N/A,#N/A,FALSE,"Idaho";#N/A,#N/A,FALSE,"Lewis River";#N/A,#N/A,FALSE,"NrthUmpq";#N/A,#N/A,FALSE,"KlamRog"}</definedName>
    <definedName name="HROptim_5" localSheetId="1" hidden="1">{#N/A,#N/A,FALSE,"Summary";#N/A,#N/A,FALSE,"SmPlants";#N/A,#N/A,FALSE,"Utah";#N/A,#N/A,FALSE,"Idaho";#N/A,#N/A,FALSE,"Lewis River";#N/A,#N/A,FALSE,"NrthUmpq";#N/A,#N/A,FALSE,"KlamRog"}</definedName>
    <definedName name="HROptim_5" localSheetId="3" hidden="1">{#N/A,#N/A,FALSE,"Summary";#N/A,#N/A,FALSE,"SmPlants";#N/A,#N/A,FALSE,"Utah";#N/A,#N/A,FALSE,"Idaho";#N/A,#N/A,FALSE,"Lewis River";#N/A,#N/A,FALSE,"NrthUmpq";#N/A,#N/A,FALSE,"KlamRog"}</definedName>
    <definedName name="HROptim_5" localSheetId="4" hidden="1">{#N/A,#N/A,FALSE,"Summary";#N/A,#N/A,FALSE,"SmPlants";#N/A,#N/A,FALSE,"Utah";#N/A,#N/A,FALSE,"Idaho";#N/A,#N/A,FALSE,"Lewis River";#N/A,#N/A,FALSE,"NrthUmpq";#N/A,#N/A,FALSE,"KlamRog"}</definedName>
    <definedName name="HROptim_5" localSheetId="5" hidden="1">{#N/A,#N/A,FALSE,"Summary";#N/A,#N/A,FALSE,"SmPlants";#N/A,#N/A,FALSE,"Utah";#N/A,#N/A,FALSE,"Idaho";#N/A,#N/A,FALSE,"Lewis River";#N/A,#N/A,FALSE,"NrthUmpq";#N/A,#N/A,FALSE,"KlamRog"}</definedName>
    <definedName name="HROptim_5" localSheetId="6" hidden="1">{#N/A,#N/A,FALSE,"Summary";#N/A,#N/A,FALSE,"SmPlants";#N/A,#N/A,FALSE,"Utah";#N/A,#N/A,FALSE,"Idaho";#N/A,#N/A,FALSE,"Lewis River";#N/A,#N/A,FALSE,"NrthUmpq";#N/A,#N/A,FALSE,"KlamRog"}</definedName>
    <definedName name="HROptim_5" localSheetId="7" hidden="1">{#N/A,#N/A,FALSE,"Summary";#N/A,#N/A,FALSE,"SmPlants";#N/A,#N/A,FALSE,"Utah";#N/A,#N/A,FALSE,"Idaho";#N/A,#N/A,FALSE,"Lewis River";#N/A,#N/A,FALSE,"NrthUmpq";#N/A,#N/A,FALSE,"KlamRog"}</definedName>
    <definedName name="HROptim_5" localSheetId="8" hidden="1">{#N/A,#N/A,FALSE,"Summary";#N/A,#N/A,FALSE,"SmPlants";#N/A,#N/A,FALSE,"Utah";#N/A,#N/A,FALSE,"Idaho";#N/A,#N/A,FALSE,"Lewis River";#N/A,#N/A,FALSE,"NrthUmpq";#N/A,#N/A,FALSE,"KlamRog"}</definedName>
    <definedName name="HROptim_5" localSheetId="9" hidden="1">{#N/A,#N/A,FALSE,"Summary";#N/A,#N/A,FALSE,"SmPlants";#N/A,#N/A,FALSE,"Utah";#N/A,#N/A,FALSE,"Idaho";#N/A,#N/A,FALSE,"Lewis River";#N/A,#N/A,FALSE,"NrthUmpq";#N/A,#N/A,FALSE,"KlamRog"}</definedName>
    <definedName name="HROptim_5" localSheetId="10" hidden="1">{#N/A,#N/A,FALSE,"Summary";#N/A,#N/A,FALSE,"SmPlants";#N/A,#N/A,FALSE,"Utah";#N/A,#N/A,FALSE,"Idaho";#N/A,#N/A,FALSE,"Lewis River";#N/A,#N/A,FALSE,"NrthUmpq";#N/A,#N/A,FALSE,"KlamRog"}</definedName>
    <definedName name="HROptim_5" localSheetId="15" hidden="1">{#N/A,#N/A,FALSE,"Summary";#N/A,#N/A,FALSE,"SmPlants";#N/A,#N/A,FALSE,"Utah";#N/A,#N/A,FALSE,"Idaho";#N/A,#N/A,FALSE,"Lewis River";#N/A,#N/A,FALSE,"NrthUmpq";#N/A,#N/A,FALSE,"KlamRog"}</definedName>
    <definedName name="HROptim_5" localSheetId="0" hidden="1">{#N/A,#N/A,FALSE,"Summary";#N/A,#N/A,FALSE,"SmPlants";#N/A,#N/A,FALSE,"Utah";#N/A,#N/A,FALSE,"Idaho";#N/A,#N/A,FALSE,"Lewis River";#N/A,#N/A,FALSE,"NrthUmpq";#N/A,#N/A,FALSE,"KlamRog"}</definedName>
    <definedName name="HROptim_5" hidden="1">{#N/A,#N/A,FALSE,"Summary";#N/A,#N/A,FALSE,"SmPlants";#N/A,#N/A,FALSE,"Utah";#N/A,#N/A,FALSE,"Idaho";#N/A,#N/A,FALSE,"Lewis River";#N/A,#N/A,FALSE,"NrthUmpq";#N/A,#N/A,FALSE,"KlamRog"}</definedName>
    <definedName name="index1">[1]Levelizer!$C$64</definedName>
    <definedName name="index1_desc">[1]Levelizer!$C$65</definedName>
    <definedName name="index2">[1]Levelizer!$D$64</definedName>
    <definedName name="index2_desc">[1]Levelizer!$D$65</definedName>
    <definedName name="index3">[1]Levelizer!$E$64</definedName>
    <definedName name="index3_desc">[1]Levelizer!$E$65</definedName>
    <definedName name="index4">[1]Levelizer!$F$64</definedName>
    <definedName name="index4_desc">[1]Levelizer!$F$65</definedName>
    <definedName name="index5">[1]Levelizer!$G$64</definedName>
    <definedName name="index5_desc">[1]Levelizer!$G$65</definedName>
    <definedName name="index6">[1]Levelizer!$H$64</definedName>
    <definedName name="index6_desc">[1]Levelizer!$H$65</definedName>
    <definedName name="index7">[1]Levelizer!$I$64</definedName>
    <definedName name="index7_desc">[1]Levelizer!$I$65</definedName>
    <definedName name="inf">[1]Levelizer!$C$5</definedName>
    <definedName name="Infl_Rate_2008">'[6]Forward Price Curve'!$W$14</definedName>
    <definedName name="Infl_Rate_2009">'[6]Forward Price Curve'!$W$15</definedName>
    <definedName name="inventory" localSheetId="1" hidden="1">{#N/A,#N/A,FALSE,"Summary";#N/A,#N/A,FALSE,"SmPlants";#N/A,#N/A,FALSE,"Utah";#N/A,#N/A,FALSE,"Idaho";#N/A,#N/A,FALSE,"Lewis River";#N/A,#N/A,FALSE,"NrthUmpq";#N/A,#N/A,FALSE,"KlamRog"}</definedName>
    <definedName name="inventory" localSheetId="3" hidden="1">{#N/A,#N/A,FALSE,"Summary";#N/A,#N/A,FALSE,"SmPlants";#N/A,#N/A,FALSE,"Utah";#N/A,#N/A,FALSE,"Idaho";#N/A,#N/A,FALSE,"Lewis River";#N/A,#N/A,FALSE,"NrthUmpq";#N/A,#N/A,FALSE,"KlamRog"}</definedName>
    <definedName name="inventory" localSheetId="4" hidden="1">{#N/A,#N/A,FALSE,"Summary";#N/A,#N/A,FALSE,"SmPlants";#N/A,#N/A,FALSE,"Utah";#N/A,#N/A,FALSE,"Idaho";#N/A,#N/A,FALSE,"Lewis River";#N/A,#N/A,FALSE,"NrthUmpq";#N/A,#N/A,FALSE,"KlamRog"}</definedName>
    <definedName name="inventory" localSheetId="5" hidden="1">{#N/A,#N/A,FALSE,"Summary";#N/A,#N/A,FALSE,"SmPlants";#N/A,#N/A,FALSE,"Utah";#N/A,#N/A,FALSE,"Idaho";#N/A,#N/A,FALSE,"Lewis River";#N/A,#N/A,FALSE,"NrthUmpq";#N/A,#N/A,FALSE,"KlamRog"}</definedName>
    <definedName name="inventory" localSheetId="6" hidden="1">{#N/A,#N/A,FALSE,"Summary";#N/A,#N/A,FALSE,"SmPlants";#N/A,#N/A,FALSE,"Utah";#N/A,#N/A,FALSE,"Idaho";#N/A,#N/A,FALSE,"Lewis River";#N/A,#N/A,FALSE,"NrthUmpq";#N/A,#N/A,FALSE,"KlamRog"}</definedName>
    <definedName name="inventory" localSheetId="7" hidden="1">{#N/A,#N/A,FALSE,"Summary";#N/A,#N/A,FALSE,"SmPlants";#N/A,#N/A,FALSE,"Utah";#N/A,#N/A,FALSE,"Idaho";#N/A,#N/A,FALSE,"Lewis River";#N/A,#N/A,FALSE,"NrthUmpq";#N/A,#N/A,FALSE,"KlamRog"}</definedName>
    <definedName name="inventory" localSheetId="8" hidden="1">{#N/A,#N/A,FALSE,"Summary";#N/A,#N/A,FALSE,"SmPlants";#N/A,#N/A,FALSE,"Utah";#N/A,#N/A,FALSE,"Idaho";#N/A,#N/A,FALSE,"Lewis River";#N/A,#N/A,FALSE,"NrthUmpq";#N/A,#N/A,FALSE,"KlamRog"}</definedName>
    <definedName name="inventory" localSheetId="9" hidden="1">{#N/A,#N/A,FALSE,"Summary";#N/A,#N/A,FALSE,"SmPlants";#N/A,#N/A,FALSE,"Utah";#N/A,#N/A,FALSE,"Idaho";#N/A,#N/A,FALSE,"Lewis River";#N/A,#N/A,FALSE,"NrthUmpq";#N/A,#N/A,FALSE,"KlamRog"}</definedName>
    <definedName name="inventory" localSheetId="10" hidden="1">{#N/A,#N/A,FALSE,"Summary";#N/A,#N/A,FALSE,"SmPlants";#N/A,#N/A,FALSE,"Utah";#N/A,#N/A,FALSE,"Idaho";#N/A,#N/A,FALSE,"Lewis River";#N/A,#N/A,FALSE,"NrthUmpq";#N/A,#N/A,FALSE,"KlamRog"}</definedName>
    <definedName name="inventory" localSheetId="15" hidden="1">{#N/A,#N/A,FALSE,"Summary";#N/A,#N/A,FALSE,"SmPlants";#N/A,#N/A,FALSE,"Utah";#N/A,#N/A,FALSE,"Idaho";#N/A,#N/A,FALSE,"Lewis River";#N/A,#N/A,FALSE,"NrthUmpq";#N/A,#N/A,FALSE,"KlamRog"}</definedName>
    <definedName name="inventory" localSheetId="0" hidden="1">{#N/A,#N/A,FALSE,"Summary";#N/A,#N/A,FALSE,"SmPlants";#N/A,#N/A,FALSE,"Utah";#N/A,#N/A,FALSE,"Idaho";#N/A,#N/A,FALSE,"Lewis River";#N/A,#N/A,FALSE,"NrthUmpq";#N/A,#N/A,FALSE,"KlamRog"}</definedName>
    <definedName name="inventory" hidden="1">{#N/A,#N/A,FALSE,"Summary";#N/A,#N/A,FALSE,"SmPlants";#N/A,#N/A,FALSE,"Utah";#N/A,#N/A,FALSE,"Idaho";#N/A,#N/A,FALSE,"Lewis River";#N/A,#N/A,FALSE,"NrthUmpq";#N/A,#N/A,FALSE,"KlamRog"}</definedName>
    <definedName name="inventory_1" localSheetId="1" hidden="1">{#N/A,#N/A,FALSE,"Summary";#N/A,#N/A,FALSE,"SmPlants";#N/A,#N/A,FALSE,"Utah";#N/A,#N/A,FALSE,"Idaho";#N/A,#N/A,FALSE,"Lewis River";#N/A,#N/A,FALSE,"NrthUmpq";#N/A,#N/A,FALSE,"KlamRog"}</definedName>
    <definedName name="inventory_1" localSheetId="3" hidden="1">{#N/A,#N/A,FALSE,"Summary";#N/A,#N/A,FALSE,"SmPlants";#N/A,#N/A,FALSE,"Utah";#N/A,#N/A,FALSE,"Idaho";#N/A,#N/A,FALSE,"Lewis River";#N/A,#N/A,FALSE,"NrthUmpq";#N/A,#N/A,FALSE,"KlamRog"}</definedName>
    <definedName name="inventory_1" localSheetId="4" hidden="1">{#N/A,#N/A,FALSE,"Summary";#N/A,#N/A,FALSE,"SmPlants";#N/A,#N/A,FALSE,"Utah";#N/A,#N/A,FALSE,"Idaho";#N/A,#N/A,FALSE,"Lewis River";#N/A,#N/A,FALSE,"NrthUmpq";#N/A,#N/A,FALSE,"KlamRog"}</definedName>
    <definedName name="inventory_1" localSheetId="5" hidden="1">{#N/A,#N/A,FALSE,"Summary";#N/A,#N/A,FALSE,"SmPlants";#N/A,#N/A,FALSE,"Utah";#N/A,#N/A,FALSE,"Idaho";#N/A,#N/A,FALSE,"Lewis River";#N/A,#N/A,FALSE,"NrthUmpq";#N/A,#N/A,FALSE,"KlamRog"}</definedName>
    <definedName name="inventory_1" localSheetId="6" hidden="1">{#N/A,#N/A,FALSE,"Summary";#N/A,#N/A,FALSE,"SmPlants";#N/A,#N/A,FALSE,"Utah";#N/A,#N/A,FALSE,"Idaho";#N/A,#N/A,FALSE,"Lewis River";#N/A,#N/A,FALSE,"NrthUmpq";#N/A,#N/A,FALSE,"KlamRog"}</definedName>
    <definedName name="inventory_1" localSheetId="7" hidden="1">{#N/A,#N/A,FALSE,"Summary";#N/A,#N/A,FALSE,"SmPlants";#N/A,#N/A,FALSE,"Utah";#N/A,#N/A,FALSE,"Idaho";#N/A,#N/A,FALSE,"Lewis River";#N/A,#N/A,FALSE,"NrthUmpq";#N/A,#N/A,FALSE,"KlamRog"}</definedName>
    <definedName name="inventory_1" localSheetId="8" hidden="1">{#N/A,#N/A,FALSE,"Summary";#N/A,#N/A,FALSE,"SmPlants";#N/A,#N/A,FALSE,"Utah";#N/A,#N/A,FALSE,"Idaho";#N/A,#N/A,FALSE,"Lewis River";#N/A,#N/A,FALSE,"NrthUmpq";#N/A,#N/A,FALSE,"KlamRog"}</definedName>
    <definedName name="inventory_1" localSheetId="9" hidden="1">{#N/A,#N/A,FALSE,"Summary";#N/A,#N/A,FALSE,"SmPlants";#N/A,#N/A,FALSE,"Utah";#N/A,#N/A,FALSE,"Idaho";#N/A,#N/A,FALSE,"Lewis River";#N/A,#N/A,FALSE,"NrthUmpq";#N/A,#N/A,FALSE,"KlamRog"}</definedName>
    <definedName name="inventory_1" localSheetId="10" hidden="1">{#N/A,#N/A,FALSE,"Summary";#N/A,#N/A,FALSE,"SmPlants";#N/A,#N/A,FALSE,"Utah";#N/A,#N/A,FALSE,"Idaho";#N/A,#N/A,FALSE,"Lewis River";#N/A,#N/A,FALSE,"NrthUmpq";#N/A,#N/A,FALSE,"KlamRog"}</definedName>
    <definedName name="inventory_1" localSheetId="15" hidden="1">{#N/A,#N/A,FALSE,"Summary";#N/A,#N/A,FALSE,"SmPlants";#N/A,#N/A,FALSE,"Utah";#N/A,#N/A,FALSE,"Idaho";#N/A,#N/A,FALSE,"Lewis River";#N/A,#N/A,FALSE,"NrthUmpq";#N/A,#N/A,FALSE,"KlamRog"}</definedName>
    <definedName name="inventory_1" localSheetId="0" hidden="1">{#N/A,#N/A,FALSE,"Summary";#N/A,#N/A,FALSE,"SmPlants";#N/A,#N/A,FALSE,"Utah";#N/A,#N/A,FALSE,"Idaho";#N/A,#N/A,FALSE,"Lewis River";#N/A,#N/A,FALSE,"NrthUmpq";#N/A,#N/A,FALSE,"KlamRog"}</definedName>
    <definedName name="inventory_1" hidden="1">{#N/A,#N/A,FALSE,"Summary";#N/A,#N/A,FALSE,"SmPlants";#N/A,#N/A,FALSE,"Utah";#N/A,#N/A,FALSE,"Idaho";#N/A,#N/A,FALSE,"Lewis River";#N/A,#N/A,FALSE,"NrthUmpq";#N/A,#N/A,FALSE,"KlamRog"}</definedName>
    <definedName name="inventory_2" localSheetId="1" hidden="1">{#N/A,#N/A,FALSE,"Summary";#N/A,#N/A,FALSE,"SmPlants";#N/A,#N/A,FALSE,"Utah";#N/A,#N/A,FALSE,"Idaho";#N/A,#N/A,FALSE,"Lewis River";#N/A,#N/A,FALSE,"NrthUmpq";#N/A,#N/A,FALSE,"KlamRog"}</definedName>
    <definedName name="inventory_2" localSheetId="3" hidden="1">{#N/A,#N/A,FALSE,"Summary";#N/A,#N/A,FALSE,"SmPlants";#N/A,#N/A,FALSE,"Utah";#N/A,#N/A,FALSE,"Idaho";#N/A,#N/A,FALSE,"Lewis River";#N/A,#N/A,FALSE,"NrthUmpq";#N/A,#N/A,FALSE,"KlamRog"}</definedName>
    <definedName name="inventory_2" localSheetId="4" hidden="1">{#N/A,#N/A,FALSE,"Summary";#N/A,#N/A,FALSE,"SmPlants";#N/A,#N/A,FALSE,"Utah";#N/A,#N/A,FALSE,"Idaho";#N/A,#N/A,FALSE,"Lewis River";#N/A,#N/A,FALSE,"NrthUmpq";#N/A,#N/A,FALSE,"KlamRog"}</definedName>
    <definedName name="inventory_2" localSheetId="5" hidden="1">{#N/A,#N/A,FALSE,"Summary";#N/A,#N/A,FALSE,"SmPlants";#N/A,#N/A,FALSE,"Utah";#N/A,#N/A,FALSE,"Idaho";#N/A,#N/A,FALSE,"Lewis River";#N/A,#N/A,FALSE,"NrthUmpq";#N/A,#N/A,FALSE,"KlamRog"}</definedName>
    <definedName name="inventory_2" localSheetId="6" hidden="1">{#N/A,#N/A,FALSE,"Summary";#N/A,#N/A,FALSE,"SmPlants";#N/A,#N/A,FALSE,"Utah";#N/A,#N/A,FALSE,"Idaho";#N/A,#N/A,FALSE,"Lewis River";#N/A,#N/A,FALSE,"NrthUmpq";#N/A,#N/A,FALSE,"KlamRog"}</definedName>
    <definedName name="inventory_2" localSheetId="7" hidden="1">{#N/A,#N/A,FALSE,"Summary";#N/A,#N/A,FALSE,"SmPlants";#N/A,#N/A,FALSE,"Utah";#N/A,#N/A,FALSE,"Idaho";#N/A,#N/A,FALSE,"Lewis River";#N/A,#N/A,FALSE,"NrthUmpq";#N/A,#N/A,FALSE,"KlamRog"}</definedName>
    <definedName name="inventory_2" localSheetId="8" hidden="1">{#N/A,#N/A,FALSE,"Summary";#N/A,#N/A,FALSE,"SmPlants";#N/A,#N/A,FALSE,"Utah";#N/A,#N/A,FALSE,"Idaho";#N/A,#N/A,FALSE,"Lewis River";#N/A,#N/A,FALSE,"NrthUmpq";#N/A,#N/A,FALSE,"KlamRog"}</definedName>
    <definedName name="inventory_2" localSheetId="9" hidden="1">{#N/A,#N/A,FALSE,"Summary";#N/A,#N/A,FALSE,"SmPlants";#N/A,#N/A,FALSE,"Utah";#N/A,#N/A,FALSE,"Idaho";#N/A,#N/A,FALSE,"Lewis River";#N/A,#N/A,FALSE,"NrthUmpq";#N/A,#N/A,FALSE,"KlamRog"}</definedName>
    <definedName name="inventory_2" localSheetId="10" hidden="1">{#N/A,#N/A,FALSE,"Summary";#N/A,#N/A,FALSE,"SmPlants";#N/A,#N/A,FALSE,"Utah";#N/A,#N/A,FALSE,"Idaho";#N/A,#N/A,FALSE,"Lewis River";#N/A,#N/A,FALSE,"NrthUmpq";#N/A,#N/A,FALSE,"KlamRog"}</definedName>
    <definedName name="inventory_2" localSheetId="15" hidden="1">{#N/A,#N/A,FALSE,"Summary";#N/A,#N/A,FALSE,"SmPlants";#N/A,#N/A,FALSE,"Utah";#N/A,#N/A,FALSE,"Idaho";#N/A,#N/A,FALSE,"Lewis River";#N/A,#N/A,FALSE,"NrthUmpq";#N/A,#N/A,FALSE,"KlamRog"}</definedName>
    <definedName name="inventory_2" localSheetId="0" hidden="1">{#N/A,#N/A,FALSE,"Summary";#N/A,#N/A,FALSE,"SmPlants";#N/A,#N/A,FALSE,"Utah";#N/A,#N/A,FALSE,"Idaho";#N/A,#N/A,FALSE,"Lewis River";#N/A,#N/A,FALSE,"NrthUmpq";#N/A,#N/A,FALSE,"KlamRog"}</definedName>
    <definedName name="inventory_2" hidden="1">{#N/A,#N/A,FALSE,"Summary";#N/A,#N/A,FALSE,"SmPlants";#N/A,#N/A,FALSE,"Utah";#N/A,#N/A,FALSE,"Idaho";#N/A,#N/A,FALSE,"Lewis River";#N/A,#N/A,FALSE,"NrthUmpq";#N/A,#N/A,FALSE,"KlamRog"}</definedName>
    <definedName name="inventory_3" localSheetId="1" hidden="1">{#N/A,#N/A,FALSE,"Summary";#N/A,#N/A,FALSE,"SmPlants";#N/A,#N/A,FALSE,"Utah";#N/A,#N/A,FALSE,"Idaho";#N/A,#N/A,FALSE,"Lewis River";#N/A,#N/A,FALSE,"NrthUmpq";#N/A,#N/A,FALSE,"KlamRog"}</definedName>
    <definedName name="inventory_3" localSheetId="3" hidden="1">{#N/A,#N/A,FALSE,"Summary";#N/A,#N/A,FALSE,"SmPlants";#N/A,#N/A,FALSE,"Utah";#N/A,#N/A,FALSE,"Idaho";#N/A,#N/A,FALSE,"Lewis River";#N/A,#N/A,FALSE,"NrthUmpq";#N/A,#N/A,FALSE,"KlamRog"}</definedName>
    <definedName name="inventory_3" localSheetId="4" hidden="1">{#N/A,#N/A,FALSE,"Summary";#N/A,#N/A,FALSE,"SmPlants";#N/A,#N/A,FALSE,"Utah";#N/A,#N/A,FALSE,"Idaho";#N/A,#N/A,FALSE,"Lewis River";#N/A,#N/A,FALSE,"NrthUmpq";#N/A,#N/A,FALSE,"KlamRog"}</definedName>
    <definedName name="inventory_3" localSheetId="5" hidden="1">{#N/A,#N/A,FALSE,"Summary";#N/A,#N/A,FALSE,"SmPlants";#N/A,#N/A,FALSE,"Utah";#N/A,#N/A,FALSE,"Idaho";#N/A,#N/A,FALSE,"Lewis River";#N/A,#N/A,FALSE,"NrthUmpq";#N/A,#N/A,FALSE,"KlamRog"}</definedName>
    <definedName name="inventory_3" localSheetId="6" hidden="1">{#N/A,#N/A,FALSE,"Summary";#N/A,#N/A,FALSE,"SmPlants";#N/A,#N/A,FALSE,"Utah";#N/A,#N/A,FALSE,"Idaho";#N/A,#N/A,FALSE,"Lewis River";#N/A,#N/A,FALSE,"NrthUmpq";#N/A,#N/A,FALSE,"KlamRog"}</definedName>
    <definedName name="inventory_3" localSheetId="7" hidden="1">{#N/A,#N/A,FALSE,"Summary";#N/A,#N/A,FALSE,"SmPlants";#N/A,#N/A,FALSE,"Utah";#N/A,#N/A,FALSE,"Idaho";#N/A,#N/A,FALSE,"Lewis River";#N/A,#N/A,FALSE,"NrthUmpq";#N/A,#N/A,FALSE,"KlamRog"}</definedName>
    <definedName name="inventory_3" localSheetId="8" hidden="1">{#N/A,#N/A,FALSE,"Summary";#N/A,#N/A,FALSE,"SmPlants";#N/A,#N/A,FALSE,"Utah";#N/A,#N/A,FALSE,"Idaho";#N/A,#N/A,FALSE,"Lewis River";#N/A,#N/A,FALSE,"NrthUmpq";#N/A,#N/A,FALSE,"KlamRog"}</definedName>
    <definedName name="inventory_3" localSheetId="9" hidden="1">{#N/A,#N/A,FALSE,"Summary";#N/A,#N/A,FALSE,"SmPlants";#N/A,#N/A,FALSE,"Utah";#N/A,#N/A,FALSE,"Idaho";#N/A,#N/A,FALSE,"Lewis River";#N/A,#N/A,FALSE,"NrthUmpq";#N/A,#N/A,FALSE,"KlamRog"}</definedName>
    <definedName name="inventory_3" localSheetId="10" hidden="1">{#N/A,#N/A,FALSE,"Summary";#N/A,#N/A,FALSE,"SmPlants";#N/A,#N/A,FALSE,"Utah";#N/A,#N/A,FALSE,"Idaho";#N/A,#N/A,FALSE,"Lewis River";#N/A,#N/A,FALSE,"NrthUmpq";#N/A,#N/A,FALSE,"KlamRog"}</definedName>
    <definedName name="inventory_3" localSheetId="15" hidden="1">{#N/A,#N/A,FALSE,"Summary";#N/A,#N/A,FALSE,"SmPlants";#N/A,#N/A,FALSE,"Utah";#N/A,#N/A,FALSE,"Idaho";#N/A,#N/A,FALSE,"Lewis River";#N/A,#N/A,FALSE,"NrthUmpq";#N/A,#N/A,FALSE,"KlamRog"}</definedName>
    <definedName name="inventory_3" localSheetId="0" hidden="1">{#N/A,#N/A,FALSE,"Summary";#N/A,#N/A,FALSE,"SmPlants";#N/A,#N/A,FALSE,"Utah";#N/A,#N/A,FALSE,"Idaho";#N/A,#N/A,FALSE,"Lewis River";#N/A,#N/A,FALSE,"NrthUmpq";#N/A,#N/A,FALSE,"KlamRog"}</definedName>
    <definedName name="inventory_3" hidden="1">{#N/A,#N/A,FALSE,"Summary";#N/A,#N/A,FALSE,"SmPlants";#N/A,#N/A,FALSE,"Utah";#N/A,#N/A,FALSE,"Idaho";#N/A,#N/A,FALSE,"Lewis River";#N/A,#N/A,FALSE,"NrthUmpq";#N/A,#N/A,FALSE,"KlamRog"}</definedName>
    <definedName name="inventory_4" localSheetId="1" hidden="1">{#N/A,#N/A,FALSE,"Summary";#N/A,#N/A,FALSE,"SmPlants";#N/A,#N/A,FALSE,"Utah";#N/A,#N/A,FALSE,"Idaho";#N/A,#N/A,FALSE,"Lewis River";#N/A,#N/A,FALSE,"NrthUmpq";#N/A,#N/A,FALSE,"KlamRog"}</definedName>
    <definedName name="inventory_4" localSheetId="3" hidden="1">{#N/A,#N/A,FALSE,"Summary";#N/A,#N/A,FALSE,"SmPlants";#N/A,#N/A,FALSE,"Utah";#N/A,#N/A,FALSE,"Idaho";#N/A,#N/A,FALSE,"Lewis River";#N/A,#N/A,FALSE,"NrthUmpq";#N/A,#N/A,FALSE,"KlamRog"}</definedName>
    <definedName name="inventory_4" localSheetId="4" hidden="1">{#N/A,#N/A,FALSE,"Summary";#N/A,#N/A,FALSE,"SmPlants";#N/A,#N/A,FALSE,"Utah";#N/A,#N/A,FALSE,"Idaho";#N/A,#N/A,FALSE,"Lewis River";#N/A,#N/A,FALSE,"NrthUmpq";#N/A,#N/A,FALSE,"KlamRog"}</definedName>
    <definedName name="inventory_4" localSheetId="5" hidden="1">{#N/A,#N/A,FALSE,"Summary";#N/A,#N/A,FALSE,"SmPlants";#N/A,#N/A,FALSE,"Utah";#N/A,#N/A,FALSE,"Idaho";#N/A,#N/A,FALSE,"Lewis River";#N/A,#N/A,FALSE,"NrthUmpq";#N/A,#N/A,FALSE,"KlamRog"}</definedName>
    <definedName name="inventory_4" localSheetId="6" hidden="1">{#N/A,#N/A,FALSE,"Summary";#N/A,#N/A,FALSE,"SmPlants";#N/A,#N/A,FALSE,"Utah";#N/A,#N/A,FALSE,"Idaho";#N/A,#N/A,FALSE,"Lewis River";#N/A,#N/A,FALSE,"NrthUmpq";#N/A,#N/A,FALSE,"KlamRog"}</definedName>
    <definedName name="inventory_4" localSheetId="7" hidden="1">{#N/A,#N/A,FALSE,"Summary";#N/A,#N/A,FALSE,"SmPlants";#N/A,#N/A,FALSE,"Utah";#N/A,#N/A,FALSE,"Idaho";#N/A,#N/A,FALSE,"Lewis River";#N/A,#N/A,FALSE,"NrthUmpq";#N/A,#N/A,FALSE,"KlamRog"}</definedName>
    <definedName name="inventory_4" localSheetId="8" hidden="1">{#N/A,#N/A,FALSE,"Summary";#N/A,#N/A,FALSE,"SmPlants";#N/A,#N/A,FALSE,"Utah";#N/A,#N/A,FALSE,"Idaho";#N/A,#N/A,FALSE,"Lewis River";#N/A,#N/A,FALSE,"NrthUmpq";#N/A,#N/A,FALSE,"KlamRog"}</definedName>
    <definedName name="inventory_4" localSheetId="9" hidden="1">{#N/A,#N/A,FALSE,"Summary";#N/A,#N/A,FALSE,"SmPlants";#N/A,#N/A,FALSE,"Utah";#N/A,#N/A,FALSE,"Idaho";#N/A,#N/A,FALSE,"Lewis River";#N/A,#N/A,FALSE,"NrthUmpq";#N/A,#N/A,FALSE,"KlamRog"}</definedName>
    <definedName name="inventory_4" localSheetId="10" hidden="1">{#N/A,#N/A,FALSE,"Summary";#N/A,#N/A,FALSE,"SmPlants";#N/A,#N/A,FALSE,"Utah";#N/A,#N/A,FALSE,"Idaho";#N/A,#N/A,FALSE,"Lewis River";#N/A,#N/A,FALSE,"NrthUmpq";#N/A,#N/A,FALSE,"KlamRog"}</definedName>
    <definedName name="inventory_4" localSheetId="15" hidden="1">{#N/A,#N/A,FALSE,"Summary";#N/A,#N/A,FALSE,"SmPlants";#N/A,#N/A,FALSE,"Utah";#N/A,#N/A,FALSE,"Idaho";#N/A,#N/A,FALSE,"Lewis River";#N/A,#N/A,FALSE,"NrthUmpq";#N/A,#N/A,FALSE,"KlamRog"}</definedName>
    <definedName name="inventory_4" localSheetId="0" hidden="1">{#N/A,#N/A,FALSE,"Summary";#N/A,#N/A,FALSE,"SmPlants";#N/A,#N/A,FALSE,"Utah";#N/A,#N/A,FALSE,"Idaho";#N/A,#N/A,FALSE,"Lewis River";#N/A,#N/A,FALSE,"NrthUmpq";#N/A,#N/A,FALSE,"KlamRog"}</definedName>
    <definedName name="inventory_4" hidden="1">{#N/A,#N/A,FALSE,"Summary";#N/A,#N/A,FALSE,"SmPlants";#N/A,#N/A,FALSE,"Utah";#N/A,#N/A,FALSE,"Idaho";#N/A,#N/A,FALSE,"Lewis River";#N/A,#N/A,FALSE,"NrthUmpq";#N/A,#N/A,FALSE,"KlamRog"}</definedName>
    <definedName name="inventory_5" localSheetId="1" hidden="1">{#N/A,#N/A,FALSE,"Summary";#N/A,#N/A,FALSE,"SmPlants";#N/A,#N/A,FALSE,"Utah";#N/A,#N/A,FALSE,"Idaho";#N/A,#N/A,FALSE,"Lewis River";#N/A,#N/A,FALSE,"NrthUmpq";#N/A,#N/A,FALSE,"KlamRog"}</definedName>
    <definedName name="inventory_5" localSheetId="3" hidden="1">{#N/A,#N/A,FALSE,"Summary";#N/A,#N/A,FALSE,"SmPlants";#N/A,#N/A,FALSE,"Utah";#N/A,#N/A,FALSE,"Idaho";#N/A,#N/A,FALSE,"Lewis River";#N/A,#N/A,FALSE,"NrthUmpq";#N/A,#N/A,FALSE,"KlamRog"}</definedName>
    <definedName name="inventory_5" localSheetId="4" hidden="1">{#N/A,#N/A,FALSE,"Summary";#N/A,#N/A,FALSE,"SmPlants";#N/A,#N/A,FALSE,"Utah";#N/A,#N/A,FALSE,"Idaho";#N/A,#N/A,FALSE,"Lewis River";#N/A,#N/A,FALSE,"NrthUmpq";#N/A,#N/A,FALSE,"KlamRog"}</definedName>
    <definedName name="inventory_5" localSheetId="5" hidden="1">{#N/A,#N/A,FALSE,"Summary";#N/A,#N/A,FALSE,"SmPlants";#N/A,#N/A,FALSE,"Utah";#N/A,#N/A,FALSE,"Idaho";#N/A,#N/A,FALSE,"Lewis River";#N/A,#N/A,FALSE,"NrthUmpq";#N/A,#N/A,FALSE,"KlamRog"}</definedName>
    <definedName name="inventory_5" localSheetId="6" hidden="1">{#N/A,#N/A,FALSE,"Summary";#N/A,#N/A,FALSE,"SmPlants";#N/A,#N/A,FALSE,"Utah";#N/A,#N/A,FALSE,"Idaho";#N/A,#N/A,FALSE,"Lewis River";#N/A,#N/A,FALSE,"NrthUmpq";#N/A,#N/A,FALSE,"KlamRog"}</definedName>
    <definedName name="inventory_5" localSheetId="7" hidden="1">{#N/A,#N/A,FALSE,"Summary";#N/A,#N/A,FALSE,"SmPlants";#N/A,#N/A,FALSE,"Utah";#N/A,#N/A,FALSE,"Idaho";#N/A,#N/A,FALSE,"Lewis River";#N/A,#N/A,FALSE,"NrthUmpq";#N/A,#N/A,FALSE,"KlamRog"}</definedName>
    <definedName name="inventory_5" localSheetId="8" hidden="1">{#N/A,#N/A,FALSE,"Summary";#N/A,#N/A,FALSE,"SmPlants";#N/A,#N/A,FALSE,"Utah";#N/A,#N/A,FALSE,"Idaho";#N/A,#N/A,FALSE,"Lewis River";#N/A,#N/A,FALSE,"NrthUmpq";#N/A,#N/A,FALSE,"KlamRog"}</definedName>
    <definedName name="inventory_5" localSheetId="9" hidden="1">{#N/A,#N/A,FALSE,"Summary";#N/A,#N/A,FALSE,"SmPlants";#N/A,#N/A,FALSE,"Utah";#N/A,#N/A,FALSE,"Idaho";#N/A,#N/A,FALSE,"Lewis River";#N/A,#N/A,FALSE,"NrthUmpq";#N/A,#N/A,FALSE,"KlamRog"}</definedName>
    <definedName name="inventory_5" localSheetId="10" hidden="1">{#N/A,#N/A,FALSE,"Summary";#N/A,#N/A,FALSE,"SmPlants";#N/A,#N/A,FALSE,"Utah";#N/A,#N/A,FALSE,"Idaho";#N/A,#N/A,FALSE,"Lewis River";#N/A,#N/A,FALSE,"NrthUmpq";#N/A,#N/A,FALSE,"KlamRog"}</definedName>
    <definedName name="inventory_5" localSheetId="15" hidden="1">{#N/A,#N/A,FALSE,"Summary";#N/A,#N/A,FALSE,"SmPlants";#N/A,#N/A,FALSE,"Utah";#N/A,#N/A,FALSE,"Idaho";#N/A,#N/A,FALSE,"Lewis River";#N/A,#N/A,FALSE,"NrthUmpq";#N/A,#N/A,FALSE,"KlamRog"}</definedName>
    <definedName name="inventory_5" localSheetId="0" hidden="1">{#N/A,#N/A,FALSE,"Summary";#N/A,#N/A,FALSE,"SmPlants";#N/A,#N/A,FALSE,"Utah";#N/A,#N/A,FALSE,"Idaho";#N/A,#N/A,FALSE,"Lewis River";#N/A,#N/A,FALSE,"NrthUmpq";#N/A,#N/A,FALSE,"KlamRog"}</definedName>
    <definedName name="inventory_5" hidden="1">{#N/A,#N/A,FALSE,"Summary";#N/A,#N/A,FALSE,"SmPlants";#N/A,#N/A,FALSE,"Utah";#N/A,#N/A,FALSE,"Idaho";#N/A,#N/A,FALSE,"Lewis River";#N/A,#N/A,FALSE,"NrthUmpq";#N/A,#N/A,FALSE,"KlamRog"}</definedName>
    <definedName name="Keep" localSheetId="1" hidden="1">{"PRINT",#N/A,TRUE,"APPA";"PRINT",#N/A,TRUE,"APS";"PRINT",#N/A,TRUE,"BHPL";"PRINT",#N/A,TRUE,"BHPL2";"PRINT",#N/A,TRUE,"CDWR";"PRINT",#N/A,TRUE,"EWEB";"PRINT",#N/A,TRUE,"LADWP";"PRINT",#N/A,TRUE,"NEVBASE"}</definedName>
    <definedName name="Keep" localSheetId="3" hidden="1">{"PRINT",#N/A,TRUE,"APPA";"PRINT",#N/A,TRUE,"APS";"PRINT",#N/A,TRUE,"BHPL";"PRINT",#N/A,TRUE,"BHPL2";"PRINT",#N/A,TRUE,"CDWR";"PRINT",#N/A,TRUE,"EWEB";"PRINT",#N/A,TRUE,"LADWP";"PRINT",#N/A,TRUE,"NEVBASE"}</definedName>
    <definedName name="Keep" localSheetId="4" hidden="1">{"PRINT",#N/A,TRUE,"APPA";"PRINT",#N/A,TRUE,"APS";"PRINT",#N/A,TRUE,"BHPL";"PRINT",#N/A,TRUE,"BHPL2";"PRINT",#N/A,TRUE,"CDWR";"PRINT",#N/A,TRUE,"EWEB";"PRINT",#N/A,TRUE,"LADWP";"PRINT",#N/A,TRUE,"NEVBASE"}</definedName>
    <definedName name="Keep" localSheetId="5" hidden="1">{"PRINT",#N/A,TRUE,"APPA";"PRINT",#N/A,TRUE,"APS";"PRINT",#N/A,TRUE,"BHPL";"PRINT",#N/A,TRUE,"BHPL2";"PRINT",#N/A,TRUE,"CDWR";"PRINT",#N/A,TRUE,"EWEB";"PRINT",#N/A,TRUE,"LADWP";"PRINT",#N/A,TRUE,"NEVBASE"}</definedName>
    <definedName name="Keep" localSheetId="6" hidden="1">{"PRINT",#N/A,TRUE,"APPA";"PRINT",#N/A,TRUE,"APS";"PRINT",#N/A,TRUE,"BHPL";"PRINT",#N/A,TRUE,"BHPL2";"PRINT",#N/A,TRUE,"CDWR";"PRINT",#N/A,TRUE,"EWEB";"PRINT",#N/A,TRUE,"LADWP";"PRINT",#N/A,TRUE,"NEVBASE"}</definedName>
    <definedName name="Keep" localSheetId="7" hidden="1">{"PRINT",#N/A,TRUE,"APPA";"PRINT",#N/A,TRUE,"APS";"PRINT",#N/A,TRUE,"BHPL";"PRINT",#N/A,TRUE,"BHPL2";"PRINT",#N/A,TRUE,"CDWR";"PRINT",#N/A,TRUE,"EWEB";"PRINT",#N/A,TRUE,"LADWP";"PRINT",#N/A,TRUE,"NEVBASE"}</definedName>
    <definedName name="Keep" localSheetId="8" hidden="1">{"PRINT",#N/A,TRUE,"APPA";"PRINT",#N/A,TRUE,"APS";"PRINT",#N/A,TRUE,"BHPL";"PRINT",#N/A,TRUE,"BHPL2";"PRINT",#N/A,TRUE,"CDWR";"PRINT",#N/A,TRUE,"EWEB";"PRINT",#N/A,TRUE,"LADWP";"PRINT",#N/A,TRUE,"NEVBASE"}</definedName>
    <definedName name="Keep" localSheetId="9" hidden="1">{"PRINT",#N/A,TRUE,"APPA";"PRINT",#N/A,TRUE,"APS";"PRINT",#N/A,TRUE,"BHPL";"PRINT",#N/A,TRUE,"BHPL2";"PRINT",#N/A,TRUE,"CDWR";"PRINT",#N/A,TRUE,"EWEB";"PRINT",#N/A,TRUE,"LADWP";"PRINT",#N/A,TRUE,"NEVBASE"}</definedName>
    <definedName name="Keep" localSheetId="10" hidden="1">{"PRINT",#N/A,TRUE,"APPA";"PRINT",#N/A,TRUE,"APS";"PRINT",#N/A,TRUE,"BHPL";"PRINT",#N/A,TRUE,"BHPL2";"PRINT",#N/A,TRUE,"CDWR";"PRINT",#N/A,TRUE,"EWEB";"PRINT",#N/A,TRUE,"LADWP";"PRINT",#N/A,TRUE,"NEVBASE"}</definedName>
    <definedName name="Keep" localSheetId="15" hidden="1">{"PRINT",#N/A,TRUE,"APPA";"PRINT",#N/A,TRUE,"APS";"PRINT",#N/A,TRUE,"BHPL";"PRINT",#N/A,TRUE,"BHPL2";"PRINT",#N/A,TRUE,"CDWR";"PRINT",#N/A,TRUE,"EWEB";"PRINT",#N/A,TRUE,"LADWP";"PRINT",#N/A,TRUE,"NEVBASE"}</definedName>
    <definedName name="Keep" localSheetId="0" hidden="1">{"PRINT",#N/A,TRUE,"APPA";"PRINT",#N/A,TRUE,"APS";"PRINT",#N/A,TRUE,"BHPL";"PRINT",#N/A,TRUE,"BHPL2";"PRINT",#N/A,TRUE,"CDWR";"PRINT",#N/A,TRUE,"EWEB";"PRINT",#N/A,TRUE,"LADWP";"PRINT",#N/A,TRUE,"NEVBASE"}</definedName>
    <definedName name="Keep" hidden="1">{"PRINT",#N/A,TRUE,"APPA";"PRINT",#N/A,TRUE,"APS";"PRINT",#N/A,TRUE,"BHPL";"PRINT",#N/A,TRUE,"BHPL2";"PRINT",#N/A,TRUE,"CDWR";"PRINT",#N/A,TRUE,"EWEB";"PRINT",#N/A,TRUE,"LADWP";"PRINT",#N/A,TRUE,"NEVBASE"}</definedName>
    <definedName name="Keep_1" localSheetId="1" hidden="1">{"PRINT",#N/A,TRUE,"APPA";"PRINT",#N/A,TRUE,"APS";"PRINT",#N/A,TRUE,"BHPL";"PRINT",#N/A,TRUE,"BHPL2";"PRINT",#N/A,TRUE,"CDWR";"PRINT",#N/A,TRUE,"EWEB";"PRINT",#N/A,TRUE,"LADWP";"PRINT",#N/A,TRUE,"NEVBASE"}</definedName>
    <definedName name="Keep_1" localSheetId="3" hidden="1">{"PRINT",#N/A,TRUE,"APPA";"PRINT",#N/A,TRUE,"APS";"PRINT",#N/A,TRUE,"BHPL";"PRINT",#N/A,TRUE,"BHPL2";"PRINT",#N/A,TRUE,"CDWR";"PRINT",#N/A,TRUE,"EWEB";"PRINT",#N/A,TRUE,"LADWP";"PRINT",#N/A,TRUE,"NEVBASE"}</definedName>
    <definedName name="Keep_1" localSheetId="4" hidden="1">{"PRINT",#N/A,TRUE,"APPA";"PRINT",#N/A,TRUE,"APS";"PRINT",#N/A,TRUE,"BHPL";"PRINT",#N/A,TRUE,"BHPL2";"PRINT",#N/A,TRUE,"CDWR";"PRINT",#N/A,TRUE,"EWEB";"PRINT",#N/A,TRUE,"LADWP";"PRINT",#N/A,TRUE,"NEVBASE"}</definedName>
    <definedName name="Keep_1" localSheetId="5" hidden="1">{"PRINT",#N/A,TRUE,"APPA";"PRINT",#N/A,TRUE,"APS";"PRINT",#N/A,TRUE,"BHPL";"PRINT",#N/A,TRUE,"BHPL2";"PRINT",#N/A,TRUE,"CDWR";"PRINT",#N/A,TRUE,"EWEB";"PRINT",#N/A,TRUE,"LADWP";"PRINT",#N/A,TRUE,"NEVBASE"}</definedName>
    <definedName name="Keep_1" localSheetId="6" hidden="1">{"PRINT",#N/A,TRUE,"APPA";"PRINT",#N/A,TRUE,"APS";"PRINT",#N/A,TRUE,"BHPL";"PRINT",#N/A,TRUE,"BHPL2";"PRINT",#N/A,TRUE,"CDWR";"PRINT",#N/A,TRUE,"EWEB";"PRINT",#N/A,TRUE,"LADWP";"PRINT",#N/A,TRUE,"NEVBASE"}</definedName>
    <definedName name="Keep_1" localSheetId="7" hidden="1">{"PRINT",#N/A,TRUE,"APPA";"PRINT",#N/A,TRUE,"APS";"PRINT",#N/A,TRUE,"BHPL";"PRINT",#N/A,TRUE,"BHPL2";"PRINT",#N/A,TRUE,"CDWR";"PRINT",#N/A,TRUE,"EWEB";"PRINT",#N/A,TRUE,"LADWP";"PRINT",#N/A,TRUE,"NEVBASE"}</definedName>
    <definedName name="Keep_1" localSheetId="8" hidden="1">{"PRINT",#N/A,TRUE,"APPA";"PRINT",#N/A,TRUE,"APS";"PRINT",#N/A,TRUE,"BHPL";"PRINT",#N/A,TRUE,"BHPL2";"PRINT",#N/A,TRUE,"CDWR";"PRINT",#N/A,TRUE,"EWEB";"PRINT",#N/A,TRUE,"LADWP";"PRINT",#N/A,TRUE,"NEVBASE"}</definedName>
    <definedName name="Keep_1" localSheetId="9" hidden="1">{"PRINT",#N/A,TRUE,"APPA";"PRINT",#N/A,TRUE,"APS";"PRINT",#N/A,TRUE,"BHPL";"PRINT",#N/A,TRUE,"BHPL2";"PRINT",#N/A,TRUE,"CDWR";"PRINT",#N/A,TRUE,"EWEB";"PRINT",#N/A,TRUE,"LADWP";"PRINT",#N/A,TRUE,"NEVBASE"}</definedName>
    <definedName name="Keep_1" localSheetId="10" hidden="1">{"PRINT",#N/A,TRUE,"APPA";"PRINT",#N/A,TRUE,"APS";"PRINT",#N/A,TRUE,"BHPL";"PRINT",#N/A,TRUE,"BHPL2";"PRINT",#N/A,TRUE,"CDWR";"PRINT",#N/A,TRUE,"EWEB";"PRINT",#N/A,TRUE,"LADWP";"PRINT",#N/A,TRUE,"NEVBASE"}</definedName>
    <definedName name="Keep_1" localSheetId="15" hidden="1">{"PRINT",#N/A,TRUE,"APPA";"PRINT",#N/A,TRUE,"APS";"PRINT",#N/A,TRUE,"BHPL";"PRINT",#N/A,TRUE,"BHPL2";"PRINT",#N/A,TRUE,"CDWR";"PRINT",#N/A,TRUE,"EWEB";"PRINT",#N/A,TRUE,"LADWP";"PRINT",#N/A,TRUE,"NEVBASE"}</definedName>
    <definedName name="Keep_1" localSheetId="0" hidden="1">{"PRINT",#N/A,TRUE,"APPA";"PRINT",#N/A,TRUE,"APS";"PRINT",#N/A,TRUE,"BHPL";"PRINT",#N/A,TRUE,"BHPL2";"PRINT",#N/A,TRUE,"CDWR";"PRINT",#N/A,TRUE,"EWEB";"PRINT",#N/A,TRUE,"LADWP";"PRINT",#N/A,TRUE,"NEVBASE"}</definedName>
    <definedName name="Keep_1" hidden="1">{"PRINT",#N/A,TRUE,"APPA";"PRINT",#N/A,TRUE,"APS";"PRINT",#N/A,TRUE,"BHPL";"PRINT",#N/A,TRUE,"BHPL2";"PRINT",#N/A,TRUE,"CDWR";"PRINT",#N/A,TRUE,"EWEB";"PRINT",#N/A,TRUE,"LADWP";"PRINT",#N/A,TRUE,"NEVBASE"}</definedName>
    <definedName name="Keep_2" localSheetId="1" hidden="1">{"PRINT",#N/A,TRUE,"APPA";"PRINT",#N/A,TRUE,"APS";"PRINT",#N/A,TRUE,"BHPL";"PRINT",#N/A,TRUE,"BHPL2";"PRINT",#N/A,TRUE,"CDWR";"PRINT",#N/A,TRUE,"EWEB";"PRINT",#N/A,TRUE,"LADWP";"PRINT",#N/A,TRUE,"NEVBASE"}</definedName>
    <definedName name="Keep_2" localSheetId="3" hidden="1">{"PRINT",#N/A,TRUE,"APPA";"PRINT",#N/A,TRUE,"APS";"PRINT",#N/A,TRUE,"BHPL";"PRINT",#N/A,TRUE,"BHPL2";"PRINT",#N/A,TRUE,"CDWR";"PRINT",#N/A,TRUE,"EWEB";"PRINT",#N/A,TRUE,"LADWP";"PRINT",#N/A,TRUE,"NEVBASE"}</definedName>
    <definedName name="Keep_2" localSheetId="4" hidden="1">{"PRINT",#N/A,TRUE,"APPA";"PRINT",#N/A,TRUE,"APS";"PRINT",#N/A,TRUE,"BHPL";"PRINT",#N/A,TRUE,"BHPL2";"PRINT",#N/A,TRUE,"CDWR";"PRINT",#N/A,TRUE,"EWEB";"PRINT",#N/A,TRUE,"LADWP";"PRINT",#N/A,TRUE,"NEVBASE"}</definedName>
    <definedName name="Keep_2" localSheetId="5" hidden="1">{"PRINT",#N/A,TRUE,"APPA";"PRINT",#N/A,TRUE,"APS";"PRINT",#N/A,TRUE,"BHPL";"PRINT",#N/A,TRUE,"BHPL2";"PRINT",#N/A,TRUE,"CDWR";"PRINT",#N/A,TRUE,"EWEB";"PRINT",#N/A,TRUE,"LADWP";"PRINT",#N/A,TRUE,"NEVBASE"}</definedName>
    <definedName name="Keep_2" localSheetId="6" hidden="1">{"PRINT",#N/A,TRUE,"APPA";"PRINT",#N/A,TRUE,"APS";"PRINT",#N/A,TRUE,"BHPL";"PRINT",#N/A,TRUE,"BHPL2";"PRINT",#N/A,TRUE,"CDWR";"PRINT",#N/A,TRUE,"EWEB";"PRINT",#N/A,TRUE,"LADWP";"PRINT",#N/A,TRUE,"NEVBASE"}</definedName>
    <definedName name="Keep_2" localSheetId="7" hidden="1">{"PRINT",#N/A,TRUE,"APPA";"PRINT",#N/A,TRUE,"APS";"PRINT",#N/A,TRUE,"BHPL";"PRINT",#N/A,TRUE,"BHPL2";"PRINT",#N/A,TRUE,"CDWR";"PRINT",#N/A,TRUE,"EWEB";"PRINT",#N/A,TRUE,"LADWP";"PRINT",#N/A,TRUE,"NEVBASE"}</definedName>
    <definedName name="Keep_2" localSheetId="8" hidden="1">{"PRINT",#N/A,TRUE,"APPA";"PRINT",#N/A,TRUE,"APS";"PRINT",#N/A,TRUE,"BHPL";"PRINT",#N/A,TRUE,"BHPL2";"PRINT",#N/A,TRUE,"CDWR";"PRINT",#N/A,TRUE,"EWEB";"PRINT",#N/A,TRUE,"LADWP";"PRINT",#N/A,TRUE,"NEVBASE"}</definedName>
    <definedName name="Keep_2" localSheetId="9" hidden="1">{"PRINT",#N/A,TRUE,"APPA";"PRINT",#N/A,TRUE,"APS";"PRINT",#N/A,TRUE,"BHPL";"PRINT",#N/A,TRUE,"BHPL2";"PRINT",#N/A,TRUE,"CDWR";"PRINT",#N/A,TRUE,"EWEB";"PRINT",#N/A,TRUE,"LADWP";"PRINT",#N/A,TRUE,"NEVBASE"}</definedName>
    <definedName name="Keep_2" localSheetId="10" hidden="1">{"PRINT",#N/A,TRUE,"APPA";"PRINT",#N/A,TRUE,"APS";"PRINT",#N/A,TRUE,"BHPL";"PRINT",#N/A,TRUE,"BHPL2";"PRINT",#N/A,TRUE,"CDWR";"PRINT",#N/A,TRUE,"EWEB";"PRINT",#N/A,TRUE,"LADWP";"PRINT",#N/A,TRUE,"NEVBASE"}</definedName>
    <definedName name="Keep_2" localSheetId="15" hidden="1">{"PRINT",#N/A,TRUE,"APPA";"PRINT",#N/A,TRUE,"APS";"PRINT",#N/A,TRUE,"BHPL";"PRINT",#N/A,TRUE,"BHPL2";"PRINT",#N/A,TRUE,"CDWR";"PRINT",#N/A,TRUE,"EWEB";"PRINT",#N/A,TRUE,"LADWP";"PRINT",#N/A,TRUE,"NEVBASE"}</definedName>
    <definedName name="Keep_2" localSheetId="0" hidden="1">{"PRINT",#N/A,TRUE,"APPA";"PRINT",#N/A,TRUE,"APS";"PRINT",#N/A,TRUE,"BHPL";"PRINT",#N/A,TRUE,"BHPL2";"PRINT",#N/A,TRUE,"CDWR";"PRINT",#N/A,TRUE,"EWEB";"PRINT",#N/A,TRUE,"LADWP";"PRINT",#N/A,TRUE,"NEVBASE"}</definedName>
    <definedName name="Keep_2" hidden="1">{"PRINT",#N/A,TRUE,"APPA";"PRINT",#N/A,TRUE,"APS";"PRINT",#N/A,TRUE,"BHPL";"PRINT",#N/A,TRUE,"BHPL2";"PRINT",#N/A,TRUE,"CDWR";"PRINT",#N/A,TRUE,"EWEB";"PRINT",#N/A,TRUE,"LADWP";"PRINT",#N/A,TRUE,"NEVBASE"}</definedName>
    <definedName name="Keep_3" localSheetId="1" hidden="1">{"PRINT",#N/A,TRUE,"APPA";"PRINT",#N/A,TRUE,"APS";"PRINT",#N/A,TRUE,"BHPL";"PRINT",#N/A,TRUE,"BHPL2";"PRINT",#N/A,TRUE,"CDWR";"PRINT",#N/A,TRUE,"EWEB";"PRINT",#N/A,TRUE,"LADWP";"PRINT",#N/A,TRUE,"NEVBASE"}</definedName>
    <definedName name="Keep_3" localSheetId="3" hidden="1">{"PRINT",#N/A,TRUE,"APPA";"PRINT",#N/A,TRUE,"APS";"PRINT",#N/A,TRUE,"BHPL";"PRINT",#N/A,TRUE,"BHPL2";"PRINT",#N/A,TRUE,"CDWR";"PRINT",#N/A,TRUE,"EWEB";"PRINT",#N/A,TRUE,"LADWP";"PRINT",#N/A,TRUE,"NEVBASE"}</definedName>
    <definedName name="Keep_3" localSheetId="4" hidden="1">{"PRINT",#N/A,TRUE,"APPA";"PRINT",#N/A,TRUE,"APS";"PRINT",#N/A,TRUE,"BHPL";"PRINT",#N/A,TRUE,"BHPL2";"PRINT",#N/A,TRUE,"CDWR";"PRINT",#N/A,TRUE,"EWEB";"PRINT",#N/A,TRUE,"LADWP";"PRINT",#N/A,TRUE,"NEVBASE"}</definedName>
    <definedName name="Keep_3" localSheetId="5" hidden="1">{"PRINT",#N/A,TRUE,"APPA";"PRINT",#N/A,TRUE,"APS";"PRINT",#N/A,TRUE,"BHPL";"PRINT",#N/A,TRUE,"BHPL2";"PRINT",#N/A,TRUE,"CDWR";"PRINT",#N/A,TRUE,"EWEB";"PRINT",#N/A,TRUE,"LADWP";"PRINT",#N/A,TRUE,"NEVBASE"}</definedName>
    <definedName name="Keep_3" localSheetId="6" hidden="1">{"PRINT",#N/A,TRUE,"APPA";"PRINT",#N/A,TRUE,"APS";"PRINT",#N/A,TRUE,"BHPL";"PRINT",#N/A,TRUE,"BHPL2";"PRINT",#N/A,TRUE,"CDWR";"PRINT",#N/A,TRUE,"EWEB";"PRINT",#N/A,TRUE,"LADWP";"PRINT",#N/A,TRUE,"NEVBASE"}</definedName>
    <definedName name="Keep_3" localSheetId="7" hidden="1">{"PRINT",#N/A,TRUE,"APPA";"PRINT",#N/A,TRUE,"APS";"PRINT",#N/A,TRUE,"BHPL";"PRINT",#N/A,TRUE,"BHPL2";"PRINT",#N/A,TRUE,"CDWR";"PRINT",#N/A,TRUE,"EWEB";"PRINT",#N/A,TRUE,"LADWP";"PRINT",#N/A,TRUE,"NEVBASE"}</definedName>
    <definedName name="Keep_3" localSheetId="8" hidden="1">{"PRINT",#N/A,TRUE,"APPA";"PRINT",#N/A,TRUE,"APS";"PRINT",#N/A,TRUE,"BHPL";"PRINT",#N/A,TRUE,"BHPL2";"PRINT",#N/A,TRUE,"CDWR";"PRINT",#N/A,TRUE,"EWEB";"PRINT",#N/A,TRUE,"LADWP";"PRINT",#N/A,TRUE,"NEVBASE"}</definedName>
    <definedName name="Keep_3" localSheetId="9" hidden="1">{"PRINT",#N/A,TRUE,"APPA";"PRINT",#N/A,TRUE,"APS";"PRINT",#N/A,TRUE,"BHPL";"PRINT",#N/A,TRUE,"BHPL2";"PRINT",#N/A,TRUE,"CDWR";"PRINT",#N/A,TRUE,"EWEB";"PRINT",#N/A,TRUE,"LADWP";"PRINT",#N/A,TRUE,"NEVBASE"}</definedName>
    <definedName name="Keep_3" localSheetId="10" hidden="1">{"PRINT",#N/A,TRUE,"APPA";"PRINT",#N/A,TRUE,"APS";"PRINT",#N/A,TRUE,"BHPL";"PRINT",#N/A,TRUE,"BHPL2";"PRINT",#N/A,TRUE,"CDWR";"PRINT",#N/A,TRUE,"EWEB";"PRINT",#N/A,TRUE,"LADWP";"PRINT",#N/A,TRUE,"NEVBASE"}</definedName>
    <definedName name="Keep_3" localSheetId="15" hidden="1">{"PRINT",#N/A,TRUE,"APPA";"PRINT",#N/A,TRUE,"APS";"PRINT",#N/A,TRUE,"BHPL";"PRINT",#N/A,TRUE,"BHPL2";"PRINT",#N/A,TRUE,"CDWR";"PRINT",#N/A,TRUE,"EWEB";"PRINT",#N/A,TRUE,"LADWP";"PRINT",#N/A,TRUE,"NEVBASE"}</definedName>
    <definedName name="Keep_3" localSheetId="0" hidden="1">{"PRINT",#N/A,TRUE,"APPA";"PRINT",#N/A,TRUE,"APS";"PRINT",#N/A,TRUE,"BHPL";"PRINT",#N/A,TRUE,"BHPL2";"PRINT",#N/A,TRUE,"CDWR";"PRINT",#N/A,TRUE,"EWEB";"PRINT",#N/A,TRUE,"LADWP";"PRINT",#N/A,TRUE,"NEVBASE"}</definedName>
    <definedName name="Keep_3" hidden="1">{"PRINT",#N/A,TRUE,"APPA";"PRINT",#N/A,TRUE,"APS";"PRINT",#N/A,TRUE,"BHPL";"PRINT",#N/A,TRUE,"BHPL2";"PRINT",#N/A,TRUE,"CDWR";"PRINT",#N/A,TRUE,"EWEB";"PRINT",#N/A,TRUE,"LADWP";"PRINT",#N/A,TRUE,"NEVBASE"}</definedName>
    <definedName name="Keep_4" localSheetId="1" hidden="1">{"PRINT",#N/A,TRUE,"APPA";"PRINT",#N/A,TRUE,"APS";"PRINT",#N/A,TRUE,"BHPL";"PRINT",#N/A,TRUE,"BHPL2";"PRINT",#N/A,TRUE,"CDWR";"PRINT",#N/A,TRUE,"EWEB";"PRINT",#N/A,TRUE,"LADWP";"PRINT",#N/A,TRUE,"NEVBASE"}</definedName>
    <definedName name="Keep_4" localSheetId="3" hidden="1">{"PRINT",#N/A,TRUE,"APPA";"PRINT",#N/A,TRUE,"APS";"PRINT",#N/A,TRUE,"BHPL";"PRINT",#N/A,TRUE,"BHPL2";"PRINT",#N/A,TRUE,"CDWR";"PRINT",#N/A,TRUE,"EWEB";"PRINT",#N/A,TRUE,"LADWP";"PRINT",#N/A,TRUE,"NEVBASE"}</definedName>
    <definedName name="Keep_4" localSheetId="4" hidden="1">{"PRINT",#N/A,TRUE,"APPA";"PRINT",#N/A,TRUE,"APS";"PRINT",#N/A,TRUE,"BHPL";"PRINT",#N/A,TRUE,"BHPL2";"PRINT",#N/A,TRUE,"CDWR";"PRINT",#N/A,TRUE,"EWEB";"PRINT",#N/A,TRUE,"LADWP";"PRINT",#N/A,TRUE,"NEVBASE"}</definedName>
    <definedName name="Keep_4" localSheetId="5" hidden="1">{"PRINT",#N/A,TRUE,"APPA";"PRINT",#N/A,TRUE,"APS";"PRINT",#N/A,TRUE,"BHPL";"PRINT",#N/A,TRUE,"BHPL2";"PRINT",#N/A,TRUE,"CDWR";"PRINT",#N/A,TRUE,"EWEB";"PRINT",#N/A,TRUE,"LADWP";"PRINT",#N/A,TRUE,"NEVBASE"}</definedName>
    <definedName name="Keep_4" localSheetId="6" hidden="1">{"PRINT",#N/A,TRUE,"APPA";"PRINT",#N/A,TRUE,"APS";"PRINT",#N/A,TRUE,"BHPL";"PRINT",#N/A,TRUE,"BHPL2";"PRINT",#N/A,TRUE,"CDWR";"PRINT",#N/A,TRUE,"EWEB";"PRINT",#N/A,TRUE,"LADWP";"PRINT",#N/A,TRUE,"NEVBASE"}</definedName>
    <definedName name="Keep_4" localSheetId="7" hidden="1">{"PRINT",#N/A,TRUE,"APPA";"PRINT",#N/A,TRUE,"APS";"PRINT",#N/A,TRUE,"BHPL";"PRINT",#N/A,TRUE,"BHPL2";"PRINT",#N/A,TRUE,"CDWR";"PRINT",#N/A,TRUE,"EWEB";"PRINT",#N/A,TRUE,"LADWP";"PRINT",#N/A,TRUE,"NEVBASE"}</definedName>
    <definedName name="Keep_4" localSheetId="8" hidden="1">{"PRINT",#N/A,TRUE,"APPA";"PRINT",#N/A,TRUE,"APS";"PRINT",#N/A,TRUE,"BHPL";"PRINT",#N/A,TRUE,"BHPL2";"PRINT",#N/A,TRUE,"CDWR";"PRINT",#N/A,TRUE,"EWEB";"PRINT",#N/A,TRUE,"LADWP";"PRINT",#N/A,TRUE,"NEVBASE"}</definedName>
    <definedName name="Keep_4" localSheetId="9" hidden="1">{"PRINT",#N/A,TRUE,"APPA";"PRINT",#N/A,TRUE,"APS";"PRINT",#N/A,TRUE,"BHPL";"PRINT",#N/A,TRUE,"BHPL2";"PRINT",#N/A,TRUE,"CDWR";"PRINT",#N/A,TRUE,"EWEB";"PRINT",#N/A,TRUE,"LADWP";"PRINT",#N/A,TRUE,"NEVBASE"}</definedName>
    <definedName name="Keep_4" localSheetId="10" hidden="1">{"PRINT",#N/A,TRUE,"APPA";"PRINT",#N/A,TRUE,"APS";"PRINT",#N/A,TRUE,"BHPL";"PRINT",#N/A,TRUE,"BHPL2";"PRINT",#N/A,TRUE,"CDWR";"PRINT",#N/A,TRUE,"EWEB";"PRINT",#N/A,TRUE,"LADWP";"PRINT",#N/A,TRUE,"NEVBASE"}</definedName>
    <definedName name="Keep_4" localSheetId="15" hidden="1">{"PRINT",#N/A,TRUE,"APPA";"PRINT",#N/A,TRUE,"APS";"PRINT",#N/A,TRUE,"BHPL";"PRINT",#N/A,TRUE,"BHPL2";"PRINT",#N/A,TRUE,"CDWR";"PRINT",#N/A,TRUE,"EWEB";"PRINT",#N/A,TRUE,"LADWP";"PRINT",#N/A,TRUE,"NEVBASE"}</definedName>
    <definedName name="Keep_4" localSheetId="0" hidden="1">{"PRINT",#N/A,TRUE,"APPA";"PRINT",#N/A,TRUE,"APS";"PRINT",#N/A,TRUE,"BHPL";"PRINT",#N/A,TRUE,"BHPL2";"PRINT",#N/A,TRUE,"CDWR";"PRINT",#N/A,TRUE,"EWEB";"PRINT",#N/A,TRUE,"LADWP";"PRINT",#N/A,TRUE,"NEVBASE"}</definedName>
    <definedName name="Keep_4" hidden="1">{"PRINT",#N/A,TRUE,"APPA";"PRINT",#N/A,TRUE,"APS";"PRINT",#N/A,TRUE,"BHPL";"PRINT",#N/A,TRUE,"BHPL2";"PRINT",#N/A,TRUE,"CDWR";"PRINT",#N/A,TRUE,"EWEB";"PRINT",#N/A,TRUE,"LADWP";"PRINT",#N/A,TRUE,"NEVBASE"}</definedName>
    <definedName name="Keep_5" localSheetId="1" hidden="1">{"PRINT",#N/A,TRUE,"APPA";"PRINT",#N/A,TRUE,"APS";"PRINT",#N/A,TRUE,"BHPL";"PRINT",#N/A,TRUE,"BHPL2";"PRINT",#N/A,TRUE,"CDWR";"PRINT",#N/A,TRUE,"EWEB";"PRINT",#N/A,TRUE,"LADWP";"PRINT",#N/A,TRUE,"NEVBASE"}</definedName>
    <definedName name="Keep_5" localSheetId="3" hidden="1">{"PRINT",#N/A,TRUE,"APPA";"PRINT",#N/A,TRUE,"APS";"PRINT",#N/A,TRUE,"BHPL";"PRINT",#N/A,TRUE,"BHPL2";"PRINT",#N/A,TRUE,"CDWR";"PRINT",#N/A,TRUE,"EWEB";"PRINT",#N/A,TRUE,"LADWP";"PRINT",#N/A,TRUE,"NEVBASE"}</definedName>
    <definedName name="Keep_5" localSheetId="4" hidden="1">{"PRINT",#N/A,TRUE,"APPA";"PRINT",#N/A,TRUE,"APS";"PRINT",#N/A,TRUE,"BHPL";"PRINT",#N/A,TRUE,"BHPL2";"PRINT",#N/A,TRUE,"CDWR";"PRINT",#N/A,TRUE,"EWEB";"PRINT",#N/A,TRUE,"LADWP";"PRINT",#N/A,TRUE,"NEVBASE"}</definedName>
    <definedName name="Keep_5" localSheetId="5" hidden="1">{"PRINT",#N/A,TRUE,"APPA";"PRINT",#N/A,TRUE,"APS";"PRINT",#N/A,TRUE,"BHPL";"PRINT",#N/A,TRUE,"BHPL2";"PRINT",#N/A,TRUE,"CDWR";"PRINT",#N/A,TRUE,"EWEB";"PRINT",#N/A,TRUE,"LADWP";"PRINT",#N/A,TRUE,"NEVBASE"}</definedName>
    <definedName name="Keep_5" localSheetId="6" hidden="1">{"PRINT",#N/A,TRUE,"APPA";"PRINT",#N/A,TRUE,"APS";"PRINT",#N/A,TRUE,"BHPL";"PRINT",#N/A,TRUE,"BHPL2";"PRINT",#N/A,TRUE,"CDWR";"PRINT",#N/A,TRUE,"EWEB";"PRINT",#N/A,TRUE,"LADWP";"PRINT",#N/A,TRUE,"NEVBASE"}</definedName>
    <definedName name="Keep_5" localSheetId="7" hidden="1">{"PRINT",#N/A,TRUE,"APPA";"PRINT",#N/A,TRUE,"APS";"PRINT",#N/A,TRUE,"BHPL";"PRINT",#N/A,TRUE,"BHPL2";"PRINT",#N/A,TRUE,"CDWR";"PRINT",#N/A,TRUE,"EWEB";"PRINT",#N/A,TRUE,"LADWP";"PRINT",#N/A,TRUE,"NEVBASE"}</definedName>
    <definedName name="Keep_5" localSheetId="8" hidden="1">{"PRINT",#N/A,TRUE,"APPA";"PRINT",#N/A,TRUE,"APS";"PRINT",#N/A,TRUE,"BHPL";"PRINT",#N/A,TRUE,"BHPL2";"PRINT",#N/A,TRUE,"CDWR";"PRINT",#N/A,TRUE,"EWEB";"PRINT",#N/A,TRUE,"LADWP";"PRINT",#N/A,TRUE,"NEVBASE"}</definedName>
    <definedName name="Keep_5" localSheetId="9" hidden="1">{"PRINT",#N/A,TRUE,"APPA";"PRINT",#N/A,TRUE,"APS";"PRINT",#N/A,TRUE,"BHPL";"PRINT",#N/A,TRUE,"BHPL2";"PRINT",#N/A,TRUE,"CDWR";"PRINT",#N/A,TRUE,"EWEB";"PRINT",#N/A,TRUE,"LADWP";"PRINT",#N/A,TRUE,"NEVBASE"}</definedName>
    <definedName name="Keep_5" localSheetId="10" hidden="1">{"PRINT",#N/A,TRUE,"APPA";"PRINT",#N/A,TRUE,"APS";"PRINT",#N/A,TRUE,"BHPL";"PRINT",#N/A,TRUE,"BHPL2";"PRINT",#N/A,TRUE,"CDWR";"PRINT",#N/A,TRUE,"EWEB";"PRINT",#N/A,TRUE,"LADWP";"PRINT",#N/A,TRUE,"NEVBASE"}</definedName>
    <definedName name="Keep_5" localSheetId="15" hidden="1">{"PRINT",#N/A,TRUE,"APPA";"PRINT",#N/A,TRUE,"APS";"PRINT",#N/A,TRUE,"BHPL";"PRINT",#N/A,TRUE,"BHPL2";"PRINT",#N/A,TRUE,"CDWR";"PRINT",#N/A,TRUE,"EWEB";"PRINT",#N/A,TRUE,"LADWP";"PRINT",#N/A,TRUE,"NEVBASE"}</definedName>
    <definedName name="Keep_5" localSheetId="0" hidden="1">{"PRINT",#N/A,TRUE,"APPA";"PRINT",#N/A,TRUE,"APS";"PRINT",#N/A,TRUE,"BHPL";"PRINT",#N/A,TRUE,"BHPL2";"PRINT",#N/A,TRUE,"CDWR";"PRINT",#N/A,TRUE,"EWEB";"PRINT",#N/A,TRUE,"LADWP";"PRINT",#N/A,TRUE,"NEVBASE"}</definedName>
    <definedName name="Keep_5" hidden="1">{"PRINT",#N/A,TRUE,"APPA";"PRINT",#N/A,TRUE,"APS";"PRINT",#N/A,TRUE,"BHPL";"PRINT",#N/A,TRUE,"BHPL2";"PRINT",#N/A,TRUE,"CDWR";"PRINT",#N/A,TRUE,"EWEB";"PRINT",#N/A,TRUE,"LADWP";"PRINT",#N/A,TRUE,"NEVBASE"}</definedName>
    <definedName name="keep2" localSheetId="1" hidden="1">{"PRINT",#N/A,TRUE,"APPA";"PRINT",#N/A,TRUE,"APS";"PRINT",#N/A,TRUE,"BHPL";"PRINT",#N/A,TRUE,"BHPL2";"PRINT",#N/A,TRUE,"CDWR";"PRINT",#N/A,TRUE,"EWEB";"PRINT",#N/A,TRUE,"LADWP";"PRINT",#N/A,TRUE,"NEVBASE"}</definedName>
    <definedName name="keep2" localSheetId="3" hidden="1">{"PRINT",#N/A,TRUE,"APPA";"PRINT",#N/A,TRUE,"APS";"PRINT",#N/A,TRUE,"BHPL";"PRINT",#N/A,TRUE,"BHPL2";"PRINT",#N/A,TRUE,"CDWR";"PRINT",#N/A,TRUE,"EWEB";"PRINT",#N/A,TRUE,"LADWP";"PRINT",#N/A,TRUE,"NEVBASE"}</definedName>
    <definedName name="keep2" localSheetId="4" hidden="1">{"PRINT",#N/A,TRUE,"APPA";"PRINT",#N/A,TRUE,"APS";"PRINT",#N/A,TRUE,"BHPL";"PRINT",#N/A,TRUE,"BHPL2";"PRINT",#N/A,TRUE,"CDWR";"PRINT",#N/A,TRUE,"EWEB";"PRINT",#N/A,TRUE,"LADWP";"PRINT",#N/A,TRUE,"NEVBASE"}</definedName>
    <definedName name="keep2" localSheetId="5" hidden="1">{"PRINT",#N/A,TRUE,"APPA";"PRINT",#N/A,TRUE,"APS";"PRINT",#N/A,TRUE,"BHPL";"PRINT",#N/A,TRUE,"BHPL2";"PRINT",#N/A,TRUE,"CDWR";"PRINT",#N/A,TRUE,"EWEB";"PRINT",#N/A,TRUE,"LADWP";"PRINT",#N/A,TRUE,"NEVBASE"}</definedName>
    <definedName name="keep2" localSheetId="6" hidden="1">{"PRINT",#N/A,TRUE,"APPA";"PRINT",#N/A,TRUE,"APS";"PRINT",#N/A,TRUE,"BHPL";"PRINT",#N/A,TRUE,"BHPL2";"PRINT",#N/A,TRUE,"CDWR";"PRINT",#N/A,TRUE,"EWEB";"PRINT",#N/A,TRUE,"LADWP";"PRINT",#N/A,TRUE,"NEVBASE"}</definedName>
    <definedName name="keep2" localSheetId="7" hidden="1">{"PRINT",#N/A,TRUE,"APPA";"PRINT",#N/A,TRUE,"APS";"PRINT",#N/A,TRUE,"BHPL";"PRINT",#N/A,TRUE,"BHPL2";"PRINT",#N/A,TRUE,"CDWR";"PRINT",#N/A,TRUE,"EWEB";"PRINT",#N/A,TRUE,"LADWP";"PRINT",#N/A,TRUE,"NEVBASE"}</definedName>
    <definedName name="keep2" localSheetId="8" hidden="1">{"PRINT",#N/A,TRUE,"APPA";"PRINT",#N/A,TRUE,"APS";"PRINT",#N/A,TRUE,"BHPL";"PRINT",#N/A,TRUE,"BHPL2";"PRINT",#N/A,TRUE,"CDWR";"PRINT",#N/A,TRUE,"EWEB";"PRINT",#N/A,TRUE,"LADWP";"PRINT",#N/A,TRUE,"NEVBASE"}</definedName>
    <definedName name="keep2" localSheetId="9" hidden="1">{"PRINT",#N/A,TRUE,"APPA";"PRINT",#N/A,TRUE,"APS";"PRINT",#N/A,TRUE,"BHPL";"PRINT",#N/A,TRUE,"BHPL2";"PRINT",#N/A,TRUE,"CDWR";"PRINT",#N/A,TRUE,"EWEB";"PRINT",#N/A,TRUE,"LADWP";"PRINT",#N/A,TRUE,"NEVBASE"}</definedName>
    <definedName name="keep2" localSheetId="10" hidden="1">{"PRINT",#N/A,TRUE,"APPA";"PRINT",#N/A,TRUE,"APS";"PRINT",#N/A,TRUE,"BHPL";"PRINT",#N/A,TRUE,"BHPL2";"PRINT",#N/A,TRUE,"CDWR";"PRINT",#N/A,TRUE,"EWEB";"PRINT",#N/A,TRUE,"LADWP";"PRINT",#N/A,TRUE,"NEVBASE"}</definedName>
    <definedName name="keep2" localSheetId="15" hidden="1">{"PRINT",#N/A,TRUE,"APPA";"PRINT",#N/A,TRUE,"APS";"PRINT",#N/A,TRUE,"BHPL";"PRINT",#N/A,TRUE,"BHPL2";"PRINT",#N/A,TRUE,"CDWR";"PRINT",#N/A,TRUE,"EWEB";"PRINT",#N/A,TRUE,"LADWP";"PRINT",#N/A,TRUE,"NEVBASE"}</definedName>
    <definedName name="keep2" localSheetId="0" hidden="1">{"PRINT",#N/A,TRUE,"APPA";"PRINT",#N/A,TRUE,"APS";"PRINT",#N/A,TRUE,"BHPL";"PRINT",#N/A,TRUE,"BHPL2";"PRINT",#N/A,TRUE,"CDWR";"PRINT",#N/A,TRUE,"EWEB";"PRINT",#N/A,TRUE,"LADWP";"PRINT",#N/A,TRUE,"NEVBASE"}</definedName>
    <definedName name="keep2" hidden="1">{"PRINT",#N/A,TRUE,"APPA";"PRINT",#N/A,TRUE,"APS";"PRINT",#N/A,TRUE,"BHPL";"PRINT",#N/A,TRUE,"BHPL2";"PRINT",#N/A,TRUE,"CDWR";"PRINT",#N/A,TRUE,"EWEB";"PRINT",#N/A,TRUE,"LADWP";"PRINT",#N/A,TRUE,"NEVBASE"}</definedName>
    <definedName name="keep2_1" localSheetId="1" hidden="1">{"PRINT",#N/A,TRUE,"APPA";"PRINT",#N/A,TRUE,"APS";"PRINT",#N/A,TRUE,"BHPL";"PRINT",#N/A,TRUE,"BHPL2";"PRINT",#N/A,TRUE,"CDWR";"PRINT",#N/A,TRUE,"EWEB";"PRINT",#N/A,TRUE,"LADWP";"PRINT",#N/A,TRUE,"NEVBASE"}</definedName>
    <definedName name="keep2_1" localSheetId="3" hidden="1">{"PRINT",#N/A,TRUE,"APPA";"PRINT",#N/A,TRUE,"APS";"PRINT",#N/A,TRUE,"BHPL";"PRINT",#N/A,TRUE,"BHPL2";"PRINT",#N/A,TRUE,"CDWR";"PRINT",#N/A,TRUE,"EWEB";"PRINT",#N/A,TRUE,"LADWP";"PRINT",#N/A,TRUE,"NEVBASE"}</definedName>
    <definedName name="keep2_1" localSheetId="4" hidden="1">{"PRINT",#N/A,TRUE,"APPA";"PRINT",#N/A,TRUE,"APS";"PRINT",#N/A,TRUE,"BHPL";"PRINT",#N/A,TRUE,"BHPL2";"PRINT",#N/A,TRUE,"CDWR";"PRINT",#N/A,TRUE,"EWEB";"PRINT",#N/A,TRUE,"LADWP";"PRINT",#N/A,TRUE,"NEVBASE"}</definedName>
    <definedName name="keep2_1" localSheetId="5" hidden="1">{"PRINT",#N/A,TRUE,"APPA";"PRINT",#N/A,TRUE,"APS";"PRINT",#N/A,TRUE,"BHPL";"PRINT",#N/A,TRUE,"BHPL2";"PRINT",#N/A,TRUE,"CDWR";"PRINT",#N/A,TRUE,"EWEB";"PRINT",#N/A,TRUE,"LADWP";"PRINT",#N/A,TRUE,"NEVBASE"}</definedName>
    <definedName name="keep2_1" localSheetId="6" hidden="1">{"PRINT",#N/A,TRUE,"APPA";"PRINT",#N/A,TRUE,"APS";"PRINT",#N/A,TRUE,"BHPL";"PRINT",#N/A,TRUE,"BHPL2";"PRINT",#N/A,TRUE,"CDWR";"PRINT",#N/A,TRUE,"EWEB";"PRINT",#N/A,TRUE,"LADWP";"PRINT",#N/A,TRUE,"NEVBASE"}</definedName>
    <definedName name="keep2_1" localSheetId="7" hidden="1">{"PRINT",#N/A,TRUE,"APPA";"PRINT",#N/A,TRUE,"APS";"PRINT",#N/A,TRUE,"BHPL";"PRINT",#N/A,TRUE,"BHPL2";"PRINT",#N/A,TRUE,"CDWR";"PRINT",#N/A,TRUE,"EWEB";"PRINT",#N/A,TRUE,"LADWP";"PRINT",#N/A,TRUE,"NEVBASE"}</definedName>
    <definedName name="keep2_1" localSheetId="8" hidden="1">{"PRINT",#N/A,TRUE,"APPA";"PRINT",#N/A,TRUE,"APS";"PRINT",#N/A,TRUE,"BHPL";"PRINT",#N/A,TRUE,"BHPL2";"PRINT",#N/A,TRUE,"CDWR";"PRINT",#N/A,TRUE,"EWEB";"PRINT",#N/A,TRUE,"LADWP";"PRINT",#N/A,TRUE,"NEVBASE"}</definedName>
    <definedName name="keep2_1" localSheetId="9" hidden="1">{"PRINT",#N/A,TRUE,"APPA";"PRINT",#N/A,TRUE,"APS";"PRINT",#N/A,TRUE,"BHPL";"PRINT",#N/A,TRUE,"BHPL2";"PRINT",#N/A,TRUE,"CDWR";"PRINT",#N/A,TRUE,"EWEB";"PRINT",#N/A,TRUE,"LADWP";"PRINT",#N/A,TRUE,"NEVBASE"}</definedName>
    <definedName name="keep2_1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1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1" localSheetId="0" hidden="1">{"PRINT",#N/A,TRUE,"APPA";"PRINT",#N/A,TRUE,"APS";"PRINT",#N/A,TRUE,"BHPL";"PRINT",#N/A,TRUE,"BHPL2";"PRINT",#N/A,TRUE,"CDWR";"PRINT",#N/A,TRUE,"EWEB";"PRINT",#N/A,TRUE,"LADWP";"PRINT",#N/A,TRUE,"NEVBASE"}</definedName>
    <definedName name="keep2_1" hidden="1">{"PRINT",#N/A,TRUE,"APPA";"PRINT",#N/A,TRUE,"APS";"PRINT",#N/A,TRUE,"BHPL";"PRINT",#N/A,TRUE,"BHPL2";"PRINT",#N/A,TRUE,"CDWR";"PRINT",#N/A,TRUE,"EWEB";"PRINT",#N/A,TRUE,"LADWP";"PRINT",#N/A,TRUE,"NEVBASE"}</definedName>
    <definedName name="keep2_2" localSheetId="1" hidden="1">{"PRINT",#N/A,TRUE,"APPA";"PRINT",#N/A,TRUE,"APS";"PRINT",#N/A,TRUE,"BHPL";"PRINT",#N/A,TRUE,"BHPL2";"PRINT",#N/A,TRUE,"CDWR";"PRINT",#N/A,TRUE,"EWEB";"PRINT",#N/A,TRUE,"LADWP";"PRINT",#N/A,TRUE,"NEVBASE"}</definedName>
    <definedName name="keep2_2" localSheetId="3" hidden="1">{"PRINT",#N/A,TRUE,"APPA";"PRINT",#N/A,TRUE,"APS";"PRINT",#N/A,TRUE,"BHPL";"PRINT",#N/A,TRUE,"BHPL2";"PRINT",#N/A,TRUE,"CDWR";"PRINT",#N/A,TRUE,"EWEB";"PRINT",#N/A,TRUE,"LADWP";"PRINT",#N/A,TRUE,"NEVBASE"}</definedName>
    <definedName name="keep2_2" localSheetId="4" hidden="1">{"PRINT",#N/A,TRUE,"APPA";"PRINT",#N/A,TRUE,"APS";"PRINT",#N/A,TRUE,"BHPL";"PRINT",#N/A,TRUE,"BHPL2";"PRINT",#N/A,TRUE,"CDWR";"PRINT",#N/A,TRUE,"EWEB";"PRINT",#N/A,TRUE,"LADWP";"PRINT",#N/A,TRUE,"NEVBASE"}</definedName>
    <definedName name="keep2_2" localSheetId="5" hidden="1">{"PRINT",#N/A,TRUE,"APPA";"PRINT",#N/A,TRUE,"APS";"PRINT",#N/A,TRUE,"BHPL";"PRINT",#N/A,TRUE,"BHPL2";"PRINT",#N/A,TRUE,"CDWR";"PRINT",#N/A,TRUE,"EWEB";"PRINT",#N/A,TRUE,"LADWP";"PRINT",#N/A,TRUE,"NEVBASE"}</definedName>
    <definedName name="keep2_2" localSheetId="6" hidden="1">{"PRINT",#N/A,TRUE,"APPA";"PRINT",#N/A,TRUE,"APS";"PRINT",#N/A,TRUE,"BHPL";"PRINT",#N/A,TRUE,"BHPL2";"PRINT",#N/A,TRUE,"CDWR";"PRINT",#N/A,TRUE,"EWEB";"PRINT",#N/A,TRUE,"LADWP";"PRINT",#N/A,TRUE,"NEVBASE"}</definedName>
    <definedName name="keep2_2" localSheetId="7" hidden="1">{"PRINT",#N/A,TRUE,"APPA";"PRINT",#N/A,TRUE,"APS";"PRINT",#N/A,TRUE,"BHPL";"PRINT",#N/A,TRUE,"BHPL2";"PRINT",#N/A,TRUE,"CDWR";"PRINT",#N/A,TRUE,"EWEB";"PRINT",#N/A,TRUE,"LADWP";"PRINT",#N/A,TRUE,"NEVBASE"}</definedName>
    <definedName name="keep2_2" localSheetId="8" hidden="1">{"PRINT",#N/A,TRUE,"APPA";"PRINT",#N/A,TRUE,"APS";"PRINT",#N/A,TRUE,"BHPL";"PRINT",#N/A,TRUE,"BHPL2";"PRINT",#N/A,TRUE,"CDWR";"PRINT",#N/A,TRUE,"EWEB";"PRINT",#N/A,TRUE,"LADWP";"PRINT",#N/A,TRUE,"NEVBASE"}</definedName>
    <definedName name="keep2_2" localSheetId="9" hidden="1">{"PRINT",#N/A,TRUE,"APPA";"PRINT",#N/A,TRUE,"APS";"PRINT",#N/A,TRUE,"BHPL";"PRINT",#N/A,TRUE,"BHPL2";"PRINT",#N/A,TRUE,"CDWR";"PRINT",#N/A,TRUE,"EWEB";"PRINT",#N/A,TRUE,"LADWP";"PRINT",#N/A,TRUE,"NEVBASE"}</definedName>
    <definedName name="keep2_2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2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2" localSheetId="0" hidden="1">{"PRINT",#N/A,TRUE,"APPA";"PRINT",#N/A,TRUE,"APS";"PRINT",#N/A,TRUE,"BHPL";"PRINT",#N/A,TRUE,"BHPL2";"PRINT",#N/A,TRUE,"CDWR";"PRINT",#N/A,TRUE,"EWEB";"PRINT",#N/A,TRUE,"LADWP";"PRINT",#N/A,TRUE,"NEVBASE"}</definedName>
    <definedName name="keep2_2" hidden="1">{"PRINT",#N/A,TRUE,"APPA";"PRINT",#N/A,TRUE,"APS";"PRINT",#N/A,TRUE,"BHPL";"PRINT",#N/A,TRUE,"BHPL2";"PRINT",#N/A,TRUE,"CDWR";"PRINT",#N/A,TRUE,"EWEB";"PRINT",#N/A,TRUE,"LADWP";"PRINT",#N/A,TRUE,"NEVBASE"}</definedName>
    <definedName name="keep2_3" localSheetId="1" hidden="1">{"PRINT",#N/A,TRUE,"APPA";"PRINT",#N/A,TRUE,"APS";"PRINT",#N/A,TRUE,"BHPL";"PRINT",#N/A,TRUE,"BHPL2";"PRINT",#N/A,TRUE,"CDWR";"PRINT",#N/A,TRUE,"EWEB";"PRINT",#N/A,TRUE,"LADWP";"PRINT",#N/A,TRUE,"NEVBASE"}</definedName>
    <definedName name="keep2_3" localSheetId="3" hidden="1">{"PRINT",#N/A,TRUE,"APPA";"PRINT",#N/A,TRUE,"APS";"PRINT",#N/A,TRUE,"BHPL";"PRINT",#N/A,TRUE,"BHPL2";"PRINT",#N/A,TRUE,"CDWR";"PRINT",#N/A,TRUE,"EWEB";"PRINT",#N/A,TRUE,"LADWP";"PRINT",#N/A,TRUE,"NEVBASE"}</definedName>
    <definedName name="keep2_3" localSheetId="4" hidden="1">{"PRINT",#N/A,TRUE,"APPA";"PRINT",#N/A,TRUE,"APS";"PRINT",#N/A,TRUE,"BHPL";"PRINT",#N/A,TRUE,"BHPL2";"PRINT",#N/A,TRUE,"CDWR";"PRINT",#N/A,TRUE,"EWEB";"PRINT",#N/A,TRUE,"LADWP";"PRINT",#N/A,TRUE,"NEVBASE"}</definedName>
    <definedName name="keep2_3" localSheetId="5" hidden="1">{"PRINT",#N/A,TRUE,"APPA";"PRINT",#N/A,TRUE,"APS";"PRINT",#N/A,TRUE,"BHPL";"PRINT",#N/A,TRUE,"BHPL2";"PRINT",#N/A,TRUE,"CDWR";"PRINT",#N/A,TRUE,"EWEB";"PRINT",#N/A,TRUE,"LADWP";"PRINT",#N/A,TRUE,"NEVBASE"}</definedName>
    <definedName name="keep2_3" localSheetId="6" hidden="1">{"PRINT",#N/A,TRUE,"APPA";"PRINT",#N/A,TRUE,"APS";"PRINT",#N/A,TRUE,"BHPL";"PRINT",#N/A,TRUE,"BHPL2";"PRINT",#N/A,TRUE,"CDWR";"PRINT",#N/A,TRUE,"EWEB";"PRINT",#N/A,TRUE,"LADWP";"PRINT",#N/A,TRUE,"NEVBASE"}</definedName>
    <definedName name="keep2_3" localSheetId="7" hidden="1">{"PRINT",#N/A,TRUE,"APPA";"PRINT",#N/A,TRUE,"APS";"PRINT",#N/A,TRUE,"BHPL";"PRINT",#N/A,TRUE,"BHPL2";"PRINT",#N/A,TRUE,"CDWR";"PRINT",#N/A,TRUE,"EWEB";"PRINT",#N/A,TRUE,"LADWP";"PRINT",#N/A,TRUE,"NEVBASE"}</definedName>
    <definedName name="keep2_3" localSheetId="8" hidden="1">{"PRINT",#N/A,TRUE,"APPA";"PRINT",#N/A,TRUE,"APS";"PRINT",#N/A,TRUE,"BHPL";"PRINT",#N/A,TRUE,"BHPL2";"PRINT",#N/A,TRUE,"CDWR";"PRINT",#N/A,TRUE,"EWEB";"PRINT",#N/A,TRUE,"LADWP";"PRINT",#N/A,TRUE,"NEVBASE"}</definedName>
    <definedName name="keep2_3" localSheetId="9" hidden="1">{"PRINT",#N/A,TRUE,"APPA";"PRINT",#N/A,TRUE,"APS";"PRINT",#N/A,TRUE,"BHPL";"PRINT",#N/A,TRUE,"BHPL2";"PRINT",#N/A,TRUE,"CDWR";"PRINT",#N/A,TRUE,"EWEB";"PRINT",#N/A,TRUE,"LADWP";"PRINT",#N/A,TRUE,"NEVBASE"}</definedName>
    <definedName name="keep2_3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3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3" localSheetId="0" hidden="1">{"PRINT",#N/A,TRUE,"APPA";"PRINT",#N/A,TRUE,"APS";"PRINT",#N/A,TRUE,"BHPL";"PRINT",#N/A,TRUE,"BHPL2";"PRINT",#N/A,TRUE,"CDWR";"PRINT",#N/A,TRUE,"EWEB";"PRINT",#N/A,TRUE,"LADWP";"PRINT",#N/A,TRUE,"NEVBASE"}</definedName>
    <definedName name="keep2_3" hidden="1">{"PRINT",#N/A,TRUE,"APPA";"PRINT",#N/A,TRUE,"APS";"PRINT",#N/A,TRUE,"BHPL";"PRINT",#N/A,TRUE,"BHPL2";"PRINT",#N/A,TRUE,"CDWR";"PRINT",#N/A,TRUE,"EWEB";"PRINT",#N/A,TRUE,"LADWP";"PRINT",#N/A,TRUE,"NEVBASE"}</definedName>
    <definedName name="keep2_4" localSheetId="1" hidden="1">{"PRINT",#N/A,TRUE,"APPA";"PRINT",#N/A,TRUE,"APS";"PRINT",#N/A,TRUE,"BHPL";"PRINT",#N/A,TRUE,"BHPL2";"PRINT",#N/A,TRUE,"CDWR";"PRINT",#N/A,TRUE,"EWEB";"PRINT",#N/A,TRUE,"LADWP";"PRINT",#N/A,TRUE,"NEVBASE"}</definedName>
    <definedName name="keep2_4" localSheetId="3" hidden="1">{"PRINT",#N/A,TRUE,"APPA";"PRINT",#N/A,TRUE,"APS";"PRINT",#N/A,TRUE,"BHPL";"PRINT",#N/A,TRUE,"BHPL2";"PRINT",#N/A,TRUE,"CDWR";"PRINT",#N/A,TRUE,"EWEB";"PRINT",#N/A,TRUE,"LADWP";"PRINT",#N/A,TRUE,"NEVBASE"}</definedName>
    <definedName name="keep2_4" localSheetId="4" hidden="1">{"PRINT",#N/A,TRUE,"APPA";"PRINT",#N/A,TRUE,"APS";"PRINT",#N/A,TRUE,"BHPL";"PRINT",#N/A,TRUE,"BHPL2";"PRINT",#N/A,TRUE,"CDWR";"PRINT",#N/A,TRUE,"EWEB";"PRINT",#N/A,TRUE,"LADWP";"PRINT",#N/A,TRUE,"NEVBASE"}</definedName>
    <definedName name="keep2_4" localSheetId="5" hidden="1">{"PRINT",#N/A,TRUE,"APPA";"PRINT",#N/A,TRUE,"APS";"PRINT",#N/A,TRUE,"BHPL";"PRINT",#N/A,TRUE,"BHPL2";"PRINT",#N/A,TRUE,"CDWR";"PRINT",#N/A,TRUE,"EWEB";"PRINT",#N/A,TRUE,"LADWP";"PRINT",#N/A,TRUE,"NEVBASE"}</definedName>
    <definedName name="keep2_4" localSheetId="6" hidden="1">{"PRINT",#N/A,TRUE,"APPA";"PRINT",#N/A,TRUE,"APS";"PRINT",#N/A,TRUE,"BHPL";"PRINT",#N/A,TRUE,"BHPL2";"PRINT",#N/A,TRUE,"CDWR";"PRINT",#N/A,TRUE,"EWEB";"PRINT",#N/A,TRUE,"LADWP";"PRINT",#N/A,TRUE,"NEVBASE"}</definedName>
    <definedName name="keep2_4" localSheetId="7" hidden="1">{"PRINT",#N/A,TRUE,"APPA";"PRINT",#N/A,TRUE,"APS";"PRINT",#N/A,TRUE,"BHPL";"PRINT",#N/A,TRUE,"BHPL2";"PRINT",#N/A,TRUE,"CDWR";"PRINT",#N/A,TRUE,"EWEB";"PRINT",#N/A,TRUE,"LADWP";"PRINT",#N/A,TRUE,"NEVBASE"}</definedName>
    <definedName name="keep2_4" localSheetId="8" hidden="1">{"PRINT",#N/A,TRUE,"APPA";"PRINT",#N/A,TRUE,"APS";"PRINT",#N/A,TRUE,"BHPL";"PRINT",#N/A,TRUE,"BHPL2";"PRINT",#N/A,TRUE,"CDWR";"PRINT",#N/A,TRUE,"EWEB";"PRINT",#N/A,TRUE,"LADWP";"PRINT",#N/A,TRUE,"NEVBASE"}</definedName>
    <definedName name="keep2_4" localSheetId="9" hidden="1">{"PRINT",#N/A,TRUE,"APPA";"PRINT",#N/A,TRUE,"APS";"PRINT",#N/A,TRUE,"BHPL";"PRINT",#N/A,TRUE,"BHPL2";"PRINT",#N/A,TRUE,"CDWR";"PRINT",#N/A,TRUE,"EWEB";"PRINT",#N/A,TRUE,"LADWP";"PRINT",#N/A,TRUE,"NEVBASE"}</definedName>
    <definedName name="keep2_4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4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4" localSheetId="0" hidden="1">{"PRINT",#N/A,TRUE,"APPA";"PRINT",#N/A,TRUE,"APS";"PRINT",#N/A,TRUE,"BHPL";"PRINT",#N/A,TRUE,"BHPL2";"PRINT",#N/A,TRUE,"CDWR";"PRINT",#N/A,TRUE,"EWEB";"PRINT",#N/A,TRUE,"LADWP";"PRINT",#N/A,TRUE,"NEVBASE"}</definedName>
    <definedName name="keep2_4" hidden="1">{"PRINT",#N/A,TRUE,"APPA";"PRINT",#N/A,TRUE,"APS";"PRINT",#N/A,TRUE,"BHPL";"PRINT",#N/A,TRUE,"BHPL2";"PRINT",#N/A,TRUE,"CDWR";"PRINT",#N/A,TRUE,"EWEB";"PRINT",#N/A,TRUE,"LADWP";"PRINT",#N/A,TRUE,"NEVBASE"}</definedName>
    <definedName name="keep2_5" localSheetId="1" hidden="1">{"PRINT",#N/A,TRUE,"APPA";"PRINT",#N/A,TRUE,"APS";"PRINT",#N/A,TRUE,"BHPL";"PRINT",#N/A,TRUE,"BHPL2";"PRINT",#N/A,TRUE,"CDWR";"PRINT",#N/A,TRUE,"EWEB";"PRINT",#N/A,TRUE,"LADWP";"PRINT",#N/A,TRUE,"NEVBASE"}</definedName>
    <definedName name="keep2_5" localSheetId="3" hidden="1">{"PRINT",#N/A,TRUE,"APPA";"PRINT",#N/A,TRUE,"APS";"PRINT",#N/A,TRUE,"BHPL";"PRINT",#N/A,TRUE,"BHPL2";"PRINT",#N/A,TRUE,"CDWR";"PRINT",#N/A,TRUE,"EWEB";"PRINT",#N/A,TRUE,"LADWP";"PRINT",#N/A,TRUE,"NEVBASE"}</definedName>
    <definedName name="keep2_5" localSheetId="4" hidden="1">{"PRINT",#N/A,TRUE,"APPA";"PRINT",#N/A,TRUE,"APS";"PRINT",#N/A,TRUE,"BHPL";"PRINT",#N/A,TRUE,"BHPL2";"PRINT",#N/A,TRUE,"CDWR";"PRINT",#N/A,TRUE,"EWEB";"PRINT",#N/A,TRUE,"LADWP";"PRINT",#N/A,TRUE,"NEVBASE"}</definedName>
    <definedName name="keep2_5" localSheetId="5" hidden="1">{"PRINT",#N/A,TRUE,"APPA";"PRINT",#N/A,TRUE,"APS";"PRINT",#N/A,TRUE,"BHPL";"PRINT",#N/A,TRUE,"BHPL2";"PRINT",#N/A,TRUE,"CDWR";"PRINT",#N/A,TRUE,"EWEB";"PRINT",#N/A,TRUE,"LADWP";"PRINT",#N/A,TRUE,"NEVBASE"}</definedName>
    <definedName name="keep2_5" localSheetId="6" hidden="1">{"PRINT",#N/A,TRUE,"APPA";"PRINT",#N/A,TRUE,"APS";"PRINT",#N/A,TRUE,"BHPL";"PRINT",#N/A,TRUE,"BHPL2";"PRINT",#N/A,TRUE,"CDWR";"PRINT",#N/A,TRUE,"EWEB";"PRINT",#N/A,TRUE,"LADWP";"PRINT",#N/A,TRUE,"NEVBASE"}</definedName>
    <definedName name="keep2_5" localSheetId="7" hidden="1">{"PRINT",#N/A,TRUE,"APPA";"PRINT",#N/A,TRUE,"APS";"PRINT",#N/A,TRUE,"BHPL";"PRINT",#N/A,TRUE,"BHPL2";"PRINT",#N/A,TRUE,"CDWR";"PRINT",#N/A,TRUE,"EWEB";"PRINT",#N/A,TRUE,"LADWP";"PRINT",#N/A,TRUE,"NEVBASE"}</definedName>
    <definedName name="keep2_5" localSheetId="8" hidden="1">{"PRINT",#N/A,TRUE,"APPA";"PRINT",#N/A,TRUE,"APS";"PRINT",#N/A,TRUE,"BHPL";"PRINT",#N/A,TRUE,"BHPL2";"PRINT",#N/A,TRUE,"CDWR";"PRINT",#N/A,TRUE,"EWEB";"PRINT",#N/A,TRUE,"LADWP";"PRINT",#N/A,TRUE,"NEVBASE"}</definedName>
    <definedName name="keep2_5" localSheetId="9" hidden="1">{"PRINT",#N/A,TRUE,"APPA";"PRINT",#N/A,TRUE,"APS";"PRINT",#N/A,TRUE,"BHPL";"PRINT",#N/A,TRUE,"BHPL2";"PRINT",#N/A,TRUE,"CDWR";"PRINT",#N/A,TRUE,"EWEB";"PRINT",#N/A,TRUE,"LADWP";"PRINT",#N/A,TRUE,"NEVBASE"}</definedName>
    <definedName name="keep2_5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5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5" localSheetId="0" hidden="1">{"PRINT",#N/A,TRUE,"APPA";"PRINT",#N/A,TRUE,"APS";"PRINT",#N/A,TRUE,"BHPL";"PRINT",#N/A,TRUE,"BHPL2";"PRINT",#N/A,TRUE,"CDWR";"PRINT",#N/A,TRUE,"EWEB";"PRINT",#N/A,TRUE,"LADWP";"PRINT",#N/A,TRUE,"NEVBASE"}</definedName>
    <definedName name="keep2_5" hidden="1">{"PRINT",#N/A,TRUE,"APPA";"PRINT",#N/A,TRUE,"APS";"PRINT",#N/A,TRUE,"BHPL";"PRINT",#N/A,TRUE,"BHPL2";"PRINT",#N/A,TRUE,"CDWR";"PRINT",#N/A,TRUE,"EWEB";"PRINT",#N/A,TRUE,"LADWP";"PRINT",#N/A,TRUE,"NEVBASE"}</definedName>
    <definedName name="life">[1]Levelizer!$C$7</definedName>
    <definedName name="Master" localSheetId="1" hidden="1">{#N/A,#N/A,FALSE,"Actual";#N/A,#N/A,FALSE,"Normalized";#N/A,#N/A,FALSE,"Electric Actual";#N/A,#N/A,FALSE,"Electric Normalized"}</definedName>
    <definedName name="Master" localSheetId="3" hidden="1">{#N/A,#N/A,FALSE,"Actual";#N/A,#N/A,FALSE,"Normalized";#N/A,#N/A,FALSE,"Electric Actual";#N/A,#N/A,FALSE,"Electric Normalized"}</definedName>
    <definedName name="Master" localSheetId="4" hidden="1">{#N/A,#N/A,FALSE,"Actual";#N/A,#N/A,FALSE,"Normalized";#N/A,#N/A,FALSE,"Electric Actual";#N/A,#N/A,FALSE,"Electric Normalized"}</definedName>
    <definedName name="Master" localSheetId="5" hidden="1">{#N/A,#N/A,FALSE,"Actual";#N/A,#N/A,FALSE,"Normalized";#N/A,#N/A,FALSE,"Electric Actual";#N/A,#N/A,FALSE,"Electric Normalized"}</definedName>
    <definedName name="Master" localSheetId="6" hidden="1">{#N/A,#N/A,FALSE,"Actual";#N/A,#N/A,FALSE,"Normalized";#N/A,#N/A,FALSE,"Electric Actual";#N/A,#N/A,FALSE,"Electric Normalized"}</definedName>
    <definedName name="Master" localSheetId="7" hidden="1">{#N/A,#N/A,FALSE,"Actual";#N/A,#N/A,FALSE,"Normalized";#N/A,#N/A,FALSE,"Electric Actual";#N/A,#N/A,FALSE,"Electric Normalized"}</definedName>
    <definedName name="Master" localSheetId="8" hidden="1">{#N/A,#N/A,FALSE,"Actual";#N/A,#N/A,FALSE,"Normalized";#N/A,#N/A,FALSE,"Electric Actual";#N/A,#N/A,FALSE,"Electric Normalized"}</definedName>
    <definedName name="Master" localSheetId="9" hidden="1">{#N/A,#N/A,FALSE,"Actual";#N/A,#N/A,FALSE,"Normalized";#N/A,#N/A,FALSE,"Electric Actual";#N/A,#N/A,FALSE,"Electric Normalized"}</definedName>
    <definedName name="Master" localSheetId="10" hidden="1">{#N/A,#N/A,FALSE,"Actual";#N/A,#N/A,FALSE,"Normalized";#N/A,#N/A,FALSE,"Electric Actual";#N/A,#N/A,FALSE,"Electric Normalized"}</definedName>
    <definedName name="Master" localSheetId="15" hidden="1">{#N/A,#N/A,FALSE,"Actual";#N/A,#N/A,FALSE,"Normalized";#N/A,#N/A,FALSE,"Electric Actual";#N/A,#N/A,FALSE,"Electric Normalized"}</definedName>
    <definedName name="Master" localSheetId="0" hidden="1">{#N/A,#N/A,FALSE,"Actual";#N/A,#N/A,FALSE,"Normalized";#N/A,#N/A,FALSE,"Electric Actual";#N/A,#N/A,FALSE,"Electric Normalized"}</definedName>
    <definedName name="Master" hidden="1">{#N/A,#N/A,FALSE,"Actual";#N/A,#N/A,FALSE,"Normalized";#N/A,#N/A,FALSE,"Electric Actual";#N/A,#N/A,FALSE,"Electric Normalized"}</definedName>
    <definedName name="Master_1" localSheetId="1" hidden="1">{#N/A,#N/A,FALSE,"Actual";#N/A,#N/A,FALSE,"Normalized";#N/A,#N/A,FALSE,"Electric Actual";#N/A,#N/A,FALSE,"Electric Normalized"}</definedName>
    <definedName name="Master_1" localSheetId="3" hidden="1">{#N/A,#N/A,FALSE,"Actual";#N/A,#N/A,FALSE,"Normalized";#N/A,#N/A,FALSE,"Electric Actual";#N/A,#N/A,FALSE,"Electric Normalized"}</definedName>
    <definedName name="Master_1" localSheetId="4" hidden="1">{#N/A,#N/A,FALSE,"Actual";#N/A,#N/A,FALSE,"Normalized";#N/A,#N/A,FALSE,"Electric Actual";#N/A,#N/A,FALSE,"Electric Normalized"}</definedName>
    <definedName name="Master_1" localSheetId="5" hidden="1">{#N/A,#N/A,FALSE,"Actual";#N/A,#N/A,FALSE,"Normalized";#N/A,#N/A,FALSE,"Electric Actual";#N/A,#N/A,FALSE,"Electric Normalized"}</definedName>
    <definedName name="Master_1" localSheetId="6" hidden="1">{#N/A,#N/A,FALSE,"Actual";#N/A,#N/A,FALSE,"Normalized";#N/A,#N/A,FALSE,"Electric Actual";#N/A,#N/A,FALSE,"Electric Normalized"}</definedName>
    <definedName name="Master_1" localSheetId="7" hidden="1">{#N/A,#N/A,FALSE,"Actual";#N/A,#N/A,FALSE,"Normalized";#N/A,#N/A,FALSE,"Electric Actual";#N/A,#N/A,FALSE,"Electric Normalized"}</definedName>
    <definedName name="Master_1" localSheetId="8" hidden="1">{#N/A,#N/A,FALSE,"Actual";#N/A,#N/A,FALSE,"Normalized";#N/A,#N/A,FALSE,"Electric Actual";#N/A,#N/A,FALSE,"Electric Normalized"}</definedName>
    <definedName name="Master_1" localSheetId="9" hidden="1">{#N/A,#N/A,FALSE,"Actual";#N/A,#N/A,FALSE,"Normalized";#N/A,#N/A,FALSE,"Electric Actual";#N/A,#N/A,FALSE,"Electric Normalized"}</definedName>
    <definedName name="Master_1" localSheetId="10" hidden="1">{#N/A,#N/A,FALSE,"Actual";#N/A,#N/A,FALSE,"Normalized";#N/A,#N/A,FALSE,"Electric Actual";#N/A,#N/A,FALSE,"Electric Normalized"}</definedName>
    <definedName name="Master_1" localSheetId="15" hidden="1">{#N/A,#N/A,FALSE,"Actual";#N/A,#N/A,FALSE,"Normalized";#N/A,#N/A,FALSE,"Electric Actual";#N/A,#N/A,FALSE,"Electric Normalized"}</definedName>
    <definedName name="Master_1" localSheetId="0" hidden="1">{#N/A,#N/A,FALSE,"Actual";#N/A,#N/A,FALSE,"Normalized";#N/A,#N/A,FALSE,"Electric Actual";#N/A,#N/A,FALSE,"Electric Normalized"}</definedName>
    <definedName name="Master_1" hidden="1">{#N/A,#N/A,FALSE,"Actual";#N/A,#N/A,FALSE,"Normalized";#N/A,#N/A,FALSE,"Electric Actual";#N/A,#N/A,FALSE,"Electric Normalized"}</definedName>
    <definedName name="Master_2" localSheetId="1" hidden="1">{#N/A,#N/A,FALSE,"Actual";#N/A,#N/A,FALSE,"Normalized";#N/A,#N/A,FALSE,"Electric Actual";#N/A,#N/A,FALSE,"Electric Normalized"}</definedName>
    <definedName name="Master_2" localSheetId="3" hidden="1">{#N/A,#N/A,FALSE,"Actual";#N/A,#N/A,FALSE,"Normalized";#N/A,#N/A,FALSE,"Electric Actual";#N/A,#N/A,FALSE,"Electric Normalized"}</definedName>
    <definedName name="Master_2" localSheetId="4" hidden="1">{#N/A,#N/A,FALSE,"Actual";#N/A,#N/A,FALSE,"Normalized";#N/A,#N/A,FALSE,"Electric Actual";#N/A,#N/A,FALSE,"Electric Normalized"}</definedName>
    <definedName name="Master_2" localSheetId="5" hidden="1">{#N/A,#N/A,FALSE,"Actual";#N/A,#N/A,FALSE,"Normalized";#N/A,#N/A,FALSE,"Electric Actual";#N/A,#N/A,FALSE,"Electric Normalized"}</definedName>
    <definedName name="Master_2" localSheetId="6" hidden="1">{#N/A,#N/A,FALSE,"Actual";#N/A,#N/A,FALSE,"Normalized";#N/A,#N/A,FALSE,"Electric Actual";#N/A,#N/A,FALSE,"Electric Normalized"}</definedName>
    <definedName name="Master_2" localSheetId="7" hidden="1">{#N/A,#N/A,FALSE,"Actual";#N/A,#N/A,FALSE,"Normalized";#N/A,#N/A,FALSE,"Electric Actual";#N/A,#N/A,FALSE,"Electric Normalized"}</definedName>
    <definedName name="Master_2" localSheetId="8" hidden="1">{#N/A,#N/A,FALSE,"Actual";#N/A,#N/A,FALSE,"Normalized";#N/A,#N/A,FALSE,"Electric Actual";#N/A,#N/A,FALSE,"Electric Normalized"}</definedName>
    <definedName name="Master_2" localSheetId="9" hidden="1">{#N/A,#N/A,FALSE,"Actual";#N/A,#N/A,FALSE,"Normalized";#N/A,#N/A,FALSE,"Electric Actual";#N/A,#N/A,FALSE,"Electric Normalized"}</definedName>
    <definedName name="Master_2" localSheetId="10" hidden="1">{#N/A,#N/A,FALSE,"Actual";#N/A,#N/A,FALSE,"Normalized";#N/A,#N/A,FALSE,"Electric Actual";#N/A,#N/A,FALSE,"Electric Normalized"}</definedName>
    <definedName name="Master_2" localSheetId="15" hidden="1">{#N/A,#N/A,FALSE,"Actual";#N/A,#N/A,FALSE,"Normalized";#N/A,#N/A,FALSE,"Electric Actual";#N/A,#N/A,FALSE,"Electric Normalized"}</definedName>
    <definedName name="Master_2" localSheetId="0" hidden="1">{#N/A,#N/A,FALSE,"Actual";#N/A,#N/A,FALSE,"Normalized";#N/A,#N/A,FALSE,"Electric Actual";#N/A,#N/A,FALSE,"Electric Normalized"}</definedName>
    <definedName name="Master_2" hidden="1">{#N/A,#N/A,FALSE,"Actual";#N/A,#N/A,FALSE,"Normalized";#N/A,#N/A,FALSE,"Electric Actual";#N/A,#N/A,FALSE,"Electric Normalized"}</definedName>
    <definedName name="Master_3" localSheetId="1" hidden="1">{#N/A,#N/A,FALSE,"Actual";#N/A,#N/A,FALSE,"Normalized";#N/A,#N/A,FALSE,"Electric Actual";#N/A,#N/A,FALSE,"Electric Normalized"}</definedName>
    <definedName name="Master_3" localSheetId="3" hidden="1">{#N/A,#N/A,FALSE,"Actual";#N/A,#N/A,FALSE,"Normalized";#N/A,#N/A,FALSE,"Electric Actual";#N/A,#N/A,FALSE,"Electric Normalized"}</definedName>
    <definedName name="Master_3" localSheetId="4" hidden="1">{#N/A,#N/A,FALSE,"Actual";#N/A,#N/A,FALSE,"Normalized";#N/A,#N/A,FALSE,"Electric Actual";#N/A,#N/A,FALSE,"Electric Normalized"}</definedName>
    <definedName name="Master_3" localSheetId="5" hidden="1">{#N/A,#N/A,FALSE,"Actual";#N/A,#N/A,FALSE,"Normalized";#N/A,#N/A,FALSE,"Electric Actual";#N/A,#N/A,FALSE,"Electric Normalized"}</definedName>
    <definedName name="Master_3" localSheetId="6" hidden="1">{#N/A,#N/A,FALSE,"Actual";#N/A,#N/A,FALSE,"Normalized";#N/A,#N/A,FALSE,"Electric Actual";#N/A,#N/A,FALSE,"Electric Normalized"}</definedName>
    <definedName name="Master_3" localSheetId="7" hidden="1">{#N/A,#N/A,FALSE,"Actual";#N/A,#N/A,FALSE,"Normalized";#N/A,#N/A,FALSE,"Electric Actual";#N/A,#N/A,FALSE,"Electric Normalized"}</definedName>
    <definedName name="Master_3" localSheetId="8" hidden="1">{#N/A,#N/A,FALSE,"Actual";#N/A,#N/A,FALSE,"Normalized";#N/A,#N/A,FALSE,"Electric Actual";#N/A,#N/A,FALSE,"Electric Normalized"}</definedName>
    <definedName name="Master_3" localSheetId="9" hidden="1">{#N/A,#N/A,FALSE,"Actual";#N/A,#N/A,FALSE,"Normalized";#N/A,#N/A,FALSE,"Electric Actual";#N/A,#N/A,FALSE,"Electric Normalized"}</definedName>
    <definedName name="Master_3" localSheetId="10" hidden="1">{#N/A,#N/A,FALSE,"Actual";#N/A,#N/A,FALSE,"Normalized";#N/A,#N/A,FALSE,"Electric Actual";#N/A,#N/A,FALSE,"Electric Normalized"}</definedName>
    <definedName name="Master_3" localSheetId="15" hidden="1">{#N/A,#N/A,FALSE,"Actual";#N/A,#N/A,FALSE,"Normalized";#N/A,#N/A,FALSE,"Electric Actual";#N/A,#N/A,FALSE,"Electric Normalized"}</definedName>
    <definedName name="Master_3" localSheetId="0" hidden="1">{#N/A,#N/A,FALSE,"Actual";#N/A,#N/A,FALSE,"Normalized";#N/A,#N/A,FALSE,"Electric Actual";#N/A,#N/A,FALSE,"Electric Normalized"}</definedName>
    <definedName name="Master_3" hidden="1">{#N/A,#N/A,FALSE,"Actual";#N/A,#N/A,FALSE,"Normalized";#N/A,#N/A,FALSE,"Electric Actual";#N/A,#N/A,FALSE,"Electric Normalized"}</definedName>
    <definedName name="Master_4" localSheetId="1" hidden="1">{#N/A,#N/A,FALSE,"Actual";#N/A,#N/A,FALSE,"Normalized";#N/A,#N/A,FALSE,"Electric Actual";#N/A,#N/A,FALSE,"Electric Normalized"}</definedName>
    <definedName name="Master_4" localSheetId="3" hidden="1">{#N/A,#N/A,FALSE,"Actual";#N/A,#N/A,FALSE,"Normalized";#N/A,#N/A,FALSE,"Electric Actual";#N/A,#N/A,FALSE,"Electric Normalized"}</definedName>
    <definedName name="Master_4" localSheetId="4" hidden="1">{#N/A,#N/A,FALSE,"Actual";#N/A,#N/A,FALSE,"Normalized";#N/A,#N/A,FALSE,"Electric Actual";#N/A,#N/A,FALSE,"Electric Normalized"}</definedName>
    <definedName name="Master_4" localSheetId="5" hidden="1">{#N/A,#N/A,FALSE,"Actual";#N/A,#N/A,FALSE,"Normalized";#N/A,#N/A,FALSE,"Electric Actual";#N/A,#N/A,FALSE,"Electric Normalized"}</definedName>
    <definedName name="Master_4" localSheetId="6" hidden="1">{#N/A,#N/A,FALSE,"Actual";#N/A,#N/A,FALSE,"Normalized";#N/A,#N/A,FALSE,"Electric Actual";#N/A,#N/A,FALSE,"Electric Normalized"}</definedName>
    <definedName name="Master_4" localSheetId="7" hidden="1">{#N/A,#N/A,FALSE,"Actual";#N/A,#N/A,FALSE,"Normalized";#N/A,#N/A,FALSE,"Electric Actual";#N/A,#N/A,FALSE,"Electric Normalized"}</definedName>
    <definedName name="Master_4" localSheetId="8" hidden="1">{#N/A,#N/A,FALSE,"Actual";#N/A,#N/A,FALSE,"Normalized";#N/A,#N/A,FALSE,"Electric Actual";#N/A,#N/A,FALSE,"Electric Normalized"}</definedName>
    <definedName name="Master_4" localSheetId="9" hidden="1">{#N/A,#N/A,FALSE,"Actual";#N/A,#N/A,FALSE,"Normalized";#N/A,#N/A,FALSE,"Electric Actual";#N/A,#N/A,FALSE,"Electric Normalized"}</definedName>
    <definedName name="Master_4" localSheetId="10" hidden="1">{#N/A,#N/A,FALSE,"Actual";#N/A,#N/A,FALSE,"Normalized";#N/A,#N/A,FALSE,"Electric Actual";#N/A,#N/A,FALSE,"Electric Normalized"}</definedName>
    <definedName name="Master_4" localSheetId="15" hidden="1">{#N/A,#N/A,FALSE,"Actual";#N/A,#N/A,FALSE,"Normalized";#N/A,#N/A,FALSE,"Electric Actual";#N/A,#N/A,FALSE,"Electric Normalized"}</definedName>
    <definedName name="Master_4" localSheetId="0" hidden="1">{#N/A,#N/A,FALSE,"Actual";#N/A,#N/A,FALSE,"Normalized";#N/A,#N/A,FALSE,"Electric Actual";#N/A,#N/A,FALSE,"Electric Normalized"}</definedName>
    <definedName name="Master_4" hidden="1">{#N/A,#N/A,FALSE,"Actual";#N/A,#N/A,FALSE,"Normalized";#N/A,#N/A,FALSE,"Electric Actual";#N/A,#N/A,FALSE,"Electric Normalized"}</definedName>
    <definedName name="Master_5" localSheetId="1" hidden="1">{#N/A,#N/A,FALSE,"Actual";#N/A,#N/A,FALSE,"Normalized";#N/A,#N/A,FALSE,"Electric Actual";#N/A,#N/A,FALSE,"Electric Normalized"}</definedName>
    <definedName name="Master_5" localSheetId="3" hidden="1">{#N/A,#N/A,FALSE,"Actual";#N/A,#N/A,FALSE,"Normalized";#N/A,#N/A,FALSE,"Electric Actual";#N/A,#N/A,FALSE,"Electric Normalized"}</definedName>
    <definedName name="Master_5" localSheetId="4" hidden="1">{#N/A,#N/A,FALSE,"Actual";#N/A,#N/A,FALSE,"Normalized";#N/A,#N/A,FALSE,"Electric Actual";#N/A,#N/A,FALSE,"Electric Normalized"}</definedName>
    <definedName name="Master_5" localSheetId="5" hidden="1">{#N/A,#N/A,FALSE,"Actual";#N/A,#N/A,FALSE,"Normalized";#N/A,#N/A,FALSE,"Electric Actual";#N/A,#N/A,FALSE,"Electric Normalized"}</definedName>
    <definedName name="Master_5" localSheetId="6" hidden="1">{#N/A,#N/A,FALSE,"Actual";#N/A,#N/A,FALSE,"Normalized";#N/A,#N/A,FALSE,"Electric Actual";#N/A,#N/A,FALSE,"Electric Normalized"}</definedName>
    <definedName name="Master_5" localSheetId="7" hidden="1">{#N/A,#N/A,FALSE,"Actual";#N/A,#N/A,FALSE,"Normalized";#N/A,#N/A,FALSE,"Electric Actual";#N/A,#N/A,FALSE,"Electric Normalized"}</definedName>
    <definedName name="Master_5" localSheetId="8" hidden="1">{#N/A,#N/A,FALSE,"Actual";#N/A,#N/A,FALSE,"Normalized";#N/A,#N/A,FALSE,"Electric Actual";#N/A,#N/A,FALSE,"Electric Normalized"}</definedName>
    <definedName name="Master_5" localSheetId="9" hidden="1">{#N/A,#N/A,FALSE,"Actual";#N/A,#N/A,FALSE,"Normalized";#N/A,#N/A,FALSE,"Electric Actual";#N/A,#N/A,FALSE,"Electric Normalized"}</definedName>
    <definedName name="Master_5" localSheetId="10" hidden="1">{#N/A,#N/A,FALSE,"Actual";#N/A,#N/A,FALSE,"Normalized";#N/A,#N/A,FALSE,"Electric Actual";#N/A,#N/A,FALSE,"Electric Normalized"}</definedName>
    <definedName name="Master_5" localSheetId="15" hidden="1">{#N/A,#N/A,FALSE,"Actual";#N/A,#N/A,FALSE,"Normalized";#N/A,#N/A,FALSE,"Electric Actual";#N/A,#N/A,FALSE,"Electric Normalized"}</definedName>
    <definedName name="Master_5" localSheetId="0" hidden="1">{#N/A,#N/A,FALSE,"Actual";#N/A,#N/A,FALSE,"Normalized";#N/A,#N/A,FALSE,"Electric Actual";#N/A,#N/A,FALSE,"Electric Normalized"}</definedName>
    <definedName name="Master_5" hidden="1">{#N/A,#N/A,FALSE,"Actual";#N/A,#N/A,FALSE,"Normalized";#N/A,#N/A,FALSE,"Electric Actual";#N/A,#N/A,FALSE,"Electric Normalized"}</definedName>
    <definedName name="OHSch10YR" localSheetId="1" hidden="1">{#N/A,#N/A,FALSE,"Summary";#N/A,#N/A,FALSE,"SmPlants";#N/A,#N/A,FALSE,"Utah";#N/A,#N/A,FALSE,"Idaho";#N/A,#N/A,FALSE,"Lewis River";#N/A,#N/A,FALSE,"NrthUmpq";#N/A,#N/A,FALSE,"KlamRog"}</definedName>
    <definedName name="OHSch10YR" localSheetId="3" hidden="1">{#N/A,#N/A,FALSE,"Summary";#N/A,#N/A,FALSE,"SmPlants";#N/A,#N/A,FALSE,"Utah";#N/A,#N/A,FALSE,"Idaho";#N/A,#N/A,FALSE,"Lewis River";#N/A,#N/A,FALSE,"NrthUmpq";#N/A,#N/A,FALSE,"KlamRog"}</definedName>
    <definedName name="OHSch10YR" localSheetId="4" hidden="1">{#N/A,#N/A,FALSE,"Summary";#N/A,#N/A,FALSE,"SmPlants";#N/A,#N/A,FALSE,"Utah";#N/A,#N/A,FALSE,"Idaho";#N/A,#N/A,FALSE,"Lewis River";#N/A,#N/A,FALSE,"NrthUmpq";#N/A,#N/A,FALSE,"KlamRog"}</definedName>
    <definedName name="OHSch10YR" localSheetId="5" hidden="1">{#N/A,#N/A,FALSE,"Summary";#N/A,#N/A,FALSE,"SmPlants";#N/A,#N/A,FALSE,"Utah";#N/A,#N/A,FALSE,"Idaho";#N/A,#N/A,FALSE,"Lewis River";#N/A,#N/A,FALSE,"NrthUmpq";#N/A,#N/A,FALSE,"KlamRog"}</definedName>
    <definedName name="OHSch10YR" localSheetId="6" hidden="1">{#N/A,#N/A,FALSE,"Summary";#N/A,#N/A,FALSE,"SmPlants";#N/A,#N/A,FALSE,"Utah";#N/A,#N/A,FALSE,"Idaho";#N/A,#N/A,FALSE,"Lewis River";#N/A,#N/A,FALSE,"NrthUmpq";#N/A,#N/A,FALSE,"KlamRog"}</definedName>
    <definedName name="OHSch10YR" localSheetId="7" hidden="1">{#N/A,#N/A,FALSE,"Summary";#N/A,#N/A,FALSE,"SmPlants";#N/A,#N/A,FALSE,"Utah";#N/A,#N/A,FALSE,"Idaho";#N/A,#N/A,FALSE,"Lewis River";#N/A,#N/A,FALSE,"NrthUmpq";#N/A,#N/A,FALSE,"KlamRog"}</definedName>
    <definedName name="OHSch10YR" localSheetId="8" hidden="1">{#N/A,#N/A,FALSE,"Summary";#N/A,#N/A,FALSE,"SmPlants";#N/A,#N/A,FALSE,"Utah";#N/A,#N/A,FALSE,"Idaho";#N/A,#N/A,FALSE,"Lewis River";#N/A,#N/A,FALSE,"NrthUmpq";#N/A,#N/A,FALSE,"KlamRog"}</definedName>
    <definedName name="OHSch10YR" localSheetId="9" hidden="1">{#N/A,#N/A,FALSE,"Summary";#N/A,#N/A,FALSE,"SmPlants";#N/A,#N/A,FALSE,"Utah";#N/A,#N/A,FALSE,"Idaho";#N/A,#N/A,FALSE,"Lewis River";#N/A,#N/A,FALSE,"NrthUmpq";#N/A,#N/A,FALSE,"KlamRog"}</definedName>
    <definedName name="OHSch10YR" localSheetId="10" hidden="1">{#N/A,#N/A,FALSE,"Summary";#N/A,#N/A,FALSE,"SmPlants";#N/A,#N/A,FALSE,"Utah";#N/A,#N/A,FALSE,"Idaho";#N/A,#N/A,FALSE,"Lewis River";#N/A,#N/A,FALSE,"NrthUmpq";#N/A,#N/A,FALSE,"KlamRog"}</definedName>
    <definedName name="OHSch10YR" localSheetId="15" hidden="1">{#N/A,#N/A,FALSE,"Summary";#N/A,#N/A,FALSE,"SmPlants";#N/A,#N/A,FALSE,"Utah";#N/A,#N/A,FALSE,"Idaho";#N/A,#N/A,FALSE,"Lewis River";#N/A,#N/A,FALSE,"NrthUmpq";#N/A,#N/A,FALSE,"KlamRog"}</definedName>
    <definedName name="OHSch10YR" localSheetId="0" hidden="1">{#N/A,#N/A,FALSE,"Summary";#N/A,#N/A,FALSE,"SmPlants";#N/A,#N/A,FALSE,"Utah";#N/A,#N/A,FALSE,"Idaho";#N/A,#N/A,FALSE,"Lewis River";#N/A,#N/A,FALSE,"NrthUmpq";#N/A,#N/A,FALSE,"KlamRog"}</definedName>
    <definedName name="OHSch10YR" hidden="1">{#N/A,#N/A,FALSE,"Summary";#N/A,#N/A,FALSE,"SmPlants";#N/A,#N/A,FALSE,"Utah";#N/A,#N/A,FALSE,"Idaho";#N/A,#N/A,FALSE,"Lewis River";#N/A,#N/A,FALSE,"NrthUmpq";#N/A,#N/A,FALSE,"KlamRog"}</definedName>
    <definedName name="OHSch10YR_1" localSheetId="1" hidden="1">{#N/A,#N/A,FALSE,"Summary";#N/A,#N/A,FALSE,"SmPlants";#N/A,#N/A,FALSE,"Utah";#N/A,#N/A,FALSE,"Idaho";#N/A,#N/A,FALSE,"Lewis River";#N/A,#N/A,FALSE,"NrthUmpq";#N/A,#N/A,FALSE,"KlamRog"}</definedName>
    <definedName name="OHSch10YR_1" localSheetId="3" hidden="1">{#N/A,#N/A,FALSE,"Summary";#N/A,#N/A,FALSE,"SmPlants";#N/A,#N/A,FALSE,"Utah";#N/A,#N/A,FALSE,"Idaho";#N/A,#N/A,FALSE,"Lewis River";#N/A,#N/A,FALSE,"NrthUmpq";#N/A,#N/A,FALSE,"KlamRog"}</definedName>
    <definedName name="OHSch10YR_1" localSheetId="4" hidden="1">{#N/A,#N/A,FALSE,"Summary";#N/A,#N/A,FALSE,"SmPlants";#N/A,#N/A,FALSE,"Utah";#N/A,#N/A,FALSE,"Idaho";#N/A,#N/A,FALSE,"Lewis River";#N/A,#N/A,FALSE,"NrthUmpq";#N/A,#N/A,FALSE,"KlamRog"}</definedName>
    <definedName name="OHSch10YR_1" localSheetId="5" hidden="1">{#N/A,#N/A,FALSE,"Summary";#N/A,#N/A,FALSE,"SmPlants";#N/A,#N/A,FALSE,"Utah";#N/A,#N/A,FALSE,"Idaho";#N/A,#N/A,FALSE,"Lewis River";#N/A,#N/A,FALSE,"NrthUmpq";#N/A,#N/A,FALSE,"KlamRog"}</definedName>
    <definedName name="OHSch10YR_1" localSheetId="6" hidden="1">{#N/A,#N/A,FALSE,"Summary";#N/A,#N/A,FALSE,"SmPlants";#N/A,#N/A,FALSE,"Utah";#N/A,#N/A,FALSE,"Idaho";#N/A,#N/A,FALSE,"Lewis River";#N/A,#N/A,FALSE,"NrthUmpq";#N/A,#N/A,FALSE,"KlamRog"}</definedName>
    <definedName name="OHSch10YR_1" localSheetId="7" hidden="1">{#N/A,#N/A,FALSE,"Summary";#N/A,#N/A,FALSE,"SmPlants";#N/A,#N/A,FALSE,"Utah";#N/A,#N/A,FALSE,"Idaho";#N/A,#N/A,FALSE,"Lewis River";#N/A,#N/A,FALSE,"NrthUmpq";#N/A,#N/A,FALSE,"KlamRog"}</definedName>
    <definedName name="OHSch10YR_1" localSheetId="8" hidden="1">{#N/A,#N/A,FALSE,"Summary";#N/A,#N/A,FALSE,"SmPlants";#N/A,#N/A,FALSE,"Utah";#N/A,#N/A,FALSE,"Idaho";#N/A,#N/A,FALSE,"Lewis River";#N/A,#N/A,FALSE,"NrthUmpq";#N/A,#N/A,FALSE,"KlamRog"}</definedName>
    <definedName name="OHSch10YR_1" localSheetId="9" hidden="1">{#N/A,#N/A,FALSE,"Summary";#N/A,#N/A,FALSE,"SmPlants";#N/A,#N/A,FALSE,"Utah";#N/A,#N/A,FALSE,"Idaho";#N/A,#N/A,FALSE,"Lewis River";#N/A,#N/A,FALSE,"NrthUmpq";#N/A,#N/A,FALSE,"KlamRog"}</definedName>
    <definedName name="OHSch10YR_1" localSheetId="10" hidden="1">{#N/A,#N/A,FALSE,"Summary";#N/A,#N/A,FALSE,"SmPlants";#N/A,#N/A,FALSE,"Utah";#N/A,#N/A,FALSE,"Idaho";#N/A,#N/A,FALSE,"Lewis River";#N/A,#N/A,FALSE,"NrthUmpq";#N/A,#N/A,FALSE,"KlamRog"}</definedName>
    <definedName name="OHSch10YR_1" localSheetId="15" hidden="1">{#N/A,#N/A,FALSE,"Summary";#N/A,#N/A,FALSE,"SmPlants";#N/A,#N/A,FALSE,"Utah";#N/A,#N/A,FALSE,"Idaho";#N/A,#N/A,FALSE,"Lewis River";#N/A,#N/A,FALSE,"NrthUmpq";#N/A,#N/A,FALSE,"KlamRog"}</definedName>
    <definedName name="OHSch10YR_1" localSheetId="0" hidden="1">{#N/A,#N/A,FALSE,"Summary";#N/A,#N/A,FALSE,"SmPlants";#N/A,#N/A,FALSE,"Utah";#N/A,#N/A,FALSE,"Idaho";#N/A,#N/A,FALSE,"Lewis River";#N/A,#N/A,FALSE,"NrthUmpq";#N/A,#N/A,FALSE,"KlamRog"}</definedName>
    <definedName name="OHSch10YR_1" hidden="1">{#N/A,#N/A,FALSE,"Summary";#N/A,#N/A,FALSE,"SmPlants";#N/A,#N/A,FALSE,"Utah";#N/A,#N/A,FALSE,"Idaho";#N/A,#N/A,FALSE,"Lewis River";#N/A,#N/A,FALSE,"NrthUmpq";#N/A,#N/A,FALSE,"KlamRog"}</definedName>
    <definedName name="OHSch10YR_2" localSheetId="1" hidden="1">{#N/A,#N/A,FALSE,"Summary";#N/A,#N/A,FALSE,"SmPlants";#N/A,#N/A,FALSE,"Utah";#N/A,#N/A,FALSE,"Idaho";#N/A,#N/A,FALSE,"Lewis River";#N/A,#N/A,FALSE,"NrthUmpq";#N/A,#N/A,FALSE,"KlamRog"}</definedName>
    <definedName name="OHSch10YR_2" localSheetId="3" hidden="1">{#N/A,#N/A,FALSE,"Summary";#N/A,#N/A,FALSE,"SmPlants";#N/A,#N/A,FALSE,"Utah";#N/A,#N/A,FALSE,"Idaho";#N/A,#N/A,FALSE,"Lewis River";#N/A,#N/A,FALSE,"NrthUmpq";#N/A,#N/A,FALSE,"KlamRog"}</definedName>
    <definedName name="OHSch10YR_2" localSheetId="4" hidden="1">{#N/A,#N/A,FALSE,"Summary";#N/A,#N/A,FALSE,"SmPlants";#N/A,#N/A,FALSE,"Utah";#N/A,#N/A,FALSE,"Idaho";#N/A,#N/A,FALSE,"Lewis River";#N/A,#N/A,FALSE,"NrthUmpq";#N/A,#N/A,FALSE,"KlamRog"}</definedName>
    <definedName name="OHSch10YR_2" localSheetId="5" hidden="1">{#N/A,#N/A,FALSE,"Summary";#N/A,#N/A,FALSE,"SmPlants";#N/A,#N/A,FALSE,"Utah";#N/A,#N/A,FALSE,"Idaho";#N/A,#N/A,FALSE,"Lewis River";#N/A,#N/A,FALSE,"NrthUmpq";#N/A,#N/A,FALSE,"KlamRog"}</definedName>
    <definedName name="OHSch10YR_2" localSheetId="6" hidden="1">{#N/A,#N/A,FALSE,"Summary";#N/A,#N/A,FALSE,"SmPlants";#N/A,#N/A,FALSE,"Utah";#N/A,#N/A,FALSE,"Idaho";#N/A,#N/A,FALSE,"Lewis River";#N/A,#N/A,FALSE,"NrthUmpq";#N/A,#N/A,FALSE,"KlamRog"}</definedName>
    <definedName name="OHSch10YR_2" localSheetId="7" hidden="1">{#N/A,#N/A,FALSE,"Summary";#N/A,#N/A,FALSE,"SmPlants";#N/A,#N/A,FALSE,"Utah";#N/A,#N/A,FALSE,"Idaho";#N/A,#N/A,FALSE,"Lewis River";#N/A,#N/A,FALSE,"NrthUmpq";#N/A,#N/A,FALSE,"KlamRog"}</definedName>
    <definedName name="OHSch10YR_2" localSheetId="8" hidden="1">{#N/A,#N/A,FALSE,"Summary";#N/A,#N/A,FALSE,"SmPlants";#N/A,#N/A,FALSE,"Utah";#N/A,#N/A,FALSE,"Idaho";#N/A,#N/A,FALSE,"Lewis River";#N/A,#N/A,FALSE,"NrthUmpq";#N/A,#N/A,FALSE,"KlamRog"}</definedName>
    <definedName name="OHSch10YR_2" localSheetId="9" hidden="1">{#N/A,#N/A,FALSE,"Summary";#N/A,#N/A,FALSE,"SmPlants";#N/A,#N/A,FALSE,"Utah";#N/A,#N/A,FALSE,"Idaho";#N/A,#N/A,FALSE,"Lewis River";#N/A,#N/A,FALSE,"NrthUmpq";#N/A,#N/A,FALSE,"KlamRog"}</definedName>
    <definedName name="OHSch10YR_2" localSheetId="10" hidden="1">{#N/A,#N/A,FALSE,"Summary";#N/A,#N/A,FALSE,"SmPlants";#N/A,#N/A,FALSE,"Utah";#N/A,#N/A,FALSE,"Idaho";#N/A,#N/A,FALSE,"Lewis River";#N/A,#N/A,FALSE,"NrthUmpq";#N/A,#N/A,FALSE,"KlamRog"}</definedName>
    <definedName name="OHSch10YR_2" localSheetId="15" hidden="1">{#N/A,#N/A,FALSE,"Summary";#N/A,#N/A,FALSE,"SmPlants";#N/A,#N/A,FALSE,"Utah";#N/A,#N/A,FALSE,"Idaho";#N/A,#N/A,FALSE,"Lewis River";#N/A,#N/A,FALSE,"NrthUmpq";#N/A,#N/A,FALSE,"KlamRog"}</definedName>
    <definedName name="OHSch10YR_2" localSheetId="0" hidden="1">{#N/A,#N/A,FALSE,"Summary";#N/A,#N/A,FALSE,"SmPlants";#N/A,#N/A,FALSE,"Utah";#N/A,#N/A,FALSE,"Idaho";#N/A,#N/A,FALSE,"Lewis River";#N/A,#N/A,FALSE,"NrthUmpq";#N/A,#N/A,FALSE,"KlamRog"}</definedName>
    <definedName name="OHSch10YR_2" hidden="1">{#N/A,#N/A,FALSE,"Summary";#N/A,#N/A,FALSE,"SmPlants";#N/A,#N/A,FALSE,"Utah";#N/A,#N/A,FALSE,"Idaho";#N/A,#N/A,FALSE,"Lewis River";#N/A,#N/A,FALSE,"NrthUmpq";#N/A,#N/A,FALSE,"KlamRog"}</definedName>
    <definedName name="OHSch10YR_3" localSheetId="1" hidden="1">{#N/A,#N/A,FALSE,"Summary";#N/A,#N/A,FALSE,"SmPlants";#N/A,#N/A,FALSE,"Utah";#N/A,#N/A,FALSE,"Idaho";#N/A,#N/A,FALSE,"Lewis River";#N/A,#N/A,FALSE,"NrthUmpq";#N/A,#N/A,FALSE,"KlamRog"}</definedName>
    <definedName name="OHSch10YR_3" localSheetId="3" hidden="1">{#N/A,#N/A,FALSE,"Summary";#N/A,#N/A,FALSE,"SmPlants";#N/A,#N/A,FALSE,"Utah";#N/A,#N/A,FALSE,"Idaho";#N/A,#N/A,FALSE,"Lewis River";#N/A,#N/A,FALSE,"NrthUmpq";#N/A,#N/A,FALSE,"KlamRog"}</definedName>
    <definedName name="OHSch10YR_3" localSheetId="4" hidden="1">{#N/A,#N/A,FALSE,"Summary";#N/A,#N/A,FALSE,"SmPlants";#N/A,#N/A,FALSE,"Utah";#N/A,#N/A,FALSE,"Idaho";#N/A,#N/A,FALSE,"Lewis River";#N/A,#N/A,FALSE,"NrthUmpq";#N/A,#N/A,FALSE,"KlamRog"}</definedName>
    <definedName name="OHSch10YR_3" localSheetId="5" hidden="1">{#N/A,#N/A,FALSE,"Summary";#N/A,#N/A,FALSE,"SmPlants";#N/A,#N/A,FALSE,"Utah";#N/A,#N/A,FALSE,"Idaho";#N/A,#N/A,FALSE,"Lewis River";#N/A,#N/A,FALSE,"NrthUmpq";#N/A,#N/A,FALSE,"KlamRog"}</definedName>
    <definedName name="OHSch10YR_3" localSheetId="6" hidden="1">{#N/A,#N/A,FALSE,"Summary";#N/A,#N/A,FALSE,"SmPlants";#N/A,#N/A,FALSE,"Utah";#N/A,#N/A,FALSE,"Idaho";#N/A,#N/A,FALSE,"Lewis River";#N/A,#N/A,FALSE,"NrthUmpq";#N/A,#N/A,FALSE,"KlamRog"}</definedName>
    <definedName name="OHSch10YR_3" localSheetId="7" hidden="1">{#N/A,#N/A,FALSE,"Summary";#N/A,#N/A,FALSE,"SmPlants";#N/A,#N/A,FALSE,"Utah";#N/A,#N/A,FALSE,"Idaho";#N/A,#N/A,FALSE,"Lewis River";#N/A,#N/A,FALSE,"NrthUmpq";#N/A,#N/A,FALSE,"KlamRog"}</definedName>
    <definedName name="OHSch10YR_3" localSheetId="8" hidden="1">{#N/A,#N/A,FALSE,"Summary";#N/A,#N/A,FALSE,"SmPlants";#N/A,#N/A,FALSE,"Utah";#N/A,#N/A,FALSE,"Idaho";#N/A,#N/A,FALSE,"Lewis River";#N/A,#N/A,FALSE,"NrthUmpq";#N/A,#N/A,FALSE,"KlamRog"}</definedName>
    <definedName name="OHSch10YR_3" localSheetId="9" hidden="1">{#N/A,#N/A,FALSE,"Summary";#N/A,#N/A,FALSE,"SmPlants";#N/A,#N/A,FALSE,"Utah";#N/A,#N/A,FALSE,"Idaho";#N/A,#N/A,FALSE,"Lewis River";#N/A,#N/A,FALSE,"NrthUmpq";#N/A,#N/A,FALSE,"KlamRog"}</definedName>
    <definedName name="OHSch10YR_3" localSheetId="10" hidden="1">{#N/A,#N/A,FALSE,"Summary";#N/A,#N/A,FALSE,"SmPlants";#N/A,#N/A,FALSE,"Utah";#N/A,#N/A,FALSE,"Idaho";#N/A,#N/A,FALSE,"Lewis River";#N/A,#N/A,FALSE,"NrthUmpq";#N/A,#N/A,FALSE,"KlamRog"}</definedName>
    <definedName name="OHSch10YR_3" localSheetId="15" hidden="1">{#N/A,#N/A,FALSE,"Summary";#N/A,#N/A,FALSE,"SmPlants";#N/A,#N/A,FALSE,"Utah";#N/A,#N/A,FALSE,"Idaho";#N/A,#N/A,FALSE,"Lewis River";#N/A,#N/A,FALSE,"NrthUmpq";#N/A,#N/A,FALSE,"KlamRog"}</definedName>
    <definedName name="OHSch10YR_3" localSheetId="0" hidden="1">{#N/A,#N/A,FALSE,"Summary";#N/A,#N/A,FALSE,"SmPlants";#N/A,#N/A,FALSE,"Utah";#N/A,#N/A,FALSE,"Idaho";#N/A,#N/A,FALSE,"Lewis River";#N/A,#N/A,FALSE,"NrthUmpq";#N/A,#N/A,FALSE,"KlamRog"}</definedName>
    <definedName name="OHSch10YR_3" hidden="1">{#N/A,#N/A,FALSE,"Summary";#N/A,#N/A,FALSE,"SmPlants";#N/A,#N/A,FALSE,"Utah";#N/A,#N/A,FALSE,"Idaho";#N/A,#N/A,FALSE,"Lewis River";#N/A,#N/A,FALSE,"NrthUmpq";#N/A,#N/A,FALSE,"KlamRog"}</definedName>
    <definedName name="OHSch10YR_4" localSheetId="1" hidden="1">{#N/A,#N/A,FALSE,"Summary";#N/A,#N/A,FALSE,"SmPlants";#N/A,#N/A,FALSE,"Utah";#N/A,#N/A,FALSE,"Idaho";#N/A,#N/A,FALSE,"Lewis River";#N/A,#N/A,FALSE,"NrthUmpq";#N/A,#N/A,FALSE,"KlamRog"}</definedName>
    <definedName name="OHSch10YR_4" localSheetId="3" hidden="1">{#N/A,#N/A,FALSE,"Summary";#N/A,#N/A,FALSE,"SmPlants";#N/A,#N/A,FALSE,"Utah";#N/A,#N/A,FALSE,"Idaho";#N/A,#N/A,FALSE,"Lewis River";#N/A,#N/A,FALSE,"NrthUmpq";#N/A,#N/A,FALSE,"KlamRog"}</definedName>
    <definedName name="OHSch10YR_4" localSheetId="4" hidden="1">{#N/A,#N/A,FALSE,"Summary";#N/A,#N/A,FALSE,"SmPlants";#N/A,#N/A,FALSE,"Utah";#N/A,#N/A,FALSE,"Idaho";#N/A,#N/A,FALSE,"Lewis River";#N/A,#N/A,FALSE,"NrthUmpq";#N/A,#N/A,FALSE,"KlamRog"}</definedName>
    <definedName name="OHSch10YR_4" localSheetId="5" hidden="1">{#N/A,#N/A,FALSE,"Summary";#N/A,#N/A,FALSE,"SmPlants";#N/A,#N/A,FALSE,"Utah";#N/A,#N/A,FALSE,"Idaho";#N/A,#N/A,FALSE,"Lewis River";#N/A,#N/A,FALSE,"NrthUmpq";#N/A,#N/A,FALSE,"KlamRog"}</definedName>
    <definedName name="OHSch10YR_4" localSheetId="6" hidden="1">{#N/A,#N/A,FALSE,"Summary";#N/A,#N/A,FALSE,"SmPlants";#N/A,#N/A,FALSE,"Utah";#N/A,#N/A,FALSE,"Idaho";#N/A,#N/A,FALSE,"Lewis River";#N/A,#N/A,FALSE,"NrthUmpq";#N/A,#N/A,FALSE,"KlamRog"}</definedName>
    <definedName name="OHSch10YR_4" localSheetId="7" hidden="1">{#N/A,#N/A,FALSE,"Summary";#N/A,#N/A,FALSE,"SmPlants";#N/A,#N/A,FALSE,"Utah";#N/A,#N/A,FALSE,"Idaho";#N/A,#N/A,FALSE,"Lewis River";#N/A,#N/A,FALSE,"NrthUmpq";#N/A,#N/A,FALSE,"KlamRog"}</definedName>
    <definedName name="OHSch10YR_4" localSheetId="8" hidden="1">{#N/A,#N/A,FALSE,"Summary";#N/A,#N/A,FALSE,"SmPlants";#N/A,#N/A,FALSE,"Utah";#N/A,#N/A,FALSE,"Idaho";#N/A,#N/A,FALSE,"Lewis River";#N/A,#N/A,FALSE,"NrthUmpq";#N/A,#N/A,FALSE,"KlamRog"}</definedName>
    <definedName name="OHSch10YR_4" localSheetId="9" hidden="1">{#N/A,#N/A,FALSE,"Summary";#N/A,#N/A,FALSE,"SmPlants";#N/A,#N/A,FALSE,"Utah";#N/A,#N/A,FALSE,"Idaho";#N/A,#N/A,FALSE,"Lewis River";#N/A,#N/A,FALSE,"NrthUmpq";#N/A,#N/A,FALSE,"KlamRog"}</definedName>
    <definedName name="OHSch10YR_4" localSheetId="10" hidden="1">{#N/A,#N/A,FALSE,"Summary";#N/A,#N/A,FALSE,"SmPlants";#N/A,#N/A,FALSE,"Utah";#N/A,#N/A,FALSE,"Idaho";#N/A,#N/A,FALSE,"Lewis River";#N/A,#N/A,FALSE,"NrthUmpq";#N/A,#N/A,FALSE,"KlamRog"}</definedName>
    <definedName name="OHSch10YR_4" localSheetId="15" hidden="1">{#N/A,#N/A,FALSE,"Summary";#N/A,#N/A,FALSE,"SmPlants";#N/A,#N/A,FALSE,"Utah";#N/A,#N/A,FALSE,"Idaho";#N/A,#N/A,FALSE,"Lewis River";#N/A,#N/A,FALSE,"NrthUmpq";#N/A,#N/A,FALSE,"KlamRog"}</definedName>
    <definedName name="OHSch10YR_4" localSheetId="0" hidden="1">{#N/A,#N/A,FALSE,"Summary";#N/A,#N/A,FALSE,"SmPlants";#N/A,#N/A,FALSE,"Utah";#N/A,#N/A,FALSE,"Idaho";#N/A,#N/A,FALSE,"Lewis River";#N/A,#N/A,FALSE,"NrthUmpq";#N/A,#N/A,FALSE,"KlamRog"}</definedName>
    <definedName name="OHSch10YR_4" hidden="1">{#N/A,#N/A,FALSE,"Summary";#N/A,#N/A,FALSE,"SmPlants";#N/A,#N/A,FALSE,"Utah";#N/A,#N/A,FALSE,"Idaho";#N/A,#N/A,FALSE,"Lewis River";#N/A,#N/A,FALSE,"NrthUmpq";#N/A,#N/A,FALSE,"KlamRog"}</definedName>
    <definedName name="OHSch10YR_5" localSheetId="1" hidden="1">{#N/A,#N/A,FALSE,"Summary";#N/A,#N/A,FALSE,"SmPlants";#N/A,#N/A,FALSE,"Utah";#N/A,#N/A,FALSE,"Idaho";#N/A,#N/A,FALSE,"Lewis River";#N/A,#N/A,FALSE,"NrthUmpq";#N/A,#N/A,FALSE,"KlamRog"}</definedName>
    <definedName name="OHSch10YR_5" localSheetId="3" hidden="1">{#N/A,#N/A,FALSE,"Summary";#N/A,#N/A,FALSE,"SmPlants";#N/A,#N/A,FALSE,"Utah";#N/A,#N/A,FALSE,"Idaho";#N/A,#N/A,FALSE,"Lewis River";#N/A,#N/A,FALSE,"NrthUmpq";#N/A,#N/A,FALSE,"KlamRog"}</definedName>
    <definedName name="OHSch10YR_5" localSheetId="4" hidden="1">{#N/A,#N/A,FALSE,"Summary";#N/A,#N/A,FALSE,"SmPlants";#N/A,#N/A,FALSE,"Utah";#N/A,#N/A,FALSE,"Idaho";#N/A,#N/A,FALSE,"Lewis River";#N/A,#N/A,FALSE,"NrthUmpq";#N/A,#N/A,FALSE,"KlamRog"}</definedName>
    <definedName name="OHSch10YR_5" localSheetId="5" hidden="1">{#N/A,#N/A,FALSE,"Summary";#N/A,#N/A,FALSE,"SmPlants";#N/A,#N/A,FALSE,"Utah";#N/A,#N/A,FALSE,"Idaho";#N/A,#N/A,FALSE,"Lewis River";#N/A,#N/A,FALSE,"NrthUmpq";#N/A,#N/A,FALSE,"KlamRog"}</definedName>
    <definedName name="OHSch10YR_5" localSheetId="6" hidden="1">{#N/A,#N/A,FALSE,"Summary";#N/A,#N/A,FALSE,"SmPlants";#N/A,#N/A,FALSE,"Utah";#N/A,#N/A,FALSE,"Idaho";#N/A,#N/A,FALSE,"Lewis River";#N/A,#N/A,FALSE,"NrthUmpq";#N/A,#N/A,FALSE,"KlamRog"}</definedName>
    <definedName name="OHSch10YR_5" localSheetId="7" hidden="1">{#N/A,#N/A,FALSE,"Summary";#N/A,#N/A,FALSE,"SmPlants";#N/A,#N/A,FALSE,"Utah";#N/A,#N/A,FALSE,"Idaho";#N/A,#N/A,FALSE,"Lewis River";#N/A,#N/A,FALSE,"NrthUmpq";#N/A,#N/A,FALSE,"KlamRog"}</definedName>
    <definedName name="OHSch10YR_5" localSheetId="8" hidden="1">{#N/A,#N/A,FALSE,"Summary";#N/A,#N/A,FALSE,"SmPlants";#N/A,#N/A,FALSE,"Utah";#N/A,#N/A,FALSE,"Idaho";#N/A,#N/A,FALSE,"Lewis River";#N/A,#N/A,FALSE,"NrthUmpq";#N/A,#N/A,FALSE,"KlamRog"}</definedName>
    <definedName name="OHSch10YR_5" localSheetId="9" hidden="1">{#N/A,#N/A,FALSE,"Summary";#N/A,#N/A,FALSE,"SmPlants";#N/A,#N/A,FALSE,"Utah";#N/A,#N/A,FALSE,"Idaho";#N/A,#N/A,FALSE,"Lewis River";#N/A,#N/A,FALSE,"NrthUmpq";#N/A,#N/A,FALSE,"KlamRog"}</definedName>
    <definedName name="OHSch10YR_5" localSheetId="10" hidden="1">{#N/A,#N/A,FALSE,"Summary";#N/A,#N/A,FALSE,"SmPlants";#N/A,#N/A,FALSE,"Utah";#N/A,#N/A,FALSE,"Idaho";#N/A,#N/A,FALSE,"Lewis River";#N/A,#N/A,FALSE,"NrthUmpq";#N/A,#N/A,FALSE,"KlamRog"}</definedName>
    <definedName name="OHSch10YR_5" localSheetId="15" hidden="1">{#N/A,#N/A,FALSE,"Summary";#N/A,#N/A,FALSE,"SmPlants";#N/A,#N/A,FALSE,"Utah";#N/A,#N/A,FALSE,"Idaho";#N/A,#N/A,FALSE,"Lewis River";#N/A,#N/A,FALSE,"NrthUmpq";#N/A,#N/A,FALSE,"KlamRog"}</definedName>
    <definedName name="OHSch10YR_5" localSheetId="0" hidden="1">{#N/A,#N/A,FALSE,"Summary";#N/A,#N/A,FALSE,"SmPlants";#N/A,#N/A,FALSE,"Utah";#N/A,#N/A,FALSE,"Idaho";#N/A,#N/A,FALSE,"Lewis River";#N/A,#N/A,FALSE,"NrthUmpq";#N/A,#N/A,FALSE,"KlamRog"}</definedName>
    <definedName name="OHSch10YR_5" hidden="1">{#N/A,#N/A,FALSE,"Summary";#N/A,#N/A,FALSE,"SmPlants";#N/A,#N/A,FALSE,"Utah";#N/A,#N/A,FALSE,"Idaho";#N/A,#N/A,FALSE,"Lewis River";#N/A,#N/A,FALSE,"NrthUmpq";#N/A,#N/A,FALSE,"KlamRog"}</definedName>
    <definedName name="om" localSheetId="1" hidden="1">{#N/A,#N/A,FALSE,"Summary";#N/A,#N/A,FALSE,"SmPlants";#N/A,#N/A,FALSE,"Utah";#N/A,#N/A,FALSE,"Idaho";#N/A,#N/A,FALSE,"Lewis River";#N/A,#N/A,FALSE,"NrthUmpq";#N/A,#N/A,FALSE,"KlamRog"}</definedName>
    <definedName name="om" localSheetId="3" hidden="1">{#N/A,#N/A,FALSE,"Summary";#N/A,#N/A,FALSE,"SmPlants";#N/A,#N/A,FALSE,"Utah";#N/A,#N/A,FALSE,"Idaho";#N/A,#N/A,FALSE,"Lewis River";#N/A,#N/A,FALSE,"NrthUmpq";#N/A,#N/A,FALSE,"KlamRog"}</definedName>
    <definedName name="om" localSheetId="4" hidden="1">{#N/A,#N/A,FALSE,"Summary";#N/A,#N/A,FALSE,"SmPlants";#N/A,#N/A,FALSE,"Utah";#N/A,#N/A,FALSE,"Idaho";#N/A,#N/A,FALSE,"Lewis River";#N/A,#N/A,FALSE,"NrthUmpq";#N/A,#N/A,FALSE,"KlamRog"}</definedName>
    <definedName name="om" localSheetId="5" hidden="1">{#N/A,#N/A,FALSE,"Summary";#N/A,#N/A,FALSE,"SmPlants";#N/A,#N/A,FALSE,"Utah";#N/A,#N/A,FALSE,"Idaho";#N/A,#N/A,FALSE,"Lewis River";#N/A,#N/A,FALSE,"NrthUmpq";#N/A,#N/A,FALSE,"KlamRog"}</definedName>
    <definedName name="om" localSheetId="6" hidden="1">{#N/A,#N/A,FALSE,"Summary";#N/A,#N/A,FALSE,"SmPlants";#N/A,#N/A,FALSE,"Utah";#N/A,#N/A,FALSE,"Idaho";#N/A,#N/A,FALSE,"Lewis River";#N/A,#N/A,FALSE,"NrthUmpq";#N/A,#N/A,FALSE,"KlamRog"}</definedName>
    <definedName name="om" localSheetId="7" hidden="1">{#N/A,#N/A,FALSE,"Summary";#N/A,#N/A,FALSE,"SmPlants";#N/A,#N/A,FALSE,"Utah";#N/A,#N/A,FALSE,"Idaho";#N/A,#N/A,FALSE,"Lewis River";#N/A,#N/A,FALSE,"NrthUmpq";#N/A,#N/A,FALSE,"KlamRog"}</definedName>
    <definedName name="om" localSheetId="8" hidden="1">{#N/A,#N/A,FALSE,"Summary";#N/A,#N/A,FALSE,"SmPlants";#N/A,#N/A,FALSE,"Utah";#N/A,#N/A,FALSE,"Idaho";#N/A,#N/A,FALSE,"Lewis River";#N/A,#N/A,FALSE,"NrthUmpq";#N/A,#N/A,FALSE,"KlamRog"}</definedName>
    <definedName name="om" localSheetId="9" hidden="1">{#N/A,#N/A,FALSE,"Summary";#N/A,#N/A,FALSE,"SmPlants";#N/A,#N/A,FALSE,"Utah";#N/A,#N/A,FALSE,"Idaho";#N/A,#N/A,FALSE,"Lewis River";#N/A,#N/A,FALSE,"NrthUmpq";#N/A,#N/A,FALSE,"KlamRog"}</definedName>
    <definedName name="om" localSheetId="10" hidden="1">{#N/A,#N/A,FALSE,"Summary";#N/A,#N/A,FALSE,"SmPlants";#N/A,#N/A,FALSE,"Utah";#N/A,#N/A,FALSE,"Idaho";#N/A,#N/A,FALSE,"Lewis River";#N/A,#N/A,FALSE,"NrthUmpq";#N/A,#N/A,FALSE,"KlamRog"}</definedName>
    <definedName name="om" localSheetId="15" hidden="1">{#N/A,#N/A,FALSE,"Summary";#N/A,#N/A,FALSE,"SmPlants";#N/A,#N/A,FALSE,"Utah";#N/A,#N/A,FALSE,"Idaho";#N/A,#N/A,FALSE,"Lewis River";#N/A,#N/A,FALSE,"NrthUmpq";#N/A,#N/A,FALSE,"KlamRog"}</definedName>
    <definedName name="om" localSheetId="0" hidden="1">{#N/A,#N/A,FALSE,"Summary";#N/A,#N/A,FALSE,"SmPlants";#N/A,#N/A,FALSE,"Utah";#N/A,#N/A,FALSE,"Idaho";#N/A,#N/A,FALSE,"Lewis River";#N/A,#N/A,FALSE,"NrthUmpq";#N/A,#N/A,FALSE,"KlamRog"}</definedName>
    <definedName name="om" hidden="1">{#N/A,#N/A,FALSE,"Summary";#N/A,#N/A,FALSE,"SmPlants";#N/A,#N/A,FALSE,"Utah";#N/A,#N/A,FALSE,"Idaho";#N/A,#N/A,FALSE,"Lewis River";#N/A,#N/A,FALSE,"NrthUmpq";#N/A,#N/A,FALSE,"KlamRog"}</definedName>
    <definedName name="om_1" localSheetId="1" hidden="1">{#N/A,#N/A,FALSE,"Summary";#N/A,#N/A,FALSE,"SmPlants";#N/A,#N/A,FALSE,"Utah";#N/A,#N/A,FALSE,"Idaho";#N/A,#N/A,FALSE,"Lewis River";#N/A,#N/A,FALSE,"NrthUmpq";#N/A,#N/A,FALSE,"KlamRog"}</definedName>
    <definedName name="om_1" localSheetId="3" hidden="1">{#N/A,#N/A,FALSE,"Summary";#N/A,#N/A,FALSE,"SmPlants";#N/A,#N/A,FALSE,"Utah";#N/A,#N/A,FALSE,"Idaho";#N/A,#N/A,FALSE,"Lewis River";#N/A,#N/A,FALSE,"NrthUmpq";#N/A,#N/A,FALSE,"KlamRog"}</definedName>
    <definedName name="om_1" localSheetId="4" hidden="1">{#N/A,#N/A,FALSE,"Summary";#N/A,#N/A,FALSE,"SmPlants";#N/A,#N/A,FALSE,"Utah";#N/A,#N/A,FALSE,"Idaho";#N/A,#N/A,FALSE,"Lewis River";#N/A,#N/A,FALSE,"NrthUmpq";#N/A,#N/A,FALSE,"KlamRog"}</definedName>
    <definedName name="om_1" localSheetId="5" hidden="1">{#N/A,#N/A,FALSE,"Summary";#N/A,#N/A,FALSE,"SmPlants";#N/A,#N/A,FALSE,"Utah";#N/A,#N/A,FALSE,"Idaho";#N/A,#N/A,FALSE,"Lewis River";#N/A,#N/A,FALSE,"NrthUmpq";#N/A,#N/A,FALSE,"KlamRog"}</definedName>
    <definedName name="om_1" localSheetId="6" hidden="1">{#N/A,#N/A,FALSE,"Summary";#N/A,#N/A,FALSE,"SmPlants";#N/A,#N/A,FALSE,"Utah";#N/A,#N/A,FALSE,"Idaho";#N/A,#N/A,FALSE,"Lewis River";#N/A,#N/A,FALSE,"NrthUmpq";#N/A,#N/A,FALSE,"KlamRog"}</definedName>
    <definedName name="om_1" localSheetId="7" hidden="1">{#N/A,#N/A,FALSE,"Summary";#N/A,#N/A,FALSE,"SmPlants";#N/A,#N/A,FALSE,"Utah";#N/A,#N/A,FALSE,"Idaho";#N/A,#N/A,FALSE,"Lewis River";#N/A,#N/A,FALSE,"NrthUmpq";#N/A,#N/A,FALSE,"KlamRog"}</definedName>
    <definedName name="om_1" localSheetId="8" hidden="1">{#N/A,#N/A,FALSE,"Summary";#N/A,#N/A,FALSE,"SmPlants";#N/A,#N/A,FALSE,"Utah";#N/A,#N/A,FALSE,"Idaho";#N/A,#N/A,FALSE,"Lewis River";#N/A,#N/A,FALSE,"NrthUmpq";#N/A,#N/A,FALSE,"KlamRog"}</definedName>
    <definedName name="om_1" localSheetId="9" hidden="1">{#N/A,#N/A,FALSE,"Summary";#N/A,#N/A,FALSE,"SmPlants";#N/A,#N/A,FALSE,"Utah";#N/A,#N/A,FALSE,"Idaho";#N/A,#N/A,FALSE,"Lewis River";#N/A,#N/A,FALSE,"NrthUmpq";#N/A,#N/A,FALSE,"KlamRog"}</definedName>
    <definedName name="om_1" localSheetId="10" hidden="1">{#N/A,#N/A,FALSE,"Summary";#N/A,#N/A,FALSE,"SmPlants";#N/A,#N/A,FALSE,"Utah";#N/A,#N/A,FALSE,"Idaho";#N/A,#N/A,FALSE,"Lewis River";#N/A,#N/A,FALSE,"NrthUmpq";#N/A,#N/A,FALSE,"KlamRog"}</definedName>
    <definedName name="om_1" localSheetId="15" hidden="1">{#N/A,#N/A,FALSE,"Summary";#N/A,#N/A,FALSE,"SmPlants";#N/A,#N/A,FALSE,"Utah";#N/A,#N/A,FALSE,"Idaho";#N/A,#N/A,FALSE,"Lewis River";#N/A,#N/A,FALSE,"NrthUmpq";#N/A,#N/A,FALSE,"KlamRog"}</definedName>
    <definedName name="om_1" localSheetId="0" hidden="1">{#N/A,#N/A,FALSE,"Summary";#N/A,#N/A,FALSE,"SmPlants";#N/A,#N/A,FALSE,"Utah";#N/A,#N/A,FALSE,"Idaho";#N/A,#N/A,FALSE,"Lewis River";#N/A,#N/A,FALSE,"NrthUmpq";#N/A,#N/A,FALSE,"KlamRog"}</definedName>
    <definedName name="om_1" hidden="1">{#N/A,#N/A,FALSE,"Summary";#N/A,#N/A,FALSE,"SmPlants";#N/A,#N/A,FALSE,"Utah";#N/A,#N/A,FALSE,"Idaho";#N/A,#N/A,FALSE,"Lewis River";#N/A,#N/A,FALSE,"NrthUmpq";#N/A,#N/A,FALSE,"KlamRog"}</definedName>
    <definedName name="om_2" localSheetId="1" hidden="1">{#N/A,#N/A,FALSE,"Summary";#N/A,#N/A,FALSE,"SmPlants";#N/A,#N/A,FALSE,"Utah";#N/A,#N/A,FALSE,"Idaho";#N/A,#N/A,FALSE,"Lewis River";#N/A,#N/A,FALSE,"NrthUmpq";#N/A,#N/A,FALSE,"KlamRog"}</definedName>
    <definedName name="om_2" localSheetId="3" hidden="1">{#N/A,#N/A,FALSE,"Summary";#N/A,#N/A,FALSE,"SmPlants";#N/A,#N/A,FALSE,"Utah";#N/A,#N/A,FALSE,"Idaho";#N/A,#N/A,FALSE,"Lewis River";#N/A,#N/A,FALSE,"NrthUmpq";#N/A,#N/A,FALSE,"KlamRog"}</definedName>
    <definedName name="om_2" localSheetId="4" hidden="1">{#N/A,#N/A,FALSE,"Summary";#N/A,#N/A,FALSE,"SmPlants";#N/A,#N/A,FALSE,"Utah";#N/A,#N/A,FALSE,"Idaho";#N/A,#N/A,FALSE,"Lewis River";#N/A,#N/A,FALSE,"NrthUmpq";#N/A,#N/A,FALSE,"KlamRog"}</definedName>
    <definedName name="om_2" localSheetId="5" hidden="1">{#N/A,#N/A,FALSE,"Summary";#N/A,#N/A,FALSE,"SmPlants";#N/A,#N/A,FALSE,"Utah";#N/A,#N/A,FALSE,"Idaho";#N/A,#N/A,FALSE,"Lewis River";#N/A,#N/A,FALSE,"NrthUmpq";#N/A,#N/A,FALSE,"KlamRog"}</definedName>
    <definedName name="om_2" localSheetId="6" hidden="1">{#N/A,#N/A,FALSE,"Summary";#N/A,#N/A,FALSE,"SmPlants";#N/A,#N/A,FALSE,"Utah";#N/A,#N/A,FALSE,"Idaho";#N/A,#N/A,FALSE,"Lewis River";#N/A,#N/A,FALSE,"NrthUmpq";#N/A,#N/A,FALSE,"KlamRog"}</definedName>
    <definedName name="om_2" localSheetId="7" hidden="1">{#N/A,#N/A,FALSE,"Summary";#N/A,#N/A,FALSE,"SmPlants";#N/A,#N/A,FALSE,"Utah";#N/A,#N/A,FALSE,"Idaho";#N/A,#N/A,FALSE,"Lewis River";#N/A,#N/A,FALSE,"NrthUmpq";#N/A,#N/A,FALSE,"KlamRog"}</definedName>
    <definedName name="om_2" localSheetId="8" hidden="1">{#N/A,#N/A,FALSE,"Summary";#N/A,#N/A,FALSE,"SmPlants";#N/A,#N/A,FALSE,"Utah";#N/A,#N/A,FALSE,"Idaho";#N/A,#N/A,FALSE,"Lewis River";#N/A,#N/A,FALSE,"NrthUmpq";#N/A,#N/A,FALSE,"KlamRog"}</definedName>
    <definedName name="om_2" localSheetId="9" hidden="1">{#N/A,#N/A,FALSE,"Summary";#N/A,#N/A,FALSE,"SmPlants";#N/A,#N/A,FALSE,"Utah";#N/A,#N/A,FALSE,"Idaho";#N/A,#N/A,FALSE,"Lewis River";#N/A,#N/A,FALSE,"NrthUmpq";#N/A,#N/A,FALSE,"KlamRog"}</definedName>
    <definedName name="om_2" localSheetId="10" hidden="1">{#N/A,#N/A,FALSE,"Summary";#N/A,#N/A,FALSE,"SmPlants";#N/A,#N/A,FALSE,"Utah";#N/A,#N/A,FALSE,"Idaho";#N/A,#N/A,FALSE,"Lewis River";#N/A,#N/A,FALSE,"NrthUmpq";#N/A,#N/A,FALSE,"KlamRog"}</definedName>
    <definedName name="om_2" localSheetId="15" hidden="1">{#N/A,#N/A,FALSE,"Summary";#N/A,#N/A,FALSE,"SmPlants";#N/A,#N/A,FALSE,"Utah";#N/A,#N/A,FALSE,"Idaho";#N/A,#N/A,FALSE,"Lewis River";#N/A,#N/A,FALSE,"NrthUmpq";#N/A,#N/A,FALSE,"KlamRog"}</definedName>
    <definedName name="om_2" localSheetId="0" hidden="1">{#N/A,#N/A,FALSE,"Summary";#N/A,#N/A,FALSE,"SmPlants";#N/A,#N/A,FALSE,"Utah";#N/A,#N/A,FALSE,"Idaho";#N/A,#N/A,FALSE,"Lewis River";#N/A,#N/A,FALSE,"NrthUmpq";#N/A,#N/A,FALSE,"KlamRog"}</definedName>
    <definedName name="om_2" hidden="1">{#N/A,#N/A,FALSE,"Summary";#N/A,#N/A,FALSE,"SmPlants";#N/A,#N/A,FALSE,"Utah";#N/A,#N/A,FALSE,"Idaho";#N/A,#N/A,FALSE,"Lewis River";#N/A,#N/A,FALSE,"NrthUmpq";#N/A,#N/A,FALSE,"KlamRog"}</definedName>
    <definedName name="om_3" localSheetId="1" hidden="1">{#N/A,#N/A,FALSE,"Summary";#N/A,#N/A,FALSE,"SmPlants";#N/A,#N/A,FALSE,"Utah";#N/A,#N/A,FALSE,"Idaho";#N/A,#N/A,FALSE,"Lewis River";#N/A,#N/A,FALSE,"NrthUmpq";#N/A,#N/A,FALSE,"KlamRog"}</definedName>
    <definedName name="om_3" localSheetId="3" hidden="1">{#N/A,#N/A,FALSE,"Summary";#N/A,#N/A,FALSE,"SmPlants";#N/A,#N/A,FALSE,"Utah";#N/A,#N/A,FALSE,"Idaho";#N/A,#N/A,FALSE,"Lewis River";#N/A,#N/A,FALSE,"NrthUmpq";#N/A,#N/A,FALSE,"KlamRog"}</definedName>
    <definedName name="om_3" localSheetId="4" hidden="1">{#N/A,#N/A,FALSE,"Summary";#N/A,#N/A,FALSE,"SmPlants";#N/A,#N/A,FALSE,"Utah";#N/A,#N/A,FALSE,"Idaho";#N/A,#N/A,FALSE,"Lewis River";#N/A,#N/A,FALSE,"NrthUmpq";#N/A,#N/A,FALSE,"KlamRog"}</definedName>
    <definedName name="om_3" localSheetId="5" hidden="1">{#N/A,#N/A,FALSE,"Summary";#N/A,#N/A,FALSE,"SmPlants";#N/A,#N/A,FALSE,"Utah";#N/A,#N/A,FALSE,"Idaho";#N/A,#N/A,FALSE,"Lewis River";#N/A,#N/A,FALSE,"NrthUmpq";#N/A,#N/A,FALSE,"KlamRog"}</definedName>
    <definedName name="om_3" localSheetId="6" hidden="1">{#N/A,#N/A,FALSE,"Summary";#N/A,#N/A,FALSE,"SmPlants";#N/A,#N/A,FALSE,"Utah";#N/A,#N/A,FALSE,"Idaho";#N/A,#N/A,FALSE,"Lewis River";#N/A,#N/A,FALSE,"NrthUmpq";#N/A,#N/A,FALSE,"KlamRog"}</definedName>
    <definedName name="om_3" localSheetId="7" hidden="1">{#N/A,#N/A,FALSE,"Summary";#N/A,#N/A,FALSE,"SmPlants";#N/A,#N/A,FALSE,"Utah";#N/A,#N/A,FALSE,"Idaho";#N/A,#N/A,FALSE,"Lewis River";#N/A,#N/A,FALSE,"NrthUmpq";#N/A,#N/A,FALSE,"KlamRog"}</definedName>
    <definedName name="om_3" localSheetId="8" hidden="1">{#N/A,#N/A,FALSE,"Summary";#N/A,#N/A,FALSE,"SmPlants";#N/A,#N/A,FALSE,"Utah";#N/A,#N/A,FALSE,"Idaho";#N/A,#N/A,FALSE,"Lewis River";#N/A,#N/A,FALSE,"NrthUmpq";#N/A,#N/A,FALSE,"KlamRog"}</definedName>
    <definedName name="om_3" localSheetId="9" hidden="1">{#N/A,#N/A,FALSE,"Summary";#N/A,#N/A,FALSE,"SmPlants";#N/A,#N/A,FALSE,"Utah";#N/A,#N/A,FALSE,"Idaho";#N/A,#N/A,FALSE,"Lewis River";#N/A,#N/A,FALSE,"NrthUmpq";#N/A,#N/A,FALSE,"KlamRog"}</definedName>
    <definedName name="om_3" localSheetId="10" hidden="1">{#N/A,#N/A,FALSE,"Summary";#N/A,#N/A,FALSE,"SmPlants";#N/A,#N/A,FALSE,"Utah";#N/A,#N/A,FALSE,"Idaho";#N/A,#N/A,FALSE,"Lewis River";#N/A,#N/A,FALSE,"NrthUmpq";#N/A,#N/A,FALSE,"KlamRog"}</definedName>
    <definedName name="om_3" localSheetId="15" hidden="1">{#N/A,#N/A,FALSE,"Summary";#N/A,#N/A,FALSE,"SmPlants";#N/A,#N/A,FALSE,"Utah";#N/A,#N/A,FALSE,"Idaho";#N/A,#N/A,FALSE,"Lewis River";#N/A,#N/A,FALSE,"NrthUmpq";#N/A,#N/A,FALSE,"KlamRog"}</definedName>
    <definedName name="om_3" localSheetId="0" hidden="1">{#N/A,#N/A,FALSE,"Summary";#N/A,#N/A,FALSE,"SmPlants";#N/A,#N/A,FALSE,"Utah";#N/A,#N/A,FALSE,"Idaho";#N/A,#N/A,FALSE,"Lewis River";#N/A,#N/A,FALSE,"NrthUmpq";#N/A,#N/A,FALSE,"KlamRog"}</definedName>
    <definedName name="om_3" hidden="1">{#N/A,#N/A,FALSE,"Summary";#N/A,#N/A,FALSE,"SmPlants";#N/A,#N/A,FALSE,"Utah";#N/A,#N/A,FALSE,"Idaho";#N/A,#N/A,FALSE,"Lewis River";#N/A,#N/A,FALSE,"NrthUmpq";#N/A,#N/A,FALSE,"KlamRog"}</definedName>
    <definedName name="om_4" localSheetId="1" hidden="1">{#N/A,#N/A,FALSE,"Summary";#N/A,#N/A,FALSE,"SmPlants";#N/A,#N/A,FALSE,"Utah";#N/A,#N/A,FALSE,"Idaho";#N/A,#N/A,FALSE,"Lewis River";#N/A,#N/A,FALSE,"NrthUmpq";#N/A,#N/A,FALSE,"KlamRog"}</definedName>
    <definedName name="om_4" localSheetId="3" hidden="1">{#N/A,#N/A,FALSE,"Summary";#N/A,#N/A,FALSE,"SmPlants";#N/A,#N/A,FALSE,"Utah";#N/A,#N/A,FALSE,"Idaho";#N/A,#N/A,FALSE,"Lewis River";#N/A,#N/A,FALSE,"NrthUmpq";#N/A,#N/A,FALSE,"KlamRog"}</definedName>
    <definedName name="om_4" localSheetId="4" hidden="1">{#N/A,#N/A,FALSE,"Summary";#N/A,#N/A,FALSE,"SmPlants";#N/A,#N/A,FALSE,"Utah";#N/A,#N/A,FALSE,"Idaho";#N/A,#N/A,FALSE,"Lewis River";#N/A,#N/A,FALSE,"NrthUmpq";#N/A,#N/A,FALSE,"KlamRog"}</definedName>
    <definedName name="om_4" localSheetId="5" hidden="1">{#N/A,#N/A,FALSE,"Summary";#N/A,#N/A,FALSE,"SmPlants";#N/A,#N/A,FALSE,"Utah";#N/A,#N/A,FALSE,"Idaho";#N/A,#N/A,FALSE,"Lewis River";#N/A,#N/A,FALSE,"NrthUmpq";#N/A,#N/A,FALSE,"KlamRog"}</definedName>
    <definedName name="om_4" localSheetId="6" hidden="1">{#N/A,#N/A,FALSE,"Summary";#N/A,#N/A,FALSE,"SmPlants";#N/A,#N/A,FALSE,"Utah";#N/A,#N/A,FALSE,"Idaho";#N/A,#N/A,FALSE,"Lewis River";#N/A,#N/A,FALSE,"NrthUmpq";#N/A,#N/A,FALSE,"KlamRog"}</definedName>
    <definedName name="om_4" localSheetId="7" hidden="1">{#N/A,#N/A,FALSE,"Summary";#N/A,#N/A,FALSE,"SmPlants";#N/A,#N/A,FALSE,"Utah";#N/A,#N/A,FALSE,"Idaho";#N/A,#N/A,FALSE,"Lewis River";#N/A,#N/A,FALSE,"NrthUmpq";#N/A,#N/A,FALSE,"KlamRog"}</definedName>
    <definedName name="om_4" localSheetId="8" hidden="1">{#N/A,#N/A,FALSE,"Summary";#N/A,#N/A,FALSE,"SmPlants";#N/A,#N/A,FALSE,"Utah";#N/A,#N/A,FALSE,"Idaho";#N/A,#N/A,FALSE,"Lewis River";#N/A,#N/A,FALSE,"NrthUmpq";#N/A,#N/A,FALSE,"KlamRog"}</definedName>
    <definedName name="om_4" localSheetId="9" hidden="1">{#N/A,#N/A,FALSE,"Summary";#N/A,#N/A,FALSE,"SmPlants";#N/A,#N/A,FALSE,"Utah";#N/A,#N/A,FALSE,"Idaho";#N/A,#N/A,FALSE,"Lewis River";#N/A,#N/A,FALSE,"NrthUmpq";#N/A,#N/A,FALSE,"KlamRog"}</definedName>
    <definedName name="om_4" localSheetId="10" hidden="1">{#N/A,#N/A,FALSE,"Summary";#N/A,#N/A,FALSE,"SmPlants";#N/A,#N/A,FALSE,"Utah";#N/A,#N/A,FALSE,"Idaho";#N/A,#N/A,FALSE,"Lewis River";#N/A,#N/A,FALSE,"NrthUmpq";#N/A,#N/A,FALSE,"KlamRog"}</definedName>
    <definedName name="om_4" localSheetId="15" hidden="1">{#N/A,#N/A,FALSE,"Summary";#N/A,#N/A,FALSE,"SmPlants";#N/A,#N/A,FALSE,"Utah";#N/A,#N/A,FALSE,"Idaho";#N/A,#N/A,FALSE,"Lewis River";#N/A,#N/A,FALSE,"NrthUmpq";#N/A,#N/A,FALSE,"KlamRog"}</definedName>
    <definedName name="om_4" localSheetId="0" hidden="1">{#N/A,#N/A,FALSE,"Summary";#N/A,#N/A,FALSE,"SmPlants";#N/A,#N/A,FALSE,"Utah";#N/A,#N/A,FALSE,"Idaho";#N/A,#N/A,FALSE,"Lewis River";#N/A,#N/A,FALSE,"NrthUmpq";#N/A,#N/A,FALSE,"KlamRog"}</definedName>
    <definedName name="om_4" hidden="1">{#N/A,#N/A,FALSE,"Summary";#N/A,#N/A,FALSE,"SmPlants";#N/A,#N/A,FALSE,"Utah";#N/A,#N/A,FALSE,"Idaho";#N/A,#N/A,FALSE,"Lewis River";#N/A,#N/A,FALSE,"NrthUmpq";#N/A,#N/A,FALSE,"KlamRog"}</definedName>
    <definedName name="om_5" localSheetId="1" hidden="1">{#N/A,#N/A,FALSE,"Summary";#N/A,#N/A,FALSE,"SmPlants";#N/A,#N/A,FALSE,"Utah";#N/A,#N/A,FALSE,"Idaho";#N/A,#N/A,FALSE,"Lewis River";#N/A,#N/A,FALSE,"NrthUmpq";#N/A,#N/A,FALSE,"KlamRog"}</definedName>
    <definedName name="om_5" localSheetId="3" hidden="1">{#N/A,#N/A,FALSE,"Summary";#N/A,#N/A,FALSE,"SmPlants";#N/A,#N/A,FALSE,"Utah";#N/A,#N/A,FALSE,"Idaho";#N/A,#N/A,FALSE,"Lewis River";#N/A,#N/A,FALSE,"NrthUmpq";#N/A,#N/A,FALSE,"KlamRog"}</definedName>
    <definedName name="om_5" localSheetId="4" hidden="1">{#N/A,#N/A,FALSE,"Summary";#N/A,#N/A,FALSE,"SmPlants";#N/A,#N/A,FALSE,"Utah";#N/A,#N/A,FALSE,"Idaho";#N/A,#N/A,FALSE,"Lewis River";#N/A,#N/A,FALSE,"NrthUmpq";#N/A,#N/A,FALSE,"KlamRog"}</definedName>
    <definedName name="om_5" localSheetId="5" hidden="1">{#N/A,#N/A,FALSE,"Summary";#N/A,#N/A,FALSE,"SmPlants";#N/A,#N/A,FALSE,"Utah";#N/A,#N/A,FALSE,"Idaho";#N/A,#N/A,FALSE,"Lewis River";#N/A,#N/A,FALSE,"NrthUmpq";#N/A,#N/A,FALSE,"KlamRog"}</definedName>
    <definedName name="om_5" localSheetId="6" hidden="1">{#N/A,#N/A,FALSE,"Summary";#N/A,#N/A,FALSE,"SmPlants";#N/A,#N/A,FALSE,"Utah";#N/A,#N/A,FALSE,"Idaho";#N/A,#N/A,FALSE,"Lewis River";#N/A,#N/A,FALSE,"NrthUmpq";#N/A,#N/A,FALSE,"KlamRog"}</definedName>
    <definedName name="om_5" localSheetId="7" hidden="1">{#N/A,#N/A,FALSE,"Summary";#N/A,#N/A,FALSE,"SmPlants";#N/A,#N/A,FALSE,"Utah";#N/A,#N/A,FALSE,"Idaho";#N/A,#N/A,FALSE,"Lewis River";#N/A,#N/A,FALSE,"NrthUmpq";#N/A,#N/A,FALSE,"KlamRog"}</definedName>
    <definedName name="om_5" localSheetId="8" hidden="1">{#N/A,#N/A,FALSE,"Summary";#N/A,#N/A,FALSE,"SmPlants";#N/A,#N/A,FALSE,"Utah";#N/A,#N/A,FALSE,"Idaho";#N/A,#N/A,FALSE,"Lewis River";#N/A,#N/A,FALSE,"NrthUmpq";#N/A,#N/A,FALSE,"KlamRog"}</definedName>
    <definedName name="om_5" localSheetId="9" hidden="1">{#N/A,#N/A,FALSE,"Summary";#N/A,#N/A,FALSE,"SmPlants";#N/A,#N/A,FALSE,"Utah";#N/A,#N/A,FALSE,"Idaho";#N/A,#N/A,FALSE,"Lewis River";#N/A,#N/A,FALSE,"NrthUmpq";#N/A,#N/A,FALSE,"KlamRog"}</definedName>
    <definedName name="om_5" localSheetId="10" hidden="1">{#N/A,#N/A,FALSE,"Summary";#N/A,#N/A,FALSE,"SmPlants";#N/A,#N/A,FALSE,"Utah";#N/A,#N/A,FALSE,"Idaho";#N/A,#N/A,FALSE,"Lewis River";#N/A,#N/A,FALSE,"NrthUmpq";#N/A,#N/A,FALSE,"KlamRog"}</definedName>
    <definedName name="om_5" localSheetId="15" hidden="1">{#N/A,#N/A,FALSE,"Summary";#N/A,#N/A,FALSE,"SmPlants";#N/A,#N/A,FALSE,"Utah";#N/A,#N/A,FALSE,"Idaho";#N/A,#N/A,FALSE,"Lewis River";#N/A,#N/A,FALSE,"NrthUmpq";#N/A,#N/A,FALSE,"KlamRog"}</definedName>
    <definedName name="om_5" localSheetId="0" hidden="1">{#N/A,#N/A,FALSE,"Summary";#N/A,#N/A,FALSE,"SmPlants";#N/A,#N/A,FALSE,"Utah";#N/A,#N/A,FALSE,"Idaho";#N/A,#N/A,FALSE,"Lewis River";#N/A,#N/A,FALSE,"NrthUmpq";#N/A,#N/A,FALSE,"KlamRog"}</definedName>
    <definedName name="om_5" hidden="1">{#N/A,#N/A,FALSE,"Summary";#N/A,#N/A,FALSE,"SmPlants";#N/A,#N/A,FALSE,"Utah";#N/A,#N/A,FALSE,"Idaho";#N/A,#N/A,FALSE,"Lewis River";#N/A,#N/A,FALSE,"NrthUmpq";#N/A,#N/A,FALSE,"KlamRog"}</definedName>
    <definedName name="pete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_xlnm.Print_Area" localSheetId="3">'(2.1)_Resources'!$A$1:$Q$97</definedName>
    <definedName name="_xlnm.Print_Area" localSheetId="4">'(2.2)_Forward_Price_Curve'!$A$1:$Q$54</definedName>
    <definedName name="_xlnm.Print_Titles" localSheetId="4">'(2.2)_Forward_Price_Curve'!$8:$11</definedName>
    <definedName name="proxy_cost_start">[1]Levelizer!$C$10</definedName>
    <definedName name="ReadDisc">[1]Levelizer!$C$9</definedName>
    <definedName name="shit" localSheetId="1" hidden="1">{"PRINT",#N/A,TRUE,"APPA";"PRINT",#N/A,TRUE,"APS";"PRINT",#N/A,TRUE,"BHPL";"PRINT",#N/A,TRUE,"BHPL2";"PRINT",#N/A,TRUE,"CDWR";"PRINT",#N/A,TRUE,"EWEB";"PRINT",#N/A,TRUE,"LADWP";"PRINT",#N/A,TRUE,"NEVBASE"}</definedName>
    <definedName name="shit" localSheetId="3" hidden="1">{"PRINT",#N/A,TRUE,"APPA";"PRINT",#N/A,TRUE,"APS";"PRINT",#N/A,TRUE,"BHPL";"PRINT",#N/A,TRUE,"BHPL2";"PRINT",#N/A,TRUE,"CDWR";"PRINT",#N/A,TRUE,"EWEB";"PRINT",#N/A,TRUE,"LADWP";"PRINT",#N/A,TRUE,"NEVBASE"}</definedName>
    <definedName name="shit" localSheetId="4" hidden="1">{"PRINT",#N/A,TRUE,"APPA";"PRINT",#N/A,TRUE,"APS";"PRINT",#N/A,TRUE,"BHPL";"PRINT",#N/A,TRUE,"BHPL2";"PRINT",#N/A,TRUE,"CDWR";"PRINT",#N/A,TRUE,"EWEB";"PRINT",#N/A,TRUE,"LADWP";"PRINT",#N/A,TRUE,"NEVBASE"}</definedName>
    <definedName name="shit" localSheetId="5" hidden="1">{"PRINT",#N/A,TRUE,"APPA";"PRINT",#N/A,TRUE,"APS";"PRINT",#N/A,TRUE,"BHPL";"PRINT",#N/A,TRUE,"BHPL2";"PRINT",#N/A,TRUE,"CDWR";"PRINT",#N/A,TRUE,"EWEB";"PRINT",#N/A,TRUE,"LADWP";"PRINT",#N/A,TRUE,"NEVBASE"}</definedName>
    <definedName name="shit" localSheetId="6" hidden="1">{"PRINT",#N/A,TRUE,"APPA";"PRINT",#N/A,TRUE,"APS";"PRINT",#N/A,TRUE,"BHPL";"PRINT",#N/A,TRUE,"BHPL2";"PRINT",#N/A,TRUE,"CDWR";"PRINT",#N/A,TRUE,"EWEB";"PRINT",#N/A,TRUE,"LADWP";"PRINT",#N/A,TRUE,"NEVBASE"}</definedName>
    <definedName name="shit" localSheetId="7" hidden="1">{"PRINT",#N/A,TRUE,"APPA";"PRINT",#N/A,TRUE,"APS";"PRINT",#N/A,TRUE,"BHPL";"PRINT",#N/A,TRUE,"BHPL2";"PRINT",#N/A,TRUE,"CDWR";"PRINT",#N/A,TRUE,"EWEB";"PRINT",#N/A,TRUE,"LADWP";"PRINT",#N/A,TRUE,"NEVBASE"}</definedName>
    <definedName name="shit" localSheetId="8" hidden="1">{"PRINT",#N/A,TRUE,"APPA";"PRINT",#N/A,TRUE,"APS";"PRINT",#N/A,TRUE,"BHPL";"PRINT",#N/A,TRUE,"BHPL2";"PRINT",#N/A,TRUE,"CDWR";"PRINT",#N/A,TRUE,"EWEB";"PRINT",#N/A,TRUE,"LADWP";"PRINT",#N/A,TRUE,"NEVBASE"}</definedName>
    <definedName name="shit" localSheetId="9" hidden="1">{"PRINT",#N/A,TRUE,"APPA";"PRINT",#N/A,TRUE,"APS";"PRINT",#N/A,TRUE,"BHPL";"PRINT",#N/A,TRUE,"BHPL2";"PRINT",#N/A,TRUE,"CDWR";"PRINT",#N/A,TRUE,"EWEB";"PRINT",#N/A,TRUE,"LADWP";"PRINT",#N/A,TRUE,"NEVBASE"}</definedName>
    <definedName name="shit" localSheetId="10" hidden="1">{"PRINT",#N/A,TRUE,"APPA";"PRINT",#N/A,TRUE,"APS";"PRINT",#N/A,TRUE,"BHPL";"PRINT",#N/A,TRUE,"BHPL2";"PRINT",#N/A,TRUE,"CDWR";"PRINT",#N/A,TRUE,"EWEB";"PRINT",#N/A,TRUE,"LADWP";"PRINT",#N/A,TRUE,"NEVBASE"}</definedName>
    <definedName name="shit" localSheetId="15" hidden="1">{"PRINT",#N/A,TRUE,"APPA";"PRINT",#N/A,TRUE,"APS";"PRINT",#N/A,TRUE,"BHPL";"PRINT",#N/A,TRUE,"BHPL2";"PRINT",#N/A,TRUE,"CDWR";"PRINT",#N/A,TRUE,"EWEB";"PRINT",#N/A,TRUE,"LADWP";"PRINT",#N/A,TRUE,"NEVBASE"}</definedName>
    <definedName name="shit" localSheetId="0" hidden="1">{"PRINT",#N/A,TRUE,"APPA";"PRINT",#N/A,TRUE,"APS";"PRINT",#N/A,TRUE,"BHPL";"PRINT",#N/A,TRUE,"BHPL2";"PRINT",#N/A,TRUE,"CDWR";"PRINT",#N/A,TRUE,"EWEB";"PRINT",#N/A,TRUE,"LADWP";"PRINT",#N/A,TRUE,"NEVBASE"}</definedName>
    <definedName name="shit" hidden="1">{"PRINT",#N/A,TRUE,"APPA";"PRINT",#N/A,TRUE,"APS";"PRINT",#N/A,TRUE,"BHPL";"PRINT",#N/A,TRUE,"BHPL2";"PRINT",#N/A,TRUE,"CDWR";"PRINT",#N/A,TRUE,"EWEB";"PRINT",#N/A,TRUE,"LADWP";"PRINT",#N/A,TRUE,"NEVBASE"}</definedName>
    <definedName name="shit_1" localSheetId="1" hidden="1">{"PRINT",#N/A,TRUE,"APPA";"PRINT",#N/A,TRUE,"APS";"PRINT",#N/A,TRUE,"BHPL";"PRINT",#N/A,TRUE,"BHPL2";"PRINT",#N/A,TRUE,"CDWR";"PRINT",#N/A,TRUE,"EWEB";"PRINT",#N/A,TRUE,"LADWP";"PRINT",#N/A,TRUE,"NEVBASE"}</definedName>
    <definedName name="shit_1" localSheetId="3" hidden="1">{"PRINT",#N/A,TRUE,"APPA";"PRINT",#N/A,TRUE,"APS";"PRINT",#N/A,TRUE,"BHPL";"PRINT",#N/A,TRUE,"BHPL2";"PRINT",#N/A,TRUE,"CDWR";"PRINT",#N/A,TRUE,"EWEB";"PRINT",#N/A,TRUE,"LADWP";"PRINT",#N/A,TRUE,"NEVBASE"}</definedName>
    <definedName name="shit_1" localSheetId="4" hidden="1">{"PRINT",#N/A,TRUE,"APPA";"PRINT",#N/A,TRUE,"APS";"PRINT",#N/A,TRUE,"BHPL";"PRINT",#N/A,TRUE,"BHPL2";"PRINT",#N/A,TRUE,"CDWR";"PRINT",#N/A,TRUE,"EWEB";"PRINT",#N/A,TRUE,"LADWP";"PRINT",#N/A,TRUE,"NEVBASE"}</definedName>
    <definedName name="shit_1" localSheetId="5" hidden="1">{"PRINT",#N/A,TRUE,"APPA";"PRINT",#N/A,TRUE,"APS";"PRINT",#N/A,TRUE,"BHPL";"PRINT",#N/A,TRUE,"BHPL2";"PRINT",#N/A,TRUE,"CDWR";"PRINT",#N/A,TRUE,"EWEB";"PRINT",#N/A,TRUE,"LADWP";"PRINT",#N/A,TRUE,"NEVBASE"}</definedName>
    <definedName name="shit_1" localSheetId="6" hidden="1">{"PRINT",#N/A,TRUE,"APPA";"PRINT",#N/A,TRUE,"APS";"PRINT",#N/A,TRUE,"BHPL";"PRINT",#N/A,TRUE,"BHPL2";"PRINT",#N/A,TRUE,"CDWR";"PRINT",#N/A,TRUE,"EWEB";"PRINT",#N/A,TRUE,"LADWP";"PRINT",#N/A,TRUE,"NEVBASE"}</definedName>
    <definedName name="shit_1" localSheetId="7" hidden="1">{"PRINT",#N/A,TRUE,"APPA";"PRINT",#N/A,TRUE,"APS";"PRINT",#N/A,TRUE,"BHPL";"PRINT",#N/A,TRUE,"BHPL2";"PRINT",#N/A,TRUE,"CDWR";"PRINT",#N/A,TRUE,"EWEB";"PRINT",#N/A,TRUE,"LADWP";"PRINT",#N/A,TRUE,"NEVBASE"}</definedName>
    <definedName name="shit_1" localSheetId="8" hidden="1">{"PRINT",#N/A,TRUE,"APPA";"PRINT",#N/A,TRUE,"APS";"PRINT",#N/A,TRUE,"BHPL";"PRINT",#N/A,TRUE,"BHPL2";"PRINT",#N/A,TRUE,"CDWR";"PRINT",#N/A,TRUE,"EWEB";"PRINT",#N/A,TRUE,"LADWP";"PRINT",#N/A,TRUE,"NEVBASE"}</definedName>
    <definedName name="shit_1" localSheetId="9" hidden="1">{"PRINT",#N/A,TRUE,"APPA";"PRINT",#N/A,TRUE,"APS";"PRINT",#N/A,TRUE,"BHPL";"PRINT",#N/A,TRUE,"BHPL2";"PRINT",#N/A,TRUE,"CDWR";"PRINT",#N/A,TRUE,"EWEB";"PRINT",#N/A,TRUE,"LADWP";"PRINT",#N/A,TRUE,"NEVBASE"}</definedName>
    <definedName name="shit_1" localSheetId="10" hidden="1">{"PRINT",#N/A,TRUE,"APPA";"PRINT",#N/A,TRUE,"APS";"PRINT",#N/A,TRUE,"BHPL";"PRINT",#N/A,TRUE,"BHPL2";"PRINT",#N/A,TRUE,"CDWR";"PRINT",#N/A,TRUE,"EWEB";"PRINT",#N/A,TRUE,"LADWP";"PRINT",#N/A,TRUE,"NEVBASE"}</definedName>
    <definedName name="shit_1" localSheetId="15" hidden="1">{"PRINT",#N/A,TRUE,"APPA";"PRINT",#N/A,TRUE,"APS";"PRINT",#N/A,TRUE,"BHPL";"PRINT",#N/A,TRUE,"BHPL2";"PRINT",#N/A,TRUE,"CDWR";"PRINT",#N/A,TRUE,"EWEB";"PRINT",#N/A,TRUE,"LADWP";"PRINT",#N/A,TRUE,"NEVBASE"}</definedName>
    <definedName name="shit_1" localSheetId="0" hidden="1">{"PRINT",#N/A,TRUE,"APPA";"PRINT",#N/A,TRUE,"APS";"PRINT",#N/A,TRUE,"BHPL";"PRINT",#N/A,TRUE,"BHPL2";"PRINT",#N/A,TRUE,"CDWR";"PRINT",#N/A,TRUE,"EWEB";"PRINT",#N/A,TRUE,"LADWP";"PRINT",#N/A,TRUE,"NEVBASE"}</definedName>
    <definedName name="shit_1" hidden="1">{"PRINT",#N/A,TRUE,"APPA";"PRINT",#N/A,TRUE,"APS";"PRINT",#N/A,TRUE,"BHPL";"PRINT",#N/A,TRUE,"BHPL2";"PRINT",#N/A,TRUE,"CDWR";"PRINT",#N/A,TRUE,"EWEB";"PRINT",#N/A,TRUE,"LADWP";"PRINT",#N/A,TRUE,"NEVBASE"}</definedName>
    <definedName name="shit_2" localSheetId="1" hidden="1">{"PRINT",#N/A,TRUE,"APPA";"PRINT",#N/A,TRUE,"APS";"PRINT",#N/A,TRUE,"BHPL";"PRINT",#N/A,TRUE,"BHPL2";"PRINT",#N/A,TRUE,"CDWR";"PRINT",#N/A,TRUE,"EWEB";"PRINT",#N/A,TRUE,"LADWP";"PRINT",#N/A,TRUE,"NEVBASE"}</definedName>
    <definedName name="shit_2" localSheetId="3" hidden="1">{"PRINT",#N/A,TRUE,"APPA";"PRINT",#N/A,TRUE,"APS";"PRINT",#N/A,TRUE,"BHPL";"PRINT",#N/A,TRUE,"BHPL2";"PRINT",#N/A,TRUE,"CDWR";"PRINT",#N/A,TRUE,"EWEB";"PRINT",#N/A,TRUE,"LADWP";"PRINT",#N/A,TRUE,"NEVBASE"}</definedName>
    <definedName name="shit_2" localSheetId="4" hidden="1">{"PRINT",#N/A,TRUE,"APPA";"PRINT",#N/A,TRUE,"APS";"PRINT",#N/A,TRUE,"BHPL";"PRINT",#N/A,TRUE,"BHPL2";"PRINT",#N/A,TRUE,"CDWR";"PRINT",#N/A,TRUE,"EWEB";"PRINT",#N/A,TRUE,"LADWP";"PRINT",#N/A,TRUE,"NEVBASE"}</definedName>
    <definedName name="shit_2" localSheetId="5" hidden="1">{"PRINT",#N/A,TRUE,"APPA";"PRINT",#N/A,TRUE,"APS";"PRINT",#N/A,TRUE,"BHPL";"PRINT",#N/A,TRUE,"BHPL2";"PRINT",#N/A,TRUE,"CDWR";"PRINT",#N/A,TRUE,"EWEB";"PRINT",#N/A,TRUE,"LADWP";"PRINT",#N/A,TRUE,"NEVBASE"}</definedName>
    <definedName name="shit_2" localSheetId="6" hidden="1">{"PRINT",#N/A,TRUE,"APPA";"PRINT",#N/A,TRUE,"APS";"PRINT",#N/A,TRUE,"BHPL";"PRINT",#N/A,TRUE,"BHPL2";"PRINT",#N/A,TRUE,"CDWR";"PRINT",#N/A,TRUE,"EWEB";"PRINT",#N/A,TRUE,"LADWP";"PRINT",#N/A,TRUE,"NEVBASE"}</definedName>
    <definedName name="shit_2" localSheetId="7" hidden="1">{"PRINT",#N/A,TRUE,"APPA";"PRINT",#N/A,TRUE,"APS";"PRINT",#N/A,TRUE,"BHPL";"PRINT",#N/A,TRUE,"BHPL2";"PRINT",#N/A,TRUE,"CDWR";"PRINT",#N/A,TRUE,"EWEB";"PRINT",#N/A,TRUE,"LADWP";"PRINT",#N/A,TRUE,"NEVBASE"}</definedName>
    <definedName name="shit_2" localSheetId="8" hidden="1">{"PRINT",#N/A,TRUE,"APPA";"PRINT",#N/A,TRUE,"APS";"PRINT",#N/A,TRUE,"BHPL";"PRINT",#N/A,TRUE,"BHPL2";"PRINT",#N/A,TRUE,"CDWR";"PRINT",#N/A,TRUE,"EWEB";"PRINT",#N/A,TRUE,"LADWP";"PRINT",#N/A,TRUE,"NEVBASE"}</definedName>
    <definedName name="shit_2" localSheetId="9" hidden="1">{"PRINT",#N/A,TRUE,"APPA";"PRINT",#N/A,TRUE,"APS";"PRINT",#N/A,TRUE,"BHPL";"PRINT",#N/A,TRUE,"BHPL2";"PRINT",#N/A,TRUE,"CDWR";"PRINT",#N/A,TRUE,"EWEB";"PRINT",#N/A,TRUE,"LADWP";"PRINT",#N/A,TRUE,"NEVBASE"}</definedName>
    <definedName name="shit_2" localSheetId="10" hidden="1">{"PRINT",#N/A,TRUE,"APPA";"PRINT",#N/A,TRUE,"APS";"PRINT",#N/A,TRUE,"BHPL";"PRINT",#N/A,TRUE,"BHPL2";"PRINT",#N/A,TRUE,"CDWR";"PRINT",#N/A,TRUE,"EWEB";"PRINT",#N/A,TRUE,"LADWP";"PRINT",#N/A,TRUE,"NEVBASE"}</definedName>
    <definedName name="shit_2" localSheetId="15" hidden="1">{"PRINT",#N/A,TRUE,"APPA";"PRINT",#N/A,TRUE,"APS";"PRINT",#N/A,TRUE,"BHPL";"PRINT",#N/A,TRUE,"BHPL2";"PRINT",#N/A,TRUE,"CDWR";"PRINT",#N/A,TRUE,"EWEB";"PRINT",#N/A,TRUE,"LADWP";"PRINT",#N/A,TRUE,"NEVBASE"}</definedName>
    <definedName name="shit_2" localSheetId="0" hidden="1">{"PRINT",#N/A,TRUE,"APPA";"PRINT",#N/A,TRUE,"APS";"PRINT",#N/A,TRUE,"BHPL";"PRINT",#N/A,TRUE,"BHPL2";"PRINT",#N/A,TRUE,"CDWR";"PRINT",#N/A,TRUE,"EWEB";"PRINT",#N/A,TRUE,"LADWP";"PRINT",#N/A,TRUE,"NEVBASE"}</definedName>
    <definedName name="shit_2" hidden="1">{"PRINT",#N/A,TRUE,"APPA";"PRINT",#N/A,TRUE,"APS";"PRINT",#N/A,TRUE,"BHPL";"PRINT",#N/A,TRUE,"BHPL2";"PRINT",#N/A,TRUE,"CDWR";"PRINT",#N/A,TRUE,"EWEB";"PRINT",#N/A,TRUE,"LADWP";"PRINT",#N/A,TRUE,"NEVBASE"}</definedName>
    <definedName name="shit_3" localSheetId="1" hidden="1">{"PRINT",#N/A,TRUE,"APPA";"PRINT",#N/A,TRUE,"APS";"PRINT",#N/A,TRUE,"BHPL";"PRINT",#N/A,TRUE,"BHPL2";"PRINT",#N/A,TRUE,"CDWR";"PRINT",#N/A,TRUE,"EWEB";"PRINT",#N/A,TRUE,"LADWP";"PRINT",#N/A,TRUE,"NEVBASE"}</definedName>
    <definedName name="shit_3" localSheetId="3" hidden="1">{"PRINT",#N/A,TRUE,"APPA";"PRINT",#N/A,TRUE,"APS";"PRINT",#N/A,TRUE,"BHPL";"PRINT",#N/A,TRUE,"BHPL2";"PRINT",#N/A,TRUE,"CDWR";"PRINT",#N/A,TRUE,"EWEB";"PRINT",#N/A,TRUE,"LADWP";"PRINT",#N/A,TRUE,"NEVBASE"}</definedName>
    <definedName name="shit_3" localSheetId="4" hidden="1">{"PRINT",#N/A,TRUE,"APPA";"PRINT",#N/A,TRUE,"APS";"PRINT",#N/A,TRUE,"BHPL";"PRINT",#N/A,TRUE,"BHPL2";"PRINT",#N/A,TRUE,"CDWR";"PRINT",#N/A,TRUE,"EWEB";"PRINT",#N/A,TRUE,"LADWP";"PRINT",#N/A,TRUE,"NEVBASE"}</definedName>
    <definedName name="shit_3" localSheetId="5" hidden="1">{"PRINT",#N/A,TRUE,"APPA";"PRINT",#N/A,TRUE,"APS";"PRINT",#N/A,TRUE,"BHPL";"PRINT",#N/A,TRUE,"BHPL2";"PRINT",#N/A,TRUE,"CDWR";"PRINT",#N/A,TRUE,"EWEB";"PRINT",#N/A,TRUE,"LADWP";"PRINT",#N/A,TRUE,"NEVBASE"}</definedName>
    <definedName name="shit_3" localSheetId="6" hidden="1">{"PRINT",#N/A,TRUE,"APPA";"PRINT",#N/A,TRUE,"APS";"PRINT",#N/A,TRUE,"BHPL";"PRINT",#N/A,TRUE,"BHPL2";"PRINT",#N/A,TRUE,"CDWR";"PRINT",#N/A,TRUE,"EWEB";"PRINT",#N/A,TRUE,"LADWP";"PRINT",#N/A,TRUE,"NEVBASE"}</definedName>
    <definedName name="shit_3" localSheetId="7" hidden="1">{"PRINT",#N/A,TRUE,"APPA";"PRINT",#N/A,TRUE,"APS";"PRINT",#N/A,TRUE,"BHPL";"PRINT",#N/A,TRUE,"BHPL2";"PRINT",#N/A,TRUE,"CDWR";"PRINT",#N/A,TRUE,"EWEB";"PRINT",#N/A,TRUE,"LADWP";"PRINT",#N/A,TRUE,"NEVBASE"}</definedName>
    <definedName name="shit_3" localSheetId="8" hidden="1">{"PRINT",#N/A,TRUE,"APPA";"PRINT",#N/A,TRUE,"APS";"PRINT",#N/A,TRUE,"BHPL";"PRINT",#N/A,TRUE,"BHPL2";"PRINT",#N/A,TRUE,"CDWR";"PRINT",#N/A,TRUE,"EWEB";"PRINT",#N/A,TRUE,"LADWP";"PRINT",#N/A,TRUE,"NEVBASE"}</definedName>
    <definedName name="shit_3" localSheetId="9" hidden="1">{"PRINT",#N/A,TRUE,"APPA";"PRINT",#N/A,TRUE,"APS";"PRINT",#N/A,TRUE,"BHPL";"PRINT",#N/A,TRUE,"BHPL2";"PRINT",#N/A,TRUE,"CDWR";"PRINT",#N/A,TRUE,"EWEB";"PRINT",#N/A,TRUE,"LADWP";"PRINT",#N/A,TRUE,"NEVBASE"}</definedName>
    <definedName name="shit_3" localSheetId="10" hidden="1">{"PRINT",#N/A,TRUE,"APPA";"PRINT",#N/A,TRUE,"APS";"PRINT",#N/A,TRUE,"BHPL";"PRINT",#N/A,TRUE,"BHPL2";"PRINT",#N/A,TRUE,"CDWR";"PRINT",#N/A,TRUE,"EWEB";"PRINT",#N/A,TRUE,"LADWP";"PRINT",#N/A,TRUE,"NEVBASE"}</definedName>
    <definedName name="shit_3" localSheetId="15" hidden="1">{"PRINT",#N/A,TRUE,"APPA";"PRINT",#N/A,TRUE,"APS";"PRINT",#N/A,TRUE,"BHPL";"PRINT",#N/A,TRUE,"BHPL2";"PRINT",#N/A,TRUE,"CDWR";"PRINT",#N/A,TRUE,"EWEB";"PRINT",#N/A,TRUE,"LADWP";"PRINT",#N/A,TRUE,"NEVBASE"}</definedName>
    <definedName name="shit_3" localSheetId="0" hidden="1">{"PRINT",#N/A,TRUE,"APPA";"PRINT",#N/A,TRUE,"APS";"PRINT",#N/A,TRUE,"BHPL";"PRINT",#N/A,TRUE,"BHPL2";"PRINT",#N/A,TRUE,"CDWR";"PRINT",#N/A,TRUE,"EWEB";"PRINT",#N/A,TRUE,"LADWP";"PRINT",#N/A,TRUE,"NEVBASE"}</definedName>
    <definedName name="shit_3" hidden="1">{"PRINT",#N/A,TRUE,"APPA";"PRINT",#N/A,TRUE,"APS";"PRINT",#N/A,TRUE,"BHPL";"PRINT",#N/A,TRUE,"BHPL2";"PRINT",#N/A,TRUE,"CDWR";"PRINT",#N/A,TRUE,"EWEB";"PRINT",#N/A,TRUE,"LADWP";"PRINT",#N/A,TRUE,"NEVBASE"}</definedName>
    <definedName name="shit_4" localSheetId="1" hidden="1">{"PRINT",#N/A,TRUE,"APPA";"PRINT",#N/A,TRUE,"APS";"PRINT",#N/A,TRUE,"BHPL";"PRINT",#N/A,TRUE,"BHPL2";"PRINT",#N/A,TRUE,"CDWR";"PRINT",#N/A,TRUE,"EWEB";"PRINT",#N/A,TRUE,"LADWP";"PRINT",#N/A,TRUE,"NEVBASE"}</definedName>
    <definedName name="shit_4" localSheetId="3" hidden="1">{"PRINT",#N/A,TRUE,"APPA";"PRINT",#N/A,TRUE,"APS";"PRINT",#N/A,TRUE,"BHPL";"PRINT",#N/A,TRUE,"BHPL2";"PRINT",#N/A,TRUE,"CDWR";"PRINT",#N/A,TRUE,"EWEB";"PRINT",#N/A,TRUE,"LADWP";"PRINT",#N/A,TRUE,"NEVBASE"}</definedName>
    <definedName name="shit_4" localSheetId="4" hidden="1">{"PRINT",#N/A,TRUE,"APPA";"PRINT",#N/A,TRUE,"APS";"PRINT",#N/A,TRUE,"BHPL";"PRINT",#N/A,TRUE,"BHPL2";"PRINT",#N/A,TRUE,"CDWR";"PRINT",#N/A,TRUE,"EWEB";"PRINT",#N/A,TRUE,"LADWP";"PRINT",#N/A,TRUE,"NEVBASE"}</definedName>
    <definedName name="shit_4" localSheetId="5" hidden="1">{"PRINT",#N/A,TRUE,"APPA";"PRINT",#N/A,TRUE,"APS";"PRINT",#N/A,TRUE,"BHPL";"PRINT",#N/A,TRUE,"BHPL2";"PRINT",#N/A,TRUE,"CDWR";"PRINT",#N/A,TRUE,"EWEB";"PRINT",#N/A,TRUE,"LADWP";"PRINT",#N/A,TRUE,"NEVBASE"}</definedName>
    <definedName name="shit_4" localSheetId="6" hidden="1">{"PRINT",#N/A,TRUE,"APPA";"PRINT",#N/A,TRUE,"APS";"PRINT",#N/A,TRUE,"BHPL";"PRINT",#N/A,TRUE,"BHPL2";"PRINT",#N/A,TRUE,"CDWR";"PRINT",#N/A,TRUE,"EWEB";"PRINT",#N/A,TRUE,"LADWP";"PRINT",#N/A,TRUE,"NEVBASE"}</definedName>
    <definedName name="shit_4" localSheetId="7" hidden="1">{"PRINT",#N/A,TRUE,"APPA";"PRINT",#N/A,TRUE,"APS";"PRINT",#N/A,TRUE,"BHPL";"PRINT",#N/A,TRUE,"BHPL2";"PRINT",#N/A,TRUE,"CDWR";"PRINT",#N/A,TRUE,"EWEB";"PRINT",#N/A,TRUE,"LADWP";"PRINT",#N/A,TRUE,"NEVBASE"}</definedName>
    <definedName name="shit_4" localSheetId="8" hidden="1">{"PRINT",#N/A,TRUE,"APPA";"PRINT",#N/A,TRUE,"APS";"PRINT",#N/A,TRUE,"BHPL";"PRINT",#N/A,TRUE,"BHPL2";"PRINT",#N/A,TRUE,"CDWR";"PRINT",#N/A,TRUE,"EWEB";"PRINT",#N/A,TRUE,"LADWP";"PRINT",#N/A,TRUE,"NEVBASE"}</definedName>
    <definedName name="shit_4" localSheetId="9" hidden="1">{"PRINT",#N/A,TRUE,"APPA";"PRINT",#N/A,TRUE,"APS";"PRINT",#N/A,TRUE,"BHPL";"PRINT",#N/A,TRUE,"BHPL2";"PRINT",#N/A,TRUE,"CDWR";"PRINT",#N/A,TRUE,"EWEB";"PRINT",#N/A,TRUE,"LADWP";"PRINT",#N/A,TRUE,"NEVBASE"}</definedName>
    <definedName name="shit_4" localSheetId="10" hidden="1">{"PRINT",#N/A,TRUE,"APPA";"PRINT",#N/A,TRUE,"APS";"PRINT",#N/A,TRUE,"BHPL";"PRINT",#N/A,TRUE,"BHPL2";"PRINT",#N/A,TRUE,"CDWR";"PRINT",#N/A,TRUE,"EWEB";"PRINT",#N/A,TRUE,"LADWP";"PRINT",#N/A,TRUE,"NEVBASE"}</definedName>
    <definedName name="shit_4" localSheetId="15" hidden="1">{"PRINT",#N/A,TRUE,"APPA";"PRINT",#N/A,TRUE,"APS";"PRINT",#N/A,TRUE,"BHPL";"PRINT",#N/A,TRUE,"BHPL2";"PRINT",#N/A,TRUE,"CDWR";"PRINT",#N/A,TRUE,"EWEB";"PRINT",#N/A,TRUE,"LADWP";"PRINT",#N/A,TRUE,"NEVBASE"}</definedName>
    <definedName name="shit_4" localSheetId="0" hidden="1">{"PRINT",#N/A,TRUE,"APPA";"PRINT",#N/A,TRUE,"APS";"PRINT",#N/A,TRUE,"BHPL";"PRINT",#N/A,TRUE,"BHPL2";"PRINT",#N/A,TRUE,"CDWR";"PRINT",#N/A,TRUE,"EWEB";"PRINT",#N/A,TRUE,"LADWP";"PRINT",#N/A,TRUE,"NEVBASE"}</definedName>
    <definedName name="shit_4" hidden="1">{"PRINT",#N/A,TRUE,"APPA";"PRINT",#N/A,TRUE,"APS";"PRINT",#N/A,TRUE,"BHPL";"PRINT",#N/A,TRUE,"BHPL2";"PRINT",#N/A,TRUE,"CDWR";"PRINT",#N/A,TRUE,"EWEB";"PRINT",#N/A,TRUE,"LADWP";"PRINT",#N/A,TRUE,"NEVBASE"}</definedName>
    <definedName name="shit_5" localSheetId="1" hidden="1">{"PRINT",#N/A,TRUE,"APPA";"PRINT",#N/A,TRUE,"APS";"PRINT",#N/A,TRUE,"BHPL";"PRINT",#N/A,TRUE,"BHPL2";"PRINT",#N/A,TRUE,"CDWR";"PRINT",#N/A,TRUE,"EWEB";"PRINT",#N/A,TRUE,"LADWP";"PRINT",#N/A,TRUE,"NEVBASE"}</definedName>
    <definedName name="shit_5" localSheetId="3" hidden="1">{"PRINT",#N/A,TRUE,"APPA";"PRINT",#N/A,TRUE,"APS";"PRINT",#N/A,TRUE,"BHPL";"PRINT",#N/A,TRUE,"BHPL2";"PRINT",#N/A,TRUE,"CDWR";"PRINT",#N/A,TRUE,"EWEB";"PRINT",#N/A,TRUE,"LADWP";"PRINT",#N/A,TRUE,"NEVBASE"}</definedName>
    <definedName name="shit_5" localSheetId="4" hidden="1">{"PRINT",#N/A,TRUE,"APPA";"PRINT",#N/A,TRUE,"APS";"PRINT",#N/A,TRUE,"BHPL";"PRINT",#N/A,TRUE,"BHPL2";"PRINT",#N/A,TRUE,"CDWR";"PRINT",#N/A,TRUE,"EWEB";"PRINT",#N/A,TRUE,"LADWP";"PRINT",#N/A,TRUE,"NEVBASE"}</definedName>
    <definedName name="shit_5" localSheetId="5" hidden="1">{"PRINT",#N/A,TRUE,"APPA";"PRINT",#N/A,TRUE,"APS";"PRINT",#N/A,TRUE,"BHPL";"PRINT",#N/A,TRUE,"BHPL2";"PRINT",#N/A,TRUE,"CDWR";"PRINT",#N/A,TRUE,"EWEB";"PRINT",#N/A,TRUE,"LADWP";"PRINT",#N/A,TRUE,"NEVBASE"}</definedName>
    <definedName name="shit_5" localSheetId="6" hidden="1">{"PRINT",#N/A,TRUE,"APPA";"PRINT",#N/A,TRUE,"APS";"PRINT",#N/A,TRUE,"BHPL";"PRINT",#N/A,TRUE,"BHPL2";"PRINT",#N/A,TRUE,"CDWR";"PRINT",#N/A,TRUE,"EWEB";"PRINT",#N/A,TRUE,"LADWP";"PRINT",#N/A,TRUE,"NEVBASE"}</definedName>
    <definedName name="shit_5" localSheetId="7" hidden="1">{"PRINT",#N/A,TRUE,"APPA";"PRINT",#N/A,TRUE,"APS";"PRINT",#N/A,TRUE,"BHPL";"PRINT",#N/A,TRUE,"BHPL2";"PRINT",#N/A,TRUE,"CDWR";"PRINT",#N/A,TRUE,"EWEB";"PRINT",#N/A,TRUE,"LADWP";"PRINT",#N/A,TRUE,"NEVBASE"}</definedName>
    <definedName name="shit_5" localSheetId="8" hidden="1">{"PRINT",#N/A,TRUE,"APPA";"PRINT",#N/A,TRUE,"APS";"PRINT",#N/A,TRUE,"BHPL";"PRINT",#N/A,TRUE,"BHPL2";"PRINT",#N/A,TRUE,"CDWR";"PRINT",#N/A,TRUE,"EWEB";"PRINT",#N/A,TRUE,"LADWP";"PRINT",#N/A,TRUE,"NEVBASE"}</definedName>
    <definedName name="shit_5" localSheetId="9" hidden="1">{"PRINT",#N/A,TRUE,"APPA";"PRINT",#N/A,TRUE,"APS";"PRINT",#N/A,TRUE,"BHPL";"PRINT",#N/A,TRUE,"BHPL2";"PRINT",#N/A,TRUE,"CDWR";"PRINT",#N/A,TRUE,"EWEB";"PRINT",#N/A,TRUE,"LADWP";"PRINT",#N/A,TRUE,"NEVBASE"}</definedName>
    <definedName name="shit_5" localSheetId="10" hidden="1">{"PRINT",#N/A,TRUE,"APPA";"PRINT",#N/A,TRUE,"APS";"PRINT",#N/A,TRUE,"BHPL";"PRINT",#N/A,TRUE,"BHPL2";"PRINT",#N/A,TRUE,"CDWR";"PRINT",#N/A,TRUE,"EWEB";"PRINT",#N/A,TRUE,"LADWP";"PRINT",#N/A,TRUE,"NEVBASE"}</definedName>
    <definedName name="shit_5" localSheetId="15" hidden="1">{"PRINT",#N/A,TRUE,"APPA";"PRINT",#N/A,TRUE,"APS";"PRINT",#N/A,TRUE,"BHPL";"PRINT",#N/A,TRUE,"BHPL2";"PRINT",#N/A,TRUE,"CDWR";"PRINT",#N/A,TRUE,"EWEB";"PRINT",#N/A,TRUE,"LADWP";"PRINT",#N/A,TRUE,"NEVBASE"}</definedName>
    <definedName name="shit_5" localSheetId="0" hidden="1">{"PRINT",#N/A,TRUE,"APPA";"PRINT",#N/A,TRUE,"APS";"PRINT",#N/A,TRUE,"BHPL";"PRINT",#N/A,TRUE,"BHPL2";"PRINT",#N/A,TRUE,"CDWR";"PRINT",#N/A,TRUE,"EWEB";"PRINT",#N/A,TRUE,"LADWP";"PRINT",#N/A,TRUE,"NEVBASE"}</definedName>
    <definedName name="shit_5" hidden="1">{"PRINT",#N/A,TRUE,"APPA";"PRINT",#N/A,TRUE,"APS";"PRINT",#N/A,TRUE,"BHPL";"PRINT",#N/A,TRUE,"BHPL2";"PRINT",#N/A,TRUE,"CDWR";"PRINT",#N/A,TRUE,"EWEB";"PRINT",#N/A,TRUE,"LADWP";"PRINT",#N/A,TRUE,"NEVBASE"}</definedName>
    <definedName name="Solar_Fixed_CC_West">[4]CapacityContribution!$B$7</definedName>
    <definedName name="Solar_Tracking_CC_East">[4]CapacityContribution!$B$8</definedName>
    <definedName name="Solar_Tracking_CC_West">[4]CapacityContribution!$B$9</definedName>
    <definedName name="SpecMaint" localSheetId="1" hidden="1">{#N/A,#N/A,FALSE,"Summary";#N/A,#N/A,FALSE,"SmPlants";#N/A,#N/A,FALSE,"Utah";#N/A,#N/A,FALSE,"Idaho";#N/A,#N/A,FALSE,"Lewis River";#N/A,#N/A,FALSE,"NrthUmpq";#N/A,#N/A,FALSE,"KlamRog"}</definedName>
    <definedName name="SpecMaint" localSheetId="3" hidden="1">{#N/A,#N/A,FALSE,"Summary";#N/A,#N/A,FALSE,"SmPlants";#N/A,#N/A,FALSE,"Utah";#N/A,#N/A,FALSE,"Idaho";#N/A,#N/A,FALSE,"Lewis River";#N/A,#N/A,FALSE,"NrthUmpq";#N/A,#N/A,FALSE,"KlamRog"}</definedName>
    <definedName name="SpecMaint" localSheetId="4" hidden="1">{#N/A,#N/A,FALSE,"Summary";#N/A,#N/A,FALSE,"SmPlants";#N/A,#N/A,FALSE,"Utah";#N/A,#N/A,FALSE,"Idaho";#N/A,#N/A,FALSE,"Lewis River";#N/A,#N/A,FALSE,"NrthUmpq";#N/A,#N/A,FALSE,"KlamRog"}</definedName>
    <definedName name="SpecMaint" localSheetId="5" hidden="1">{#N/A,#N/A,FALSE,"Summary";#N/A,#N/A,FALSE,"SmPlants";#N/A,#N/A,FALSE,"Utah";#N/A,#N/A,FALSE,"Idaho";#N/A,#N/A,FALSE,"Lewis River";#N/A,#N/A,FALSE,"NrthUmpq";#N/A,#N/A,FALSE,"KlamRog"}</definedName>
    <definedName name="SpecMaint" localSheetId="6" hidden="1">{#N/A,#N/A,FALSE,"Summary";#N/A,#N/A,FALSE,"SmPlants";#N/A,#N/A,FALSE,"Utah";#N/A,#N/A,FALSE,"Idaho";#N/A,#N/A,FALSE,"Lewis River";#N/A,#N/A,FALSE,"NrthUmpq";#N/A,#N/A,FALSE,"KlamRog"}</definedName>
    <definedName name="SpecMaint" localSheetId="7" hidden="1">{#N/A,#N/A,FALSE,"Summary";#N/A,#N/A,FALSE,"SmPlants";#N/A,#N/A,FALSE,"Utah";#N/A,#N/A,FALSE,"Idaho";#N/A,#N/A,FALSE,"Lewis River";#N/A,#N/A,FALSE,"NrthUmpq";#N/A,#N/A,FALSE,"KlamRog"}</definedName>
    <definedName name="SpecMaint" localSheetId="8" hidden="1">{#N/A,#N/A,FALSE,"Summary";#N/A,#N/A,FALSE,"SmPlants";#N/A,#N/A,FALSE,"Utah";#N/A,#N/A,FALSE,"Idaho";#N/A,#N/A,FALSE,"Lewis River";#N/A,#N/A,FALSE,"NrthUmpq";#N/A,#N/A,FALSE,"KlamRog"}</definedName>
    <definedName name="SpecMaint" localSheetId="9" hidden="1">{#N/A,#N/A,FALSE,"Summary";#N/A,#N/A,FALSE,"SmPlants";#N/A,#N/A,FALSE,"Utah";#N/A,#N/A,FALSE,"Idaho";#N/A,#N/A,FALSE,"Lewis River";#N/A,#N/A,FALSE,"NrthUmpq";#N/A,#N/A,FALSE,"KlamRog"}</definedName>
    <definedName name="SpecMaint" localSheetId="10" hidden="1">{#N/A,#N/A,FALSE,"Summary";#N/A,#N/A,FALSE,"SmPlants";#N/A,#N/A,FALSE,"Utah";#N/A,#N/A,FALSE,"Idaho";#N/A,#N/A,FALSE,"Lewis River";#N/A,#N/A,FALSE,"NrthUmpq";#N/A,#N/A,FALSE,"KlamRog"}</definedName>
    <definedName name="SpecMaint" localSheetId="15" hidden="1">{#N/A,#N/A,FALSE,"Summary";#N/A,#N/A,FALSE,"SmPlants";#N/A,#N/A,FALSE,"Utah";#N/A,#N/A,FALSE,"Idaho";#N/A,#N/A,FALSE,"Lewis River";#N/A,#N/A,FALSE,"NrthUmpq";#N/A,#N/A,FALSE,"KlamRog"}</definedName>
    <definedName name="SpecMaint" localSheetId="0" hidden="1">{#N/A,#N/A,FALSE,"Summary";#N/A,#N/A,FALSE,"SmPlants";#N/A,#N/A,FALSE,"Utah";#N/A,#N/A,FALSE,"Idaho";#N/A,#N/A,FALSE,"Lewis River";#N/A,#N/A,FALSE,"NrthUmpq";#N/A,#N/A,FALSE,"KlamRog"}</definedName>
    <definedName name="SpecMaint" hidden="1">{#N/A,#N/A,FALSE,"Summary";#N/A,#N/A,FALSE,"SmPlants";#N/A,#N/A,FALSE,"Utah";#N/A,#N/A,FALSE,"Idaho";#N/A,#N/A,FALSE,"Lewis River";#N/A,#N/A,FALSE,"NrthUmpq";#N/A,#N/A,FALSE,"KlamRog"}</definedName>
    <definedName name="SpecMaint_1" localSheetId="1" hidden="1">{#N/A,#N/A,FALSE,"Summary";#N/A,#N/A,FALSE,"SmPlants";#N/A,#N/A,FALSE,"Utah";#N/A,#N/A,FALSE,"Idaho";#N/A,#N/A,FALSE,"Lewis River";#N/A,#N/A,FALSE,"NrthUmpq";#N/A,#N/A,FALSE,"KlamRog"}</definedName>
    <definedName name="SpecMaint_1" localSheetId="3" hidden="1">{#N/A,#N/A,FALSE,"Summary";#N/A,#N/A,FALSE,"SmPlants";#N/A,#N/A,FALSE,"Utah";#N/A,#N/A,FALSE,"Idaho";#N/A,#N/A,FALSE,"Lewis River";#N/A,#N/A,FALSE,"NrthUmpq";#N/A,#N/A,FALSE,"KlamRog"}</definedName>
    <definedName name="SpecMaint_1" localSheetId="4" hidden="1">{#N/A,#N/A,FALSE,"Summary";#N/A,#N/A,FALSE,"SmPlants";#N/A,#N/A,FALSE,"Utah";#N/A,#N/A,FALSE,"Idaho";#N/A,#N/A,FALSE,"Lewis River";#N/A,#N/A,FALSE,"NrthUmpq";#N/A,#N/A,FALSE,"KlamRog"}</definedName>
    <definedName name="SpecMaint_1" localSheetId="5" hidden="1">{#N/A,#N/A,FALSE,"Summary";#N/A,#N/A,FALSE,"SmPlants";#N/A,#N/A,FALSE,"Utah";#N/A,#N/A,FALSE,"Idaho";#N/A,#N/A,FALSE,"Lewis River";#N/A,#N/A,FALSE,"NrthUmpq";#N/A,#N/A,FALSE,"KlamRog"}</definedName>
    <definedName name="SpecMaint_1" localSheetId="6" hidden="1">{#N/A,#N/A,FALSE,"Summary";#N/A,#N/A,FALSE,"SmPlants";#N/A,#N/A,FALSE,"Utah";#N/A,#N/A,FALSE,"Idaho";#N/A,#N/A,FALSE,"Lewis River";#N/A,#N/A,FALSE,"NrthUmpq";#N/A,#N/A,FALSE,"KlamRog"}</definedName>
    <definedName name="SpecMaint_1" localSheetId="7" hidden="1">{#N/A,#N/A,FALSE,"Summary";#N/A,#N/A,FALSE,"SmPlants";#N/A,#N/A,FALSE,"Utah";#N/A,#N/A,FALSE,"Idaho";#N/A,#N/A,FALSE,"Lewis River";#N/A,#N/A,FALSE,"NrthUmpq";#N/A,#N/A,FALSE,"KlamRog"}</definedName>
    <definedName name="SpecMaint_1" localSheetId="8" hidden="1">{#N/A,#N/A,FALSE,"Summary";#N/A,#N/A,FALSE,"SmPlants";#N/A,#N/A,FALSE,"Utah";#N/A,#N/A,FALSE,"Idaho";#N/A,#N/A,FALSE,"Lewis River";#N/A,#N/A,FALSE,"NrthUmpq";#N/A,#N/A,FALSE,"KlamRog"}</definedName>
    <definedName name="SpecMaint_1" localSheetId="9" hidden="1">{#N/A,#N/A,FALSE,"Summary";#N/A,#N/A,FALSE,"SmPlants";#N/A,#N/A,FALSE,"Utah";#N/A,#N/A,FALSE,"Idaho";#N/A,#N/A,FALSE,"Lewis River";#N/A,#N/A,FALSE,"NrthUmpq";#N/A,#N/A,FALSE,"KlamRog"}</definedName>
    <definedName name="SpecMaint_1" localSheetId="10" hidden="1">{#N/A,#N/A,FALSE,"Summary";#N/A,#N/A,FALSE,"SmPlants";#N/A,#N/A,FALSE,"Utah";#N/A,#N/A,FALSE,"Idaho";#N/A,#N/A,FALSE,"Lewis River";#N/A,#N/A,FALSE,"NrthUmpq";#N/A,#N/A,FALSE,"KlamRog"}</definedName>
    <definedName name="SpecMaint_1" localSheetId="15" hidden="1">{#N/A,#N/A,FALSE,"Summary";#N/A,#N/A,FALSE,"SmPlants";#N/A,#N/A,FALSE,"Utah";#N/A,#N/A,FALSE,"Idaho";#N/A,#N/A,FALSE,"Lewis River";#N/A,#N/A,FALSE,"NrthUmpq";#N/A,#N/A,FALSE,"KlamRog"}</definedName>
    <definedName name="SpecMaint_1" localSheetId="0" hidden="1">{#N/A,#N/A,FALSE,"Summary";#N/A,#N/A,FALSE,"SmPlants";#N/A,#N/A,FALSE,"Utah";#N/A,#N/A,FALSE,"Idaho";#N/A,#N/A,FALSE,"Lewis River";#N/A,#N/A,FALSE,"NrthUmpq";#N/A,#N/A,FALSE,"KlamRog"}</definedName>
    <definedName name="SpecMaint_1" hidden="1">{#N/A,#N/A,FALSE,"Summary";#N/A,#N/A,FALSE,"SmPlants";#N/A,#N/A,FALSE,"Utah";#N/A,#N/A,FALSE,"Idaho";#N/A,#N/A,FALSE,"Lewis River";#N/A,#N/A,FALSE,"NrthUmpq";#N/A,#N/A,FALSE,"KlamRog"}</definedName>
    <definedName name="SpecMaint_2" localSheetId="1" hidden="1">{#N/A,#N/A,FALSE,"Summary";#N/A,#N/A,FALSE,"SmPlants";#N/A,#N/A,FALSE,"Utah";#N/A,#N/A,FALSE,"Idaho";#N/A,#N/A,FALSE,"Lewis River";#N/A,#N/A,FALSE,"NrthUmpq";#N/A,#N/A,FALSE,"KlamRog"}</definedName>
    <definedName name="SpecMaint_2" localSheetId="3" hidden="1">{#N/A,#N/A,FALSE,"Summary";#N/A,#N/A,FALSE,"SmPlants";#N/A,#N/A,FALSE,"Utah";#N/A,#N/A,FALSE,"Idaho";#N/A,#N/A,FALSE,"Lewis River";#N/A,#N/A,FALSE,"NrthUmpq";#N/A,#N/A,FALSE,"KlamRog"}</definedName>
    <definedName name="SpecMaint_2" localSheetId="4" hidden="1">{#N/A,#N/A,FALSE,"Summary";#N/A,#N/A,FALSE,"SmPlants";#N/A,#N/A,FALSE,"Utah";#N/A,#N/A,FALSE,"Idaho";#N/A,#N/A,FALSE,"Lewis River";#N/A,#N/A,FALSE,"NrthUmpq";#N/A,#N/A,FALSE,"KlamRog"}</definedName>
    <definedName name="SpecMaint_2" localSheetId="5" hidden="1">{#N/A,#N/A,FALSE,"Summary";#N/A,#N/A,FALSE,"SmPlants";#N/A,#N/A,FALSE,"Utah";#N/A,#N/A,FALSE,"Idaho";#N/A,#N/A,FALSE,"Lewis River";#N/A,#N/A,FALSE,"NrthUmpq";#N/A,#N/A,FALSE,"KlamRog"}</definedName>
    <definedName name="SpecMaint_2" localSheetId="6" hidden="1">{#N/A,#N/A,FALSE,"Summary";#N/A,#N/A,FALSE,"SmPlants";#N/A,#N/A,FALSE,"Utah";#N/A,#N/A,FALSE,"Idaho";#N/A,#N/A,FALSE,"Lewis River";#N/A,#N/A,FALSE,"NrthUmpq";#N/A,#N/A,FALSE,"KlamRog"}</definedName>
    <definedName name="SpecMaint_2" localSheetId="7" hidden="1">{#N/A,#N/A,FALSE,"Summary";#N/A,#N/A,FALSE,"SmPlants";#N/A,#N/A,FALSE,"Utah";#N/A,#N/A,FALSE,"Idaho";#N/A,#N/A,FALSE,"Lewis River";#N/A,#N/A,FALSE,"NrthUmpq";#N/A,#N/A,FALSE,"KlamRog"}</definedName>
    <definedName name="SpecMaint_2" localSheetId="8" hidden="1">{#N/A,#N/A,FALSE,"Summary";#N/A,#N/A,FALSE,"SmPlants";#N/A,#N/A,FALSE,"Utah";#N/A,#N/A,FALSE,"Idaho";#N/A,#N/A,FALSE,"Lewis River";#N/A,#N/A,FALSE,"NrthUmpq";#N/A,#N/A,FALSE,"KlamRog"}</definedName>
    <definedName name="SpecMaint_2" localSheetId="9" hidden="1">{#N/A,#N/A,FALSE,"Summary";#N/A,#N/A,FALSE,"SmPlants";#N/A,#N/A,FALSE,"Utah";#N/A,#N/A,FALSE,"Idaho";#N/A,#N/A,FALSE,"Lewis River";#N/A,#N/A,FALSE,"NrthUmpq";#N/A,#N/A,FALSE,"KlamRog"}</definedName>
    <definedName name="SpecMaint_2" localSheetId="10" hidden="1">{#N/A,#N/A,FALSE,"Summary";#N/A,#N/A,FALSE,"SmPlants";#N/A,#N/A,FALSE,"Utah";#N/A,#N/A,FALSE,"Idaho";#N/A,#N/A,FALSE,"Lewis River";#N/A,#N/A,FALSE,"NrthUmpq";#N/A,#N/A,FALSE,"KlamRog"}</definedName>
    <definedName name="SpecMaint_2" localSheetId="15" hidden="1">{#N/A,#N/A,FALSE,"Summary";#N/A,#N/A,FALSE,"SmPlants";#N/A,#N/A,FALSE,"Utah";#N/A,#N/A,FALSE,"Idaho";#N/A,#N/A,FALSE,"Lewis River";#N/A,#N/A,FALSE,"NrthUmpq";#N/A,#N/A,FALSE,"KlamRog"}</definedName>
    <definedName name="SpecMaint_2" localSheetId="0" hidden="1">{#N/A,#N/A,FALSE,"Summary";#N/A,#N/A,FALSE,"SmPlants";#N/A,#N/A,FALSE,"Utah";#N/A,#N/A,FALSE,"Idaho";#N/A,#N/A,FALSE,"Lewis River";#N/A,#N/A,FALSE,"NrthUmpq";#N/A,#N/A,FALSE,"KlamRog"}</definedName>
    <definedName name="SpecMaint_2" hidden="1">{#N/A,#N/A,FALSE,"Summary";#N/A,#N/A,FALSE,"SmPlants";#N/A,#N/A,FALSE,"Utah";#N/A,#N/A,FALSE,"Idaho";#N/A,#N/A,FALSE,"Lewis River";#N/A,#N/A,FALSE,"NrthUmpq";#N/A,#N/A,FALSE,"KlamRog"}</definedName>
    <definedName name="SpecMaint_3" localSheetId="1" hidden="1">{#N/A,#N/A,FALSE,"Summary";#N/A,#N/A,FALSE,"SmPlants";#N/A,#N/A,FALSE,"Utah";#N/A,#N/A,FALSE,"Idaho";#N/A,#N/A,FALSE,"Lewis River";#N/A,#N/A,FALSE,"NrthUmpq";#N/A,#N/A,FALSE,"KlamRog"}</definedName>
    <definedName name="SpecMaint_3" localSheetId="3" hidden="1">{#N/A,#N/A,FALSE,"Summary";#N/A,#N/A,FALSE,"SmPlants";#N/A,#N/A,FALSE,"Utah";#N/A,#N/A,FALSE,"Idaho";#N/A,#N/A,FALSE,"Lewis River";#N/A,#N/A,FALSE,"NrthUmpq";#N/A,#N/A,FALSE,"KlamRog"}</definedName>
    <definedName name="SpecMaint_3" localSheetId="4" hidden="1">{#N/A,#N/A,FALSE,"Summary";#N/A,#N/A,FALSE,"SmPlants";#N/A,#N/A,FALSE,"Utah";#N/A,#N/A,FALSE,"Idaho";#N/A,#N/A,FALSE,"Lewis River";#N/A,#N/A,FALSE,"NrthUmpq";#N/A,#N/A,FALSE,"KlamRog"}</definedName>
    <definedName name="SpecMaint_3" localSheetId="5" hidden="1">{#N/A,#N/A,FALSE,"Summary";#N/A,#N/A,FALSE,"SmPlants";#N/A,#N/A,FALSE,"Utah";#N/A,#N/A,FALSE,"Idaho";#N/A,#N/A,FALSE,"Lewis River";#N/A,#N/A,FALSE,"NrthUmpq";#N/A,#N/A,FALSE,"KlamRog"}</definedName>
    <definedName name="SpecMaint_3" localSheetId="6" hidden="1">{#N/A,#N/A,FALSE,"Summary";#N/A,#N/A,FALSE,"SmPlants";#N/A,#N/A,FALSE,"Utah";#N/A,#N/A,FALSE,"Idaho";#N/A,#N/A,FALSE,"Lewis River";#N/A,#N/A,FALSE,"NrthUmpq";#N/A,#N/A,FALSE,"KlamRog"}</definedName>
    <definedName name="SpecMaint_3" localSheetId="7" hidden="1">{#N/A,#N/A,FALSE,"Summary";#N/A,#N/A,FALSE,"SmPlants";#N/A,#N/A,FALSE,"Utah";#N/A,#N/A,FALSE,"Idaho";#N/A,#N/A,FALSE,"Lewis River";#N/A,#N/A,FALSE,"NrthUmpq";#N/A,#N/A,FALSE,"KlamRog"}</definedName>
    <definedName name="SpecMaint_3" localSheetId="8" hidden="1">{#N/A,#N/A,FALSE,"Summary";#N/A,#N/A,FALSE,"SmPlants";#N/A,#N/A,FALSE,"Utah";#N/A,#N/A,FALSE,"Idaho";#N/A,#N/A,FALSE,"Lewis River";#N/A,#N/A,FALSE,"NrthUmpq";#N/A,#N/A,FALSE,"KlamRog"}</definedName>
    <definedName name="SpecMaint_3" localSheetId="9" hidden="1">{#N/A,#N/A,FALSE,"Summary";#N/A,#N/A,FALSE,"SmPlants";#N/A,#N/A,FALSE,"Utah";#N/A,#N/A,FALSE,"Idaho";#N/A,#N/A,FALSE,"Lewis River";#N/A,#N/A,FALSE,"NrthUmpq";#N/A,#N/A,FALSE,"KlamRog"}</definedName>
    <definedName name="SpecMaint_3" localSheetId="10" hidden="1">{#N/A,#N/A,FALSE,"Summary";#N/A,#N/A,FALSE,"SmPlants";#N/A,#N/A,FALSE,"Utah";#N/A,#N/A,FALSE,"Idaho";#N/A,#N/A,FALSE,"Lewis River";#N/A,#N/A,FALSE,"NrthUmpq";#N/A,#N/A,FALSE,"KlamRog"}</definedName>
    <definedName name="SpecMaint_3" localSheetId="15" hidden="1">{#N/A,#N/A,FALSE,"Summary";#N/A,#N/A,FALSE,"SmPlants";#N/A,#N/A,FALSE,"Utah";#N/A,#N/A,FALSE,"Idaho";#N/A,#N/A,FALSE,"Lewis River";#N/A,#N/A,FALSE,"NrthUmpq";#N/A,#N/A,FALSE,"KlamRog"}</definedName>
    <definedName name="SpecMaint_3" localSheetId="0" hidden="1">{#N/A,#N/A,FALSE,"Summary";#N/A,#N/A,FALSE,"SmPlants";#N/A,#N/A,FALSE,"Utah";#N/A,#N/A,FALSE,"Idaho";#N/A,#N/A,FALSE,"Lewis River";#N/A,#N/A,FALSE,"NrthUmpq";#N/A,#N/A,FALSE,"KlamRog"}</definedName>
    <definedName name="SpecMaint_3" hidden="1">{#N/A,#N/A,FALSE,"Summary";#N/A,#N/A,FALSE,"SmPlants";#N/A,#N/A,FALSE,"Utah";#N/A,#N/A,FALSE,"Idaho";#N/A,#N/A,FALSE,"Lewis River";#N/A,#N/A,FALSE,"NrthUmpq";#N/A,#N/A,FALSE,"KlamRog"}</definedName>
    <definedName name="SpecMaint_4" localSheetId="1" hidden="1">{#N/A,#N/A,FALSE,"Summary";#N/A,#N/A,FALSE,"SmPlants";#N/A,#N/A,FALSE,"Utah";#N/A,#N/A,FALSE,"Idaho";#N/A,#N/A,FALSE,"Lewis River";#N/A,#N/A,FALSE,"NrthUmpq";#N/A,#N/A,FALSE,"KlamRog"}</definedName>
    <definedName name="SpecMaint_4" localSheetId="3" hidden="1">{#N/A,#N/A,FALSE,"Summary";#N/A,#N/A,FALSE,"SmPlants";#N/A,#N/A,FALSE,"Utah";#N/A,#N/A,FALSE,"Idaho";#N/A,#N/A,FALSE,"Lewis River";#N/A,#N/A,FALSE,"NrthUmpq";#N/A,#N/A,FALSE,"KlamRog"}</definedName>
    <definedName name="SpecMaint_4" localSheetId="4" hidden="1">{#N/A,#N/A,FALSE,"Summary";#N/A,#N/A,FALSE,"SmPlants";#N/A,#N/A,FALSE,"Utah";#N/A,#N/A,FALSE,"Idaho";#N/A,#N/A,FALSE,"Lewis River";#N/A,#N/A,FALSE,"NrthUmpq";#N/A,#N/A,FALSE,"KlamRog"}</definedName>
    <definedName name="SpecMaint_4" localSheetId="5" hidden="1">{#N/A,#N/A,FALSE,"Summary";#N/A,#N/A,FALSE,"SmPlants";#N/A,#N/A,FALSE,"Utah";#N/A,#N/A,FALSE,"Idaho";#N/A,#N/A,FALSE,"Lewis River";#N/A,#N/A,FALSE,"NrthUmpq";#N/A,#N/A,FALSE,"KlamRog"}</definedName>
    <definedName name="SpecMaint_4" localSheetId="6" hidden="1">{#N/A,#N/A,FALSE,"Summary";#N/A,#N/A,FALSE,"SmPlants";#N/A,#N/A,FALSE,"Utah";#N/A,#N/A,FALSE,"Idaho";#N/A,#N/A,FALSE,"Lewis River";#N/A,#N/A,FALSE,"NrthUmpq";#N/A,#N/A,FALSE,"KlamRog"}</definedName>
    <definedName name="SpecMaint_4" localSheetId="7" hidden="1">{#N/A,#N/A,FALSE,"Summary";#N/A,#N/A,FALSE,"SmPlants";#N/A,#N/A,FALSE,"Utah";#N/A,#N/A,FALSE,"Idaho";#N/A,#N/A,FALSE,"Lewis River";#N/A,#N/A,FALSE,"NrthUmpq";#N/A,#N/A,FALSE,"KlamRog"}</definedName>
    <definedName name="SpecMaint_4" localSheetId="8" hidden="1">{#N/A,#N/A,FALSE,"Summary";#N/A,#N/A,FALSE,"SmPlants";#N/A,#N/A,FALSE,"Utah";#N/A,#N/A,FALSE,"Idaho";#N/A,#N/A,FALSE,"Lewis River";#N/A,#N/A,FALSE,"NrthUmpq";#N/A,#N/A,FALSE,"KlamRog"}</definedName>
    <definedName name="SpecMaint_4" localSheetId="9" hidden="1">{#N/A,#N/A,FALSE,"Summary";#N/A,#N/A,FALSE,"SmPlants";#N/A,#N/A,FALSE,"Utah";#N/A,#N/A,FALSE,"Idaho";#N/A,#N/A,FALSE,"Lewis River";#N/A,#N/A,FALSE,"NrthUmpq";#N/A,#N/A,FALSE,"KlamRog"}</definedName>
    <definedName name="SpecMaint_4" localSheetId="10" hidden="1">{#N/A,#N/A,FALSE,"Summary";#N/A,#N/A,FALSE,"SmPlants";#N/A,#N/A,FALSE,"Utah";#N/A,#N/A,FALSE,"Idaho";#N/A,#N/A,FALSE,"Lewis River";#N/A,#N/A,FALSE,"NrthUmpq";#N/A,#N/A,FALSE,"KlamRog"}</definedName>
    <definedName name="SpecMaint_4" localSheetId="15" hidden="1">{#N/A,#N/A,FALSE,"Summary";#N/A,#N/A,FALSE,"SmPlants";#N/A,#N/A,FALSE,"Utah";#N/A,#N/A,FALSE,"Idaho";#N/A,#N/A,FALSE,"Lewis River";#N/A,#N/A,FALSE,"NrthUmpq";#N/A,#N/A,FALSE,"KlamRog"}</definedName>
    <definedName name="SpecMaint_4" localSheetId="0" hidden="1">{#N/A,#N/A,FALSE,"Summary";#N/A,#N/A,FALSE,"SmPlants";#N/A,#N/A,FALSE,"Utah";#N/A,#N/A,FALSE,"Idaho";#N/A,#N/A,FALSE,"Lewis River";#N/A,#N/A,FALSE,"NrthUmpq";#N/A,#N/A,FALSE,"KlamRog"}</definedName>
    <definedName name="SpecMaint_4" hidden="1">{#N/A,#N/A,FALSE,"Summary";#N/A,#N/A,FALSE,"SmPlants";#N/A,#N/A,FALSE,"Utah";#N/A,#N/A,FALSE,"Idaho";#N/A,#N/A,FALSE,"Lewis River";#N/A,#N/A,FALSE,"NrthUmpq";#N/A,#N/A,FALSE,"KlamRog"}</definedName>
    <definedName name="SpecMaint_5" localSheetId="1" hidden="1">{#N/A,#N/A,FALSE,"Summary";#N/A,#N/A,FALSE,"SmPlants";#N/A,#N/A,FALSE,"Utah";#N/A,#N/A,FALSE,"Idaho";#N/A,#N/A,FALSE,"Lewis River";#N/A,#N/A,FALSE,"NrthUmpq";#N/A,#N/A,FALSE,"KlamRog"}</definedName>
    <definedName name="SpecMaint_5" localSheetId="3" hidden="1">{#N/A,#N/A,FALSE,"Summary";#N/A,#N/A,FALSE,"SmPlants";#N/A,#N/A,FALSE,"Utah";#N/A,#N/A,FALSE,"Idaho";#N/A,#N/A,FALSE,"Lewis River";#N/A,#N/A,FALSE,"NrthUmpq";#N/A,#N/A,FALSE,"KlamRog"}</definedName>
    <definedName name="SpecMaint_5" localSheetId="4" hidden="1">{#N/A,#N/A,FALSE,"Summary";#N/A,#N/A,FALSE,"SmPlants";#N/A,#N/A,FALSE,"Utah";#N/A,#N/A,FALSE,"Idaho";#N/A,#N/A,FALSE,"Lewis River";#N/A,#N/A,FALSE,"NrthUmpq";#N/A,#N/A,FALSE,"KlamRog"}</definedName>
    <definedName name="SpecMaint_5" localSheetId="5" hidden="1">{#N/A,#N/A,FALSE,"Summary";#N/A,#N/A,FALSE,"SmPlants";#N/A,#N/A,FALSE,"Utah";#N/A,#N/A,FALSE,"Idaho";#N/A,#N/A,FALSE,"Lewis River";#N/A,#N/A,FALSE,"NrthUmpq";#N/A,#N/A,FALSE,"KlamRog"}</definedName>
    <definedName name="SpecMaint_5" localSheetId="6" hidden="1">{#N/A,#N/A,FALSE,"Summary";#N/A,#N/A,FALSE,"SmPlants";#N/A,#N/A,FALSE,"Utah";#N/A,#N/A,FALSE,"Idaho";#N/A,#N/A,FALSE,"Lewis River";#N/A,#N/A,FALSE,"NrthUmpq";#N/A,#N/A,FALSE,"KlamRog"}</definedName>
    <definedName name="SpecMaint_5" localSheetId="7" hidden="1">{#N/A,#N/A,FALSE,"Summary";#N/A,#N/A,FALSE,"SmPlants";#N/A,#N/A,FALSE,"Utah";#N/A,#N/A,FALSE,"Idaho";#N/A,#N/A,FALSE,"Lewis River";#N/A,#N/A,FALSE,"NrthUmpq";#N/A,#N/A,FALSE,"KlamRog"}</definedName>
    <definedName name="SpecMaint_5" localSheetId="8" hidden="1">{#N/A,#N/A,FALSE,"Summary";#N/A,#N/A,FALSE,"SmPlants";#N/A,#N/A,FALSE,"Utah";#N/A,#N/A,FALSE,"Idaho";#N/A,#N/A,FALSE,"Lewis River";#N/A,#N/A,FALSE,"NrthUmpq";#N/A,#N/A,FALSE,"KlamRog"}</definedName>
    <definedName name="SpecMaint_5" localSheetId="9" hidden="1">{#N/A,#N/A,FALSE,"Summary";#N/A,#N/A,FALSE,"SmPlants";#N/A,#N/A,FALSE,"Utah";#N/A,#N/A,FALSE,"Idaho";#N/A,#N/A,FALSE,"Lewis River";#N/A,#N/A,FALSE,"NrthUmpq";#N/A,#N/A,FALSE,"KlamRog"}</definedName>
    <definedName name="SpecMaint_5" localSheetId="10" hidden="1">{#N/A,#N/A,FALSE,"Summary";#N/A,#N/A,FALSE,"SmPlants";#N/A,#N/A,FALSE,"Utah";#N/A,#N/A,FALSE,"Idaho";#N/A,#N/A,FALSE,"Lewis River";#N/A,#N/A,FALSE,"NrthUmpq";#N/A,#N/A,FALSE,"KlamRog"}</definedName>
    <definedName name="SpecMaint_5" localSheetId="15" hidden="1">{#N/A,#N/A,FALSE,"Summary";#N/A,#N/A,FALSE,"SmPlants";#N/A,#N/A,FALSE,"Utah";#N/A,#N/A,FALSE,"Idaho";#N/A,#N/A,FALSE,"Lewis River";#N/A,#N/A,FALSE,"NrthUmpq";#N/A,#N/A,FALSE,"KlamRog"}</definedName>
    <definedName name="SpecMaint_5" localSheetId="0" hidden="1">{#N/A,#N/A,FALSE,"Summary";#N/A,#N/A,FALSE,"SmPlants";#N/A,#N/A,FALSE,"Utah";#N/A,#N/A,FALSE,"Idaho";#N/A,#N/A,FALSE,"Lewis River";#N/A,#N/A,FALSE,"NrthUmpq";#N/A,#N/A,FALSE,"KlamRog"}</definedName>
    <definedName name="SpecMaint_5" hidden="1">{#N/A,#N/A,FALSE,"Summary";#N/A,#N/A,FALSE,"SmPlants";#N/A,#N/A,FALSE,"Utah";#N/A,#N/A,FALSE,"Idaho";#N/A,#N/A,FALSE,"Lewis River";#N/A,#N/A,FALSE,"NrthUmpq";#N/A,#N/A,FALSE,"KlamRog"}</definedName>
    <definedName name="spippw" localSheetId="1" hidden="1">{#N/A,#N/A,FALSE,"Actual";#N/A,#N/A,FALSE,"Normalized";#N/A,#N/A,FALSE,"Electric Actual";#N/A,#N/A,FALSE,"Electric Normalized"}</definedName>
    <definedName name="spippw" localSheetId="3" hidden="1">{#N/A,#N/A,FALSE,"Actual";#N/A,#N/A,FALSE,"Normalized";#N/A,#N/A,FALSE,"Electric Actual";#N/A,#N/A,FALSE,"Electric Normalized"}</definedName>
    <definedName name="spippw" localSheetId="4" hidden="1">{#N/A,#N/A,FALSE,"Actual";#N/A,#N/A,FALSE,"Normalized";#N/A,#N/A,FALSE,"Electric Actual";#N/A,#N/A,FALSE,"Electric Normalized"}</definedName>
    <definedName name="spippw" localSheetId="5" hidden="1">{#N/A,#N/A,FALSE,"Actual";#N/A,#N/A,FALSE,"Normalized";#N/A,#N/A,FALSE,"Electric Actual";#N/A,#N/A,FALSE,"Electric Normalized"}</definedName>
    <definedName name="spippw" localSheetId="6" hidden="1">{#N/A,#N/A,FALSE,"Actual";#N/A,#N/A,FALSE,"Normalized";#N/A,#N/A,FALSE,"Electric Actual";#N/A,#N/A,FALSE,"Electric Normalized"}</definedName>
    <definedName name="spippw" localSheetId="7" hidden="1">{#N/A,#N/A,FALSE,"Actual";#N/A,#N/A,FALSE,"Normalized";#N/A,#N/A,FALSE,"Electric Actual";#N/A,#N/A,FALSE,"Electric Normalized"}</definedName>
    <definedName name="spippw" localSheetId="8" hidden="1">{#N/A,#N/A,FALSE,"Actual";#N/A,#N/A,FALSE,"Normalized";#N/A,#N/A,FALSE,"Electric Actual";#N/A,#N/A,FALSE,"Electric Normalized"}</definedName>
    <definedName name="spippw" localSheetId="9" hidden="1">{#N/A,#N/A,FALSE,"Actual";#N/A,#N/A,FALSE,"Normalized";#N/A,#N/A,FALSE,"Electric Actual";#N/A,#N/A,FALSE,"Electric Normalized"}</definedName>
    <definedName name="spippw" localSheetId="10" hidden="1">{#N/A,#N/A,FALSE,"Actual";#N/A,#N/A,FALSE,"Normalized";#N/A,#N/A,FALSE,"Electric Actual";#N/A,#N/A,FALSE,"Electric Normalized"}</definedName>
    <definedName name="spippw" localSheetId="15" hidden="1">{#N/A,#N/A,FALSE,"Actual";#N/A,#N/A,FALSE,"Normalized";#N/A,#N/A,FALSE,"Electric Actual";#N/A,#N/A,FALSE,"Electric Normalized"}</definedName>
    <definedName name="spippw" localSheetId="0" hidden="1">{#N/A,#N/A,FALSE,"Actual";#N/A,#N/A,FALSE,"Normalized";#N/A,#N/A,FALSE,"Electric Actual";#N/A,#N/A,FALSE,"Electric Normalized"}</definedName>
    <definedName name="spippw" hidden="1">{#N/A,#N/A,FALSE,"Actual";#N/A,#N/A,FALSE,"Normalized";#N/A,#N/A,FALSE,"Electric Actual";#N/A,#N/A,FALSE,"Electric Normalized"}</definedName>
    <definedName name="spippw_1" localSheetId="1" hidden="1">{#N/A,#N/A,FALSE,"Actual";#N/A,#N/A,FALSE,"Normalized";#N/A,#N/A,FALSE,"Electric Actual";#N/A,#N/A,FALSE,"Electric Normalized"}</definedName>
    <definedName name="spippw_1" localSheetId="3" hidden="1">{#N/A,#N/A,FALSE,"Actual";#N/A,#N/A,FALSE,"Normalized";#N/A,#N/A,FALSE,"Electric Actual";#N/A,#N/A,FALSE,"Electric Normalized"}</definedName>
    <definedName name="spippw_1" localSheetId="4" hidden="1">{#N/A,#N/A,FALSE,"Actual";#N/A,#N/A,FALSE,"Normalized";#N/A,#N/A,FALSE,"Electric Actual";#N/A,#N/A,FALSE,"Electric Normalized"}</definedName>
    <definedName name="spippw_1" localSheetId="5" hidden="1">{#N/A,#N/A,FALSE,"Actual";#N/A,#N/A,FALSE,"Normalized";#N/A,#N/A,FALSE,"Electric Actual";#N/A,#N/A,FALSE,"Electric Normalized"}</definedName>
    <definedName name="spippw_1" localSheetId="6" hidden="1">{#N/A,#N/A,FALSE,"Actual";#N/A,#N/A,FALSE,"Normalized";#N/A,#N/A,FALSE,"Electric Actual";#N/A,#N/A,FALSE,"Electric Normalized"}</definedName>
    <definedName name="spippw_1" localSheetId="7" hidden="1">{#N/A,#N/A,FALSE,"Actual";#N/A,#N/A,FALSE,"Normalized";#N/A,#N/A,FALSE,"Electric Actual";#N/A,#N/A,FALSE,"Electric Normalized"}</definedName>
    <definedName name="spippw_1" localSheetId="8" hidden="1">{#N/A,#N/A,FALSE,"Actual";#N/A,#N/A,FALSE,"Normalized";#N/A,#N/A,FALSE,"Electric Actual";#N/A,#N/A,FALSE,"Electric Normalized"}</definedName>
    <definedName name="spippw_1" localSheetId="9" hidden="1">{#N/A,#N/A,FALSE,"Actual";#N/A,#N/A,FALSE,"Normalized";#N/A,#N/A,FALSE,"Electric Actual";#N/A,#N/A,FALSE,"Electric Normalized"}</definedName>
    <definedName name="spippw_1" localSheetId="10" hidden="1">{#N/A,#N/A,FALSE,"Actual";#N/A,#N/A,FALSE,"Normalized";#N/A,#N/A,FALSE,"Electric Actual";#N/A,#N/A,FALSE,"Electric Normalized"}</definedName>
    <definedName name="spippw_1" localSheetId="15" hidden="1">{#N/A,#N/A,FALSE,"Actual";#N/A,#N/A,FALSE,"Normalized";#N/A,#N/A,FALSE,"Electric Actual";#N/A,#N/A,FALSE,"Electric Normalized"}</definedName>
    <definedName name="spippw_1" localSheetId="0" hidden="1">{#N/A,#N/A,FALSE,"Actual";#N/A,#N/A,FALSE,"Normalized";#N/A,#N/A,FALSE,"Electric Actual";#N/A,#N/A,FALSE,"Electric Normalized"}</definedName>
    <definedName name="spippw_1" hidden="1">{#N/A,#N/A,FALSE,"Actual";#N/A,#N/A,FALSE,"Normalized";#N/A,#N/A,FALSE,"Electric Actual";#N/A,#N/A,FALSE,"Electric Normalized"}</definedName>
    <definedName name="spippw_2" localSheetId="1" hidden="1">{#N/A,#N/A,FALSE,"Actual";#N/A,#N/A,FALSE,"Normalized";#N/A,#N/A,FALSE,"Electric Actual";#N/A,#N/A,FALSE,"Electric Normalized"}</definedName>
    <definedName name="spippw_2" localSheetId="3" hidden="1">{#N/A,#N/A,FALSE,"Actual";#N/A,#N/A,FALSE,"Normalized";#N/A,#N/A,FALSE,"Electric Actual";#N/A,#N/A,FALSE,"Electric Normalized"}</definedName>
    <definedName name="spippw_2" localSheetId="4" hidden="1">{#N/A,#N/A,FALSE,"Actual";#N/A,#N/A,FALSE,"Normalized";#N/A,#N/A,FALSE,"Electric Actual";#N/A,#N/A,FALSE,"Electric Normalized"}</definedName>
    <definedName name="spippw_2" localSheetId="5" hidden="1">{#N/A,#N/A,FALSE,"Actual";#N/A,#N/A,FALSE,"Normalized";#N/A,#N/A,FALSE,"Electric Actual";#N/A,#N/A,FALSE,"Electric Normalized"}</definedName>
    <definedName name="spippw_2" localSheetId="6" hidden="1">{#N/A,#N/A,FALSE,"Actual";#N/A,#N/A,FALSE,"Normalized";#N/A,#N/A,FALSE,"Electric Actual";#N/A,#N/A,FALSE,"Electric Normalized"}</definedName>
    <definedName name="spippw_2" localSheetId="7" hidden="1">{#N/A,#N/A,FALSE,"Actual";#N/A,#N/A,FALSE,"Normalized";#N/A,#N/A,FALSE,"Electric Actual";#N/A,#N/A,FALSE,"Electric Normalized"}</definedName>
    <definedName name="spippw_2" localSheetId="8" hidden="1">{#N/A,#N/A,FALSE,"Actual";#N/A,#N/A,FALSE,"Normalized";#N/A,#N/A,FALSE,"Electric Actual";#N/A,#N/A,FALSE,"Electric Normalized"}</definedName>
    <definedName name="spippw_2" localSheetId="9" hidden="1">{#N/A,#N/A,FALSE,"Actual";#N/A,#N/A,FALSE,"Normalized";#N/A,#N/A,FALSE,"Electric Actual";#N/A,#N/A,FALSE,"Electric Normalized"}</definedName>
    <definedName name="spippw_2" localSheetId="10" hidden="1">{#N/A,#N/A,FALSE,"Actual";#N/A,#N/A,FALSE,"Normalized";#N/A,#N/A,FALSE,"Electric Actual";#N/A,#N/A,FALSE,"Electric Normalized"}</definedName>
    <definedName name="spippw_2" localSheetId="15" hidden="1">{#N/A,#N/A,FALSE,"Actual";#N/A,#N/A,FALSE,"Normalized";#N/A,#N/A,FALSE,"Electric Actual";#N/A,#N/A,FALSE,"Electric Normalized"}</definedName>
    <definedName name="spippw_2" localSheetId="0" hidden="1">{#N/A,#N/A,FALSE,"Actual";#N/A,#N/A,FALSE,"Normalized";#N/A,#N/A,FALSE,"Electric Actual";#N/A,#N/A,FALSE,"Electric Normalized"}</definedName>
    <definedName name="spippw_2" hidden="1">{#N/A,#N/A,FALSE,"Actual";#N/A,#N/A,FALSE,"Normalized";#N/A,#N/A,FALSE,"Electric Actual";#N/A,#N/A,FALSE,"Electric Normalized"}</definedName>
    <definedName name="spippw_3" localSheetId="1" hidden="1">{#N/A,#N/A,FALSE,"Actual";#N/A,#N/A,FALSE,"Normalized";#N/A,#N/A,FALSE,"Electric Actual";#N/A,#N/A,FALSE,"Electric Normalized"}</definedName>
    <definedName name="spippw_3" localSheetId="3" hidden="1">{#N/A,#N/A,FALSE,"Actual";#N/A,#N/A,FALSE,"Normalized";#N/A,#N/A,FALSE,"Electric Actual";#N/A,#N/A,FALSE,"Electric Normalized"}</definedName>
    <definedName name="spippw_3" localSheetId="4" hidden="1">{#N/A,#N/A,FALSE,"Actual";#N/A,#N/A,FALSE,"Normalized";#N/A,#N/A,FALSE,"Electric Actual";#N/A,#N/A,FALSE,"Electric Normalized"}</definedName>
    <definedName name="spippw_3" localSheetId="5" hidden="1">{#N/A,#N/A,FALSE,"Actual";#N/A,#N/A,FALSE,"Normalized";#N/A,#N/A,FALSE,"Electric Actual";#N/A,#N/A,FALSE,"Electric Normalized"}</definedName>
    <definedName name="spippw_3" localSheetId="6" hidden="1">{#N/A,#N/A,FALSE,"Actual";#N/A,#N/A,FALSE,"Normalized";#N/A,#N/A,FALSE,"Electric Actual";#N/A,#N/A,FALSE,"Electric Normalized"}</definedName>
    <definedName name="spippw_3" localSheetId="7" hidden="1">{#N/A,#N/A,FALSE,"Actual";#N/A,#N/A,FALSE,"Normalized";#N/A,#N/A,FALSE,"Electric Actual";#N/A,#N/A,FALSE,"Electric Normalized"}</definedName>
    <definedName name="spippw_3" localSheetId="8" hidden="1">{#N/A,#N/A,FALSE,"Actual";#N/A,#N/A,FALSE,"Normalized";#N/A,#N/A,FALSE,"Electric Actual";#N/A,#N/A,FALSE,"Electric Normalized"}</definedName>
    <definedName name="spippw_3" localSheetId="9" hidden="1">{#N/A,#N/A,FALSE,"Actual";#N/A,#N/A,FALSE,"Normalized";#N/A,#N/A,FALSE,"Electric Actual";#N/A,#N/A,FALSE,"Electric Normalized"}</definedName>
    <definedName name="spippw_3" localSheetId="10" hidden="1">{#N/A,#N/A,FALSE,"Actual";#N/A,#N/A,FALSE,"Normalized";#N/A,#N/A,FALSE,"Electric Actual";#N/A,#N/A,FALSE,"Electric Normalized"}</definedName>
    <definedName name="spippw_3" localSheetId="15" hidden="1">{#N/A,#N/A,FALSE,"Actual";#N/A,#N/A,FALSE,"Normalized";#N/A,#N/A,FALSE,"Electric Actual";#N/A,#N/A,FALSE,"Electric Normalized"}</definedName>
    <definedName name="spippw_3" localSheetId="0" hidden="1">{#N/A,#N/A,FALSE,"Actual";#N/A,#N/A,FALSE,"Normalized";#N/A,#N/A,FALSE,"Electric Actual";#N/A,#N/A,FALSE,"Electric Normalized"}</definedName>
    <definedName name="spippw_3" hidden="1">{#N/A,#N/A,FALSE,"Actual";#N/A,#N/A,FALSE,"Normalized";#N/A,#N/A,FALSE,"Electric Actual";#N/A,#N/A,FALSE,"Electric Normalized"}</definedName>
    <definedName name="spippw_4" localSheetId="1" hidden="1">{#N/A,#N/A,FALSE,"Actual";#N/A,#N/A,FALSE,"Normalized";#N/A,#N/A,FALSE,"Electric Actual";#N/A,#N/A,FALSE,"Electric Normalized"}</definedName>
    <definedName name="spippw_4" localSheetId="3" hidden="1">{#N/A,#N/A,FALSE,"Actual";#N/A,#N/A,FALSE,"Normalized";#N/A,#N/A,FALSE,"Electric Actual";#N/A,#N/A,FALSE,"Electric Normalized"}</definedName>
    <definedName name="spippw_4" localSheetId="4" hidden="1">{#N/A,#N/A,FALSE,"Actual";#N/A,#N/A,FALSE,"Normalized";#N/A,#N/A,FALSE,"Electric Actual";#N/A,#N/A,FALSE,"Electric Normalized"}</definedName>
    <definedName name="spippw_4" localSheetId="5" hidden="1">{#N/A,#N/A,FALSE,"Actual";#N/A,#N/A,FALSE,"Normalized";#N/A,#N/A,FALSE,"Electric Actual";#N/A,#N/A,FALSE,"Electric Normalized"}</definedName>
    <definedName name="spippw_4" localSheetId="6" hidden="1">{#N/A,#N/A,FALSE,"Actual";#N/A,#N/A,FALSE,"Normalized";#N/A,#N/A,FALSE,"Electric Actual";#N/A,#N/A,FALSE,"Electric Normalized"}</definedName>
    <definedName name="spippw_4" localSheetId="7" hidden="1">{#N/A,#N/A,FALSE,"Actual";#N/A,#N/A,FALSE,"Normalized";#N/A,#N/A,FALSE,"Electric Actual";#N/A,#N/A,FALSE,"Electric Normalized"}</definedName>
    <definedName name="spippw_4" localSheetId="8" hidden="1">{#N/A,#N/A,FALSE,"Actual";#N/A,#N/A,FALSE,"Normalized";#N/A,#N/A,FALSE,"Electric Actual";#N/A,#N/A,FALSE,"Electric Normalized"}</definedName>
    <definedName name="spippw_4" localSheetId="9" hidden="1">{#N/A,#N/A,FALSE,"Actual";#N/A,#N/A,FALSE,"Normalized";#N/A,#N/A,FALSE,"Electric Actual";#N/A,#N/A,FALSE,"Electric Normalized"}</definedName>
    <definedName name="spippw_4" localSheetId="10" hidden="1">{#N/A,#N/A,FALSE,"Actual";#N/A,#N/A,FALSE,"Normalized";#N/A,#N/A,FALSE,"Electric Actual";#N/A,#N/A,FALSE,"Electric Normalized"}</definedName>
    <definedName name="spippw_4" localSheetId="15" hidden="1">{#N/A,#N/A,FALSE,"Actual";#N/A,#N/A,FALSE,"Normalized";#N/A,#N/A,FALSE,"Electric Actual";#N/A,#N/A,FALSE,"Electric Normalized"}</definedName>
    <definedName name="spippw_4" localSheetId="0" hidden="1">{#N/A,#N/A,FALSE,"Actual";#N/A,#N/A,FALSE,"Normalized";#N/A,#N/A,FALSE,"Electric Actual";#N/A,#N/A,FALSE,"Electric Normalized"}</definedName>
    <definedName name="spippw_4" hidden="1">{#N/A,#N/A,FALSE,"Actual";#N/A,#N/A,FALSE,"Normalized";#N/A,#N/A,FALSE,"Electric Actual";#N/A,#N/A,FALSE,"Electric Normalized"}</definedName>
    <definedName name="spippw_5" localSheetId="1" hidden="1">{#N/A,#N/A,FALSE,"Actual";#N/A,#N/A,FALSE,"Normalized";#N/A,#N/A,FALSE,"Electric Actual";#N/A,#N/A,FALSE,"Electric Normalized"}</definedName>
    <definedName name="spippw_5" localSheetId="3" hidden="1">{#N/A,#N/A,FALSE,"Actual";#N/A,#N/A,FALSE,"Normalized";#N/A,#N/A,FALSE,"Electric Actual";#N/A,#N/A,FALSE,"Electric Normalized"}</definedName>
    <definedName name="spippw_5" localSheetId="4" hidden="1">{#N/A,#N/A,FALSE,"Actual";#N/A,#N/A,FALSE,"Normalized";#N/A,#N/A,FALSE,"Electric Actual";#N/A,#N/A,FALSE,"Electric Normalized"}</definedName>
    <definedName name="spippw_5" localSheetId="5" hidden="1">{#N/A,#N/A,FALSE,"Actual";#N/A,#N/A,FALSE,"Normalized";#N/A,#N/A,FALSE,"Electric Actual";#N/A,#N/A,FALSE,"Electric Normalized"}</definedName>
    <definedName name="spippw_5" localSheetId="6" hidden="1">{#N/A,#N/A,FALSE,"Actual";#N/A,#N/A,FALSE,"Normalized";#N/A,#N/A,FALSE,"Electric Actual";#N/A,#N/A,FALSE,"Electric Normalized"}</definedName>
    <definedName name="spippw_5" localSheetId="7" hidden="1">{#N/A,#N/A,FALSE,"Actual";#N/A,#N/A,FALSE,"Normalized";#N/A,#N/A,FALSE,"Electric Actual";#N/A,#N/A,FALSE,"Electric Normalized"}</definedName>
    <definedName name="spippw_5" localSheetId="8" hidden="1">{#N/A,#N/A,FALSE,"Actual";#N/A,#N/A,FALSE,"Normalized";#N/A,#N/A,FALSE,"Electric Actual";#N/A,#N/A,FALSE,"Electric Normalized"}</definedName>
    <definedName name="spippw_5" localSheetId="9" hidden="1">{#N/A,#N/A,FALSE,"Actual";#N/A,#N/A,FALSE,"Normalized";#N/A,#N/A,FALSE,"Electric Actual";#N/A,#N/A,FALSE,"Electric Normalized"}</definedName>
    <definedName name="spippw_5" localSheetId="10" hidden="1">{#N/A,#N/A,FALSE,"Actual";#N/A,#N/A,FALSE,"Normalized";#N/A,#N/A,FALSE,"Electric Actual";#N/A,#N/A,FALSE,"Electric Normalized"}</definedName>
    <definedName name="spippw_5" localSheetId="15" hidden="1">{#N/A,#N/A,FALSE,"Actual";#N/A,#N/A,FALSE,"Normalized";#N/A,#N/A,FALSE,"Electric Actual";#N/A,#N/A,FALSE,"Electric Normalized"}</definedName>
    <definedName name="spippw_5" localSheetId="0" hidden="1">{#N/A,#N/A,FALSE,"Actual";#N/A,#N/A,FALSE,"Normalized";#N/A,#N/A,FALSE,"Electric Actual";#N/A,#N/A,FALSE,"Electric Normalized"}</definedName>
    <definedName name="spippw_5" hidden="1">{#N/A,#N/A,FALSE,"Actual";#N/A,#N/A,FALSE,"Normalized";#N/A,#N/A,FALSE,"Electric Actual";#N/A,#N/A,FALSE,"Electric Normalized"}</definedName>
    <definedName name="startyr">[1]Levelizer!$C$6</definedName>
    <definedName name="tax">[1]Levelizer!$C$8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heel_Year">[4]Resources!$S$14</definedName>
    <definedName name="Wind_CC_East">[4]CapacityContribution!$B$4</definedName>
    <definedName name="Wind_CC_West" localSheetId="10">[4]CapacityContribution!$B$5</definedName>
    <definedName name="Wind_CC_West">[5]CapacityContribution!$B$5</definedName>
    <definedName name="wrn.1996._.Hydro._.5._.Year._.Forecast._.Budget.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hidden="1">{#N/A,#N/A,FALSE,"Summary";#N/A,#N/A,FALSE,"SmPlants";#N/A,#N/A,FALSE,"Utah";#N/A,#N/A,FALSE,"Idaho";#N/A,#N/A,FALSE,"Lewis River";#N/A,#N/A,FALSE,"NrthUmpq";#N/A,#N/A,FALSE,"KlamRog"}</definedName>
    <definedName name="wrn.ALL." localSheetId="1" hidden="1">{#N/A,#N/A,FALSE,"Summary EPS";#N/A,#N/A,FALSE,"1st Qtr Electric";#N/A,#N/A,FALSE,"1st Qtr Australia";#N/A,#N/A,FALSE,"1st Qtr Telecom";#N/A,#N/A,FALSE,"1st QTR Other"}</definedName>
    <definedName name="wrn.ALL." localSheetId="3" hidden="1">{#N/A,#N/A,FALSE,"Summary EPS";#N/A,#N/A,FALSE,"1st Qtr Electric";#N/A,#N/A,FALSE,"1st Qtr Australia";#N/A,#N/A,FALSE,"1st Qtr Telecom";#N/A,#N/A,FALSE,"1st QTR Other"}</definedName>
    <definedName name="wrn.ALL." localSheetId="4" hidden="1">{#N/A,#N/A,FALSE,"Summary EPS";#N/A,#N/A,FALSE,"1st Qtr Electric";#N/A,#N/A,FALSE,"1st Qtr Australia";#N/A,#N/A,FALSE,"1st Qtr Telecom";#N/A,#N/A,FALSE,"1st QTR Other"}</definedName>
    <definedName name="wrn.ALL." localSheetId="5" hidden="1">{#N/A,#N/A,FALSE,"Summary EPS";#N/A,#N/A,FALSE,"1st Qtr Electric";#N/A,#N/A,FALSE,"1st Qtr Australia";#N/A,#N/A,FALSE,"1st Qtr Telecom";#N/A,#N/A,FALSE,"1st QTR Other"}</definedName>
    <definedName name="wrn.ALL." localSheetId="6" hidden="1">{#N/A,#N/A,FALSE,"Summary EPS";#N/A,#N/A,FALSE,"1st Qtr Electric";#N/A,#N/A,FALSE,"1st Qtr Australia";#N/A,#N/A,FALSE,"1st Qtr Telecom";#N/A,#N/A,FALSE,"1st QTR Other"}</definedName>
    <definedName name="wrn.ALL." localSheetId="7" hidden="1">{#N/A,#N/A,FALSE,"Summary EPS";#N/A,#N/A,FALSE,"1st Qtr Electric";#N/A,#N/A,FALSE,"1st Qtr Australia";#N/A,#N/A,FALSE,"1st Qtr Telecom";#N/A,#N/A,FALSE,"1st QTR Other"}</definedName>
    <definedName name="wrn.ALL." localSheetId="8" hidden="1">{#N/A,#N/A,FALSE,"Summary EPS";#N/A,#N/A,FALSE,"1st Qtr Electric";#N/A,#N/A,FALSE,"1st Qtr Australia";#N/A,#N/A,FALSE,"1st Qtr Telecom";#N/A,#N/A,FALSE,"1st QTR Other"}</definedName>
    <definedName name="wrn.ALL." localSheetId="9" hidden="1">{#N/A,#N/A,FALSE,"Summary EPS";#N/A,#N/A,FALSE,"1st Qtr Electric";#N/A,#N/A,FALSE,"1st Qtr Australia";#N/A,#N/A,FALSE,"1st Qtr Telecom";#N/A,#N/A,FALSE,"1st QTR Other"}</definedName>
    <definedName name="wrn.ALL." localSheetId="10" hidden="1">{#N/A,#N/A,FALSE,"Summary EPS";#N/A,#N/A,FALSE,"1st Qtr Electric";#N/A,#N/A,FALSE,"1st Qtr Australia";#N/A,#N/A,FALSE,"1st Qtr Telecom";#N/A,#N/A,FALSE,"1st QTR Other"}</definedName>
    <definedName name="wrn.ALL." localSheetId="15" hidden="1">{#N/A,#N/A,FALSE,"Summary EPS";#N/A,#N/A,FALSE,"1st Qtr Electric";#N/A,#N/A,FALSE,"1st Qtr Australia";#N/A,#N/A,FALSE,"1st Qtr Telecom";#N/A,#N/A,FALSE,"1st QTR Other"}</definedName>
    <definedName name="wrn.ALL." localSheetId="0" hidden="1">{#N/A,#N/A,FALSE,"Summary EPS";#N/A,#N/A,FALSE,"1st Qtr Electric";#N/A,#N/A,FALSE,"1st Qtr Australia";#N/A,#N/A,FALSE,"1st Qtr Telecom";#N/A,#N/A,FALSE,"1st QTR Other"}</definedName>
    <definedName name="wrn.ALL." hidden="1">{#N/A,#N/A,FALSE,"Summary EPS";#N/A,#N/A,FALSE,"1st Qtr Electric";#N/A,#N/A,FALSE,"1st Qtr Australia";#N/A,#N/A,FALSE,"1st Qtr Telecom";#N/A,#N/A,FALSE,"1st QTR Other"}</definedName>
    <definedName name="wrn.All._.pages." localSheetId="1" hidden="1">{#N/A,#N/A,FALSE,"Summary 1";#N/A,#N/A,FALSE,"Domestic";#N/A,#N/A,FALSE,"Australia";#N/A,#N/A,FALSE,"Other"}</definedName>
    <definedName name="wrn.All._.pages." localSheetId="3" hidden="1">{#N/A,#N/A,FALSE,"Summary 1";#N/A,#N/A,FALSE,"Domestic";#N/A,#N/A,FALSE,"Australia";#N/A,#N/A,FALSE,"Other"}</definedName>
    <definedName name="wrn.All._.pages." localSheetId="4" hidden="1">{#N/A,#N/A,FALSE,"Summary 1";#N/A,#N/A,FALSE,"Domestic";#N/A,#N/A,FALSE,"Australia";#N/A,#N/A,FALSE,"Other"}</definedName>
    <definedName name="wrn.All._.pages." localSheetId="5" hidden="1">{#N/A,#N/A,FALSE,"Summary 1";#N/A,#N/A,FALSE,"Domestic";#N/A,#N/A,FALSE,"Australia";#N/A,#N/A,FALSE,"Other"}</definedName>
    <definedName name="wrn.All._.pages." localSheetId="6" hidden="1">{#N/A,#N/A,FALSE,"Summary 1";#N/A,#N/A,FALSE,"Domestic";#N/A,#N/A,FALSE,"Australia";#N/A,#N/A,FALSE,"Other"}</definedName>
    <definedName name="wrn.All._.pages." localSheetId="7" hidden="1">{#N/A,#N/A,FALSE,"Summary 1";#N/A,#N/A,FALSE,"Domestic";#N/A,#N/A,FALSE,"Australia";#N/A,#N/A,FALSE,"Other"}</definedName>
    <definedName name="wrn.All._.pages." localSheetId="8" hidden="1">{#N/A,#N/A,FALSE,"Summary 1";#N/A,#N/A,FALSE,"Domestic";#N/A,#N/A,FALSE,"Australia";#N/A,#N/A,FALSE,"Other"}</definedName>
    <definedName name="wrn.All._.pages." localSheetId="9" hidden="1">{#N/A,#N/A,FALSE,"Summary 1";#N/A,#N/A,FALSE,"Domestic";#N/A,#N/A,FALSE,"Australia";#N/A,#N/A,FALSE,"Other"}</definedName>
    <definedName name="wrn.All._.pages." localSheetId="10" hidden="1">{#N/A,#N/A,FALSE,"Summary 1";#N/A,#N/A,FALSE,"Domestic";#N/A,#N/A,FALSE,"Australia";#N/A,#N/A,FALSE,"Other"}</definedName>
    <definedName name="wrn.All._.pages." localSheetId="15" hidden="1">{#N/A,#N/A,FALSE,"Summary 1";#N/A,#N/A,FALSE,"Domestic";#N/A,#N/A,FALSE,"Australia";#N/A,#N/A,FALSE,"Other"}</definedName>
    <definedName name="wrn.All._.pages." localSheetId="0" hidden="1">{#N/A,#N/A,FALSE,"Summary 1";#N/A,#N/A,FALSE,"Domestic";#N/A,#N/A,FALSE,"Australia";#N/A,#N/A,FALSE,"Other"}</definedName>
    <definedName name="wrn.All._.pages." hidden="1">{#N/A,#N/A,FALSE,"Summary 1";#N/A,#N/A,FALSE,"Domestic";#N/A,#N/A,FALSE,"Australia";#N/A,#N/A,FALSE,"Other"}</definedName>
    <definedName name="wrn.All._.pages._1" localSheetId="1" hidden="1">{#N/A,#N/A,FALSE,"Summary 1";#N/A,#N/A,FALSE,"Domestic";#N/A,#N/A,FALSE,"Australia";#N/A,#N/A,FALSE,"Other"}</definedName>
    <definedName name="wrn.All._.pages._1" localSheetId="3" hidden="1">{#N/A,#N/A,FALSE,"Summary 1";#N/A,#N/A,FALSE,"Domestic";#N/A,#N/A,FALSE,"Australia";#N/A,#N/A,FALSE,"Other"}</definedName>
    <definedName name="wrn.All._.pages._1" localSheetId="4" hidden="1">{#N/A,#N/A,FALSE,"Summary 1";#N/A,#N/A,FALSE,"Domestic";#N/A,#N/A,FALSE,"Australia";#N/A,#N/A,FALSE,"Other"}</definedName>
    <definedName name="wrn.All._.pages._1" localSheetId="5" hidden="1">{#N/A,#N/A,FALSE,"Summary 1";#N/A,#N/A,FALSE,"Domestic";#N/A,#N/A,FALSE,"Australia";#N/A,#N/A,FALSE,"Other"}</definedName>
    <definedName name="wrn.All._.pages._1" localSheetId="6" hidden="1">{#N/A,#N/A,FALSE,"Summary 1";#N/A,#N/A,FALSE,"Domestic";#N/A,#N/A,FALSE,"Australia";#N/A,#N/A,FALSE,"Other"}</definedName>
    <definedName name="wrn.All._.pages._1" localSheetId="7" hidden="1">{#N/A,#N/A,FALSE,"Summary 1";#N/A,#N/A,FALSE,"Domestic";#N/A,#N/A,FALSE,"Australia";#N/A,#N/A,FALSE,"Other"}</definedName>
    <definedName name="wrn.All._.pages._1" localSheetId="8" hidden="1">{#N/A,#N/A,FALSE,"Summary 1";#N/A,#N/A,FALSE,"Domestic";#N/A,#N/A,FALSE,"Australia";#N/A,#N/A,FALSE,"Other"}</definedName>
    <definedName name="wrn.All._.pages._1" localSheetId="9" hidden="1">{#N/A,#N/A,FALSE,"Summary 1";#N/A,#N/A,FALSE,"Domestic";#N/A,#N/A,FALSE,"Australia";#N/A,#N/A,FALSE,"Other"}</definedName>
    <definedName name="wrn.All._.pages._1" localSheetId="10" hidden="1">{#N/A,#N/A,FALSE,"Summary 1";#N/A,#N/A,FALSE,"Domestic";#N/A,#N/A,FALSE,"Australia";#N/A,#N/A,FALSE,"Other"}</definedName>
    <definedName name="wrn.All._.pages._1" localSheetId="15" hidden="1">{#N/A,#N/A,FALSE,"Summary 1";#N/A,#N/A,FALSE,"Domestic";#N/A,#N/A,FALSE,"Australia";#N/A,#N/A,FALSE,"Other"}</definedName>
    <definedName name="wrn.All._.pages._1" localSheetId="0" hidden="1">{#N/A,#N/A,FALSE,"Summary 1";#N/A,#N/A,FALSE,"Domestic";#N/A,#N/A,FALSE,"Australia";#N/A,#N/A,FALSE,"Other"}</definedName>
    <definedName name="wrn.All._.pages._1" hidden="1">{#N/A,#N/A,FALSE,"Summary 1";#N/A,#N/A,FALSE,"Domestic";#N/A,#N/A,FALSE,"Australia";#N/A,#N/A,FALSE,"Other"}</definedName>
    <definedName name="wrn.All._.pages._2" localSheetId="1" hidden="1">{#N/A,#N/A,FALSE,"Summary 1";#N/A,#N/A,FALSE,"Domestic";#N/A,#N/A,FALSE,"Australia";#N/A,#N/A,FALSE,"Other"}</definedName>
    <definedName name="wrn.All._.pages._2" localSheetId="3" hidden="1">{#N/A,#N/A,FALSE,"Summary 1";#N/A,#N/A,FALSE,"Domestic";#N/A,#N/A,FALSE,"Australia";#N/A,#N/A,FALSE,"Other"}</definedName>
    <definedName name="wrn.All._.pages._2" localSheetId="4" hidden="1">{#N/A,#N/A,FALSE,"Summary 1";#N/A,#N/A,FALSE,"Domestic";#N/A,#N/A,FALSE,"Australia";#N/A,#N/A,FALSE,"Other"}</definedName>
    <definedName name="wrn.All._.pages._2" localSheetId="5" hidden="1">{#N/A,#N/A,FALSE,"Summary 1";#N/A,#N/A,FALSE,"Domestic";#N/A,#N/A,FALSE,"Australia";#N/A,#N/A,FALSE,"Other"}</definedName>
    <definedName name="wrn.All._.pages._2" localSheetId="6" hidden="1">{#N/A,#N/A,FALSE,"Summary 1";#N/A,#N/A,FALSE,"Domestic";#N/A,#N/A,FALSE,"Australia";#N/A,#N/A,FALSE,"Other"}</definedName>
    <definedName name="wrn.All._.pages._2" localSheetId="7" hidden="1">{#N/A,#N/A,FALSE,"Summary 1";#N/A,#N/A,FALSE,"Domestic";#N/A,#N/A,FALSE,"Australia";#N/A,#N/A,FALSE,"Other"}</definedName>
    <definedName name="wrn.All._.pages._2" localSheetId="8" hidden="1">{#N/A,#N/A,FALSE,"Summary 1";#N/A,#N/A,FALSE,"Domestic";#N/A,#N/A,FALSE,"Australia";#N/A,#N/A,FALSE,"Other"}</definedName>
    <definedName name="wrn.All._.pages._2" localSheetId="9" hidden="1">{#N/A,#N/A,FALSE,"Summary 1";#N/A,#N/A,FALSE,"Domestic";#N/A,#N/A,FALSE,"Australia";#N/A,#N/A,FALSE,"Other"}</definedName>
    <definedName name="wrn.All._.pages._2" localSheetId="10" hidden="1">{#N/A,#N/A,FALSE,"Summary 1";#N/A,#N/A,FALSE,"Domestic";#N/A,#N/A,FALSE,"Australia";#N/A,#N/A,FALSE,"Other"}</definedName>
    <definedName name="wrn.All._.pages._2" localSheetId="15" hidden="1">{#N/A,#N/A,FALSE,"Summary 1";#N/A,#N/A,FALSE,"Domestic";#N/A,#N/A,FALSE,"Australia";#N/A,#N/A,FALSE,"Other"}</definedName>
    <definedName name="wrn.All._.pages._2" localSheetId="0" hidden="1">{#N/A,#N/A,FALSE,"Summary 1";#N/A,#N/A,FALSE,"Domestic";#N/A,#N/A,FALSE,"Australia";#N/A,#N/A,FALSE,"Other"}</definedName>
    <definedName name="wrn.All._.pages._2" hidden="1">{#N/A,#N/A,FALSE,"Summary 1";#N/A,#N/A,FALSE,"Domestic";#N/A,#N/A,FALSE,"Australia";#N/A,#N/A,FALSE,"Other"}</definedName>
    <definedName name="wrn.All._.pages._3" localSheetId="1" hidden="1">{#N/A,#N/A,FALSE,"Summary 1";#N/A,#N/A,FALSE,"Domestic";#N/A,#N/A,FALSE,"Australia";#N/A,#N/A,FALSE,"Other"}</definedName>
    <definedName name="wrn.All._.pages._3" localSheetId="3" hidden="1">{#N/A,#N/A,FALSE,"Summary 1";#N/A,#N/A,FALSE,"Domestic";#N/A,#N/A,FALSE,"Australia";#N/A,#N/A,FALSE,"Other"}</definedName>
    <definedName name="wrn.All._.pages._3" localSheetId="4" hidden="1">{#N/A,#N/A,FALSE,"Summary 1";#N/A,#N/A,FALSE,"Domestic";#N/A,#N/A,FALSE,"Australia";#N/A,#N/A,FALSE,"Other"}</definedName>
    <definedName name="wrn.All._.pages._3" localSheetId="5" hidden="1">{#N/A,#N/A,FALSE,"Summary 1";#N/A,#N/A,FALSE,"Domestic";#N/A,#N/A,FALSE,"Australia";#N/A,#N/A,FALSE,"Other"}</definedName>
    <definedName name="wrn.All._.pages._3" localSheetId="6" hidden="1">{#N/A,#N/A,FALSE,"Summary 1";#N/A,#N/A,FALSE,"Domestic";#N/A,#N/A,FALSE,"Australia";#N/A,#N/A,FALSE,"Other"}</definedName>
    <definedName name="wrn.All._.pages._3" localSheetId="7" hidden="1">{#N/A,#N/A,FALSE,"Summary 1";#N/A,#N/A,FALSE,"Domestic";#N/A,#N/A,FALSE,"Australia";#N/A,#N/A,FALSE,"Other"}</definedName>
    <definedName name="wrn.All._.pages._3" localSheetId="8" hidden="1">{#N/A,#N/A,FALSE,"Summary 1";#N/A,#N/A,FALSE,"Domestic";#N/A,#N/A,FALSE,"Australia";#N/A,#N/A,FALSE,"Other"}</definedName>
    <definedName name="wrn.All._.pages._3" localSheetId="9" hidden="1">{#N/A,#N/A,FALSE,"Summary 1";#N/A,#N/A,FALSE,"Domestic";#N/A,#N/A,FALSE,"Australia";#N/A,#N/A,FALSE,"Other"}</definedName>
    <definedName name="wrn.All._.pages._3" localSheetId="10" hidden="1">{#N/A,#N/A,FALSE,"Summary 1";#N/A,#N/A,FALSE,"Domestic";#N/A,#N/A,FALSE,"Australia";#N/A,#N/A,FALSE,"Other"}</definedName>
    <definedName name="wrn.All._.pages._3" localSheetId="15" hidden="1">{#N/A,#N/A,FALSE,"Summary 1";#N/A,#N/A,FALSE,"Domestic";#N/A,#N/A,FALSE,"Australia";#N/A,#N/A,FALSE,"Other"}</definedName>
    <definedName name="wrn.All._.pages._3" localSheetId="0" hidden="1">{#N/A,#N/A,FALSE,"Summary 1";#N/A,#N/A,FALSE,"Domestic";#N/A,#N/A,FALSE,"Australia";#N/A,#N/A,FALSE,"Other"}</definedName>
    <definedName name="wrn.All._.pages._3" hidden="1">{#N/A,#N/A,FALSE,"Summary 1";#N/A,#N/A,FALSE,"Domestic";#N/A,#N/A,FALSE,"Australia";#N/A,#N/A,FALSE,"Other"}</definedName>
    <definedName name="wrn.All._.pages._4" localSheetId="1" hidden="1">{#N/A,#N/A,FALSE,"Summary 1";#N/A,#N/A,FALSE,"Domestic";#N/A,#N/A,FALSE,"Australia";#N/A,#N/A,FALSE,"Other"}</definedName>
    <definedName name="wrn.All._.pages._4" localSheetId="3" hidden="1">{#N/A,#N/A,FALSE,"Summary 1";#N/A,#N/A,FALSE,"Domestic";#N/A,#N/A,FALSE,"Australia";#N/A,#N/A,FALSE,"Other"}</definedName>
    <definedName name="wrn.All._.pages._4" localSheetId="4" hidden="1">{#N/A,#N/A,FALSE,"Summary 1";#N/A,#N/A,FALSE,"Domestic";#N/A,#N/A,FALSE,"Australia";#N/A,#N/A,FALSE,"Other"}</definedName>
    <definedName name="wrn.All._.pages._4" localSheetId="5" hidden="1">{#N/A,#N/A,FALSE,"Summary 1";#N/A,#N/A,FALSE,"Domestic";#N/A,#N/A,FALSE,"Australia";#N/A,#N/A,FALSE,"Other"}</definedName>
    <definedName name="wrn.All._.pages._4" localSheetId="6" hidden="1">{#N/A,#N/A,FALSE,"Summary 1";#N/A,#N/A,FALSE,"Domestic";#N/A,#N/A,FALSE,"Australia";#N/A,#N/A,FALSE,"Other"}</definedName>
    <definedName name="wrn.All._.pages._4" localSheetId="7" hidden="1">{#N/A,#N/A,FALSE,"Summary 1";#N/A,#N/A,FALSE,"Domestic";#N/A,#N/A,FALSE,"Australia";#N/A,#N/A,FALSE,"Other"}</definedName>
    <definedName name="wrn.All._.pages._4" localSheetId="8" hidden="1">{#N/A,#N/A,FALSE,"Summary 1";#N/A,#N/A,FALSE,"Domestic";#N/A,#N/A,FALSE,"Australia";#N/A,#N/A,FALSE,"Other"}</definedName>
    <definedName name="wrn.All._.pages._4" localSheetId="9" hidden="1">{#N/A,#N/A,FALSE,"Summary 1";#N/A,#N/A,FALSE,"Domestic";#N/A,#N/A,FALSE,"Australia";#N/A,#N/A,FALSE,"Other"}</definedName>
    <definedName name="wrn.All._.pages._4" localSheetId="10" hidden="1">{#N/A,#N/A,FALSE,"Summary 1";#N/A,#N/A,FALSE,"Domestic";#N/A,#N/A,FALSE,"Australia";#N/A,#N/A,FALSE,"Other"}</definedName>
    <definedName name="wrn.All._.pages._4" localSheetId="15" hidden="1">{#N/A,#N/A,FALSE,"Summary 1";#N/A,#N/A,FALSE,"Domestic";#N/A,#N/A,FALSE,"Australia";#N/A,#N/A,FALSE,"Other"}</definedName>
    <definedName name="wrn.All._.pages._4" localSheetId="0" hidden="1">{#N/A,#N/A,FALSE,"Summary 1";#N/A,#N/A,FALSE,"Domestic";#N/A,#N/A,FALSE,"Australia";#N/A,#N/A,FALSE,"Other"}</definedName>
    <definedName name="wrn.All._.pages._4" hidden="1">{#N/A,#N/A,FALSE,"Summary 1";#N/A,#N/A,FALSE,"Domestic";#N/A,#N/A,FALSE,"Australia";#N/A,#N/A,FALSE,"Other"}</definedName>
    <definedName name="wrn.All._.pages._5" localSheetId="1" hidden="1">{#N/A,#N/A,FALSE,"Summary 1";#N/A,#N/A,FALSE,"Domestic";#N/A,#N/A,FALSE,"Australia";#N/A,#N/A,FALSE,"Other"}</definedName>
    <definedName name="wrn.All._.pages._5" localSheetId="3" hidden="1">{#N/A,#N/A,FALSE,"Summary 1";#N/A,#N/A,FALSE,"Domestic";#N/A,#N/A,FALSE,"Australia";#N/A,#N/A,FALSE,"Other"}</definedName>
    <definedName name="wrn.All._.pages._5" localSheetId="4" hidden="1">{#N/A,#N/A,FALSE,"Summary 1";#N/A,#N/A,FALSE,"Domestic";#N/A,#N/A,FALSE,"Australia";#N/A,#N/A,FALSE,"Other"}</definedName>
    <definedName name="wrn.All._.pages._5" localSheetId="5" hidden="1">{#N/A,#N/A,FALSE,"Summary 1";#N/A,#N/A,FALSE,"Domestic";#N/A,#N/A,FALSE,"Australia";#N/A,#N/A,FALSE,"Other"}</definedName>
    <definedName name="wrn.All._.pages._5" localSheetId="6" hidden="1">{#N/A,#N/A,FALSE,"Summary 1";#N/A,#N/A,FALSE,"Domestic";#N/A,#N/A,FALSE,"Australia";#N/A,#N/A,FALSE,"Other"}</definedName>
    <definedName name="wrn.All._.pages._5" localSheetId="7" hidden="1">{#N/A,#N/A,FALSE,"Summary 1";#N/A,#N/A,FALSE,"Domestic";#N/A,#N/A,FALSE,"Australia";#N/A,#N/A,FALSE,"Other"}</definedName>
    <definedName name="wrn.All._.pages._5" localSheetId="8" hidden="1">{#N/A,#N/A,FALSE,"Summary 1";#N/A,#N/A,FALSE,"Domestic";#N/A,#N/A,FALSE,"Australia";#N/A,#N/A,FALSE,"Other"}</definedName>
    <definedName name="wrn.All._.pages._5" localSheetId="9" hidden="1">{#N/A,#N/A,FALSE,"Summary 1";#N/A,#N/A,FALSE,"Domestic";#N/A,#N/A,FALSE,"Australia";#N/A,#N/A,FALSE,"Other"}</definedName>
    <definedName name="wrn.All._.pages._5" localSheetId="10" hidden="1">{#N/A,#N/A,FALSE,"Summary 1";#N/A,#N/A,FALSE,"Domestic";#N/A,#N/A,FALSE,"Australia";#N/A,#N/A,FALSE,"Other"}</definedName>
    <definedName name="wrn.All._.pages._5" localSheetId="15" hidden="1">{#N/A,#N/A,FALSE,"Summary 1";#N/A,#N/A,FALSE,"Domestic";#N/A,#N/A,FALSE,"Australia";#N/A,#N/A,FALSE,"Other"}</definedName>
    <definedName name="wrn.All._.pages._5" localSheetId="0" hidden="1">{#N/A,#N/A,FALSE,"Summary 1";#N/A,#N/A,FALSE,"Domestic";#N/A,#N/A,FALSE,"Australia";#N/A,#N/A,FALSE,"Other"}</definedName>
    <definedName name="wrn.All._.pages._5" hidden="1">{#N/A,#N/A,FALSE,"Summary 1";#N/A,#N/A,FALSE,"Domestic";#N/A,#N/A,FALSE,"Australia";#N/A,#N/A,FALSE,"Other"}</definedName>
    <definedName name="wrn.ALL._1" localSheetId="1" hidden="1">{#N/A,#N/A,FALSE,"Summary EPS";#N/A,#N/A,FALSE,"1st Qtr Electric";#N/A,#N/A,FALSE,"1st Qtr Australia";#N/A,#N/A,FALSE,"1st Qtr Telecom";#N/A,#N/A,FALSE,"1st QTR Other"}</definedName>
    <definedName name="wrn.ALL._1" localSheetId="3" hidden="1">{#N/A,#N/A,FALSE,"Summary EPS";#N/A,#N/A,FALSE,"1st Qtr Electric";#N/A,#N/A,FALSE,"1st Qtr Australia";#N/A,#N/A,FALSE,"1st Qtr Telecom";#N/A,#N/A,FALSE,"1st QTR Other"}</definedName>
    <definedName name="wrn.ALL._1" localSheetId="4" hidden="1">{#N/A,#N/A,FALSE,"Summary EPS";#N/A,#N/A,FALSE,"1st Qtr Electric";#N/A,#N/A,FALSE,"1st Qtr Australia";#N/A,#N/A,FALSE,"1st Qtr Telecom";#N/A,#N/A,FALSE,"1st QTR Other"}</definedName>
    <definedName name="wrn.ALL._1" localSheetId="5" hidden="1">{#N/A,#N/A,FALSE,"Summary EPS";#N/A,#N/A,FALSE,"1st Qtr Electric";#N/A,#N/A,FALSE,"1st Qtr Australia";#N/A,#N/A,FALSE,"1st Qtr Telecom";#N/A,#N/A,FALSE,"1st QTR Other"}</definedName>
    <definedName name="wrn.ALL._1" localSheetId="6" hidden="1">{#N/A,#N/A,FALSE,"Summary EPS";#N/A,#N/A,FALSE,"1st Qtr Electric";#N/A,#N/A,FALSE,"1st Qtr Australia";#N/A,#N/A,FALSE,"1st Qtr Telecom";#N/A,#N/A,FALSE,"1st QTR Other"}</definedName>
    <definedName name="wrn.ALL._1" localSheetId="7" hidden="1">{#N/A,#N/A,FALSE,"Summary EPS";#N/A,#N/A,FALSE,"1st Qtr Electric";#N/A,#N/A,FALSE,"1st Qtr Australia";#N/A,#N/A,FALSE,"1st Qtr Telecom";#N/A,#N/A,FALSE,"1st QTR Other"}</definedName>
    <definedName name="wrn.ALL._1" localSheetId="8" hidden="1">{#N/A,#N/A,FALSE,"Summary EPS";#N/A,#N/A,FALSE,"1st Qtr Electric";#N/A,#N/A,FALSE,"1st Qtr Australia";#N/A,#N/A,FALSE,"1st Qtr Telecom";#N/A,#N/A,FALSE,"1st QTR Other"}</definedName>
    <definedName name="wrn.ALL._1" localSheetId="9" hidden="1">{#N/A,#N/A,FALSE,"Summary EPS";#N/A,#N/A,FALSE,"1st Qtr Electric";#N/A,#N/A,FALSE,"1st Qtr Australia";#N/A,#N/A,FALSE,"1st Qtr Telecom";#N/A,#N/A,FALSE,"1st QTR Other"}</definedName>
    <definedName name="wrn.ALL._1" localSheetId="10" hidden="1">{#N/A,#N/A,FALSE,"Summary EPS";#N/A,#N/A,FALSE,"1st Qtr Electric";#N/A,#N/A,FALSE,"1st Qtr Australia";#N/A,#N/A,FALSE,"1st Qtr Telecom";#N/A,#N/A,FALSE,"1st QTR Other"}</definedName>
    <definedName name="wrn.ALL._1" localSheetId="15" hidden="1">{#N/A,#N/A,FALSE,"Summary EPS";#N/A,#N/A,FALSE,"1st Qtr Electric";#N/A,#N/A,FALSE,"1st Qtr Australia";#N/A,#N/A,FALSE,"1st Qtr Telecom";#N/A,#N/A,FALSE,"1st QTR Other"}</definedName>
    <definedName name="wrn.ALL._1" localSheetId="0" hidden="1">{#N/A,#N/A,FALSE,"Summary EPS";#N/A,#N/A,FALSE,"1st Qtr Electric";#N/A,#N/A,FALSE,"1st Qtr Australia";#N/A,#N/A,FALSE,"1st Qtr Telecom";#N/A,#N/A,FALSE,"1st QTR Other"}</definedName>
    <definedName name="wrn.ALL._1" hidden="1">{#N/A,#N/A,FALSE,"Summary EPS";#N/A,#N/A,FALSE,"1st Qtr Electric";#N/A,#N/A,FALSE,"1st Qtr Australia";#N/A,#N/A,FALSE,"1st Qtr Telecom";#N/A,#N/A,FALSE,"1st QTR Other"}</definedName>
    <definedName name="wrn.ALL._2" localSheetId="1" hidden="1">{#N/A,#N/A,FALSE,"Summary EPS";#N/A,#N/A,FALSE,"1st Qtr Electric";#N/A,#N/A,FALSE,"1st Qtr Australia";#N/A,#N/A,FALSE,"1st Qtr Telecom";#N/A,#N/A,FALSE,"1st QTR Other"}</definedName>
    <definedName name="wrn.ALL._2" localSheetId="3" hidden="1">{#N/A,#N/A,FALSE,"Summary EPS";#N/A,#N/A,FALSE,"1st Qtr Electric";#N/A,#N/A,FALSE,"1st Qtr Australia";#N/A,#N/A,FALSE,"1st Qtr Telecom";#N/A,#N/A,FALSE,"1st QTR Other"}</definedName>
    <definedName name="wrn.ALL._2" localSheetId="4" hidden="1">{#N/A,#N/A,FALSE,"Summary EPS";#N/A,#N/A,FALSE,"1st Qtr Electric";#N/A,#N/A,FALSE,"1st Qtr Australia";#N/A,#N/A,FALSE,"1st Qtr Telecom";#N/A,#N/A,FALSE,"1st QTR Other"}</definedName>
    <definedName name="wrn.ALL._2" localSheetId="5" hidden="1">{#N/A,#N/A,FALSE,"Summary EPS";#N/A,#N/A,FALSE,"1st Qtr Electric";#N/A,#N/A,FALSE,"1st Qtr Australia";#N/A,#N/A,FALSE,"1st Qtr Telecom";#N/A,#N/A,FALSE,"1st QTR Other"}</definedName>
    <definedName name="wrn.ALL._2" localSheetId="6" hidden="1">{#N/A,#N/A,FALSE,"Summary EPS";#N/A,#N/A,FALSE,"1st Qtr Electric";#N/A,#N/A,FALSE,"1st Qtr Australia";#N/A,#N/A,FALSE,"1st Qtr Telecom";#N/A,#N/A,FALSE,"1st QTR Other"}</definedName>
    <definedName name="wrn.ALL._2" localSheetId="7" hidden="1">{#N/A,#N/A,FALSE,"Summary EPS";#N/A,#N/A,FALSE,"1st Qtr Electric";#N/A,#N/A,FALSE,"1st Qtr Australia";#N/A,#N/A,FALSE,"1st Qtr Telecom";#N/A,#N/A,FALSE,"1st QTR Other"}</definedName>
    <definedName name="wrn.ALL._2" localSheetId="8" hidden="1">{#N/A,#N/A,FALSE,"Summary EPS";#N/A,#N/A,FALSE,"1st Qtr Electric";#N/A,#N/A,FALSE,"1st Qtr Australia";#N/A,#N/A,FALSE,"1st Qtr Telecom";#N/A,#N/A,FALSE,"1st QTR Other"}</definedName>
    <definedName name="wrn.ALL._2" localSheetId="9" hidden="1">{#N/A,#N/A,FALSE,"Summary EPS";#N/A,#N/A,FALSE,"1st Qtr Electric";#N/A,#N/A,FALSE,"1st Qtr Australia";#N/A,#N/A,FALSE,"1st Qtr Telecom";#N/A,#N/A,FALSE,"1st QTR Other"}</definedName>
    <definedName name="wrn.ALL._2" localSheetId="10" hidden="1">{#N/A,#N/A,FALSE,"Summary EPS";#N/A,#N/A,FALSE,"1st Qtr Electric";#N/A,#N/A,FALSE,"1st Qtr Australia";#N/A,#N/A,FALSE,"1st Qtr Telecom";#N/A,#N/A,FALSE,"1st QTR Other"}</definedName>
    <definedName name="wrn.ALL._2" localSheetId="15" hidden="1">{#N/A,#N/A,FALSE,"Summary EPS";#N/A,#N/A,FALSE,"1st Qtr Electric";#N/A,#N/A,FALSE,"1st Qtr Australia";#N/A,#N/A,FALSE,"1st Qtr Telecom";#N/A,#N/A,FALSE,"1st QTR Other"}</definedName>
    <definedName name="wrn.ALL._2" localSheetId="0" hidden="1">{#N/A,#N/A,FALSE,"Summary EPS";#N/A,#N/A,FALSE,"1st Qtr Electric";#N/A,#N/A,FALSE,"1st Qtr Australia";#N/A,#N/A,FALSE,"1st Qtr Telecom";#N/A,#N/A,FALSE,"1st QTR Other"}</definedName>
    <definedName name="wrn.ALL._2" hidden="1">{#N/A,#N/A,FALSE,"Summary EPS";#N/A,#N/A,FALSE,"1st Qtr Electric";#N/A,#N/A,FALSE,"1st Qtr Australia";#N/A,#N/A,FALSE,"1st Qtr Telecom";#N/A,#N/A,FALSE,"1st QTR Other"}</definedName>
    <definedName name="wrn.ALL._3" localSheetId="1" hidden="1">{#N/A,#N/A,FALSE,"Summary EPS";#N/A,#N/A,FALSE,"1st Qtr Electric";#N/A,#N/A,FALSE,"1st Qtr Australia";#N/A,#N/A,FALSE,"1st Qtr Telecom";#N/A,#N/A,FALSE,"1st QTR Other"}</definedName>
    <definedName name="wrn.ALL._3" localSheetId="3" hidden="1">{#N/A,#N/A,FALSE,"Summary EPS";#N/A,#N/A,FALSE,"1st Qtr Electric";#N/A,#N/A,FALSE,"1st Qtr Australia";#N/A,#N/A,FALSE,"1st Qtr Telecom";#N/A,#N/A,FALSE,"1st QTR Other"}</definedName>
    <definedName name="wrn.ALL._3" localSheetId="4" hidden="1">{#N/A,#N/A,FALSE,"Summary EPS";#N/A,#N/A,FALSE,"1st Qtr Electric";#N/A,#N/A,FALSE,"1st Qtr Australia";#N/A,#N/A,FALSE,"1st Qtr Telecom";#N/A,#N/A,FALSE,"1st QTR Other"}</definedName>
    <definedName name="wrn.ALL._3" localSheetId="5" hidden="1">{#N/A,#N/A,FALSE,"Summary EPS";#N/A,#N/A,FALSE,"1st Qtr Electric";#N/A,#N/A,FALSE,"1st Qtr Australia";#N/A,#N/A,FALSE,"1st Qtr Telecom";#N/A,#N/A,FALSE,"1st QTR Other"}</definedName>
    <definedName name="wrn.ALL._3" localSheetId="6" hidden="1">{#N/A,#N/A,FALSE,"Summary EPS";#N/A,#N/A,FALSE,"1st Qtr Electric";#N/A,#N/A,FALSE,"1st Qtr Australia";#N/A,#N/A,FALSE,"1st Qtr Telecom";#N/A,#N/A,FALSE,"1st QTR Other"}</definedName>
    <definedName name="wrn.ALL._3" localSheetId="7" hidden="1">{#N/A,#N/A,FALSE,"Summary EPS";#N/A,#N/A,FALSE,"1st Qtr Electric";#N/A,#N/A,FALSE,"1st Qtr Australia";#N/A,#N/A,FALSE,"1st Qtr Telecom";#N/A,#N/A,FALSE,"1st QTR Other"}</definedName>
    <definedName name="wrn.ALL._3" localSheetId="8" hidden="1">{#N/A,#N/A,FALSE,"Summary EPS";#N/A,#N/A,FALSE,"1st Qtr Electric";#N/A,#N/A,FALSE,"1st Qtr Australia";#N/A,#N/A,FALSE,"1st Qtr Telecom";#N/A,#N/A,FALSE,"1st QTR Other"}</definedName>
    <definedName name="wrn.ALL._3" localSheetId="9" hidden="1">{#N/A,#N/A,FALSE,"Summary EPS";#N/A,#N/A,FALSE,"1st Qtr Electric";#N/A,#N/A,FALSE,"1st Qtr Australia";#N/A,#N/A,FALSE,"1st Qtr Telecom";#N/A,#N/A,FALSE,"1st QTR Other"}</definedName>
    <definedName name="wrn.ALL._3" localSheetId="10" hidden="1">{#N/A,#N/A,FALSE,"Summary EPS";#N/A,#N/A,FALSE,"1st Qtr Electric";#N/A,#N/A,FALSE,"1st Qtr Australia";#N/A,#N/A,FALSE,"1st Qtr Telecom";#N/A,#N/A,FALSE,"1st QTR Other"}</definedName>
    <definedName name="wrn.ALL._3" localSheetId="15" hidden="1">{#N/A,#N/A,FALSE,"Summary EPS";#N/A,#N/A,FALSE,"1st Qtr Electric";#N/A,#N/A,FALSE,"1st Qtr Australia";#N/A,#N/A,FALSE,"1st Qtr Telecom";#N/A,#N/A,FALSE,"1st QTR Other"}</definedName>
    <definedName name="wrn.ALL._3" localSheetId="0" hidden="1">{#N/A,#N/A,FALSE,"Summary EPS";#N/A,#N/A,FALSE,"1st Qtr Electric";#N/A,#N/A,FALSE,"1st Qtr Australia";#N/A,#N/A,FALSE,"1st Qtr Telecom";#N/A,#N/A,FALSE,"1st QTR Other"}</definedName>
    <definedName name="wrn.ALL._3" hidden="1">{#N/A,#N/A,FALSE,"Summary EPS";#N/A,#N/A,FALSE,"1st Qtr Electric";#N/A,#N/A,FALSE,"1st Qtr Australia";#N/A,#N/A,FALSE,"1st Qtr Telecom";#N/A,#N/A,FALSE,"1st QTR Other"}</definedName>
    <definedName name="wrn.ALL._4" localSheetId="1" hidden="1">{#N/A,#N/A,FALSE,"Summary EPS";#N/A,#N/A,FALSE,"1st Qtr Electric";#N/A,#N/A,FALSE,"1st Qtr Australia";#N/A,#N/A,FALSE,"1st Qtr Telecom";#N/A,#N/A,FALSE,"1st QTR Other"}</definedName>
    <definedName name="wrn.ALL._4" localSheetId="3" hidden="1">{#N/A,#N/A,FALSE,"Summary EPS";#N/A,#N/A,FALSE,"1st Qtr Electric";#N/A,#N/A,FALSE,"1st Qtr Australia";#N/A,#N/A,FALSE,"1st Qtr Telecom";#N/A,#N/A,FALSE,"1st QTR Other"}</definedName>
    <definedName name="wrn.ALL._4" localSheetId="4" hidden="1">{#N/A,#N/A,FALSE,"Summary EPS";#N/A,#N/A,FALSE,"1st Qtr Electric";#N/A,#N/A,FALSE,"1st Qtr Australia";#N/A,#N/A,FALSE,"1st Qtr Telecom";#N/A,#N/A,FALSE,"1st QTR Other"}</definedName>
    <definedName name="wrn.ALL._4" localSheetId="5" hidden="1">{#N/A,#N/A,FALSE,"Summary EPS";#N/A,#N/A,FALSE,"1st Qtr Electric";#N/A,#N/A,FALSE,"1st Qtr Australia";#N/A,#N/A,FALSE,"1st Qtr Telecom";#N/A,#N/A,FALSE,"1st QTR Other"}</definedName>
    <definedName name="wrn.ALL._4" localSheetId="6" hidden="1">{#N/A,#N/A,FALSE,"Summary EPS";#N/A,#N/A,FALSE,"1st Qtr Electric";#N/A,#N/A,FALSE,"1st Qtr Australia";#N/A,#N/A,FALSE,"1st Qtr Telecom";#N/A,#N/A,FALSE,"1st QTR Other"}</definedName>
    <definedName name="wrn.ALL._4" localSheetId="7" hidden="1">{#N/A,#N/A,FALSE,"Summary EPS";#N/A,#N/A,FALSE,"1st Qtr Electric";#N/A,#N/A,FALSE,"1st Qtr Australia";#N/A,#N/A,FALSE,"1st Qtr Telecom";#N/A,#N/A,FALSE,"1st QTR Other"}</definedName>
    <definedName name="wrn.ALL._4" localSheetId="8" hidden="1">{#N/A,#N/A,FALSE,"Summary EPS";#N/A,#N/A,FALSE,"1st Qtr Electric";#N/A,#N/A,FALSE,"1st Qtr Australia";#N/A,#N/A,FALSE,"1st Qtr Telecom";#N/A,#N/A,FALSE,"1st QTR Other"}</definedName>
    <definedName name="wrn.ALL._4" localSheetId="9" hidden="1">{#N/A,#N/A,FALSE,"Summary EPS";#N/A,#N/A,FALSE,"1st Qtr Electric";#N/A,#N/A,FALSE,"1st Qtr Australia";#N/A,#N/A,FALSE,"1st Qtr Telecom";#N/A,#N/A,FALSE,"1st QTR Other"}</definedName>
    <definedName name="wrn.ALL._4" localSheetId="10" hidden="1">{#N/A,#N/A,FALSE,"Summary EPS";#N/A,#N/A,FALSE,"1st Qtr Electric";#N/A,#N/A,FALSE,"1st Qtr Australia";#N/A,#N/A,FALSE,"1st Qtr Telecom";#N/A,#N/A,FALSE,"1st QTR Other"}</definedName>
    <definedName name="wrn.ALL._4" localSheetId="15" hidden="1">{#N/A,#N/A,FALSE,"Summary EPS";#N/A,#N/A,FALSE,"1st Qtr Electric";#N/A,#N/A,FALSE,"1st Qtr Australia";#N/A,#N/A,FALSE,"1st Qtr Telecom";#N/A,#N/A,FALSE,"1st QTR Other"}</definedName>
    <definedName name="wrn.ALL._4" localSheetId="0" hidden="1">{#N/A,#N/A,FALSE,"Summary EPS";#N/A,#N/A,FALSE,"1st Qtr Electric";#N/A,#N/A,FALSE,"1st Qtr Australia";#N/A,#N/A,FALSE,"1st Qtr Telecom";#N/A,#N/A,FALSE,"1st QTR Other"}</definedName>
    <definedName name="wrn.ALL._4" hidden="1">{#N/A,#N/A,FALSE,"Summary EPS";#N/A,#N/A,FALSE,"1st Qtr Electric";#N/A,#N/A,FALSE,"1st Qtr Australia";#N/A,#N/A,FALSE,"1st Qtr Telecom";#N/A,#N/A,FALSE,"1st QTR Other"}</definedName>
    <definedName name="wrn.ALL._5" localSheetId="1" hidden="1">{#N/A,#N/A,FALSE,"Summary EPS";#N/A,#N/A,FALSE,"1st Qtr Electric";#N/A,#N/A,FALSE,"1st Qtr Australia";#N/A,#N/A,FALSE,"1st Qtr Telecom";#N/A,#N/A,FALSE,"1st QTR Other"}</definedName>
    <definedName name="wrn.ALL._5" localSheetId="3" hidden="1">{#N/A,#N/A,FALSE,"Summary EPS";#N/A,#N/A,FALSE,"1st Qtr Electric";#N/A,#N/A,FALSE,"1st Qtr Australia";#N/A,#N/A,FALSE,"1st Qtr Telecom";#N/A,#N/A,FALSE,"1st QTR Other"}</definedName>
    <definedName name="wrn.ALL._5" localSheetId="4" hidden="1">{#N/A,#N/A,FALSE,"Summary EPS";#N/A,#N/A,FALSE,"1st Qtr Electric";#N/A,#N/A,FALSE,"1st Qtr Australia";#N/A,#N/A,FALSE,"1st Qtr Telecom";#N/A,#N/A,FALSE,"1st QTR Other"}</definedName>
    <definedName name="wrn.ALL._5" localSheetId="5" hidden="1">{#N/A,#N/A,FALSE,"Summary EPS";#N/A,#N/A,FALSE,"1st Qtr Electric";#N/A,#N/A,FALSE,"1st Qtr Australia";#N/A,#N/A,FALSE,"1st Qtr Telecom";#N/A,#N/A,FALSE,"1st QTR Other"}</definedName>
    <definedName name="wrn.ALL._5" localSheetId="6" hidden="1">{#N/A,#N/A,FALSE,"Summary EPS";#N/A,#N/A,FALSE,"1st Qtr Electric";#N/A,#N/A,FALSE,"1st Qtr Australia";#N/A,#N/A,FALSE,"1st Qtr Telecom";#N/A,#N/A,FALSE,"1st QTR Other"}</definedName>
    <definedName name="wrn.ALL._5" localSheetId="7" hidden="1">{#N/A,#N/A,FALSE,"Summary EPS";#N/A,#N/A,FALSE,"1st Qtr Electric";#N/A,#N/A,FALSE,"1st Qtr Australia";#N/A,#N/A,FALSE,"1st Qtr Telecom";#N/A,#N/A,FALSE,"1st QTR Other"}</definedName>
    <definedName name="wrn.ALL._5" localSheetId="8" hidden="1">{#N/A,#N/A,FALSE,"Summary EPS";#N/A,#N/A,FALSE,"1st Qtr Electric";#N/A,#N/A,FALSE,"1st Qtr Australia";#N/A,#N/A,FALSE,"1st Qtr Telecom";#N/A,#N/A,FALSE,"1st QTR Other"}</definedName>
    <definedName name="wrn.ALL._5" localSheetId="9" hidden="1">{#N/A,#N/A,FALSE,"Summary EPS";#N/A,#N/A,FALSE,"1st Qtr Electric";#N/A,#N/A,FALSE,"1st Qtr Australia";#N/A,#N/A,FALSE,"1st Qtr Telecom";#N/A,#N/A,FALSE,"1st QTR Other"}</definedName>
    <definedName name="wrn.ALL._5" localSheetId="10" hidden="1">{#N/A,#N/A,FALSE,"Summary EPS";#N/A,#N/A,FALSE,"1st Qtr Electric";#N/A,#N/A,FALSE,"1st Qtr Australia";#N/A,#N/A,FALSE,"1st Qtr Telecom";#N/A,#N/A,FALSE,"1st QTR Other"}</definedName>
    <definedName name="wrn.ALL._5" localSheetId="15" hidden="1">{#N/A,#N/A,FALSE,"Summary EPS";#N/A,#N/A,FALSE,"1st Qtr Electric";#N/A,#N/A,FALSE,"1st Qtr Australia";#N/A,#N/A,FALSE,"1st Qtr Telecom";#N/A,#N/A,FALSE,"1st QTR Other"}</definedName>
    <definedName name="wrn.ALL._5" localSheetId="0" hidden="1">{#N/A,#N/A,FALSE,"Summary EPS";#N/A,#N/A,FALSE,"1st Qtr Electric";#N/A,#N/A,FALSE,"1st Qtr Australia";#N/A,#N/A,FALSE,"1st Qtr Telecom";#N/A,#N/A,FALSE,"1st QTR Other"}</definedName>
    <definedName name="wrn.ALL._5" hidden="1">{#N/A,#N/A,FALSE,"Summary EPS";#N/A,#N/A,FALSE,"1st Qtr Electric";#N/A,#N/A,FALSE,"1st Qtr Australia";#N/A,#N/A,FALSE,"1st Qtr Telecom";#N/A,#N/A,FALSE,"1st QTR Other"}</definedName>
    <definedName name="wrn.BUS._.RPT.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Exec._.Summary." localSheetId="1" hidden="1">{#N/A,#N/A,FALSE,"Output Ass";#N/A,#N/A,FALSE,"Sum Tot";#N/A,#N/A,FALSE,"Ex Sum Year";#N/A,#N/A,FALSE,"Sum Qtr"}</definedName>
    <definedName name="wrn.Exec._.Summary." localSheetId="3" hidden="1">{#N/A,#N/A,FALSE,"Output Ass";#N/A,#N/A,FALSE,"Sum Tot";#N/A,#N/A,FALSE,"Ex Sum Year";#N/A,#N/A,FALSE,"Sum Qtr"}</definedName>
    <definedName name="wrn.Exec._.Summary." localSheetId="4" hidden="1">{#N/A,#N/A,FALSE,"Output Ass";#N/A,#N/A,FALSE,"Sum Tot";#N/A,#N/A,FALSE,"Ex Sum Year";#N/A,#N/A,FALSE,"Sum Qtr"}</definedName>
    <definedName name="wrn.Exec._.Summary." localSheetId="5" hidden="1">{#N/A,#N/A,FALSE,"Output Ass";#N/A,#N/A,FALSE,"Sum Tot";#N/A,#N/A,FALSE,"Ex Sum Year";#N/A,#N/A,FALSE,"Sum Qtr"}</definedName>
    <definedName name="wrn.Exec._.Summary." localSheetId="6" hidden="1">{#N/A,#N/A,FALSE,"Output Ass";#N/A,#N/A,FALSE,"Sum Tot";#N/A,#N/A,FALSE,"Ex Sum Year";#N/A,#N/A,FALSE,"Sum Qtr"}</definedName>
    <definedName name="wrn.Exec._.Summary." localSheetId="7" hidden="1">{#N/A,#N/A,FALSE,"Output Ass";#N/A,#N/A,FALSE,"Sum Tot";#N/A,#N/A,FALSE,"Ex Sum Year";#N/A,#N/A,FALSE,"Sum Qtr"}</definedName>
    <definedName name="wrn.Exec._.Summary." localSheetId="8" hidden="1">{#N/A,#N/A,FALSE,"Output Ass";#N/A,#N/A,FALSE,"Sum Tot";#N/A,#N/A,FALSE,"Ex Sum Year";#N/A,#N/A,FALSE,"Sum Qtr"}</definedName>
    <definedName name="wrn.Exec._.Summary." localSheetId="9" hidden="1">{#N/A,#N/A,FALSE,"Output Ass";#N/A,#N/A,FALSE,"Sum Tot";#N/A,#N/A,FALSE,"Ex Sum Year";#N/A,#N/A,FALSE,"Sum Qtr"}</definedName>
    <definedName name="wrn.Exec._.Summary." localSheetId="10" hidden="1">{#N/A,#N/A,FALSE,"Output Ass";#N/A,#N/A,FALSE,"Sum Tot";#N/A,#N/A,FALSE,"Ex Sum Year";#N/A,#N/A,FALSE,"Sum Qtr"}</definedName>
    <definedName name="wrn.Exec._.Summary." localSheetId="15" hidden="1">{#N/A,#N/A,FALSE,"Output Ass";#N/A,#N/A,FALSE,"Sum Tot";#N/A,#N/A,FALSE,"Ex Sum Year";#N/A,#N/A,FALSE,"Sum Qtr"}</definedName>
    <definedName name="wrn.Exec._.Summary." localSheetId="0" hidden="1">{#N/A,#N/A,FALSE,"Output Ass";#N/A,#N/A,FALSE,"Sum Tot";#N/A,#N/A,FALSE,"Ex Sum Year";#N/A,#N/A,FALSE,"Sum Qtr"}</definedName>
    <definedName name="wrn.Exec._.Summary." hidden="1">{#N/A,#N/A,FALSE,"Output Ass";#N/A,#N/A,FALSE,"Sum Tot";#N/A,#N/A,FALSE,"Ex Sum Year";#N/A,#N/A,FALSE,"Sum Qtr"}</definedName>
    <definedName name="wrn.Exec._.Summary._1" localSheetId="1" hidden="1">{#N/A,#N/A,FALSE,"Output Ass";#N/A,#N/A,FALSE,"Sum Tot";#N/A,#N/A,FALSE,"Ex Sum Year";#N/A,#N/A,FALSE,"Sum Qtr"}</definedName>
    <definedName name="wrn.Exec._.Summary._1" localSheetId="3" hidden="1">{#N/A,#N/A,FALSE,"Output Ass";#N/A,#N/A,FALSE,"Sum Tot";#N/A,#N/A,FALSE,"Ex Sum Year";#N/A,#N/A,FALSE,"Sum Qtr"}</definedName>
    <definedName name="wrn.Exec._.Summary._1" localSheetId="4" hidden="1">{#N/A,#N/A,FALSE,"Output Ass";#N/A,#N/A,FALSE,"Sum Tot";#N/A,#N/A,FALSE,"Ex Sum Year";#N/A,#N/A,FALSE,"Sum Qtr"}</definedName>
    <definedName name="wrn.Exec._.Summary._1" localSheetId="5" hidden="1">{#N/A,#N/A,FALSE,"Output Ass";#N/A,#N/A,FALSE,"Sum Tot";#N/A,#N/A,FALSE,"Ex Sum Year";#N/A,#N/A,FALSE,"Sum Qtr"}</definedName>
    <definedName name="wrn.Exec._.Summary._1" localSheetId="6" hidden="1">{#N/A,#N/A,FALSE,"Output Ass";#N/A,#N/A,FALSE,"Sum Tot";#N/A,#N/A,FALSE,"Ex Sum Year";#N/A,#N/A,FALSE,"Sum Qtr"}</definedName>
    <definedName name="wrn.Exec._.Summary._1" localSheetId="7" hidden="1">{#N/A,#N/A,FALSE,"Output Ass";#N/A,#N/A,FALSE,"Sum Tot";#N/A,#N/A,FALSE,"Ex Sum Year";#N/A,#N/A,FALSE,"Sum Qtr"}</definedName>
    <definedName name="wrn.Exec._.Summary._1" localSheetId="8" hidden="1">{#N/A,#N/A,FALSE,"Output Ass";#N/A,#N/A,FALSE,"Sum Tot";#N/A,#N/A,FALSE,"Ex Sum Year";#N/A,#N/A,FALSE,"Sum Qtr"}</definedName>
    <definedName name="wrn.Exec._.Summary._1" localSheetId="9" hidden="1">{#N/A,#N/A,FALSE,"Output Ass";#N/A,#N/A,FALSE,"Sum Tot";#N/A,#N/A,FALSE,"Ex Sum Year";#N/A,#N/A,FALSE,"Sum Qtr"}</definedName>
    <definedName name="wrn.Exec._.Summary._1" localSheetId="10" hidden="1">{#N/A,#N/A,FALSE,"Output Ass";#N/A,#N/A,FALSE,"Sum Tot";#N/A,#N/A,FALSE,"Ex Sum Year";#N/A,#N/A,FALSE,"Sum Qtr"}</definedName>
    <definedName name="wrn.Exec._.Summary._1" localSheetId="15" hidden="1">{#N/A,#N/A,FALSE,"Output Ass";#N/A,#N/A,FALSE,"Sum Tot";#N/A,#N/A,FALSE,"Ex Sum Year";#N/A,#N/A,FALSE,"Sum Qtr"}</definedName>
    <definedName name="wrn.Exec._.Summary._1" localSheetId="0" hidden="1">{#N/A,#N/A,FALSE,"Output Ass";#N/A,#N/A,FALSE,"Sum Tot";#N/A,#N/A,FALSE,"Ex Sum Year";#N/A,#N/A,FALSE,"Sum Qtr"}</definedName>
    <definedName name="wrn.Exec._.Summary._1" hidden="1">{#N/A,#N/A,FALSE,"Output Ass";#N/A,#N/A,FALSE,"Sum Tot";#N/A,#N/A,FALSE,"Ex Sum Year";#N/A,#N/A,FALSE,"Sum Qtr"}</definedName>
    <definedName name="wrn.Exec._.Summary._2" localSheetId="1" hidden="1">{#N/A,#N/A,FALSE,"Output Ass";#N/A,#N/A,FALSE,"Sum Tot";#N/A,#N/A,FALSE,"Ex Sum Year";#N/A,#N/A,FALSE,"Sum Qtr"}</definedName>
    <definedName name="wrn.Exec._.Summary._2" localSheetId="3" hidden="1">{#N/A,#N/A,FALSE,"Output Ass";#N/A,#N/A,FALSE,"Sum Tot";#N/A,#N/A,FALSE,"Ex Sum Year";#N/A,#N/A,FALSE,"Sum Qtr"}</definedName>
    <definedName name="wrn.Exec._.Summary._2" localSheetId="4" hidden="1">{#N/A,#N/A,FALSE,"Output Ass";#N/A,#N/A,FALSE,"Sum Tot";#N/A,#N/A,FALSE,"Ex Sum Year";#N/A,#N/A,FALSE,"Sum Qtr"}</definedName>
    <definedName name="wrn.Exec._.Summary._2" localSheetId="5" hidden="1">{#N/A,#N/A,FALSE,"Output Ass";#N/A,#N/A,FALSE,"Sum Tot";#N/A,#N/A,FALSE,"Ex Sum Year";#N/A,#N/A,FALSE,"Sum Qtr"}</definedName>
    <definedName name="wrn.Exec._.Summary._2" localSheetId="6" hidden="1">{#N/A,#N/A,FALSE,"Output Ass";#N/A,#N/A,FALSE,"Sum Tot";#N/A,#N/A,FALSE,"Ex Sum Year";#N/A,#N/A,FALSE,"Sum Qtr"}</definedName>
    <definedName name="wrn.Exec._.Summary._2" localSheetId="7" hidden="1">{#N/A,#N/A,FALSE,"Output Ass";#N/A,#N/A,FALSE,"Sum Tot";#N/A,#N/A,FALSE,"Ex Sum Year";#N/A,#N/A,FALSE,"Sum Qtr"}</definedName>
    <definedName name="wrn.Exec._.Summary._2" localSheetId="8" hidden="1">{#N/A,#N/A,FALSE,"Output Ass";#N/A,#N/A,FALSE,"Sum Tot";#N/A,#N/A,FALSE,"Ex Sum Year";#N/A,#N/A,FALSE,"Sum Qtr"}</definedName>
    <definedName name="wrn.Exec._.Summary._2" localSheetId="9" hidden="1">{#N/A,#N/A,FALSE,"Output Ass";#N/A,#N/A,FALSE,"Sum Tot";#N/A,#N/A,FALSE,"Ex Sum Year";#N/A,#N/A,FALSE,"Sum Qtr"}</definedName>
    <definedName name="wrn.Exec._.Summary._2" localSheetId="10" hidden="1">{#N/A,#N/A,FALSE,"Output Ass";#N/A,#N/A,FALSE,"Sum Tot";#N/A,#N/A,FALSE,"Ex Sum Year";#N/A,#N/A,FALSE,"Sum Qtr"}</definedName>
    <definedName name="wrn.Exec._.Summary._2" localSheetId="15" hidden="1">{#N/A,#N/A,FALSE,"Output Ass";#N/A,#N/A,FALSE,"Sum Tot";#N/A,#N/A,FALSE,"Ex Sum Year";#N/A,#N/A,FALSE,"Sum Qtr"}</definedName>
    <definedName name="wrn.Exec._.Summary._2" localSheetId="0" hidden="1">{#N/A,#N/A,FALSE,"Output Ass";#N/A,#N/A,FALSE,"Sum Tot";#N/A,#N/A,FALSE,"Ex Sum Year";#N/A,#N/A,FALSE,"Sum Qtr"}</definedName>
    <definedName name="wrn.Exec._.Summary._2" hidden="1">{#N/A,#N/A,FALSE,"Output Ass";#N/A,#N/A,FALSE,"Sum Tot";#N/A,#N/A,FALSE,"Ex Sum Year";#N/A,#N/A,FALSE,"Sum Qtr"}</definedName>
    <definedName name="wrn.Exec._.Summary._3" localSheetId="1" hidden="1">{#N/A,#N/A,FALSE,"Output Ass";#N/A,#N/A,FALSE,"Sum Tot";#N/A,#N/A,FALSE,"Ex Sum Year";#N/A,#N/A,FALSE,"Sum Qtr"}</definedName>
    <definedName name="wrn.Exec._.Summary._3" localSheetId="3" hidden="1">{#N/A,#N/A,FALSE,"Output Ass";#N/A,#N/A,FALSE,"Sum Tot";#N/A,#N/A,FALSE,"Ex Sum Year";#N/A,#N/A,FALSE,"Sum Qtr"}</definedName>
    <definedName name="wrn.Exec._.Summary._3" localSheetId="4" hidden="1">{#N/A,#N/A,FALSE,"Output Ass";#N/A,#N/A,FALSE,"Sum Tot";#N/A,#N/A,FALSE,"Ex Sum Year";#N/A,#N/A,FALSE,"Sum Qtr"}</definedName>
    <definedName name="wrn.Exec._.Summary._3" localSheetId="5" hidden="1">{#N/A,#N/A,FALSE,"Output Ass";#N/A,#N/A,FALSE,"Sum Tot";#N/A,#N/A,FALSE,"Ex Sum Year";#N/A,#N/A,FALSE,"Sum Qtr"}</definedName>
    <definedName name="wrn.Exec._.Summary._3" localSheetId="6" hidden="1">{#N/A,#N/A,FALSE,"Output Ass";#N/A,#N/A,FALSE,"Sum Tot";#N/A,#N/A,FALSE,"Ex Sum Year";#N/A,#N/A,FALSE,"Sum Qtr"}</definedName>
    <definedName name="wrn.Exec._.Summary._3" localSheetId="7" hidden="1">{#N/A,#N/A,FALSE,"Output Ass";#N/A,#N/A,FALSE,"Sum Tot";#N/A,#N/A,FALSE,"Ex Sum Year";#N/A,#N/A,FALSE,"Sum Qtr"}</definedName>
    <definedName name="wrn.Exec._.Summary._3" localSheetId="8" hidden="1">{#N/A,#N/A,FALSE,"Output Ass";#N/A,#N/A,FALSE,"Sum Tot";#N/A,#N/A,FALSE,"Ex Sum Year";#N/A,#N/A,FALSE,"Sum Qtr"}</definedName>
    <definedName name="wrn.Exec._.Summary._3" localSheetId="9" hidden="1">{#N/A,#N/A,FALSE,"Output Ass";#N/A,#N/A,FALSE,"Sum Tot";#N/A,#N/A,FALSE,"Ex Sum Year";#N/A,#N/A,FALSE,"Sum Qtr"}</definedName>
    <definedName name="wrn.Exec._.Summary._3" localSheetId="10" hidden="1">{#N/A,#N/A,FALSE,"Output Ass";#N/A,#N/A,FALSE,"Sum Tot";#N/A,#N/A,FALSE,"Ex Sum Year";#N/A,#N/A,FALSE,"Sum Qtr"}</definedName>
    <definedName name="wrn.Exec._.Summary._3" localSheetId="15" hidden="1">{#N/A,#N/A,FALSE,"Output Ass";#N/A,#N/A,FALSE,"Sum Tot";#N/A,#N/A,FALSE,"Ex Sum Year";#N/A,#N/A,FALSE,"Sum Qtr"}</definedName>
    <definedName name="wrn.Exec._.Summary._3" localSheetId="0" hidden="1">{#N/A,#N/A,FALSE,"Output Ass";#N/A,#N/A,FALSE,"Sum Tot";#N/A,#N/A,FALSE,"Ex Sum Year";#N/A,#N/A,FALSE,"Sum Qtr"}</definedName>
    <definedName name="wrn.Exec._.Summary._3" hidden="1">{#N/A,#N/A,FALSE,"Output Ass";#N/A,#N/A,FALSE,"Sum Tot";#N/A,#N/A,FALSE,"Ex Sum Year";#N/A,#N/A,FALSE,"Sum Qtr"}</definedName>
    <definedName name="wrn.Exec._.Summary._4" localSheetId="1" hidden="1">{#N/A,#N/A,FALSE,"Output Ass";#N/A,#N/A,FALSE,"Sum Tot";#N/A,#N/A,FALSE,"Ex Sum Year";#N/A,#N/A,FALSE,"Sum Qtr"}</definedName>
    <definedName name="wrn.Exec._.Summary._4" localSheetId="3" hidden="1">{#N/A,#N/A,FALSE,"Output Ass";#N/A,#N/A,FALSE,"Sum Tot";#N/A,#N/A,FALSE,"Ex Sum Year";#N/A,#N/A,FALSE,"Sum Qtr"}</definedName>
    <definedName name="wrn.Exec._.Summary._4" localSheetId="4" hidden="1">{#N/A,#N/A,FALSE,"Output Ass";#N/A,#N/A,FALSE,"Sum Tot";#N/A,#N/A,FALSE,"Ex Sum Year";#N/A,#N/A,FALSE,"Sum Qtr"}</definedName>
    <definedName name="wrn.Exec._.Summary._4" localSheetId="5" hidden="1">{#N/A,#N/A,FALSE,"Output Ass";#N/A,#N/A,FALSE,"Sum Tot";#N/A,#N/A,FALSE,"Ex Sum Year";#N/A,#N/A,FALSE,"Sum Qtr"}</definedName>
    <definedName name="wrn.Exec._.Summary._4" localSheetId="6" hidden="1">{#N/A,#N/A,FALSE,"Output Ass";#N/A,#N/A,FALSE,"Sum Tot";#N/A,#N/A,FALSE,"Ex Sum Year";#N/A,#N/A,FALSE,"Sum Qtr"}</definedName>
    <definedName name="wrn.Exec._.Summary._4" localSheetId="7" hidden="1">{#N/A,#N/A,FALSE,"Output Ass";#N/A,#N/A,FALSE,"Sum Tot";#N/A,#N/A,FALSE,"Ex Sum Year";#N/A,#N/A,FALSE,"Sum Qtr"}</definedName>
    <definedName name="wrn.Exec._.Summary._4" localSheetId="8" hidden="1">{#N/A,#N/A,FALSE,"Output Ass";#N/A,#N/A,FALSE,"Sum Tot";#N/A,#N/A,FALSE,"Ex Sum Year";#N/A,#N/A,FALSE,"Sum Qtr"}</definedName>
    <definedName name="wrn.Exec._.Summary._4" localSheetId="9" hidden="1">{#N/A,#N/A,FALSE,"Output Ass";#N/A,#N/A,FALSE,"Sum Tot";#N/A,#N/A,FALSE,"Ex Sum Year";#N/A,#N/A,FALSE,"Sum Qtr"}</definedName>
    <definedName name="wrn.Exec._.Summary._4" localSheetId="10" hidden="1">{#N/A,#N/A,FALSE,"Output Ass";#N/A,#N/A,FALSE,"Sum Tot";#N/A,#N/A,FALSE,"Ex Sum Year";#N/A,#N/A,FALSE,"Sum Qtr"}</definedName>
    <definedName name="wrn.Exec._.Summary._4" localSheetId="15" hidden="1">{#N/A,#N/A,FALSE,"Output Ass";#N/A,#N/A,FALSE,"Sum Tot";#N/A,#N/A,FALSE,"Ex Sum Year";#N/A,#N/A,FALSE,"Sum Qtr"}</definedName>
    <definedName name="wrn.Exec._.Summary._4" localSheetId="0" hidden="1">{#N/A,#N/A,FALSE,"Output Ass";#N/A,#N/A,FALSE,"Sum Tot";#N/A,#N/A,FALSE,"Ex Sum Year";#N/A,#N/A,FALSE,"Sum Qtr"}</definedName>
    <definedName name="wrn.Exec._.Summary._4" hidden="1">{#N/A,#N/A,FALSE,"Output Ass";#N/A,#N/A,FALSE,"Sum Tot";#N/A,#N/A,FALSE,"Ex Sum Year";#N/A,#N/A,FALSE,"Sum Qtr"}</definedName>
    <definedName name="wrn.Exec._.Summary._5" localSheetId="1" hidden="1">{#N/A,#N/A,FALSE,"Output Ass";#N/A,#N/A,FALSE,"Sum Tot";#N/A,#N/A,FALSE,"Ex Sum Year";#N/A,#N/A,FALSE,"Sum Qtr"}</definedName>
    <definedName name="wrn.Exec._.Summary._5" localSheetId="3" hidden="1">{#N/A,#N/A,FALSE,"Output Ass";#N/A,#N/A,FALSE,"Sum Tot";#N/A,#N/A,FALSE,"Ex Sum Year";#N/A,#N/A,FALSE,"Sum Qtr"}</definedName>
    <definedName name="wrn.Exec._.Summary._5" localSheetId="4" hidden="1">{#N/A,#N/A,FALSE,"Output Ass";#N/A,#N/A,FALSE,"Sum Tot";#N/A,#N/A,FALSE,"Ex Sum Year";#N/A,#N/A,FALSE,"Sum Qtr"}</definedName>
    <definedName name="wrn.Exec._.Summary._5" localSheetId="5" hidden="1">{#N/A,#N/A,FALSE,"Output Ass";#N/A,#N/A,FALSE,"Sum Tot";#N/A,#N/A,FALSE,"Ex Sum Year";#N/A,#N/A,FALSE,"Sum Qtr"}</definedName>
    <definedName name="wrn.Exec._.Summary._5" localSheetId="6" hidden="1">{#N/A,#N/A,FALSE,"Output Ass";#N/A,#N/A,FALSE,"Sum Tot";#N/A,#N/A,FALSE,"Ex Sum Year";#N/A,#N/A,FALSE,"Sum Qtr"}</definedName>
    <definedName name="wrn.Exec._.Summary._5" localSheetId="7" hidden="1">{#N/A,#N/A,FALSE,"Output Ass";#N/A,#N/A,FALSE,"Sum Tot";#N/A,#N/A,FALSE,"Ex Sum Year";#N/A,#N/A,FALSE,"Sum Qtr"}</definedName>
    <definedName name="wrn.Exec._.Summary._5" localSheetId="8" hidden="1">{#N/A,#N/A,FALSE,"Output Ass";#N/A,#N/A,FALSE,"Sum Tot";#N/A,#N/A,FALSE,"Ex Sum Year";#N/A,#N/A,FALSE,"Sum Qtr"}</definedName>
    <definedName name="wrn.Exec._.Summary._5" localSheetId="9" hidden="1">{#N/A,#N/A,FALSE,"Output Ass";#N/A,#N/A,FALSE,"Sum Tot";#N/A,#N/A,FALSE,"Ex Sum Year";#N/A,#N/A,FALSE,"Sum Qtr"}</definedName>
    <definedName name="wrn.Exec._.Summary._5" localSheetId="10" hidden="1">{#N/A,#N/A,FALSE,"Output Ass";#N/A,#N/A,FALSE,"Sum Tot";#N/A,#N/A,FALSE,"Ex Sum Year";#N/A,#N/A,FALSE,"Sum Qtr"}</definedName>
    <definedName name="wrn.Exec._.Summary._5" localSheetId="15" hidden="1">{#N/A,#N/A,FALSE,"Output Ass";#N/A,#N/A,FALSE,"Sum Tot";#N/A,#N/A,FALSE,"Ex Sum Year";#N/A,#N/A,FALSE,"Sum Qtr"}</definedName>
    <definedName name="wrn.Exec._.Summary._5" localSheetId="0" hidden="1">{#N/A,#N/A,FALSE,"Output Ass";#N/A,#N/A,FALSE,"Sum Tot";#N/A,#N/A,FALSE,"Ex Sum Year";#N/A,#N/A,FALSE,"Sum Qtr"}</definedName>
    <definedName name="wrn.Exec._.Summary._5" hidden="1">{#N/A,#N/A,FALSE,"Output Ass";#N/A,#N/A,FALSE,"Sum Tot";#N/A,#N/A,FALSE,"Ex Sum Year";#N/A,#N/A,FALSE,"Sum Qtr"}</definedName>
    <definedName name="wrn.full._.report.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life.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pages.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rtial.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Reformat._.only." localSheetId="1" hidden="1">{#N/A,#N/A,FALSE,"Dec 1999 mapping"}</definedName>
    <definedName name="wrn.Reformat._.only." localSheetId="3" hidden="1">{#N/A,#N/A,FALSE,"Dec 1999 mapping"}</definedName>
    <definedName name="wrn.Reformat._.only." localSheetId="4" hidden="1">{#N/A,#N/A,FALSE,"Dec 1999 mapping"}</definedName>
    <definedName name="wrn.Reformat._.only." localSheetId="5" hidden="1">{#N/A,#N/A,FALSE,"Dec 1999 mapping"}</definedName>
    <definedName name="wrn.Reformat._.only." localSheetId="6" hidden="1">{#N/A,#N/A,FALSE,"Dec 1999 mapping"}</definedName>
    <definedName name="wrn.Reformat._.only." localSheetId="7" hidden="1">{#N/A,#N/A,FALSE,"Dec 1999 mapping"}</definedName>
    <definedName name="wrn.Reformat._.only." localSheetId="8" hidden="1">{#N/A,#N/A,FALSE,"Dec 1999 mapping"}</definedName>
    <definedName name="wrn.Reformat._.only." localSheetId="9" hidden="1">{#N/A,#N/A,FALSE,"Dec 1999 mapping"}</definedName>
    <definedName name="wrn.Reformat._.only." localSheetId="10" hidden="1">{#N/A,#N/A,FALSE,"Dec 1999 mapping"}</definedName>
    <definedName name="wrn.Reformat._.only." localSheetId="15" hidden="1">{#N/A,#N/A,FALSE,"Dec 1999 mapping"}</definedName>
    <definedName name="wrn.Reformat._.only." localSheetId="0" hidden="1">{#N/A,#N/A,FALSE,"Dec 1999 mapping"}</definedName>
    <definedName name="wrn.Reformat._.only." hidden="1">{#N/A,#N/A,FALSE,"Dec 1999 mapping"}</definedName>
    <definedName name="wrn.Reformat._.only._1" localSheetId="1" hidden="1">{#N/A,#N/A,FALSE,"Dec 1999 mapping"}</definedName>
    <definedName name="wrn.Reformat._.only._1" localSheetId="3" hidden="1">{#N/A,#N/A,FALSE,"Dec 1999 mapping"}</definedName>
    <definedName name="wrn.Reformat._.only._1" localSheetId="4" hidden="1">{#N/A,#N/A,FALSE,"Dec 1999 mapping"}</definedName>
    <definedName name="wrn.Reformat._.only._1" localSheetId="5" hidden="1">{#N/A,#N/A,FALSE,"Dec 1999 mapping"}</definedName>
    <definedName name="wrn.Reformat._.only._1" localSheetId="6" hidden="1">{#N/A,#N/A,FALSE,"Dec 1999 mapping"}</definedName>
    <definedName name="wrn.Reformat._.only._1" localSheetId="7" hidden="1">{#N/A,#N/A,FALSE,"Dec 1999 mapping"}</definedName>
    <definedName name="wrn.Reformat._.only._1" localSheetId="8" hidden="1">{#N/A,#N/A,FALSE,"Dec 1999 mapping"}</definedName>
    <definedName name="wrn.Reformat._.only._1" localSheetId="9" hidden="1">{#N/A,#N/A,FALSE,"Dec 1999 mapping"}</definedName>
    <definedName name="wrn.Reformat._.only._1" localSheetId="10" hidden="1">{#N/A,#N/A,FALSE,"Dec 1999 mapping"}</definedName>
    <definedName name="wrn.Reformat._.only._1" localSheetId="15" hidden="1">{#N/A,#N/A,FALSE,"Dec 1999 mapping"}</definedName>
    <definedName name="wrn.Reformat._.only._1" localSheetId="0" hidden="1">{#N/A,#N/A,FALSE,"Dec 1999 mapping"}</definedName>
    <definedName name="wrn.Reformat._.only._1" hidden="1">{#N/A,#N/A,FALSE,"Dec 1999 mapping"}</definedName>
    <definedName name="wrn.Reformat._.only._2" localSheetId="1" hidden="1">{#N/A,#N/A,FALSE,"Dec 1999 mapping"}</definedName>
    <definedName name="wrn.Reformat._.only._2" localSheetId="3" hidden="1">{#N/A,#N/A,FALSE,"Dec 1999 mapping"}</definedName>
    <definedName name="wrn.Reformat._.only._2" localSheetId="4" hidden="1">{#N/A,#N/A,FALSE,"Dec 1999 mapping"}</definedName>
    <definedName name="wrn.Reformat._.only._2" localSheetId="5" hidden="1">{#N/A,#N/A,FALSE,"Dec 1999 mapping"}</definedName>
    <definedName name="wrn.Reformat._.only._2" localSheetId="6" hidden="1">{#N/A,#N/A,FALSE,"Dec 1999 mapping"}</definedName>
    <definedName name="wrn.Reformat._.only._2" localSheetId="7" hidden="1">{#N/A,#N/A,FALSE,"Dec 1999 mapping"}</definedName>
    <definedName name="wrn.Reformat._.only._2" localSheetId="8" hidden="1">{#N/A,#N/A,FALSE,"Dec 1999 mapping"}</definedName>
    <definedName name="wrn.Reformat._.only._2" localSheetId="9" hidden="1">{#N/A,#N/A,FALSE,"Dec 1999 mapping"}</definedName>
    <definedName name="wrn.Reformat._.only._2" localSheetId="10" hidden="1">{#N/A,#N/A,FALSE,"Dec 1999 mapping"}</definedName>
    <definedName name="wrn.Reformat._.only._2" localSheetId="15" hidden="1">{#N/A,#N/A,FALSE,"Dec 1999 mapping"}</definedName>
    <definedName name="wrn.Reformat._.only._2" localSheetId="0" hidden="1">{#N/A,#N/A,FALSE,"Dec 1999 mapping"}</definedName>
    <definedName name="wrn.Reformat._.only._2" hidden="1">{#N/A,#N/A,FALSE,"Dec 1999 mapping"}</definedName>
    <definedName name="wrn.Reformat._.only._3" localSheetId="1" hidden="1">{#N/A,#N/A,FALSE,"Dec 1999 mapping"}</definedName>
    <definedName name="wrn.Reformat._.only._3" localSheetId="3" hidden="1">{#N/A,#N/A,FALSE,"Dec 1999 mapping"}</definedName>
    <definedName name="wrn.Reformat._.only._3" localSheetId="4" hidden="1">{#N/A,#N/A,FALSE,"Dec 1999 mapping"}</definedName>
    <definedName name="wrn.Reformat._.only._3" localSheetId="5" hidden="1">{#N/A,#N/A,FALSE,"Dec 1999 mapping"}</definedName>
    <definedName name="wrn.Reformat._.only._3" localSheetId="6" hidden="1">{#N/A,#N/A,FALSE,"Dec 1999 mapping"}</definedName>
    <definedName name="wrn.Reformat._.only._3" localSheetId="7" hidden="1">{#N/A,#N/A,FALSE,"Dec 1999 mapping"}</definedName>
    <definedName name="wrn.Reformat._.only._3" localSheetId="8" hidden="1">{#N/A,#N/A,FALSE,"Dec 1999 mapping"}</definedName>
    <definedName name="wrn.Reformat._.only._3" localSheetId="9" hidden="1">{#N/A,#N/A,FALSE,"Dec 1999 mapping"}</definedName>
    <definedName name="wrn.Reformat._.only._3" localSheetId="10" hidden="1">{#N/A,#N/A,FALSE,"Dec 1999 mapping"}</definedName>
    <definedName name="wrn.Reformat._.only._3" localSheetId="15" hidden="1">{#N/A,#N/A,FALSE,"Dec 1999 mapping"}</definedName>
    <definedName name="wrn.Reformat._.only._3" localSheetId="0" hidden="1">{#N/A,#N/A,FALSE,"Dec 1999 mapping"}</definedName>
    <definedName name="wrn.Reformat._.only._3" hidden="1">{#N/A,#N/A,FALSE,"Dec 1999 mapping"}</definedName>
    <definedName name="wrn.Reformat._.only._4" localSheetId="1" hidden="1">{#N/A,#N/A,FALSE,"Dec 1999 mapping"}</definedName>
    <definedName name="wrn.Reformat._.only._4" localSheetId="3" hidden="1">{#N/A,#N/A,FALSE,"Dec 1999 mapping"}</definedName>
    <definedName name="wrn.Reformat._.only._4" localSheetId="4" hidden="1">{#N/A,#N/A,FALSE,"Dec 1999 mapping"}</definedName>
    <definedName name="wrn.Reformat._.only._4" localSheetId="5" hidden="1">{#N/A,#N/A,FALSE,"Dec 1999 mapping"}</definedName>
    <definedName name="wrn.Reformat._.only._4" localSheetId="6" hidden="1">{#N/A,#N/A,FALSE,"Dec 1999 mapping"}</definedName>
    <definedName name="wrn.Reformat._.only._4" localSheetId="7" hidden="1">{#N/A,#N/A,FALSE,"Dec 1999 mapping"}</definedName>
    <definedName name="wrn.Reformat._.only._4" localSheetId="8" hidden="1">{#N/A,#N/A,FALSE,"Dec 1999 mapping"}</definedName>
    <definedName name="wrn.Reformat._.only._4" localSheetId="9" hidden="1">{#N/A,#N/A,FALSE,"Dec 1999 mapping"}</definedName>
    <definedName name="wrn.Reformat._.only._4" localSheetId="10" hidden="1">{#N/A,#N/A,FALSE,"Dec 1999 mapping"}</definedName>
    <definedName name="wrn.Reformat._.only._4" localSheetId="15" hidden="1">{#N/A,#N/A,FALSE,"Dec 1999 mapping"}</definedName>
    <definedName name="wrn.Reformat._.only._4" localSheetId="0" hidden="1">{#N/A,#N/A,FALSE,"Dec 1999 mapping"}</definedName>
    <definedName name="wrn.Reformat._.only._4" hidden="1">{#N/A,#N/A,FALSE,"Dec 1999 mapping"}</definedName>
    <definedName name="wrn.Reformat._.only._5" localSheetId="1" hidden="1">{#N/A,#N/A,FALSE,"Dec 1999 mapping"}</definedName>
    <definedName name="wrn.Reformat._.only._5" localSheetId="3" hidden="1">{#N/A,#N/A,FALSE,"Dec 1999 mapping"}</definedName>
    <definedName name="wrn.Reformat._.only._5" localSheetId="4" hidden="1">{#N/A,#N/A,FALSE,"Dec 1999 mapping"}</definedName>
    <definedName name="wrn.Reformat._.only._5" localSheetId="5" hidden="1">{#N/A,#N/A,FALSE,"Dec 1999 mapping"}</definedName>
    <definedName name="wrn.Reformat._.only._5" localSheetId="6" hidden="1">{#N/A,#N/A,FALSE,"Dec 1999 mapping"}</definedName>
    <definedName name="wrn.Reformat._.only._5" localSheetId="7" hidden="1">{#N/A,#N/A,FALSE,"Dec 1999 mapping"}</definedName>
    <definedName name="wrn.Reformat._.only._5" localSheetId="8" hidden="1">{#N/A,#N/A,FALSE,"Dec 1999 mapping"}</definedName>
    <definedName name="wrn.Reformat._.only._5" localSheetId="9" hidden="1">{#N/A,#N/A,FALSE,"Dec 1999 mapping"}</definedName>
    <definedName name="wrn.Reformat._.only._5" localSheetId="10" hidden="1">{#N/A,#N/A,FALSE,"Dec 1999 mapping"}</definedName>
    <definedName name="wrn.Reformat._.only._5" localSheetId="15" hidden="1">{#N/A,#N/A,FALSE,"Dec 1999 mapping"}</definedName>
    <definedName name="wrn.Reformat._.only._5" localSheetId="0" hidden="1">{#N/A,#N/A,FALSE,"Dec 1999 mapping"}</definedName>
    <definedName name="wrn.Reformat._.only._5" hidden="1">{#N/A,#N/A,FALSE,"Dec 1999 mapping"}</definedName>
    <definedName name="wrn.SALES._.VAR._.95._.BUDGET.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hidden="1">{"PRINT",#N/A,TRUE,"APPA";"PRINT",#N/A,TRUE,"APS";"PRINT",#N/A,TRUE,"BHPL";"PRINT",#N/A,TRUE,"BHPL2";"PRINT",#N/A,TRUE,"CDWR";"PRINT",#N/A,TRUE,"EWEB";"PRINT",#N/A,TRUE,"LADWP";"PRINT",#N/A,TRUE,"NEVBASE"}</definedName>
    <definedName name="wrn.Summary." localSheetId="1" hidden="1">{#N/A,#N/A,FALSE,"Sum Qtr";#N/A,#N/A,FALSE,"Oper Sum";#N/A,#N/A,FALSE,"Land Sales";#N/A,#N/A,FALSE,"Finance";#N/A,#N/A,FALSE,"Oper Ass"}</definedName>
    <definedName name="wrn.Summary." localSheetId="3" hidden="1">{#N/A,#N/A,FALSE,"Sum Qtr";#N/A,#N/A,FALSE,"Oper Sum";#N/A,#N/A,FALSE,"Land Sales";#N/A,#N/A,FALSE,"Finance";#N/A,#N/A,FALSE,"Oper Ass"}</definedName>
    <definedName name="wrn.Summary." localSheetId="4" hidden="1">{#N/A,#N/A,FALSE,"Sum Qtr";#N/A,#N/A,FALSE,"Oper Sum";#N/A,#N/A,FALSE,"Land Sales";#N/A,#N/A,FALSE,"Finance";#N/A,#N/A,FALSE,"Oper Ass"}</definedName>
    <definedName name="wrn.Summary." localSheetId="5" hidden="1">{#N/A,#N/A,FALSE,"Sum Qtr";#N/A,#N/A,FALSE,"Oper Sum";#N/A,#N/A,FALSE,"Land Sales";#N/A,#N/A,FALSE,"Finance";#N/A,#N/A,FALSE,"Oper Ass"}</definedName>
    <definedName name="wrn.Summary." localSheetId="6" hidden="1">{#N/A,#N/A,FALSE,"Sum Qtr";#N/A,#N/A,FALSE,"Oper Sum";#N/A,#N/A,FALSE,"Land Sales";#N/A,#N/A,FALSE,"Finance";#N/A,#N/A,FALSE,"Oper Ass"}</definedName>
    <definedName name="wrn.Summary." localSheetId="7" hidden="1">{#N/A,#N/A,FALSE,"Sum Qtr";#N/A,#N/A,FALSE,"Oper Sum";#N/A,#N/A,FALSE,"Land Sales";#N/A,#N/A,FALSE,"Finance";#N/A,#N/A,FALSE,"Oper Ass"}</definedName>
    <definedName name="wrn.Summary." localSheetId="8" hidden="1">{#N/A,#N/A,FALSE,"Sum Qtr";#N/A,#N/A,FALSE,"Oper Sum";#N/A,#N/A,FALSE,"Land Sales";#N/A,#N/A,FALSE,"Finance";#N/A,#N/A,FALSE,"Oper Ass"}</definedName>
    <definedName name="wrn.Summary." localSheetId="9" hidden="1">{#N/A,#N/A,FALSE,"Sum Qtr";#N/A,#N/A,FALSE,"Oper Sum";#N/A,#N/A,FALSE,"Land Sales";#N/A,#N/A,FALSE,"Finance";#N/A,#N/A,FALSE,"Oper Ass"}</definedName>
    <definedName name="wrn.Summary." localSheetId="10" hidden="1">{#N/A,#N/A,FALSE,"Sum Qtr";#N/A,#N/A,FALSE,"Oper Sum";#N/A,#N/A,FALSE,"Land Sales";#N/A,#N/A,FALSE,"Finance";#N/A,#N/A,FALSE,"Oper Ass"}</definedName>
    <definedName name="wrn.Summary." localSheetId="15" hidden="1">{#N/A,#N/A,FALSE,"Sum Qtr";#N/A,#N/A,FALSE,"Oper Sum";#N/A,#N/A,FALSE,"Land Sales";#N/A,#N/A,FALSE,"Finance";#N/A,#N/A,FALSE,"Oper Ass"}</definedName>
    <definedName name="wrn.Summary." localSheetId="0" hidden="1">{#N/A,#N/A,FALSE,"Sum Qtr";#N/A,#N/A,FALSE,"Oper Sum";#N/A,#N/A,FALSE,"Land Sales";#N/A,#N/A,FALSE,"Finance";#N/A,#N/A,FALSE,"Oper Ass"}</definedName>
    <definedName name="wrn.Summary." hidden="1">{#N/A,#N/A,FALSE,"Sum Qtr";#N/A,#N/A,FALSE,"Oper Sum";#N/A,#N/A,FALSE,"Land Sales";#N/A,#N/A,FALSE,"Finance";#N/A,#N/A,FALSE,"Oper Ass"}</definedName>
    <definedName name="wrn.Summary._1" localSheetId="1" hidden="1">{#N/A,#N/A,FALSE,"Sum Qtr";#N/A,#N/A,FALSE,"Oper Sum";#N/A,#N/A,FALSE,"Land Sales";#N/A,#N/A,FALSE,"Finance";#N/A,#N/A,FALSE,"Oper Ass"}</definedName>
    <definedName name="wrn.Summary._1" localSheetId="3" hidden="1">{#N/A,#N/A,FALSE,"Sum Qtr";#N/A,#N/A,FALSE,"Oper Sum";#N/A,#N/A,FALSE,"Land Sales";#N/A,#N/A,FALSE,"Finance";#N/A,#N/A,FALSE,"Oper Ass"}</definedName>
    <definedName name="wrn.Summary._1" localSheetId="4" hidden="1">{#N/A,#N/A,FALSE,"Sum Qtr";#N/A,#N/A,FALSE,"Oper Sum";#N/A,#N/A,FALSE,"Land Sales";#N/A,#N/A,FALSE,"Finance";#N/A,#N/A,FALSE,"Oper Ass"}</definedName>
    <definedName name="wrn.Summary._1" localSheetId="5" hidden="1">{#N/A,#N/A,FALSE,"Sum Qtr";#N/A,#N/A,FALSE,"Oper Sum";#N/A,#N/A,FALSE,"Land Sales";#N/A,#N/A,FALSE,"Finance";#N/A,#N/A,FALSE,"Oper Ass"}</definedName>
    <definedName name="wrn.Summary._1" localSheetId="6" hidden="1">{#N/A,#N/A,FALSE,"Sum Qtr";#N/A,#N/A,FALSE,"Oper Sum";#N/A,#N/A,FALSE,"Land Sales";#N/A,#N/A,FALSE,"Finance";#N/A,#N/A,FALSE,"Oper Ass"}</definedName>
    <definedName name="wrn.Summary._1" localSheetId="7" hidden="1">{#N/A,#N/A,FALSE,"Sum Qtr";#N/A,#N/A,FALSE,"Oper Sum";#N/A,#N/A,FALSE,"Land Sales";#N/A,#N/A,FALSE,"Finance";#N/A,#N/A,FALSE,"Oper Ass"}</definedName>
    <definedName name="wrn.Summary._1" localSheetId="8" hidden="1">{#N/A,#N/A,FALSE,"Sum Qtr";#N/A,#N/A,FALSE,"Oper Sum";#N/A,#N/A,FALSE,"Land Sales";#N/A,#N/A,FALSE,"Finance";#N/A,#N/A,FALSE,"Oper Ass"}</definedName>
    <definedName name="wrn.Summary._1" localSheetId="9" hidden="1">{#N/A,#N/A,FALSE,"Sum Qtr";#N/A,#N/A,FALSE,"Oper Sum";#N/A,#N/A,FALSE,"Land Sales";#N/A,#N/A,FALSE,"Finance";#N/A,#N/A,FALSE,"Oper Ass"}</definedName>
    <definedName name="wrn.Summary._1" localSheetId="10" hidden="1">{#N/A,#N/A,FALSE,"Sum Qtr";#N/A,#N/A,FALSE,"Oper Sum";#N/A,#N/A,FALSE,"Land Sales";#N/A,#N/A,FALSE,"Finance";#N/A,#N/A,FALSE,"Oper Ass"}</definedName>
    <definedName name="wrn.Summary._1" localSheetId="15" hidden="1">{#N/A,#N/A,FALSE,"Sum Qtr";#N/A,#N/A,FALSE,"Oper Sum";#N/A,#N/A,FALSE,"Land Sales";#N/A,#N/A,FALSE,"Finance";#N/A,#N/A,FALSE,"Oper Ass"}</definedName>
    <definedName name="wrn.Summary._1" localSheetId="0" hidden="1">{#N/A,#N/A,FALSE,"Sum Qtr";#N/A,#N/A,FALSE,"Oper Sum";#N/A,#N/A,FALSE,"Land Sales";#N/A,#N/A,FALSE,"Finance";#N/A,#N/A,FALSE,"Oper Ass"}</definedName>
    <definedName name="wrn.Summary._1" hidden="1">{#N/A,#N/A,FALSE,"Sum Qtr";#N/A,#N/A,FALSE,"Oper Sum";#N/A,#N/A,FALSE,"Land Sales";#N/A,#N/A,FALSE,"Finance";#N/A,#N/A,FALSE,"Oper Ass"}</definedName>
    <definedName name="wrn.Summary._2" localSheetId="1" hidden="1">{#N/A,#N/A,FALSE,"Sum Qtr";#N/A,#N/A,FALSE,"Oper Sum";#N/A,#N/A,FALSE,"Land Sales";#N/A,#N/A,FALSE,"Finance";#N/A,#N/A,FALSE,"Oper Ass"}</definedName>
    <definedName name="wrn.Summary._2" localSheetId="3" hidden="1">{#N/A,#N/A,FALSE,"Sum Qtr";#N/A,#N/A,FALSE,"Oper Sum";#N/A,#N/A,FALSE,"Land Sales";#N/A,#N/A,FALSE,"Finance";#N/A,#N/A,FALSE,"Oper Ass"}</definedName>
    <definedName name="wrn.Summary._2" localSheetId="4" hidden="1">{#N/A,#N/A,FALSE,"Sum Qtr";#N/A,#N/A,FALSE,"Oper Sum";#N/A,#N/A,FALSE,"Land Sales";#N/A,#N/A,FALSE,"Finance";#N/A,#N/A,FALSE,"Oper Ass"}</definedName>
    <definedName name="wrn.Summary._2" localSheetId="5" hidden="1">{#N/A,#N/A,FALSE,"Sum Qtr";#N/A,#N/A,FALSE,"Oper Sum";#N/A,#N/A,FALSE,"Land Sales";#N/A,#N/A,FALSE,"Finance";#N/A,#N/A,FALSE,"Oper Ass"}</definedName>
    <definedName name="wrn.Summary._2" localSheetId="6" hidden="1">{#N/A,#N/A,FALSE,"Sum Qtr";#N/A,#N/A,FALSE,"Oper Sum";#N/A,#N/A,FALSE,"Land Sales";#N/A,#N/A,FALSE,"Finance";#N/A,#N/A,FALSE,"Oper Ass"}</definedName>
    <definedName name="wrn.Summary._2" localSheetId="7" hidden="1">{#N/A,#N/A,FALSE,"Sum Qtr";#N/A,#N/A,FALSE,"Oper Sum";#N/A,#N/A,FALSE,"Land Sales";#N/A,#N/A,FALSE,"Finance";#N/A,#N/A,FALSE,"Oper Ass"}</definedName>
    <definedName name="wrn.Summary._2" localSheetId="8" hidden="1">{#N/A,#N/A,FALSE,"Sum Qtr";#N/A,#N/A,FALSE,"Oper Sum";#N/A,#N/A,FALSE,"Land Sales";#N/A,#N/A,FALSE,"Finance";#N/A,#N/A,FALSE,"Oper Ass"}</definedName>
    <definedName name="wrn.Summary._2" localSheetId="9" hidden="1">{#N/A,#N/A,FALSE,"Sum Qtr";#N/A,#N/A,FALSE,"Oper Sum";#N/A,#N/A,FALSE,"Land Sales";#N/A,#N/A,FALSE,"Finance";#N/A,#N/A,FALSE,"Oper Ass"}</definedName>
    <definedName name="wrn.Summary._2" localSheetId="10" hidden="1">{#N/A,#N/A,FALSE,"Sum Qtr";#N/A,#N/A,FALSE,"Oper Sum";#N/A,#N/A,FALSE,"Land Sales";#N/A,#N/A,FALSE,"Finance";#N/A,#N/A,FALSE,"Oper Ass"}</definedName>
    <definedName name="wrn.Summary._2" localSheetId="15" hidden="1">{#N/A,#N/A,FALSE,"Sum Qtr";#N/A,#N/A,FALSE,"Oper Sum";#N/A,#N/A,FALSE,"Land Sales";#N/A,#N/A,FALSE,"Finance";#N/A,#N/A,FALSE,"Oper Ass"}</definedName>
    <definedName name="wrn.Summary._2" localSheetId="0" hidden="1">{#N/A,#N/A,FALSE,"Sum Qtr";#N/A,#N/A,FALSE,"Oper Sum";#N/A,#N/A,FALSE,"Land Sales";#N/A,#N/A,FALSE,"Finance";#N/A,#N/A,FALSE,"Oper Ass"}</definedName>
    <definedName name="wrn.Summary._2" hidden="1">{#N/A,#N/A,FALSE,"Sum Qtr";#N/A,#N/A,FALSE,"Oper Sum";#N/A,#N/A,FALSE,"Land Sales";#N/A,#N/A,FALSE,"Finance";#N/A,#N/A,FALSE,"Oper Ass"}</definedName>
    <definedName name="wrn.Summary._3" localSheetId="1" hidden="1">{#N/A,#N/A,FALSE,"Sum Qtr";#N/A,#N/A,FALSE,"Oper Sum";#N/A,#N/A,FALSE,"Land Sales";#N/A,#N/A,FALSE,"Finance";#N/A,#N/A,FALSE,"Oper Ass"}</definedName>
    <definedName name="wrn.Summary._3" localSheetId="3" hidden="1">{#N/A,#N/A,FALSE,"Sum Qtr";#N/A,#N/A,FALSE,"Oper Sum";#N/A,#N/A,FALSE,"Land Sales";#N/A,#N/A,FALSE,"Finance";#N/A,#N/A,FALSE,"Oper Ass"}</definedName>
    <definedName name="wrn.Summary._3" localSheetId="4" hidden="1">{#N/A,#N/A,FALSE,"Sum Qtr";#N/A,#N/A,FALSE,"Oper Sum";#N/A,#N/A,FALSE,"Land Sales";#N/A,#N/A,FALSE,"Finance";#N/A,#N/A,FALSE,"Oper Ass"}</definedName>
    <definedName name="wrn.Summary._3" localSheetId="5" hidden="1">{#N/A,#N/A,FALSE,"Sum Qtr";#N/A,#N/A,FALSE,"Oper Sum";#N/A,#N/A,FALSE,"Land Sales";#N/A,#N/A,FALSE,"Finance";#N/A,#N/A,FALSE,"Oper Ass"}</definedName>
    <definedName name="wrn.Summary._3" localSheetId="6" hidden="1">{#N/A,#N/A,FALSE,"Sum Qtr";#N/A,#N/A,FALSE,"Oper Sum";#N/A,#N/A,FALSE,"Land Sales";#N/A,#N/A,FALSE,"Finance";#N/A,#N/A,FALSE,"Oper Ass"}</definedName>
    <definedName name="wrn.Summary._3" localSheetId="7" hidden="1">{#N/A,#N/A,FALSE,"Sum Qtr";#N/A,#N/A,FALSE,"Oper Sum";#N/A,#N/A,FALSE,"Land Sales";#N/A,#N/A,FALSE,"Finance";#N/A,#N/A,FALSE,"Oper Ass"}</definedName>
    <definedName name="wrn.Summary._3" localSheetId="8" hidden="1">{#N/A,#N/A,FALSE,"Sum Qtr";#N/A,#N/A,FALSE,"Oper Sum";#N/A,#N/A,FALSE,"Land Sales";#N/A,#N/A,FALSE,"Finance";#N/A,#N/A,FALSE,"Oper Ass"}</definedName>
    <definedName name="wrn.Summary._3" localSheetId="9" hidden="1">{#N/A,#N/A,FALSE,"Sum Qtr";#N/A,#N/A,FALSE,"Oper Sum";#N/A,#N/A,FALSE,"Land Sales";#N/A,#N/A,FALSE,"Finance";#N/A,#N/A,FALSE,"Oper Ass"}</definedName>
    <definedName name="wrn.Summary._3" localSheetId="10" hidden="1">{#N/A,#N/A,FALSE,"Sum Qtr";#N/A,#N/A,FALSE,"Oper Sum";#N/A,#N/A,FALSE,"Land Sales";#N/A,#N/A,FALSE,"Finance";#N/A,#N/A,FALSE,"Oper Ass"}</definedName>
    <definedName name="wrn.Summary._3" localSheetId="15" hidden="1">{#N/A,#N/A,FALSE,"Sum Qtr";#N/A,#N/A,FALSE,"Oper Sum";#N/A,#N/A,FALSE,"Land Sales";#N/A,#N/A,FALSE,"Finance";#N/A,#N/A,FALSE,"Oper Ass"}</definedName>
    <definedName name="wrn.Summary._3" localSheetId="0" hidden="1">{#N/A,#N/A,FALSE,"Sum Qtr";#N/A,#N/A,FALSE,"Oper Sum";#N/A,#N/A,FALSE,"Land Sales";#N/A,#N/A,FALSE,"Finance";#N/A,#N/A,FALSE,"Oper Ass"}</definedName>
    <definedName name="wrn.Summary._3" hidden="1">{#N/A,#N/A,FALSE,"Sum Qtr";#N/A,#N/A,FALSE,"Oper Sum";#N/A,#N/A,FALSE,"Land Sales";#N/A,#N/A,FALSE,"Finance";#N/A,#N/A,FALSE,"Oper Ass"}</definedName>
    <definedName name="wrn.Summary._4" localSheetId="1" hidden="1">{#N/A,#N/A,FALSE,"Sum Qtr";#N/A,#N/A,FALSE,"Oper Sum";#N/A,#N/A,FALSE,"Land Sales";#N/A,#N/A,FALSE,"Finance";#N/A,#N/A,FALSE,"Oper Ass"}</definedName>
    <definedName name="wrn.Summary._4" localSheetId="3" hidden="1">{#N/A,#N/A,FALSE,"Sum Qtr";#N/A,#N/A,FALSE,"Oper Sum";#N/A,#N/A,FALSE,"Land Sales";#N/A,#N/A,FALSE,"Finance";#N/A,#N/A,FALSE,"Oper Ass"}</definedName>
    <definedName name="wrn.Summary._4" localSheetId="4" hidden="1">{#N/A,#N/A,FALSE,"Sum Qtr";#N/A,#N/A,FALSE,"Oper Sum";#N/A,#N/A,FALSE,"Land Sales";#N/A,#N/A,FALSE,"Finance";#N/A,#N/A,FALSE,"Oper Ass"}</definedName>
    <definedName name="wrn.Summary._4" localSheetId="5" hidden="1">{#N/A,#N/A,FALSE,"Sum Qtr";#N/A,#N/A,FALSE,"Oper Sum";#N/A,#N/A,FALSE,"Land Sales";#N/A,#N/A,FALSE,"Finance";#N/A,#N/A,FALSE,"Oper Ass"}</definedName>
    <definedName name="wrn.Summary._4" localSheetId="6" hidden="1">{#N/A,#N/A,FALSE,"Sum Qtr";#N/A,#N/A,FALSE,"Oper Sum";#N/A,#N/A,FALSE,"Land Sales";#N/A,#N/A,FALSE,"Finance";#N/A,#N/A,FALSE,"Oper Ass"}</definedName>
    <definedName name="wrn.Summary._4" localSheetId="7" hidden="1">{#N/A,#N/A,FALSE,"Sum Qtr";#N/A,#N/A,FALSE,"Oper Sum";#N/A,#N/A,FALSE,"Land Sales";#N/A,#N/A,FALSE,"Finance";#N/A,#N/A,FALSE,"Oper Ass"}</definedName>
    <definedName name="wrn.Summary._4" localSheetId="8" hidden="1">{#N/A,#N/A,FALSE,"Sum Qtr";#N/A,#N/A,FALSE,"Oper Sum";#N/A,#N/A,FALSE,"Land Sales";#N/A,#N/A,FALSE,"Finance";#N/A,#N/A,FALSE,"Oper Ass"}</definedName>
    <definedName name="wrn.Summary._4" localSheetId="9" hidden="1">{#N/A,#N/A,FALSE,"Sum Qtr";#N/A,#N/A,FALSE,"Oper Sum";#N/A,#N/A,FALSE,"Land Sales";#N/A,#N/A,FALSE,"Finance";#N/A,#N/A,FALSE,"Oper Ass"}</definedName>
    <definedName name="wrn.Summary._4" localSheetId="10" hidden="1">{#N/A,#N/A,FALSE,"Sum Qtr";#N/A,#N/A,FALSE,"Oper Sum";#N/A,#N/A,FALSE,"Land Sales";#N/A,#N/A,FALSE,"Finance";#N/A,#N/A,FALSE,"Oper Ass"}</definedName>
    <definedName name="wrn.Summary._4" localSheetId="15" hidden="1">{#N/A,#N/A,FALSE,"Sum Qtr";#N/A,#N/A,FALSE,"Oper Sum";#N/A,#N/A,FALSE,"Land Sales";#N/A,#N/A,FALSE,"Finance";#N/A,#N/A,FALSE,"Oper Ass"}</definedName>
    <definedName name="wrn.Summary._4" localSheetId="0" hidden="1">{#N/A,#N/A,FALSE,"Sum Qtr";#N/A,#N/A,FALSE,"Oper Sum";#N/A,#N/A,FALSE,"Land Sales";#N/A,#N/A,FALSE,"Finance";#N/A,#N/A,FALSE,"Oper Ass"}</definedName>
    <definedName name="wrn.Summary._4" hidden="1">{#N/A,#N/A,FALSE,"Sum Qtr";#N/A,#N/A,FALSE,"Oper Sum";#N/A,#N/A,FALSE,"Land Sales";#N/A,#N/A,FALSE,"Finance";#N/A,#N/A,FALSE,"Oper Ass"}</definedName>
    <definedName name="wrn.Summary._5" localSheetId="1" hidden="1">{#N/A,#N/A,FALSE,"Sum Qtr";#N/A,#N/A,FALSE,"Oper Sum";#N/A,#N/A,FALSE,"Land Sales";#N/A,#N/A,FALSE,"Finance";#N/A,#N/A,FALSE,"Oper Ass"}</definedName>
    <definedName name="wrn.Summary._5" localSheetId="3" hidden="1">{#N/A,#N/A,FALSE,"Sum Qtr";#N/A,#N/A,FALSE,"Oper Sum";#N/A,#N/A,FALSE,"Land Sales";#N/A,#N/A,FALSE,"Finance";#N/A,#N/A,FALSE,"Oper Ass"}</definedName>
    <definedName name="wrn.Summary._5" localSheetId="4" hidden="1">{#N/A,#N/A,FALSE,"Sum Qtr";#N/A,#N/A,FALSE,"Oper Sum";#N/A,#N/A,FALSE,"Land Sales";#N/A,#N/A,FALSE,"Finance";#N/A,#N/A,FALSE,"Oper Ass"}</definedName>
    <definedName name="wrn.Summary._5" localSheetId="5" hidden="1">{#N/A,#N/A,FALSE,"Sum Qtr";#N/A,#N/A,FALSE,"Oper Sum";#N/A,#N/A,FALSE,"Land Sales";#N/A,#N/A,FALSE,"Finance";#N/A,#N/A,FALSE,"Oper Ass"}</definedName>
    <definedName name="wrn.Summary._5" localSheetId="6" hidden="1">{#N/A,#N/A,FALSE,"Sum Qtr";#N/A,#N/A,FALSE,"Oper Sum";#N/A,#N/A,FALSE,"Land Sales";#N/A,#N/A,FALSE,"Finance";#N/A,#N/A,FALSE,"Oper Ass"}</definedName>
    <definedName name="wrn.Summary._5" localSheetId="7" hidden="1">{#N/A,#N/A,FALSE,"Sum Qtr";#N/A,#N/A,FALSE,"Oper Sum";#N/A,#N/A,FALSE,"Land Sales";#N/A,#N/A,FALSE,"Finance";#N/A,#N/A,FALSE,"Oper Ass"}</definedName>
    <definedName name="wrn.Summary._5" localSheetId="8" hidden="1">{#N/A,#N/A,FALSE,"Sum Qtr";#N/A,#N/A,FALSE,"Oper Sum";#N/A,#N/A,FALSE,"Land Sales";#N/A,#N/A,FALSE,"Finance";#N/A,#N/A,FALSE,"Oper Ass"}</definedName>
    <definedName name="wrn.Summary._5" localSheetId="9" hidden="1">{#N/A,#N/A,FALSE,"Sum Qtr";#N/A,#N/A,FALSE,"Oper Sum";#N/A,#N/A,FALSE,"Land Sales";#N/A,#N/A,FALSE,"Finance";#N/A,#N/A,FALSE,"Oper Ass"}</definedName>
    <definedName name="wrn.Summary._5" localSheetId="10" hidden="1">{#N/A,#N/A,FALSE,"Sum Qtr";#N/A,#N/A,FALSE,"Oper Sum";#N/A,#N/A,FALSE,"Land Sales";#N/A,#N/A,FALSE,"Finance";#N/A,#N/A,FALSE,"Oper Ass"}</definedName>
    <definedName name="wrn.Summary._5" localSheetId="15" hidden="1">{#N/A,#N/A,FALSE,"Sum Qtr";#N/A,#N/A,FALSE,"Oper Sum";#N/A,#N/A,FALSE,"Land Sales";#N/A,#N/A,FALSE,"Finance";#N/A,#N/A,FALSE,"Oper Ass"}</definedName>
    <definedName name="wrn.Summary._5" localSheetId="0" hidden="1">{#N/A,#N/A,FALSE,"Sum Qtr";#N/A,#N/A,FALSE,"Oper Sum";#N/A,#N/A,FALSE,"Land Sales";#N/A,#N/A,FALSE,"Finance";#N/A,#N/A,FALSE,"Oper Ass"}</definedName>
    <definedName name="wrn.Summary._5" hidden="1">{#N/A,#N/A,FALSE,"Sum Qtr";#N/A,#N/A,FALSE,"Oper Sum";#N/A,#N/A,FALSE,"Land Sales";#N/A,#N/A,FALSE,"Finance";#N/A,#N/A,FALSE,"Oper Ass"}</definedName>
  </definedNames>
  <calcPr calcId="152511"/>
</workbook>
</file>

<file path=xl/calcChain.xml><?xml version="1.0" encoding="utf-8"?>
<calcChain xmlns="http://schemas.openxmlformats.org/spreadsheetml/2006/main">
  <c r="S14" i="23" l="1"/>
  <c r="S13" i="23"/>
  <c r="S15" i="23"/>
  <c r="S16" i="23"/>
  <c r="S17" i="23"/>
  <c r="S18" i="23"/>
  <c r="S19" i="23"/>
  <c r="S20" i="23"/>
  <c r="S21" i="23"/>
  <c r="E44" i="23" l="1"/>
  <c r="U45" i="23" l="1"/>
  <c r="J44" i="23"/>
  <c r="P45" i="23"/>
  <c r="H39" i="23"/>
  <c r="J39" i="23" s="1"/>
  <c r="P36" i="23"/>
  <c r="E36" i="23"/>
  <c r="E25" i="23"/>
  <c r="J23" i="22" l="1"/>
  <c r="H23" i="22"/>
  <c r="F12" i="22"/>
  <c r="F10" i="22"/>
  <c r="D10" i="22"/>
  <c r="J25" i="22"/>
  <c r="H25" i="22"/>
  <c r="F25" i="22"/>
  <c r="D25" i="22"/>
  <c r="J21" i="22"/>
  <c r="H21" i="22"/>
  <c r="F21" i="22"/>
  <c r="D21" i="22"/>
  <c r="H14" i="23" l="1"/>
  <c r="M14" i="18" l="1"/>
  <c r="M12" i="18"/>
  <c r="E20" i="18"/>
  <c r="E16" i="18"/>
  <c r="E14" i="18"/>
  <c r="E12" i="18"/>
  <c r="D12" i="22" l="1"/>
  <c r="H13" i="23"/>
  <c r="E18" i="18"/>
  <c r="BD287" i="5"/>
  <c r="BD286" i="5"/>
  <c r="BD285" i="5"/>
  <c r="BD284" i="5"/>
  <c r="BD283" i="5"/>
  <c r="BD282" i="5"/>
  <c r="BD281" i="5"/>
  <c r="BD280" i="5"/>
  <c r="BD279" i="5"/>
  <c r="BD278" i="5"/>
  <c r="BD277" i="5"/>
  <c r="BD276" i="5"/>
  <c r="BD275" i="5"/>
  <c r="BD274" i="5"/>
  <c r="BD273" i="5"/>
  <c r="BD272" i="5"/>
  <c r="BD271" i="5"/>
  <c r="BD270" i="5"/>
  <c r="BD269" i="5"/>
  <c r="BD268" i="5"/>
  <c r="BD267" i="5"/>
  <c r="BD266" i="5"/>
  <c r="BD265" i="5"/>
  <c r="BD264" i="5"/>
  <c r="BD263" i="5"/>
  <c r="BD262" i="5"/>
  <c r="BD261" i="5"/>
  <c r="BD260" i="5"/>
  <c r="BD259" i="5"/>
  <c r="BD258" i="5"/>
  <c r="BD257" i="5"/>
  <c r="BD256" i="5"/>
  <c r="BD255" i="5"/>
  <c r="BD254" i="5"/>
  <c r="BD253" i="5"/>
  <c r="BD252" i="5"/>
  <c r="BD251" i="5"/>
  <c r="BD250" i="5"/>
  <c r="BD249" i="5"/>
  <c r="BD248" i="5"/>
  <c r="BD247" i="5"/>
  <c r="BD246" i="5"/>
  <c r="BD245" i="5"/>
  <c r="BD244" i="5"/>
  <c r="BD243" i="5"/>
  <c r="BD242" i="5"/>
  <c r="BD241" i="5"/>
  <c r="BD240" i="5"/>
  <c r="BD239" i="5"/>
  <c r="BD238" i="5"/>
  <c r="BD237" i="5"/>
  <c r="BD236" i="5"/>
  <c r="BD235" i="5"/>
  <c r="BD234" i="5"/>
  <c r="BD233" i="5"/>
  <c r="BD232" i="5"/>
  <c r="BD231" i="5"/>
  <c r="BD230" i="5"/>
  <c r="BD229" i="5"/>
  <c r="BD228" i="5"/>
  <c r="BD227" i="5"/>
  <c r="BD226" i="5"/>
  <c r="BD225" i="5"/>
  <c r="BD224" i="5"/>
  <c r="BD223" i="5"/>
  <c r="BD222" i="5"/>
  <c r="BD221" i="5"/>
  <c r="BD220" i="5"/>
  <c r="BD219" i="5"/>
  <c r="BD218" i="5"/>
  <c r="BD217" i="5"/>
  <c r="BD216" i="5"/>
  <c r="BD215" i="5"/>
  <c r="BD214" i="5"/>
  <c r="BD213" i="5"/>
  <c r="BD212" i="5"/>
  <c r="BD211" i="5"/>
  <c r="BD210" i="5"/>
  <c r="BD209" i="5"/>
  <c r="BD208" i="5"/>
  <c r="BD207" i="5"/>
  <c r="BD206" i="5"/>
  <c r="BD205" i="5"/>
  <c r="BD204" i="5"/>
  <c r="BD203" i="5"/>
  <c r="BD202" i="5"/>
  <c r="BD201" i="5"/>
  <c r="BD200" i="5"/>
  <c r="BD199" i="5"/>
  <c r="BD198" i="5"/>
  <c r="BD197" i="5"/>
  <c r="BD196" i="5"/>
  <c r="BD195" i="5"/>
  <c r="BD194" i="5"/>
  <c r="BD193" i="5"/>
  <c r="BD192" i="5"/>
  <c r="BD191" i="5"/>
  <c r="BD190" i="5"/>
  <c r="BD189" i="5"/>
  <c r="BD188" i="5"/>
  <c r="BD187" i="5"/>
  <c r="BD186" i="5"/>
  <c r="BD185" i="5"/>
  <c r="BD184" i="5"/>
  <c r="BD183" i="5"/>
  <c r="BD182" i="5"/>
  <c r="BD181" i="5"/>
  <c r="BD180" i="5"/>
  <c r="BD179" i="5"/>
  <c r="BD178" i="5"/>
  <c r="BD177" i="5"/>
  <c r="BD176" i="5"/>
  <c r="BD175" i="5"/>
  <c r="BD174" i="5"/>
  <c r="BD173" i="5"/>
  <c r="BD172" i="5"/>
  <c r="BD171" i="5"/>
  <c r="BD170" i="5"/>
  <c r="BD169" i="5"/>
  <c r="BD168" i="5"/>
  <c r="BD167" i="5"/>
  <c r="BD166" i="5"/>
  <c r="BD165" i="5"/>
  <c r="BD164" i="5"/>
  <c r="BD163" i="5"/>
  <c r="BD162" i="5"/>
  <c r="BD161" i="5"/>
  <c r="BD160" i="5"/>
  <c r="BD159" i="5"/>
  <c r="BD158" i="5"/>
  <c r="BD157" i="5"/>
  <c r="BD156" i="5"/>
  <c r="BD155" i="5"/>
  <c r="BD154" i="5"/>
  <c r="BD153" i="5"/>
  <c r="BD152" i="5"/>
  <c r="BD151" i="5"/>
  <c r="BD150" i="5"/>
  <c r="BD149" i="5"/>
  <c r="BD148" i="5"/>
  <c r="BD147" i="5"/>
  <c r="BD146" i="5"/>
  <c r="BD145" i="5"/>
  <c r="BD144" i="5"/>
  <c r="BD143" i="5"/>
  <c r="BD142" i="5"/>
  <c r="BD141" i="5"/>
  <c r="BD140" i="5"/>
  <c r="BD139" i="5"/>
  <c r="BD138" i="5"/>
  <c r="BD137" i="5"/>
  <c r="BD136" i="5"/>
  <c r="BD135" i="5"/>
  <c r="BD134" i="5"/>
  <c r="BD133" i="5"/>
  <c r="BD132" i="5"/>
  <c r="BD131" i="5"/>
  <c r="BD130" i="5"/>
  <c r="BD129" i="5"/>
  <c r="BD128" i="5"/>
  <c r="BD127" i="5"/>
  <c r="BD126" i="5"/>
  <c r="BD125" i="5"/>
  <c r="BD124" i="5"/>
  <c r="BD123" i="5"/>
  <c r="BD122" i="5"/>
  <c r="BD121" i="5"/>
  <c r="BD120" i="5"/>
  <c r="BD119" i="5"/>
  <c r="BD118" i="5"/>
  <c r="BD117" i="5"/>
  <c r="BD116" i="5"/>
  <c r="BD115" i="5"/>
  <c r="BD114" i="5"/>
  <c r="BD113" i="5"/>
  <c r="BD112" i="5"/>
  <c r="BD111" i="5"/>
  <c r="BD110" i="5"/>
  <c r="BD109" i="5"/>
  <c r="BD108" i="5"/>
  <c r="BD107" i="5"/>
  <c r="BD106" i="5"/>
  <c r="BD105" i="5"/>
  <c r="BD104" i="5"/>
  <c r="BD103" i="5"/>
  <c r="BD102" i="5"/>
  <c r="BD101" i="5"/>
  <c r="BD100" i="5"/>
  <c r="BD99" i="5"/>
  <c r="BD98" i="5"/>
  <c r="BD97" i="5"/>
  <c r="BD96" i="5"/>
  <c r="BD95" i="5"/>
  <c r="BD94" i="5"/>
  <c r="BD93" i="5"/>
  <c r="BD92" i="5"/>
  <c r="BD91" i="5"/>
  <c r="BD90" i="5"/>
  <c r="BD89" i="5"/>
  <c r="BD88" i="5"/>
  <c r="BD87" i="5"/>
  <c r="BD86" i="5"/>
  <c r="BD85" i="5"/>
  <c r="BD84" i="5"/>
  <c r="BD83" i="5"/>
  <c r="BD82" i="5"/>
  <c r="BD81" i="5"/>
  <c r="BD80" i="5"/>
  <c r="BD79" i="5"/>
  <c r="BD78" i="5"/>
  <c r="BD77" i="5"/>
  <c r="BD76" i="5"/>
  <c r="BD75" i="5"/>
  <c r="BD74" i="5"/>
  <c r="BD73" i="5"/>
  <c r="BD72" i="5"/>
  <c r="BD71" i="5"/>
  <c r="BD70" i="5"/>
  <c r="BD69" i="5"/>
  <c r="BD68" i="5"/>
  <c r="BD67" i="5"/>
  <c r="BD66" i="5"/>
  <c r="BD65" i="5"/>
  <c r="BD64" i="5"/>
  <c r="BD63" i="5"/>
  <c r="BD62" i="5"/>
  <c r="BD61" i="5"/>
  <c r="BD60" i="5"/>
  <c r="BD59" i="5"/>
  <c r="BD58" i="5"/>
  <c r="BD57" i="5"/>
  <c r="BD56" i="5"/>
  <c r="BD55" i="5"/>
  <c r="BD54" i="5"/>
  <c r="BD53" i="5"/>
  <c r="BD52" i="5"/>
  <c r="BD51" i="5"/>
  <c r="BD50" i="5"/>
  <c r="BD49" i="5"/>
  <c r="BD48" i="5"/>
  <c r="BD47" i="5"/>
  <c r="BD46" i="5"/>
  <c r="BD45" i="5"/>
  <c r="BD44" i="5"/>
  <c r="BD43" i="5"/>
  <c r="BD42" i="5"/>
  <c r="BD41" i="5"/>
  <c r="BD40" i="5"/>
  <c r="BD39" i="5"/>
  <c r="BD38" i="5"/>
  <c r="BD37" i="5"/>
  <c r="BD36" i="5"/>
  <c r="BD35" i="5"/>
  <c r="BD34" i="5"/>
  <c r="BD33" i="5"/>
  <c r="BD32" i="5"/>
  <c r="BD31" i="5"/>
  <c r="BD30" i="5"/>
  <c r="BD29" i="5"/>
  <c r="BD28" i="5"/>
  <c r="BD27" i="5"/>
  <c r="BD26" i="5"/>
  <c r="BD25" i="5"/>
  <c r="BD24" i="5"/>
  <c r="BD23" i="5"/>
  <c r="BD22" i="5"/>
  <c r="BD21" i="5"/>
  <c r="BD20" i="5"/>
  <c r="BD19" i="5"/>
  <c r="BD18" i="5"/>
  <c r="BD17" i="5"/>
  <c r="BD16" i="5"/>
  <c r="BD15" i="5"/>
  <c r="BD14" i="5"/>
  <c r="BD13" i="5"/>
  <c r="BD12" i="5"/>
  <c r="BE287" i="5"/>
  <c r="BE286" i="5"/>
  <c r="BE285" i="5"/>
  <c r="BE284" i="5"/>
  <c r="BE283" i="5"/>
  <c r="BE282" i="5"/>
  <c r="BE281" i="5"/>
  <c r="BE280" i="5"/>
  <c r="BE279" i="5"/>
  <c r="BE278" i="5"/>
  <c r="BE277" i="5"/>
  <c r="BE276" i="5"/>
  <c r="BE275" i="5"/>
  <c r="BE274" i="5"/>
  <c r="BE273" i="5"/>
  <c r="BE272" i="5"/>
  <c r="BE271" i="5"/>
  <c r="BE270" i="5"/>
  <c r="BE269" i="5"/>
  <c r="BE268" i="5"/>
  <c r="BE267" i="5"/>
  <c r="BE266" i="5"/>
  <c r="BE265" i="5"/>
  <c r="BE264" i="5"/>
  <c r="BE263" i="5"/>
  <c r="BE262" i="5"/>
  <c r="BE261" i="5"/>
  <c r="BE260" i="5"/>
  <c r="BE259" i="5"/>
  <c r="BE258" i="5"/>
  <c r="BE257" i="5"/>
  <c r="BE256" i="5"/>
  <c r="BE255" i="5"/>
  <c r="BE254" i="5"/>
  <c r="BE253" i="5"/>
  <c r="BE252" i="5"/>
  <c r="BE251" i="5"/>
  <c r="BE250" i="5"/>
  <c r="BE249" i="5"/>
  <c r="BE248" i="5"/>
  <c r="BE247" i="5"/>
  <c r="BE246" i="5"/>
  <c r="BE245" i="5"/>
  <c r="BE244" i="5"/>
  <c r="BE243" i="5"/>
  <c r="BE242" i="5"/>
  <c r="BE241" i="5"/>
  <c r="BE240" i="5"/>
  <c r="BE239" i="5"/>
  <c r="BE238" i="5"/>
  <c r="BE237" i="5"/>
  <c r="BE236" i="5"/>
  <c r="BE235" i="5"/>
  <c r="BE234" i="5"/>
  <c r="BE233" i="5"/>
  <c r="BE232" i="5"/>
  <c r="BE231" i="5"/>
  <c r="BE230" i="5"/>
  <c r="BE229" i="5"/>
  <c r="BE228" i="5"/>
  <c r="BE227" i="5"/>
  <c r="BE226" i="5"/>
  <c r="BE225" i="5"/>
  <c r="BE224" i="5"/>
  <c r="BE223" i="5"/>
  <c r="BE222" i="5"/>
  <c r="BE221" i="5"/>
  <c r="BE220" i="5"/>
  <c r="BE219" i="5"/>
  <c r="BE218" i="5"/>
  <c r="BE217" i="5"/>
  <c r="BE216" i="5"/>
  <c r="BE215" i="5"/>
  <c r="BE214" i="5"/>
  <c r="BE213" i="5"/>
  <c r="BE212" i="5"/>
  <c r="BE211" i="5"/>
  <c r="BE210" i="5"/>
  <c r="BE209" i="5"/>
  <c r="BE208" i="5"/>
  <c r="BE207" i="5"/>
  <c r="BE206" i="5"/>
  <c r="BE205" i="5"/>
  <c r="BE204" i="5"/>
  <c r="BE203" i="5"/>
  <c r="BE202" i="5"/>
  <c r="BE201" i="5"/>
  <c r="BE200" i="5"/>
  <c r="BE199" i="5"/>
  <c r="BE198" i="5"/>
  <c r="BE197" i="5"/>
  <c r="BE196" i="5"/>
  <c r="BE195" i="5"/>
  <c r="BE194" i="5"/>
  <c r="BE193" i="5"/>
  <c r="BE192" i="5"/>
  <c r="BE191" i="5"/>
  <c r="BE190" i="5"/>
  <c r="BE189" i="5"/>
  <c r="BE188" i="5"/>
  <c r="BE187" i="5"/>
  <c r="BE186" i="5"/>
  <c r="BE185" i="5"/>
  <c r="BE184" i="5"/>
  <c r="BE183" i="5"/>
  <c r="BE182" i="5"/>
  <c r="BE181" i="5"/>
  <c r="BE180" i="5"/>
  <c r="BE179" i="5"/>
  <c r="BE178" i="5"/>
  <c r="BE177" i="5"/>
  <c r="BE176" i="5"/>
  <c r="BE175" i="5"/>
  <c r="BE174" i="5"/>
  <c r="BE173" i="5"/>
  <c r="BE172" i="5"/>
  <c r="BE171" i="5"/>
  <c r="BE170" i="5"/>
  <c r="BE169" i="5"/>
  <c r="BE168" i="5"/>
  <c r="BE167" i="5"/>
  <c r="BE166" i="5"/>
  <c r="BE165" i="5"/>
  <c r="BE164" i="5"/>
  <c r="BE163" i="5"/>
  <c r="BE162" i="5"/>
  <c r="BE161" i="5"/>
  <c r="BE160" i="5"/>
  <c r="BE159" i="5"/>
  <c r="BE158" i="5"/>
  <c r="BE157" i="5"/>
  <c r="BE156" i="5"/>
  <c r="BE155" i="5"/>
  <c r="BE154" i="5"/>
  <c r="BE153" i="5"/>
  <c r="BE152" i="5"/>
  <c r="BE151" i="5"/>
  <c r="BE150" i="5"/>
  <c r="BE149" i="5"/>
  <c r="BE148" i="5"/>
  <c r="BE147" i="5"/>
  <c r="BE146" i="5"/>
  <c r="BE145" i="5"/>
  <c r="BE144" i="5"/>
  <c r="BE143" i="5"/>
  <c r="BE142" i="5"/>
  <c r="BE141" i="5"/>
  <c r="BE140" i="5"/>
  <c r="BE139" i="5"/>
  <c r="BE138" i="5"/>
  <c r="BE137" i="5"/>
  <c r="BE136" i="5"/>
  <c r="BE135" i="5"/>
  <c r="BE134" i="5"/>
  <c r="BE133" i="5"/>
  <c r="BE132" i="5"/>
  <c r="BE131" i="5"/>
  <c r="BE130" i="5"/>
  <c r="BE129" i="5"/>
  <c r="BE128" i="5"/>
  <c r="BE127" i="5"/>
  <c r="BE126" i="5"/>
  <c r="BE125" i="5"/>
  <c r="BE124" i="5"/>
  <c r="BE123" i="5"/>
  <c r="BE122" i="5"/>
  <c r="BE121" i="5"/>
  <c r="BE120" i="5"/>
  <c r="BE119" i="5"/>
  <c r="BE118" i="5"/>
  <c r="BE117" i="5"/>
  <c r="BE116" i="5"/>
  <c r="BE115" i="5"/>
  <c r="BE114" i="5"/>
  <c r="BE113" i="5"/>
  <c r="BE112" i="5"/>
  <c r="BE111" i="5"/>
  <c r="BE110" i="5"/>
  <c r="BE109" i="5"/>
  <c r="BE108" i="5"/>
  <c r="BE107" i="5"/>
  <c r="BE106" i="5"/>
  <c r="BE105" i="5"/>
  <c r="BE104" i="5"/>
  <c r="BE103" i="5"/>
  <c r="BE102" i="5"/>
  <c r="BE101" i="5"/>
  <c r="BE100" i="5"/>
  <c r="BE99" i="5"/>
  <c r="BE98" i="5"/>
  <c r="BE97" i="5"/>
  <c r="BE96" i="5"/>
  <c r="BE95" i="5"/>
  <c r="BE94" i="5"/>
  <c r="BE93" i="5"/>
  <c r="BE92" i="5"/>
  <c r="BE91" i="5"/>
  <c r="BE90" i="5"/>
  <c r="BE89" i="5"/>
  <c r="BE88" i="5"/>
  <c r="BE87" i="5"/>
  <c r="BE86" i="5"/>
  <c r="BE85" i="5"/>
  <c r="BE84" i="5"/>
  <c r="BE83" i="5"/>
  <c r="BE82" i="5"/>
  <c r="BE81" i="5"/>
  <c r="BE80" i="5"/>
  <c r="BE79" i="5"/>
  <c r="BE78" i="5"/>
  <c r="BE77" i="5"/>
  <c r="BE76" i="5"/>
  <c r="BE75" i="5"/>
  <c r="BE74" i="5"/>
  <c r="BE73" i="5"/>
  <c r="BE72" i="5"/>
  <c r="BE71" i="5"/>
  <c r="BE70" i="5"/>
  <c r="BE69" i="5"/>
  <c r="BE68" i="5"/>
  <c r="BE67" i="5"/>
  <c r="BE66" i="5"/>
  <c r="BE65" i="5"/>
  <c r="BE64" i="5"/>
  <c r="BE63" i="5"/>
  <c r="BE62" i="5"/>
  <c r="BE61" i="5"/>
  <c r="BE60" i="5"/>
  <c r="BE59" i="5"/>
  <c r="BE58" i="5"/>
  <c r="BE57" i="5"/>
  <c r="BE56" i="5"/>
  <c r="BE55" i="5"/>
  <c r="BE54" i="5"/>
  <c r="BE53" i="5"/>
  <c r="BE52" i="5"/>
  <c r="BE51" i="5"/>
  <c r="BE50" i="5"/>
  <c r="BE49" i="5"/>
  <c r="BE48" i="5"/>
  <c r="BE47" i="5"/>
  <c r="BE46" i="5"/>
  <c r="BE45" i="5"/>
  <c r="BE44" i="5"/>
  <c r="BE43" i="5"/>
  <c r="BE42" i="5"/>
  <c r="BE41" i="5"/>
  <c r="BE40" i="5"/>
  <c r="BE39" i="5"/>
  <c r="BE38" i="5"/>
  <c r="BE37" i="5"/>
  <c r="BE36" i="5"/>
  <c r="BE35" i="5"/>
  <c r="BE34" i="5"/>
  <c r="BE33" i="5"/>
  <c r="BE32" i="5"/>
  <c r="BE31" i="5"/>
  <c r="BE30" i="5"/>
  <c r="BE29" i="5"/>
  <c r="BE28" i="5"/>
  <c r="BE27" i="5"/>
  <c r="BE26" i="5"/>
  <c r="BE25" i="5"/>
  <c r="BE24" i="5"/>
  <c r="BE23" i="5"/>
  <c r="BE22" i="5"/>
  <c r="BE21" i="5"/>
  <c r="BE20" i="5"/>
  <c r="BE19" i="5"/>
  <c r="BE18" i="5"/>
  <c r="BE17" i="5"/>
  <c r="BE16" i="5"/>
  <c r="BE15" i="5"/>
  <c r="BE14" i="5"/>
  <c r="BE13" i="5"/>
  <c r="BE12" i="5"/>
  <c r="D38" i="5" a="1"/>
  <c r="D38" i="5" s="1"/>
  <c r="N29" i="5"/>
  <c r="E40" i="24" s="1"/>
  <c r="N30" i="5"/>
  <c r="E41" i="24" s="1"/>
  <c r="N31" i="5"/>
  <c r="E42" i="24" s="1"/>
  <c r="N32" i="5"/>
  <c r="E43" i="24" s="1"/>
  <c r="N33" i="5"/>
  <c r="E44" i="24" s="1"/>
  <c r="N34" i="5"/>
  <c r="E45" i="24" s="1"/>
  <c r="N35" i="5"/>
  <c r="E46" i="24" s="1"/>
  <c r="N36" i="5"/>
  <c r="E47" i="24" s="1"/>
  <c r="N37" i="5"/>
  <c r="E48" i="24" s="1"/>
  <c r="N38" i="5"/>
  <c r="E49" i="24" s="1"/>
  <c r="N39" i="5"/>
  <c r="E50" i="24" s="1"/>
  <c r="N40" i="5"/>
  <c r="E51" i="24" s="1"/>
  <c r="N41" i="5"/>
  <c r="E52" i="24" s="1"/>
  <c r="N42" i="5"/>
  <c r="E53" i="24" s="1"/>
  <c r="N43" i="5"/>
  <c r="E54" i="24" s="1"/>
  <c r="N44" i="5"/>
  <c r="E55" i="24" s="1"/>
  <c r="N45" i="5"/>
  <c r="E56" i="24" s="1"/>
  <c r="N46" i="5"/>
  <c r="E57" i="24" s="1"/>
  <c r="N47" i="5"/>
  <c r="E58" i="24" s="1"/>
  <c r="N48" i="5"/>
  <c r="E59" i="24" s="1"/>
  <c r="N49" i="5"/>
  <c r="E60" i="24" s="1"/>
  <c r="N50" i="5"/>
  <c r="E61" i="24" s="1"/>
  <c r="N51" i="5"/>
  <c r="E62" i="24" s="1"/>
  <c r="N52" i="5"/>
  <c r="E63" i="24" s="1"/>
  <c r="N53" i="5"/>
  <c r="E64" i="24" s="1"/>
  <c r="N54" i="5"/>
  <c r="E65" i="24" s="1"/>
  <c r="N55" i="5"/>
  <c r="E66" i="24" s="1"/>
  <c r="N56" i="5"/>
  <c r="E67" i="24" s="1"/>
  <c r="N57" i="5"/>
  <c r="E68" i="24" s="1"/>
  <c r="N58" i="5"/>
  <c r="E69" i="24" s="1"/>
  <c r="N59" i="5"/>
  <c r="N60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E39" i="24" s="1"/>
  <c r="N15" i="5"/>
  <c r="BC287" i="5" l="1"/>
  <c r="BA287" i="5"/>
  <c r="BC286" i="5"/>
  <c r="BA286" i="5"/>
  <c r="BC285" i="5"/>
  <c r="BA285" i="5"/>
  <c r="BC284" i="5"/>
  <c r="BA284" i="5"/>
  <c r="BC283" i="5"/>
  <c r="BA283" i="5"/>
  <c r="BC282" i="5"/>
  <c r="BA282" i="5"/>
  <c r="BC281" i="5"/>
  <c r="BA281" i="5"/>
  <c r="BC280" i="5"/>
  <c r="BA280" i="5"/>
  <c r="BC279" i="5"/>
  <c r="BA279" i="5"/>
  <c r="BC278" i="5"/>
  <c r="BA278" i="5"/>
  <c r="BC277" i="5"/>
  <c r="BA277" i="5"/>
  <c r="BC276" i="5"/>
  <c r="H49" i="5" s="1"/>
  <c r="BA276" i="5"/>
  <c r="BC275" i="5"/>
  <c r="BA275" i="5"/>
  <c r="BC274" i="5"/>
  <c r="BA274" i="5"/>
  <c r="BC273" i="5"/>
  <c r="BA273" i="5"/>
  <c r="BC272" i="5"/>
  <c r="BA272" i="5"/>
  <c r="BC271" i="5"/>
  <c r="BA271" i="5"/>
  <c r="BC270" i="5"/>
  <c r="BA270" i="5"/>
  <c r="BC269" i="5"/>
  <c r="BA269" i="5"/>
  <c r="BC268" i="5"/>
  <c r="BA268" i="5"/>
  <c r="BC267" i="5"/>
  <c r="BA267" i="5"/>
  <c r="BC266" i="5"/>
  <c r="BA266" i="5"/>
  <c r="BC265" i="5"/>
  <c r="BA265" i="5"/>
  <c r="BC264" i="5"/>
  <c r="H48" i="5" s="1"/>
  <c r="AN59" i="24" s="1"/>
  <c r="BA264" i="5"/>
  <c r="BC263" i="5"/>
  <c r="BA263" i="5"/>
  <c r="BC262" i="5"/>
  <c r="BA262" i="5"/>
  <c r="BC261" i="5"/>
  <c r="BA261" i="5"/>
  <c r="BC260" i="5"/>
  <c r="BA260" i="5"/>
  <c r="BC259" i="5"/>
  <c r="BA259" i="5"/>
  <c r="BC258" i="5"/>
  <c r="BA258" i="5"/>
  <c r="BC257" i="5"/>
  <c r="BA257" i="5"/>
  <c r="BC256" i="5"/>
  <c r="BA256" i="5"/>
  <c r="BC255" i="5"/>
  <c r="BA255" i="5"/>
  <c r="BC254" i="5"/>
  <c r="BA254" i="5"/>
  <c r="BC253" i="5"/>
  <c r="BA253" i="5"/>
  <c r="BC252" i="5"/>
  <c r="H47" i="5" s="1"/>
  <c r="AN58" i="24" s="1"/>
  <c r="BA252" i="5"/>
  <c r="BC251" i="5"/>
  <c r="BA251" i="5"/>
  <c r="BC250" i="5"/>
  <c r="BA250" i="5"/>
  <c r="BC249" i="5"/>
  <c r="BA249" i="5"/>
  <c r="BC248" i="5"/>
  <c r="BA248" i="5"/>
  <c r="BC247" i="5"/>
  <c r="BA247" i="5"/>
  <c r="BC246" i="5"/>
  <c r="BA246" i="5"/>
  <c r="BC245" i="5"/>
  <c r="BA245" i="5"/>
  <c r="BC244" i="5"/>
  <c r="BA244" i="5"/>
  <c r="BC243" i="5"/>
  <c r="BA243" i="5"/>
  <c r="BC242" i="5"/>
  <c r="BA242" i="5"/>
  <c r="BC241" i="5"/>
  <c r="BA241" i="5"/>
  <c r="BC240" i="5"/>
  <c r="H46" i="5" s="1"/>
  <c r="AN57" i="24" s="1"/>
  <c r="BA240" i="5"/>
  <c r="BC239" i="5"/>
  <c r="BA239" i="5"/>
  <c r="BC238" i="5"/>
  <c r="BA238" i="5"/>
  <c r="BC237" i="5"/>
  <c r="BA237" i="5"/>
  <c r="BC236" i="5"/>
  <c r="BA236" i="5"/>
  <c r="BC235" i="5"/>
  <c r="BA235" i="5"/>
  <c r="BC234" i="5"/>
  <c r="BA234" i="5"/>
  <c r="BC233" i="5"/>
  <c r="BA233" i="5"/>
  <c r="BC232" i="5"/>
  <c r="BA232" i="5"/>
  <c r="BC231" i="5"/>
  <c r="BA231" i="5"/>
  <c r="BC230" i="5"/>
  <c r="BA230" i="5"/>
  <c r="BC229" i="5"/>
  <c r="BA229" i="5"/>
  <c r="BC228" i="5"/>
  <c r="H45" i="5" s="1"/>
  <c r="AN56" i="24" s="1"/>
  <c r="BA228" i="5"/>
  <c r="BC227" i="5"/>
  <c r="BA227" i="5"/>
  <c r="BC226" i="5"/>
  <c r="BA226" i="5"/>
  <c r="BC225" i="5"/>
  <c r="BA225" i="5"/>
  <c r="BC224" i="5"/>
  <c r="BA224" i="5"/>
  <c r="BC223" i="5"/>
  <c r="BA223" i="5"/>
  <c r="BC222" i="5"/>
  <c r="BA222" i="5"/>
  <c r="BC221" i="5"/>
  <c r="BA221" i="5"/>
  <c r="BC220" i="5"/>
  <c r="BA220" i="5"/>
  <c r="BC219" i="5"/>
  <c r="BA219" i="5"/>
  <c r="BC218" i="5"/>
  <c r="BA218" i="5"/>
  <c r="BC217" i="5"/>
  <c r="BA217" i="5"/>
  <c r="BC216" i="5"/>
  <c r="H44" i="5" s="1"/>
  <c r="AN55" i="24" s="1"/>
  <c r="BA216" i="5"/>
  <c r="BC215" i="5"/>
  <c r="BA215" i="5"/>
  <c r="BC214" i="5"/>
  <c r="BA214" i="5"/>
  <c r="BC213" i="5"/>
  <c r="BA213" i="5"/>
  <c r="BC212" i="5"/>
  <c r="BA212" i="5"/>
  <c r="BC211" i="5"/>
  <c r="BA211" i="5"/>
  <c r="BC210" i="5"/>
  <c r="BA210" i="5"/>
  <c r="BC209" i="5"/>
  <c r="BA209" i="5"/>
  <c r="BC208" i="5"/>
  <c r="BA208" i="5"/>
  <c r="BC207" i="5"/>
  <c r="BA207" i="5"/>
  <c r="BC206" i="5"/>
  <c r="BA206" i="5"/>
  <c r="BC205" i="5"/>
  <c r="BA205" i="5"/>
  <c r="BC204" i="5"/>
  <c r="H43" i="5" s="1"/>
  <c r="AN54" i="24" s="1"/>
  <c r="BA204" i="5"/>
  <c r="BC203" i="5"/>
  <c r="BA203" i="5"/>
  <c r="BC202" i="5"/>
  <c r="BA202" i="5"/>
  <c r="BC201" i="5"/>
  <c r="BA201" i="5"/>
  <c r="BC200" i="5"/>
  <c r="BA200" i="5"/>
  <c r="BC199" i="5"/>
  <c r="BA199" i="5"/>
  <c r="BC198" i="5"/>
  <c r="BA198" i="5"/>
  <c r="BC197" i="5"/>
  <c r="BA197" i="5"/>
  <c r="BC196" i="5"/>
  <c r="BA196" i="5"/>
  <c r="BC195" i="5"/>
  <c r="BA195" i="5"/>
  <c r="BC194" i="5"/>
  <c r="BA194" i="5"/>
  <c r="BC193" i="5"/>
  <c r="BA193" i="5"/>
  <c r="BC192" i="5"/>
  <c r="H42" i="5" s="1"/>
  <c r="AN53" i="24" s="1"/>
  <c r="BA192" i="5"/>
  <c r="BC191" i="5"/>
  <c r="BA191" i="5"/>
  <c r="BC190" i="5"/>
  <c r="BA190" i="5"/>
  <c r="BC189" i="5"/>
  <c r="BA189" i="5"/>
  <c r="BC188" i="5"/>
  <c r="BA188" i="5"/>
  <c r="BC187" i="5"/>
  <c r="BA187" i="5"/>
  <c r="BC186" i="5"/>
  <c r="BA186" i="5"/>
  <c r="BC185" i="5"/>
  <c r="BA185" i="5"/>
  <c r="BC184" i="5"/>
  <c r="BA184" i="5"/>
  <c r="BC183" i="5"/>
  <c r="BA183" i="5"/>
  <c r="BC182" i="5"/>
  <c r="BA182" i="5"/>
  <c r="BC181" i="5"/>
  <c r="BA181" i="5"/>
  <c r="BC180" i="5"/>
  <c r="H41" i="5" s="1"/>
  <c r="AN52" i="24" s="1"/>
  <c r="BA180" i="5"/>
  <c r="BC179" i="5"/>
  <c r="BA179" i="5"/>
  <c r="BC178" i="5"/>
  <c r="BA178" i="5"/>
  <c r="BC177" i="5"/>
  <c r="BA177" i="5"/>
  <c r="BC176" i="5"/>
  <c r="BA176" i="5"/>
  <c r="BC175" i="5"/>
  <c r="BA175" i="5"/>
  <c r="BC174" i="5"/>
  <c r="BA174" i="5"/>
  <c r="BC173" i="5"/>
  <c r="BA173" i="5"/>
  <c r="BC172" i="5"/>
  <c r="BA172" i="5"/>
  <c r="BC171" i="5"/>
  <c r="BA171" i="5"/>
  <c r="BC170" i="5"/>
  <c r="BA170" i="5"/>
  <c r="BC169" i="5"/>
  <c r="BA169" i="5"/>
  <c r="BC168" i="5"/>
  <c r="H40" i="5" s="1"/>
  <c r="AN51" i="24" s="1"/>
  <c r="BA168" i="5"/>
  <c r="BC167" i="5"/>
  <c r="BA167" i="5"/>
  <c r="BC166" i="5"/>
  <c r="BA166" i="5"/>
  <c r="BC165" i="5"/>
  <c r="BA165" i="5"/>
  <c r="BC164" i="5"/>
  <c r="BA164" i="5"/>
  <c r="BC163" i="5"/>
  <c r="BA163" i="5"/>
  <c r="BC162" i="5"/>
  <c r="BA162" i="5"/>
  <c r="BC161" i="5"/>
  <c r="BA161" i="5"/>
  <c r="BC160" i="5"/>
  <c r="BA160" i="5"/>
  <c r="BC159" i="5"/>
  <c r="BA159" i="5"/>
  <c r="BC158" i="5"/>
  <c r="BA158" i="5"/>
  <c r="BC157" i="5"/>
  <c r="BA157" i="5"/>
  <c r="BC156" i="5"/>
  <c r="H39" i="5" s="1"/>
  <c r="AN50" i="24" s="1"/>
  <c r="BA156" i="5"/>
  <c r="BC155" i="5"/>
  <c r="BA155" i="5"/>
  <c r="BC154" i="5"/>
  <c r="BA154" i="5"/>
  <c r="BC153" i="5"/>
  <c r="BA153" i="5"/>
  <c r="BC152" i="5"/>
  <c r="BA152" i="5"/>
  <c r="BC151" i="5"/>
  <c r="BA151" i="5"/>
  <c r="BC150" i="5"/>
  <c r="BA150" i="5"/>
  <c r="BC149" i="5"/>
  <c r="BA149" i="5"/>
  <c r="BC148" i="5"/>
  <c r="BA148" i="5"/>
  <c r="BC147" i="5"/>
  <c r="BA147" i="5"/>
  <c r="BC146" i="5"/>
  <c r="BA146" i="5"/>
  <c r="BC145" i="5"/>
  <c r="BA145" i="5"/>
  <c r="BC144" i="5"/>
  <c r="H38" i="5" s="1"/>
  <c r="AN49" i="24" s="1"/>
  <c r="BA144" i="5"/>
  <c r="BC143" i="5"/>
  <c r="BA143" i="5"/>
  <c r="BC142" i="5"/>
  <c r="BA142" i="5"/>
  <c r="BC141" i="5"/>
  <c r="BA141" i="5"/>
  <c r="BC140" i="5"/>
  <c r="BA140" i="5"/>
  <c r="BC139" i="5"/>
  <c r="BA139" i="5"/>
  <c r="BC138" i="5"/>
  <c r="BA138" i="5"/>
  <c r="BC137" i="5"/>
  <c r="BA137" i="5"/>
  <c r="BC136" i="5"/>
  <c r="BA136" i="5"/>
  <c r="BC135" i="5"/>
  <c r="BA135" i="5"/>
  <c r="BC134" i="5"/>
  <c r="BA134" i="5"/>
  <c r="BC133" i="5"/>
  <c r="BA133" i="5"/>
  <c r="BC132" i="5"/>
  <c r="BA132" i="5"/>
  <c r="BC131" i="5"/>
  <c r="BA131" i="5"/>
  <c r="BC130" i="5"/>
  <c r="BA130" i="5"/>
  <c r="BC129" i="5"/>
  <c r="BA129" i="5"/>
  <c r="BC128" i="5"/>
  <c r="BA128" i="5"/>
  <c r="BC127" i="5"/>
  <c r="BA127" i="5"/>
  <c r="BC126" i="5"/>
  <c r="BA126" i="5"/>
  <c r="BC125" i="5"/>
  <c r="BA125" i="5"/>
  <c r="BC124" i="5"/>
  <c r="BA124" i="5"/>
  <c r="BC123" i="5"/>
  <c r="BA123" i="5"/>
  <c r="BC122" i="5"/>
  <c r="BA122" i="5"/>
  <c r="BC121" i="5"/>
  <c r="BA121" i="5"/>
  <c r="BC120" i="5"/>
  <c r="H36" i="5" s="1"/>
  <c r="AN47" i="24" s="1"/>
  <c r="BA120" i="5"/>
  <c r="BC119" i="5"/>
  <c r="BA119" i="5"/>
  <c r="BC118" i="5"/>
  <c r="BA118" i="5"/>
  <c r="BC117" i="5"/>
  <c r="BA117" i="5"/>
  <c r="BC116" i="5"/>
  <c r="BA116" i="5"/>
  <c r="BC115" i="5"/>
  <c r="BA115" i="5"/>
  <c r="BC114" i="5"/>
  <c r="BA114" i="5"/>
  <c r="BC113" i="5"/>
  <c r="BA113" i="5"/>
  <c r="BC112" i="5"/>
  <c r="BA112" i="5"/>
  <c r="BC111" i="5"/>
  <c r="BA111" i="5"/>
  <c r="BC110" i="5"/>
  <c r="BA110" i="5"/>
  <c r="BC109" i="5"/>
  <c r="BA109" i="5"/>
  <c r="BC108" i="5"/>
  <c r="H35" i="5" s="1"/>
  <c r="AN46" i="24" s="1"/>
  <c r="BA108" i="5"/>
  <c r="BC107" i="5"/>
  <c r="BA107" i="5"/>
  <c r="BC106" i="5"/>
  <c r="BA106" i="5"/>
  <c r="BC105" i="5"/>
  <c r="BA105" i="5"/>
  <c r="BC104" i="5"/>
  <c r="BA104" i="5"/>
  <c r="BC103" i="5"/>
  <c r="BA103" i="5"/>
  <c r="BC102" i="5"/>
  <c r="BA102" i="5"/>
  <c r="BC101" i="5"/>
  <c r="BA101" i="5"/>
  <c r="BC100" i="5"/>
  <c r="BA100" i="5"/>
  <c r="BC99" i="5"/>
  <c r="BA99" i="5"/>
  <c r="BC98" i="5"/>
  <c r="BA98" i="5"/>
  <c r="BC97" i="5"/>
  <c r="BA97" i="5"/>
  <c r="BC96" i="5"/>
  <c r="H34" i="5" s="1"/>
  <c r="AN45" i="24" s="1"/>
  <c r="BA96" i="5"/>
  <c r="BC95" i="5"/>
  <c r="BA95" i="5"/>
  <c r="BC94" i="5"/>
  <c r="BA94" i="5"/>
  <c r="BC93" i="5"/>
  <c r="BA93" i="5"/>
  <c r="BC92" i="5"/>
  <c r="BA92" i="5"/>
  <c r="BC91" i="5"/>
  <c r="BA91" i="5"/>
  <c r="BC90" i="5"/>
  <c r="BA90" i="5"/>
  <c r="BC89" i="5"/>
  <c r="BA89" i="5"/>
  <c r="BC88" i="5"/>
  <c r="BA88" i="5"/>
  <c r="BC87" i="5"/>
  <c r="BA87" i="5"/>
  <c r="BC86" i="5"/>
  <c r="BA86" i="5"/>
  <c r="BC85" i="5"/>
  <c r="BA85" i="5"/>
  <c r="BC84" i="5"/>
  <c r="H33" i="5" s="1"/>
  <c r="AN44" i="24" s="1"/>
  <c r="BA84" i="5"/>
  <c r="BC83" i="5"/>
  <c r="BA83" i="5"/>
  <c r="BC82" i="5"/>
  <c r="BA82" i="5"/>
  <c r="BC81" i="5"/>
  <c r="BA81" i="5"/>
  <c r="BC80" i="5"/>
  <c r="BA80" i="5"/>
  <c r="BC79" i="5"/>
  <c r="BA79" i="5"/>
  <c r="BC78" i="5"/>
  <c r="BA78" i="5"/>
  <c r="BC77" i="5"/>
  <c r="BA77" i="5"/>
  <c r="BC76" i="5"/>
  <c r="BA76" i="5"/>
  <c r="BC75" i="5"/>
  <c r="BA75" i="5"/>
  <c r="BC74" i="5"/>
  <c r="BA74" i="5"/>
  <c r="BC73" i="5"/>
  <c r="BA73" i="5"/>
  <c r="BC72" i="5"/>
  <c r="H32" i="5" s="1"/>
  <c r="AN43" i="24" s="1"/>
  <c r="BA72" i="5"/>
  <c r="BC71" i="5"/>
  <c r="BA71" i="5"/>
  <c r="BC70" i="5"/>
  <c r="BA70" i="5"/>
  <c r="BC69" i="5"/>
  <c r="BA69" i="5"/>
  <c r="BC68" i="5"/>
  <c r="BA68" i="5"/>
  <c r="BC67" i="5"/>
  <c r="BA67" i="5"/>
  <c r="BC66" i="5"/>
  <c r="BA66" i="5"/>
  <c r="BC65" i="5"/>
  <c r="BA65" i="5"/>
  <c r="BC64" i="5"/>
  <c r="BA64" i="5"/>
  <c r="BC63" i="5"/>
  <c r="BA63" i="5"/>
  <c r="BC62" i="5"/>
  <c r="BA62" i="5"/>
  <c r="BC61" i="5"/>
  <c r="BA61" i="5"/>
  <c r="BC60" i="5"/>
  <c r="H31" i="5" s="1"/>
  <c r="AN42" i="24" s="1"/>
  <c r="BA60" i="5"/>
  <c r="BC59" i="5"/>
  <c r="BA59" i="5"/>
  <c r="BC58" i="5"/>
  <c r="BA58" i="5"/>
  <c r="BC57" i="5"/>
  <c r="BA57" i="5"/>
  <c r="BC56" i="5"/>
  <c r="BA56" i="5"/>
  <c r="BC55" i="5"/>
  <c r="BA55" i="5"/>
  <c r="BC54" i="5"/>
  <c r="BA54" i="5"/>
  <c r="BC53" i="5"/>
  <c r="BA53" i="5"/>
  <c r="BC52" i="5"/>
  <c r="BA52" i="5"/>
  <c r="BC51" i="5"/>
  <c r="BA51" i="5"/>
  <c r="BC50" i="5"/>
  <c r="BA50" i="5"/>
  <c r="BC49" i="5"/>
  <c r="BA49" i="5"/>
  <c r="BC48" i="5"/>
  <c r="H30" i="5" s="1"/>
  <c r="AN41" i="24" s="1"/>
  <c r="BA48" i="5"/>
  <c r="BC47" i="5"/>
  <c r="BA47" i="5"/>
  <c r="BC46" i="5"/>
  <c r="BA46" i="5"/>
  <c r="BC45" i="5"/>
  <c r="BA45" i="5"/>
  <c r="BC44" i="5"/>
  <c r="BA44" i="5"/>
  <c r="BC43" i="5"/>
  <c r="BA43" i="5"/>
  <c r="BC42" i="5"/>
  <c r="BA42" i="5"/>
  <c r="BC41" i="5"/>
  <c r="BA41" i="5"/>
  <c r="BC40" i="5"/>
  <c r="BA40" i="5"/>
  <c r="BC39" i="5"/>
  <c r="BA39" i="5"/>
  <c r="BC38" i="5"/>
  <c r="BA38" i="5"/>
  <c r="BC37" i="5"/>
  <c r="BA37" i="5"/>
  <c r="BC36" i="5"/>
  <c r="H29" i="5" s="1"/>
  <c r="AN40" i="24" s="1"/>
  <c r="BA36" i="5"/>
  <c r="BC35" i="5"/>
  <c r="BA35" i="5"/>
  <c r="BC34" i="5"/>
  <c r="BA34" i="5"/>
  <c r="BC33" i="5"/>
  <c r="BA33" i="5"/>
  <c r="BC32" i="5"/>
  <c r="BA32" i="5"/>
  <c r="BC31" i="5"/>
  <c r="BA31" i="5"/>
  <c r="BC30" i="5"/>
  <c r="BA30" i="5"/>
  <c r="BC29" i="5"/>
  <c r="BA29" i="5"/>
  <c r="BC28" i="5"/>
  <c r="BA28" i="5"/>
  <c r="BC27" i="5"/>
  <c r="BA27" i="5"/>
  <c r="BC26" i="5"/>
  <c r="BA26" i="5"/>
  <c r="BC25" i="5"/>
  <c r="BA25" i="5"/>
  <c r="BC24" i="5"/>
  <c r="H28" i="5" s="1"/>
  <c r="AN39" i="24" s="1"/>
  <c r="BA24" i="5"/>
  <c r="BC23" i="5"/>
  <c r="BA23" i="5"/>
  <c r="BC22" i="5"/>
  <c r="BA22" i="5"/>
  <c r="BC21" i="5"/>
  <c r="BA21" i="5"/>
  <c r="BC20" i="5"/>
  <c r="BA20" i="5"/>
  <c r="BC19" i="5"/>
  <c r="BA19" i="5"/>
  <c r="BC18" i="5"/>
  <c r="BA18" i="5"/>
  <c r="BC17" i="5"/>
  <c r="BA17" i="5"/>
  <c r="BC16" i="5"/>
  <c r="BA16" i="5"/>
  <c r="BC15" i="5"/>
  <c r="BA15" i="5"/>
  <c r="BC14" i="5"/>
  <c r="BA14" i="5"/>
  <c r="BC13" i="5"/>
  <c r="BA13" i="5"/>
  <c r="BC12" i="5"/>
  <c r="H27" i="5" s="1"/>
  <c r="BA12" i="5"/>
  <c r="H37" i="5" l="1"/>
  <c r="AN48" i="24" s="1"/>
  <c r="H50" i="5"/>
  <c r="AN60" i="24"/>
  <c r="AF11" i="25"/>
  <c r="M28" i="25"/>
  <c r="M29" i="25"/>
  <c r="M30" i="25"/>
  <c r="M31" i="25"/>
  <c r="M32" i="25" s="1"/>
  <c r="M33" i="25" s="1"/>
  <c r="M34" i="25" s="1"/>
  <c r="M35" i="25" s="1"/>
  <c r="M36" i="25" s="1"/>
  <c r="M37" i="25" s="1"/>
  <c r="M38" i="25" s="1"/>
  <c r="M39" i="25" s="1"/>
  <c r="M40" i="25" s="1"/>
  <c r="AN61" i="24" l="1"/>
  <c r="H51" i="5"/>
  <c r="AB197" i="5"/>
  <c r="S29" i="24"/>
  <c r="AN62" i="24" l="1"/>
  <c r="H52" i="5"/>
  <c r="AF33" i="24"/>
  <c r="BI16" i="24"/>
  <c r="BK15" i="24"/>
  <c r="BK14" i="24"/>
  <c r="AV16" i="24"/>
  <c r="AV13" i="24"/>
  <c r="AV11" i="24"/>
  <c r="AR16" i="24"/>
  <c r="AR15" i="24"/>
  <c r="AR14" i="24"/>
  <c r="AN63" i="24" l="1"/>
  <c r="H53" i="5"/>
  <c r="G30" i="4"/>
  <c r="D30" i="4"/>
  <c r="AN64" i="24" l="1"/>
  <c r="H54" i="5"/>
  <c r="N30" i="4"/>
  <c r="N29" i="4"/>
  <c r="AN65" i="24" l="1"/>
  <c r="H55" i="5"/>
  <c r="E34" i="5" a="1"/>
  <c r="AP37" i="24"/>
  <c r="K41" i="24"/>
  <c r="K42" i="24"/>
  <c r="K43" i="24"/>
  <c r="K44" i="24"/>
  <c r="K45" i="24"/>
  <c r="K46" i="24"/>
  <c r="K47" i="24"/>
  <c r="K48" i="24"/>
  <c r="K49" i="24"/>
  <c r="K50" i="24"/>
  <c r="K51" i="24"/>
  <c r="K52" i="24"/>
  <c r="K53" i="24"/>
  <c r="K54" i="24"/>
  <c r="K55" i="24"/>
  <c r="K56" i="24"/>
  <c r="K57" i="24"/>
  <c r="K58" i="24"/>
  <c r="K59" i="24"/>
  <c r="K60" i="24"/>
  <c r="K61" i="24"/>
  <c r="K62" i="24"/>
  <c r="K63" i="24"/>
  <c r="K64" i="24"/>
  <c r="K65" i="24"/>
  <c r="K66" i="24"/>
  <c r="K67" i="24"/>
  <c r="K68" i="24"/>
  <c r="K69" i="24"/>
  <c r="K40" i="24"/>
  <c r="K39" i="24"/>
  <c r="K43" i="25"/>
  <c r="K44" i="25"/>
  <c r="K45" i="25"/>
  <c r="K46" i="25"/>
  <c r="K47" i="25"/>
  <c r="K48" i="25"/>
  <c r="K49" i="25"/>
  <c r="K50" i="25"/>
  <c r="K51" i="25"/>
  <c r="K52" i="25"/>
  <c r="K53" i="25"/>
  <c r="K54" i="25"/>
  <c r="K55" i="25"/>
  <c r="K56" i="25"/>
  <c r="K57" i="25"/>
  <c r="K58" i="25"/>
  <c r="K59" i="25"/>
  <c r="K60" i="25"/>
  <c r="K61" i="25"/>
  <c r="K62" i="25"/>
  <c r="K63" i="25"/>
  <c r="K64" i="25"/>
  <c r="K65" i="25"/>
  <c r="K66" i="25"/>
  <c r="K67" i="25"/>
  <c r="K68" i="25"/>
  <c r="K69" i="25"/>
  <c r="K70" i="25"/>
  <c r="K71" i="25"/>
  <c r="K42" i="25"/>
  <c r="K41" i="25"/>
  <c r="AN66" i="24" l="1"/>
  <c r="H56" i="5"/>
  <c r="S40" i="25"/>
  <c r="I56" i="25"/>
  <c r="I57" i="25"/>
  <c r="I58" i="25"/>
  <c r="I59" i="25"/>
  <c r="I60" i="25"/>
  <c r="I61" i="25"/>
  <c r="I62" i="25"/>
  <c r="I63" i="25"/>
  <c r="I64" i="25"/>
  <c r="I65" i="25"/>
  <c r="I66" i="25"/>
  <c r="I67" i="25"/>
  <c r="I68" i="25"/>
  <c r="I69" i="25"/>
  <c r="I70" i="25"/>
  <c r="I71" i="25"/>
  <c r="I55" i="25"/>
  <c r="I43" i="25"/>
  <c r="I44" i="25"/>
  <c r="I45" i="25"/>
  <c r="I46" i="25"/>
  <c r="I47" i="25"/>
  <c r="I48" i="25"/>
  <c r="I49" i="25"/>
  <c r="I50" i="25"/>
  <c r="I51" i="25"/>
  <c r="I52" i="25"/>
  <c r="I53" i="25"/>
  <c r="I54" i="25"/>
  <c r="I42" i="25"/>
  <c r="I41" i="25"/>
  <c r="AN67" i="24" l="1"/>
  <c r="H57" i="5"/>
  <c r="K30" i="24"/>
  <c r="S31" i="24"/>
  <c r="AN68" i="24" l="1"/>
  <c r="H58" i="5"/>
  <c r="Q71" i="24"/>
  <c r="AN69" i="24" l="1"/>
  <c r="H59" i="5"/>
  <c r="H60" i="5" s="1"/>
  <c r="K29" i="25"/>
  <c r="K28" i="25"/>
  <c r="BD11" i="25" l="1"/>
  <c r="G19" i="25"/>
  <c r="O43" i="25"/>
  <c r="O44" i="25"/>
  <c r="O45" i="25"/>
  <c r="O46" i="25"/>
  <c r="O47" i="25"/>
  <c r="O48" i="25"/>
  <c r="O49" i="25"/>
  <c r="O50" i="25"/>
  <c r="O51" i="25"/>
  <c r="O52" i="25"/>
  <c r="O53" i="25"/>
  <c r="O54" i="25"/>
  <c r="O55" i="25"/>
  <c r="O56" i="25"/>
  <c r="O57" i="25"/>
  <c r="O58" i="25"/>
  <c r="O59" i="25"/>
  <c r="O60" i="25"/>
  <c r="O61" i="25"/>
  <c r="O62" i="25"/>
  <c r="O63" i="25"/>
  <c r="O64" i="25"/>
  <c r="O65" i="25"/>
  <c r="O66" i="25"/>
  <c r="O67" i="25"/>
  <c r="O68" i="25"/>
  <c r="O69" i="25"/>
  <c r="O70" i="25"/>
  <c r="O71" i="25"/>
  <c r="O42" i="25"/>
  <c r="BD11" i="24" l="1"/>
  <c r="S28" i="7"/>
  <c r="S28" i="24"/>
  <c r="K28" i="24"/>
  <c r="I52" i="24"/>
  <c r="I41" i="24"/>
  <c r="I42" i="24"/>
  <c r="I43" i="24"/>
  <c r="I44" i="24"/>
  <c r="I45" i="24"/>
  <c r="I46" i="24"/>
  <c r="I47" i="24"/>
  <c r="I48" i="24"/>
  <c r="I49" i="24"/>
  <c r="I50" i="24"/>
  <c r="I51" i="24"/>
  <c r="I40" i="24"/>
  <c r="I73" i="25" l="1"/>
  <c r="O41" i="24"/>
  <c r="O42" i="24"/>
  <c r="O43" i="24"/>
  <c r="O44" i="24"/>
  <c r="O45" i="24"/>
  <c r="O46" i="24"/>
  <c r="O47" i="24"/>
  <c r="O48" i="24"/>
  <c r="O49" i="24"/>
  <c r="O50" i="24"/>
  <c r="O51" i="24"/>
  <c r="O52" i="24"/>
  <c r="O53" i="24"/>
  <c r="O54" i="24"/>
  <c r="O55" i="24"/>
  <c r="O56" i="24"/>
  <c r="O57" i="24"/>
  <c r="O58" i="24"/>
  <c r="O59" i="24"/>
  <c r="O60" i="24"/>
  <c r="O61" i="24"/>
  <c r="O62" i="24"/>
  <c r="O63" i="24"/>
  <c r="O64" i="24"/>
  <c r="O65" i="24"/>
  <c r="O66" i="24"/>
  <c r="O67" i="24"/>
  <c r="O68" i="24"/>
  <c r="O69" i="24"/>
  <c r="O40" i="24"/>
  <c r="O39" i="24"/>
  <c r="I39" i="24"/>
  <c r="O12" i="4"/>
  <c r="N12" i="4"/>
  <c r="M12" i="4"/>
  <c r="BF37" i="25" l="1"/>
  <c r="AP28" i="25"/>
  <c r="BB41" i="25"/>
  <c r="G71" i="24"/>
  <c r="K59" i="5"/>
  <c r="I55" i="5"/>
  <c r="K47" i="5"/>
  <c r="L47" i="5"/>
  <c r="L17" i="5"/>
  <c r="AB397" i="5"/>
  <c r="AB395" i="5"/>
  <c r="AB393" i="5"/>
  <c r="AB391" i="5"/>
  <c r="AB389" i="5"/>
  <c r="AA384" i="5"/>
  <c r="AB384" i="5"/>
  <c r="AA385" i="5"/>
  <c r="AA386" i="5"/>
  <c r="AB386" i="5"/>
  <c r="AA388" i="5"/>
  <c r="AB388" i="5"/>
  <c r="AA389" i="5"/>
  <c r="AA390" i="5"/>
  <c r="AB390" i="5"/>
  <c r="AA392" i="5"/>
  <c r="AB392" i="5"/>
  <c r="AA393" i="5"/>
  <c r="AA394" i="5"/>
  <c r="AB394" i="5"/>
  <c r="AA396" i="5"/>
  <c r="AB396" i="5"/>
  <c r="AA397" i="5"/>
  <c r="AA398" i="5"/>
  <c r="AB398" i="5"/>
  <c r="U434" i="5"/>
  <c r="T434" i="5" s="1"/>
  <c r="U384" i="5"/>
  <c r="T384" i="5" s="1"/>
  <c r="U385" i="5"/>
  <c r="U386" i="5" s="1"/>
  <c r="I24" i="5" a="1"/>
  <c r="I24" i="5" s="1"/>
  <c r="I12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46" i="5"/>
  <c r="AV47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2" i="5"/>
  <c r="AV93" i="5"/>
  <c r="AV94" i="5"/>
  <c r="AV95" i="5"/>
  <c r="AV96" i="5"/>
  <c r="AV97" i="5"/>
  <c r="AV98" i="5"/>
  <c r="AV99" i="5"/>
  <c r="AV100" i="5"/>
  <c r="AV101" i="5"/>
  <c r="AV102" i="5"/>
  <c r="AV103" i="5"/>
  <c r="AV104" i="5"/>
  <c r="AV105" i="5"/>
  <c r="AV106" i="5"/>
  <c r="AV107" i="5"/>
  <c r="AV108" i="5"/>
  <c r="AV109" i="5"/>
  <c r="AV110" i="5"/>
  <c r="AV111" i="5"/>
  <c r="AV112" i="5"/>
  <c r="AV113" i="5"/>
  <c r="AV114" i="5"/>
  <c r="AV115" i="5"/>
  <c r="AV116" i="5"/>
  <c r="AV117" i="5"/>
  <c r="AV118" i="5"/>
  <c r="AV119" i="5"/>
  <c r="AV120" i="5"/>
  <c r="AV121" i="5"/>
  <c r="AV122" i="5"/>
  <c r="AV123" i="5"/>
  <c r="AV124" i="5"/>
  <c r="AV125" i="5"/>
  <c r="AV126" i="5"/>
  <c r="AV127" i="5"/>
  <c r="AV128" i="5"/>
  <c r="AV129" i="5"/>
  <c r="AV130" i="5"/>
  <c r="AV131" i="5"/>
  <c r="AV132" i="5"/>
  <c r="AV133" i="5"/>
  <c r="AV134" i="5"/>
  <c r="AV135" i="5"/>
  <c r="AV136" i="5"/>
  <c r="AV137" i="5"/>
  <c r="AV138" i="5"/>
  <c r="AV139" i="5"/>
  <c r="AV140" i="5"/>
  <c r="AV141" i="5"/>
  <c r="AV142" i="5"/>
  <c r="AV143" i="5"/>
  <c r="AV144" i="5"/>
  <c r="AV145" i="5"/>
  <c r="AV146" i="5"/>
  <c r="AV147" i="5"/>
  <c r="AV148" i="5"/>
  <c r="AV149" i="5"/>
  <c r="AV150" i="5"/>
  <c r="AV151" i="5"/>
  <c r="AV152" i="5"/>
  <c r="AV153" i="5"/>
  <c r="AV154" i="5"/>
  <c r="AV155" i="5"/>
  <c r="AV156" i="5"/>
  <c r="AV157" i="5"/>
  <c r="AV158" i="5"/>
  <c r="AV159" i="5"/>
  <c r="AV160" i="5"/>
  <c r="AV161" i="5"/>
  <c r="AV162" i="5"/>
  <c r="AV163" i="5"/>
  <c r="AV164" i="5"/>
  <c r="AV165" i="5"/>
  <c r="AV166" i="5"/>
  <c r="AV167" i="5"/>
  <c r="AV168" i="5"/>
  <c r="AV169" i="5"/>
  <c r="AV170" i="5"/>
  <c r="AV171" i="5"/>
  <c r="AV172" i="5"/>
  <c r="AV173" i="5"/>
  <c r="AV174" i="5"/>
  <c r="AV175" i="5"/>
  <c r="AV176" i="5"/>
  <c r="AV177" i="5"/>
  <c r="AV178" i="5"/>
  <c r="AV179" i="5"/>
  <c r="AV180" i="5"/>
  <c r="AV181" i="5"/>
  <c r="AV182" i="5"/>
  <c r="AV183" i="5"/>
  <c r="AV184" i="5"/>
  <c r="AV185" i="5"/>
  <c r="AV186" i="5"/>
  <c r="AV187" i="5"/>
  <c r="AV188" i="5"/>
  <c r="AV189" i="5"/>
  <c r="AV190" i="5"/>
  <c r="AV191" i="5"/>
  <c r="AV192" i="5"/>
  <c r="AV193" i="5"/>
  <c r="AV194" i="5"/>
  <c r="AV195" i="5"/>
  <c r="AV196" i="5"/>
  <c r="AV197" i="5"/>
  <c r="AV198" i="5"/>
  <c r="AV199" i="5"/>
  <c r="AV200" i="5"/>
  <c r="AV201" i="5"/>
  <c r="AV202" i="5"/>
  <c r="AV203" i="5"/>
  <c r="AV204" i="5"/>
  <c r="AV205" i="5"/>
  <c r="AV206" i="5"/>
  <c r="AV207" i="5"/>
  <c r="AV208" i="5"/>
  <c r="AV209" i="5"/>
  <c r="AV210" i="5"/>
  <c r="AV211" i="5"/>
  <c r="AV212" i="5"/>
  <c r="AV213" i="5"/>
  <c r="AV214" i="5"/>
  <c r="AV215" i="5"/>
  <c r="AV216" i="5"/>
  <c r="AV217" i="5"/>
  <c r="AV218" i="5"/>
  <c r="AV219" i="5"/>
  <c r="AV220" i="5"/>
  <c r="AV221" i="5"/>
  <c r="AV222" i="5"/>
  <c r="AV223" i="5"/>
  <c r="AV224" i="5"/>
  <c r="AV225" i="5"/>
  <c r="AV226" i="5"/>
  <c r="AV227" i="5"/>
  <c r="AV228" i="5"/>
  <c r="AV229" i="5"/>
  <c r="AV230" i="5"/>
  <c r="AV231" i="5"/>
  <c r="AV232" i="5"/>
  <c r="AV233" i="5"/>
  <c r="AV234" i="5"/>
  <c r="AV235" i="5"/>
  <c r="AV236" i="5"/>
  <c r="AV237" i="5"/>
  <c r="AV238" i="5"/>
  <c r="AV239" i="5"/>
  <c r="AV240" i="5"/>
  <c r="AV241" i="5"/>
  <c r="AV242" i="5"/>
  <c r="AV243" i="5"/>
  <c r="AV244" i="5"/>
  <c r="AV245" i="5"/>
  <c r="AV246" i="5"/>
  <c r="AV247" i="5"/>
  <c r="AV248" i="5"/>
  <c r="AV249" i="5"/>
  <c r="AV250" i="5"/>
  <c r="AV251" i="5"/>
  <c r="AV252" i="5"/>
  <c r="AV253" i="5"/>
  <c r="AV254" i="5"/>
  <c r="AV255" i="5"/>
  <c r="AV256" i="5"/>
  <c r="AV257" i="5"/>
  <c r="AV258" i="5"/>
  <c r="AV259" i="5"/>
  <c r="AV260" i="5"/>
  <c r="AV261" i="5"/>
  <c r="AV262" i="5"/>
  <c r="AV263" i="5"/>
  <c r="AV264" i="5"/>
  <c r="AV265" i="5"/>
  <c r="AV266" i="5"/>
  <c r="AV267" i="5"/>
  <c r="AV268" i="5"/>
  <c r="AV269" i="5"/>
  <c r="AV270" i="5"/>
  <c r="AV271" i="5"/>
  <c r="AV272" i="5"/>
  <c r="AV273" i="5"/>
  <c r="AV274" i="5"/>
  <c r="AV275" i="5"/>
  <c r="AV276" i="5"/>
  <c r="AV277" i="5"/>
  <c r="AV278" i="5"/>
  <c r="AV279" i="5"/>
  <c r="AV280" i="5"/>
  <c r="AV281" i="5"/>
  <c r="AV282" i="5"/>
  <c r="AV283" i="5"/>
  <c r="AV284" i="5"/>
  <c r="AV285" i="5"/>
  <c r="AV286" i="5"/>
  <c r="AV287" i="5"/>
  <c r="AV288" i="5"/>
  <c r="AV289" i="5"/>
  <c r="AV290" i="5"/>
  <c r="AV291" i="5"/>
  <c r="AV292" i="5"/>
  <c r="AV293" i="5"/>
  <c r="AV294" i="5"/>
  <c r="AV295" i="5"/>
  <c r="AV296" i="5"/>
  <c r="AV297" i="5"/>
  <c r="AV298" i="5"/>
  <c r="AV299" i="5"/>
  <c r="AV300" i="5"/>
  <c r="AV301" i="5"/>
  <c r="AV302" i="5"/>
  <c r="AV303" i="5"/>
  <c r="AV304" i="5"/>
  <c r="AV305" i="5"/>
  <c r="AV306" i="5"/>
  <c r="AV307" i="5"/>
  <c r="AV308" i="5"/>
  <c r="AV309" i="5"/>
  <c r="AV310" i="5"/>
  <c r="AV311" i="5"/>
  <c r="AV312" i="5"/>
  <c r="AV313" i="5"/>
  <c r="AV314" i="5"/>
  <c r="AV315" i="5"/>
  <c r="AV316" i="5"/>
  <c r="AV317" i="5"/>
  <c r="AV318" i="5"/>
  <c r="AV319" i="5"/>
  <c r="AV320" i="5"/>
  <c r="AV321" i="5"/>
  <c r="AV322" i="5"/>
  <c r="AV323" i="5"/>
  <c r="AV324" i="5"/>
  <c r="AV325" i="5"/>
  <c r="AV326" i="5"/>
  <c r="AV327" i="5"/>
  <c r="AV328" i="5"/>
  <c r="AV329" i="5"/>
  <c r="AV330" i="5"/>
  <c r="AV331" i="5"/>
  <c r="AV332" i="5"/>
  <c r="AV333" i="5"/>
  <c r="AV334" i="5"/>
  <c r="AV335" i="5"/>
  <c r="AV336" i="5"/>
  <c r="AV337" i="5"/>
  <c r="AV338" i="5"/>
  <c r="AV339" i="5"/>
  <c r="AV340" i="5"/>
  <c r="AV341" i="5"/>
  <c r="AV342" i="5"/>
  <c r="AV343" i="5"/>
  <c r="AV344" i="5"/>
  <c r="AV345" i="5"/>
  <c r="AV346" i="5"/>
  <c r="AV347" i="5"/>
  <c r="AV348" i="5"/>
  <c r="AV349" i="5"/>
  <c r="AV350" i="5"/>
  <c r="AV91" i="5"/>
  <c r="AZ13" i="5"/>
  <c r="AZ14" i="5"/>
  <c r="AZ15" i="5"/>
  <c r="AZ16" i="5"/>
  <c r="AZ17" i="5"/>
  <c r="AZ18" i="5"/>
  <c r="AZ19" i="5"/>
  <c r="AZ20" i="5"/>
  <c r="AZ21" i="5"/>
  <c r="AZ22" i="5"/>
  <c r="AZ23" i="5"/>
  <c r="AZ24" i="5"/>
  <c r="AZ25" i="5"/>
  <c r="AZ26" i="5"/>
  <c r="AZ27" i="5"/>
  <c r="AZ28" i="5"/>
  <c r="AZ29" i="5"/>
  <c r="AZ30" i="5"/>
  <c r="AZ31" i="5"/>
  <c r="AZ32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46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75" i="5"/>
  <c r="AZ7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99" i="5"/>
  <c r="AZ100" i="5"/>
  <c r="AZ101" i="5"/>
  <c r="AZ102" i="5"/>
  <c r="AZ103" i="5"/>
  <c r="AZ104" i="5"/>
  <c r="AZ105" i="5"/>
  <c r="AZ106" i="5"/>
  <c r="AZ107" i="5"/>
  <c r="AZ108" i="5"/>
  <c r="AZ109" i="5"/>
  <c r="AZ110" i="5"/>
  <c r="AZ111" i="5"/>
  <c r="AZ112" i="5"/>
  <c r="AZ113" i="5"/>
  <c r="AZ114" i="5"/>
  <c r="AZ115" i="5"/>
  <c r="AZ116" i="5"/>
  <c r="AZ117" i="5"/>
  <c r="AZ118" i="5"/>
  <c r="AZ119" i="5"/>
  <c r="AZ120" i="5"/>
  <c r="AZ121" i="5"/>
  <c r="AZ122" i="5"/>
  <c r="AZ123" i="5"/>
  <c r="AZ124" i="5"/>
  <c r="AZ125" i="5"/>
  <c r="AZ126" i="5"/>
  <c r="AZ127" i="5"/>
  <c r="AZ128" i="5"/>
  <c r="AZ129" i="5"/>
  <c r="AZ130" i="5"/>
  <c r="AZ131" i="5"/>
  <c r="AZ132" i="5"/>
  <c r="AZ133" i="5"/>
  <c r="AZ134" i="5"/>
  <c r="AZ135" i="5"/>
  <c r="AZ136" i="5"/>
  <c r="AZ137" i="5"/>
  <c r="AZ138" i="5"/>
  <c r="AZ139" i="5"/>
  <c r="AZ140" i="5"/>
  <c r="AZ141" i="5"/>
  <c r="AZ142" i="5"/>
  <c r="AZ143" i="5"/>
  <c r="AZ144" i="5"/>
  <c r="AZ145" i="5"/>
  <c r="AZ146" i="5"/>
  <c r="AZ147" i="5"/>
  <c r="AZ148" i="5"/>
  <c r="AZ149" i="5"/>
  <c r="AZ150" i="5"/>
  <c r="AZ151" i="5"/>
  <c r="AZ152" i="5"/>
  <c r="AZ153" i="5"/>
  <c r="AZ154" i="5"/>
  <c r="AZ155" i="5"/>
  <c r="AZ156" i="5"/>
  <c r="AZ157" i="5"/>
  <c r="AZ158" i="5"/>
  <c r="AZ159" i="5"/>
  <c r="AZ160" i="5"/>
  <c r="AZ161" i="5"/>
  <c r="AZ162" i="5"/>
  <c r="AZ163" i="5"/>
  <c r="AZ164" i="5"/>
  <c r="AZ165" i="5"/>
  <c r="AZ166" i="5"/>
  <c r="AZ167" i="5"/>
  <c r="AZ168" i="5"/>
  <c r="AZ169" i="5"/>
  <c r="AZ170" i="5"/>
  <c r="AZ171" i="5"/>
  <c r="AZ172" i="5"/>
  <c r="AZ173" i="5"/>
  <c r="AZ174" i="5"/>
  <c r="AZ175" i="5"/>
  <c r="AZ176" i="5"/>
  <c r="AZ177" i="5"/>
  <c r="AZ178" i="5"/>
  <c r="AZ179" i="5"/>
  <c r="AZ180" i="5"/>
  <c r="AZ181" i="5"/>
  <c r="AZ182" i="5"/>
  <c r="AZ183" i="5"/>
  <c r="AZ184" i="5"/>
  <c r="AZ185" i="5"/>
  <c r="AZ186" i="5"/>
  <c r="AZ187" i="5"/>
  <c r="AZ188" i="5"/>
  <c r="AZ189" i="5"/>
  <c r="AZ190" i="5"/>
  <c r="AZ191" i="5"/>
  <c r="AZ192" i="5"/>
  <c r="AZ193" i="5"/>
  <c r="AZ194" i="5"/>
  <c r="AZ195" i="5"/>
  <c r="AZ196" i="5"/>
  <c r="AZ197" i="5"/>
  <c r="AZ198" i="5"/>
  <c r="AZ199" i="5"/>
  <c r="AZ200" i="5"/>
  <c r="AZ201" i="5"/>
  <c r="AZ202" i="5"/>
  <c r="AZ203" i="5"/>
  <c r="AZ204" i="5"/>
  <c r="AZ205" i="5"/>
  <c r="AZ206" i="5"/>
  <c r="AZ207" i="5"/>
  <c r="AZ208" i="5"/>
  <c r="AZ209" i="5"/>
  <c r="AZ210" i="5"/>
  <c r="AZ211" i="5"/>
  <c r="AZ212" i="5"/>
  <c r="AZ213" i="5"/>
  <c r="AZ214" i="5"/>
  <c r="AZ215" i="5"/>
  <c r="AZ216" i="5"/>
  <c r="AZ217" i="5"/>
  <c r="AZ218" i="5"/>
  <c r="AZ219" i="5"/>
  <c r="AZ220" i="5"/>
  <c r="AZ221" i="5"/>
  <c r="AZ222" i="5"/>
  <c r="AZ223" i="5"/>
  <c r="AZ224" i="5"/>
  <c r="AZ225" i="5"/>
  <c r="AZ226" i="5"/>
  <c r="AZ227" i="5"/>
  <c r="AZ228" i="5"/>
  <c r="AZ229" i="5"/>
  <c r="AZ230" i="5"/>
  <c r="AZ231" i="5"/>
  <c r="AZ232" i="5"/>
  <c r="AZ233" i="5"/>
  <c r="AZ234" i="5"/>
  <c r="AZ235" i="5"/>
  <c r="AZ236" i="5"/>
  <c r="AZ237" i="5"/>
  <c r="AZ238" i="5"/>
  <c r="AZ239" i="5"/>
  <c r="AZ240" i="5"/>
  <c r="AZ241" i="5"/>
  <c r="AZ242" i="5"/>
  <c r="AZ243" i="5"/>
  <c r="AZ244" i="5"/>
  <c r="AZ245" i="5"/>
  <c r="AZ246" i="5"/>
  <c r="AZ247" i="5"/>
  <c r="AZ248" i="5"/>
  <c r="AZ249" i="5"/>
  <c r="AZ250" i="5"/>
  <c r="AZ251" i="5"/>
  <c r="AZ252" i="5"/>
  <c r="AZ253" i="5"/>
  <c r="AZ254" i="5"/>
  <c r="AZ255" i="5"/>
  <c r="AZ256" i="5"/>
  <c r="AZ257" i="5"/>
  <c r="AZ258" i="5"/>
  <c r="AZ259" i="5"/>
  <c r="AZ260" i="5"/>
  <c r="AZ261" i="5"/>
  <c r="AZ262" i="5"/>
  <c r="AZ263" i="5"/>
  <c r="AZ264" i="5"/>
  <c r="AZ265" i="5"/>
  <c r="AZ266" i="5"/>
  <c r="AZ267" i="5"/>
  <c r="AZ268" i="5"/>
  <c r="AZ269" i="5"/>
  <c r="AZ270" i="5"/>
  <c r="AZ271" i="5"/>
  <c r="AZ272" i="5"/>
  <c r="AZ273" i="5"/>
  <c r="AZ274" i="5"/>
  <c r="AZ275" i="5"/>
  <c r="AZ276" i="5"/>
  <c r="AZ277" i="5"/>
  <c r="AZ278" i="5"/>
  <c r="AZ279" i="5"/>
  <c r="AZ280" i="5"/>
  <c r="AZ281" i="5"/>
  <c r="AZ282" i="5"/>
  <c r="AZ283" i="5"/>
  <c r="AZ284" i="5"/>
  <c r="AZ285" i="5"/>
  <c r="AZ286" i="5"/>
  <c r="AZ287" i="5"/>
  <c r="AZ288" i="5"/>
  <c r="AZ289" i="5"/>
  <c r="AZ290" i="5"/>
  <c r="AZ291" i="5"/>
  <c r="AZ292" i="5"/>
  <c r="AZ293" i="5"/>
  <c r="AZ294" i="5"/>
  <c r="AZ295" i="5"/>
  <c r="AZ296" i="5"/>
  <c r="AZ297" i="5"/>
  <c r="AZ298" i="5"/>
  <c r="AZ299" i="5"/>
  <c r="AZ300" i="5"/>
  <c r="AZ301" i="5"/>
  <c r="AZ302" i="5"/>
  <c r="AZ303" i="5"/>
  <c r="AZ304" i="5"/>
  <c r="AZ305" i="5"/>
  <c r="AZ306" i="5"/>
  <c r="AZ307" i="5"/>
  <c r="AZ308" i="5"/>
  <c r="AZ309" i="5"/>
  <c r="AZ310" i="5"/>
  <c r="AZ311" i="5"/>
  <c r="AZ312" i="5"/>
  <c r="AZ313" i="5"/>
  <c r="AZ314" i="5"/>
  <c r="AZ315" i="5"/>
  <c r="AZ316" i="5"/>
  <c r="AZ317" i="5"/>
  <c r="AZ318" i="5"/>
  <c r="AZ319" i="5"/>
  <c r="AZ320" i="5"/>
  <c r="AZ321" i="5"/>
  <c r="AZ322" i="5"/>
  <c r="AZ323" i="5"/>
  <c r="AZ324" i="5"/>
  <c r="AZ325" i="5"/>
  <c r="AZ326" i="5"/>
  <c r="AZ327" i="5"/>
  <c r="AZ328" i="5"/>
  <c r="AZ329" i="5"/>
  <c r="AZ330" i="5"/>
  <c r="AZ331" i="5"/>
  <c r="AZ332" i="5"/>
  <c r="AZ333" i="5"/>
  <c r="AZ334" i="5"/>
  <c r="AZ335" i="5"/>
  <c r="AZ336" i="5"/>
  <c r="AZ337" i="5"/>
  <c r="AZ338" i="5"/>
  <c r="AZ339" i="5"/>
  <c r="AZ340" i="5"/>
  <c r="AZ341" i="5"/>
  <c r="AZ342" i="5"/>
  <c r="AZ343" i="5"/>
  <c r="AZ344" i="5"/>
  <c r="AZ345" i="5"/>
  <c r="AZ346" i="5"/>
  <c r="AZ347" i="5"/>
  <c r="AZ348" i="5"/>
  <c r="AZ349" i="5"/>
  <c r="AZ350" i="5"/>
  <c r="AZ12" i="5"/>
  <c r="AY295" i="5"/>
  <c r="AY296" i="5"/>
  <c r="AY297" i="5"/>
  <c r="AY298" i="5"/>
  <c r="AY299" i="5"/>
  <c r="AY300" i="5"/>
  <c r="AY301" i="5"/>
  <c r="AX301" i="5" s="1"/>
  <c r="AY302" i="5"/>
  <c r="AY303" i="5"/>
  <c r="AY304" i="5"/>
  <c r="AY305" i="5"/>
  <c r="AX305" i="5" s="1"/>
  <c r="AY306" i="5"/>
  <c r="AY307" i="5"/>
  <c r="AY308" i="5"/>
  <c r="AY309" i="5"/>
  <c r="AX309" i="5" s="1"/>
  <c r="AY310" i="5"/>
  <c r="AY311" i="5"/>
  <c r="AY312" i="5"/>
  <c r="AY313" i="5"/>
  <c r="AY314" i="5"/>
  <c r="AY315" i="5"/>
  <c r="AY316" i="5"/>
  <c r="AY317" i="5"/>
  <c r="AX317" i="5" s="1"/>
  <c r="AY318" i="5"/>
  <c r="AY319" i="5"/>
  <c r="AY320" i="5"/>
  <c r="AY321" i="5"/>
  <c r="AX321" i="5" s="1"/>
  <c r="AY322" i="5"/>
  <c r="AY323" i="5"/>
  <c r="AY324" i="5"/>
  <c r="AY325" i="5"/>
  <c r="AX325" i="5" s="1"/>
  <c r="AY326" i="5"/>
  <c r="AY327" i="5"/>
  <c r="AY328" i="5"/>
  <c r="AY329" i="5"/>
  <c r="AY330" i="5"/>
  <c r="AY331" i="5"/>
  <c r="AY332" i="5"/>
  <c r="AY333" i="5"/>
  <c r="AX333" i="5" s="1"/>
  <c r="AY334" i="5"/>
  <c r="AY335" i="5"/>
  <c r="AY336" i="5"/>
  <c r="AY337" i="5"/>
  <c r="AX337" i="5" s="1"/>
  <c r="AY338" i="5"/>
  <c r="AY339" i="5"/>
  <c r="AY340" i="5"/>
  <c r="AY341" i="5"/>
  <c r="AY342" i="5"/>
  <c r="AY343" i="5"/>
  <c r="AX343" i="5" s="1"/>
  <c r="AY344" i="5"/>
  <c r="AY345" i="5"/>
  <c r="AY346" i="5"/>
  <c r="AY347" i="5"/>
  <c r="AY348" i="5"/>
  <c r="AY349" i="5"/>
  <c r="AX349" i="5" s="1"/>
  <c r="AY350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3" i="5"/>
  <c r="AY104" i="5"/>
  <c r="AY105" i="5"/>
  <c r="AY106" i="5"/>
  <c r="AY107" i="5"/>
  <c r="AY108" i="5"/>
  <c r="AY109" i="5"/>
  <c r="AY110" i="5"/>
  <c r="AY111" i="5"/>
  <c r="AY112" i="5"/>
  <c r="AY113" i="5"/>
  <c r="AY114" i="5"/>
  <c r="AY115" i="5"/>
  <c r="AY116" i="5"/>
  <c r="AY117" i="5"/>
  <c r="AY118" i="5"/>
  <c r="AY119" i="5"/>
  <c r="AY120" i="5"/>
  <c r="AY121" i="5"/>
  <c r="AY122" i="5"/>
  <c r="AY123" i="5"/>
  <c r="AY124" i="5"/>
  <c r="AY125" i="5"/>
  <c r="AY126" i="5"/>
  <c r="AY127" i="5"/>
  <c r="AY128" i="5"/>
  <c r="AY129" i="5"/>
  <c r="AY130" i="5"/>
  <c r="AY131" i="5"/>
  <c r="AY132" i="5"/>
  <c r="AY133" i="5"/>
  <c r="AY134" i="5"/>
  <c r="AY135" i="5"/>
  <c r="AY136" i="5"/>
  <c r="AY137" i="5"/>
  <c r="AY138" i="5"/>
  <c r="AY139" i="5"/>
  <c r="AY140" i="5"/>
  <c r="AY141" i="5"/>
  <c r="AY142" i="5"/>
  <c r="AY143" i="5"/>
  <c r="AY144" i="5"/>
  <c r="AY145" i="5"/>
  <c r="AY146" i="5"/>
  <c r="AY147" i="5"/>
  <c r="AY148" i="5"/>
  <c r="AY149" i="5"/>
  <c r="AY150" i="5"/>
  <c r="AY151" i="5"/>
  <c r="AY152" i="5"/>
  <c r="AY153" i="5"/>
  <c r="AY154" i="5"/>
  <c r="AY155" i="5"/>
  <c r="AY156" i="5"/>
  <c r="AY157" i="5"/>
  <c r="AY158" i="5"/>
  <c r="AY159" i="5"/>
  <c r="AY160" i="5"/>
  <c r="AY161" i="5"/>
  <c r="AY162" i="5"/>
  <c r="AY163" i="5"/>
  <c r="AY164" i="5"/>
  <c r="AY165" i="5"/>
  <c r="AY166" i="5"/>
  <c r="AY167" i="5"/>
  <c r="AY168" i="5"/>
  <c r="AY169" i="5"/>
  <c r="AY170" i="5"/>
  <c r="AY171" i="5"/>
  <c r="AY172" i="5"/>
  <c r="AY173" i="5"/>
  <c r="AY174" i="5"/>
  <c r="AY175" i="5"/>
  <c r="AY176" i="5"/>
  <c r="AY177" i="5"/>
  <c r="AY178" i="5"/>
  <c r="AY179" i="5"/>
  <c r="AY180" i="5"/>
  <c r="AY181" i="5"/>
  <c r="AY182" i="5"/>
  <c r="AY183" i="5"/>
  <c r="AY184" i="5"/>
  <c r="AY185" i="5"/>
  <c r="AY186" i="5"/>
  <c r="AY187" i="5"/>
  <c r="AY188" i="5"/>
  <c r="AY189" i="5"/>
  <c r="AY190" i="5"/>
  <c r="AY191" i="5"/>
  <c r="AY192" i="5"/>
  <c r="AY193" i="5"/>
  <c r="AY194" i="5"/>
  <c r="AY195" i="5"/>
  <c r="AY196" i="5"/>
  <c r="AY197" i="5"/>
  <c r="AY198" i="5"/>
  <c r="AY199" i="5"/>
  <c r="AY200" i="5"/>
  <c r="AY201" i="5"/>
  <c r="AY202" i="5"/>
  <c r="AY203" i="5"/>
  <c r="AY204" i="5"/>
  <c r="AY205" i="5"/>
  <c r="AY206" i="5"/>
  <c r="AY207" i="5"/>
  <c r="AY208" i="5"/>
  <c r="AY209" i="5"/>
  <c r="AY210" i="5"/>
  <c r="AY211" i="5"/>
  <c r="AY212" i="5"/>
  <c r="AY213" i="5"/>
  <c r="AY214" i="5"/>
  <c r="AY215" i="5"/>
  <c r="AY216" i="5"/>
  <c r="AY217" i="5"/>
  <c r="AY218" i="5"/>
  <c r="AY219" i="5"/>
  <c r="AY220" i="5"/>
  <c r="AY221" i="5"/>
  <c r="AY222" i="5"/>
  <c r="AY223" i="5"/>
  <c r="AY224" i="5"/>
  <c r="AY225" i="5"/>
  <c r="AY226" i="5"/>
  <c r="AY227" i="5"/>
  <c r="AY228" i="5"/>
  <c r="AY229" i="5"/>
  <c r="AY230" i="5"/>
  <c r="AY231" i="5"/>
  <c r="AY232" i="5"/>
  <c r="AY233" i="5"/>
  <c r="AY234" i="5"/>
  <c r="AY235" i="5"/>
  <c r="AY236" i="5"/>
  <c r="AY237" i="5"/>
  <c r="AY238" i="5"/>
  <c r="AY239" i="5"/>
  <c r="AY240" i="5"/>
  <c r="AY241" i="5"/>
  <c r="AY242" i="5"/>
  <c r="AY243" i="5"/>
  <c r="AY244" i="5"/>
  <c r="AY245" i="5"/>
  <c r="AY246" i="5"/>
  <c r="AY247" i="5"/>
  <c r="AY248" i="5"/>
  <c r="AY249" i="5"/>
  <c r="AY250" i="5"/>
  <c r="AY251" i="5"/>
  <c r="AY252" i="5"/>
  <c r="AY253" i="5"/>
  <c r="AY254" i="5"/>
  <c r="AY255" i="5"/>
  <c r="AY256" i="5"/>
  <c r="AY257" i="5"/>
  <c r="AY258" i="5"/>
  <c r="AY259" i="5"/>
  <c r="AY260" i="5"/>
  <c r="AY261" i="5"/>
  <c r="AY262" i="5"/>
  <c r="AY263" i="5"/>
  <c r="AY264" i="5"/>
  <c r="AY265" i="5"/>
  <c r="AY266" i="5"/>
  <c r="AY267" i="5"/>
  <c r="AY268" i="5"/>
  <c r="AY269" i="5"/>
  <c r="AY270" i="5"/>
  <c r="AY271" i="5"/>
  <c r="AY272" i="5"/>
  <c r="AY273" i="5"/>
  <c r="AY274" i="5"/>
  <c r="AY275" i="5"/>
  <c r="AY276" i="5"/>
  <c r="AY277" i="5"/>
  <c r="AY278" i="5"/>
  <c r="AY279" i="5"/>
  <c r="AY280" i="5"/>
  <c r="AY281" i="5"/>
  <c r="AY282" i="5"/>
  <c r="AY283" i="5"/>
  <c r="AY284" i="5"/>
  <c r="AY285" i="5"/>
  <c r="AY286" i="5"/>
  <c r="AY287" i="5"/>
  <c r="AY288" i="5"/>
  <c r="AY289" i="5"/>
  <c r="AY290" i="5"/>
  <c r="AY291" i="5"/>
  <c r="AY292" i="5"/>
  <c r="AY293" i="5"/>
  <c r="AY294" i="5"/>
  <c r="AY12" i="5"/>
  <c r="AX328" i="5" l="1"/>
  <c r="AX334" i="5"/>
  <c r="AX330" i="5"/>
  <c r="AX326" i="5"/>
  <c r="AX322" i="5"/>
  <c r="AX318" i="5"/>
  <c r="AX314" i="5"/>
  <c r="AX310" i="5"/>
  <c r="AX306" i="5"/>
  <c r="AX302" i="5"/>
  <c r="AX298" i="5"/>
  <c r="AX315" i="5"/>
  <c r="AX295" i="5"/>
  <c r="AX329" i="5"/>
  <c r="AX313" i="5"/>
  <c r="AX297" i="5"/>
  <c r="AX347" i="5"/>
  <c r="AX339" i="5"/>
  <c r="AX335" i="5"/>
  <c r="AX331" i="5"/>
  <c r="AX327" i="5"/>
  <c r="AX323" i="5"/>
  <c r="AX319" i="5"/>
  <c r="AX311" i="5"/>
  <c r="AX307" i="5"/>
  <c r="AX303" i="5"/>
  <c r="AX299" i="5"/>
  <c r="AX348" i="5"/>
  <c r="AX344" i="5"/>
  <c r="AX340" i="5"/>
  <c r="AX336" i="5"/>
  <c r="AX332" i="5"/>
  <c r="AX324" i="5"/>
  <c r="AX320" i="5"/>
  <c r="AX316" i="5"/>
  <c r="AX312" i="5"/>
  <c r="AX308" i="5"/>
  <c r="AX304" i="5"/>
  <c r="AX300" i="5"/>
  <c r="AX296" i="5"/>
  <c r="AA415" i="5"/>
  <c r="AA405" i="5"/>
  <c r="AB385" i="5"/>
  <c r="AA421" i="5"/>
  <c r="AB387" i="5"/>
  <c r="AA387" i="5"/>
  <c r="AA411" i="5"/>
  <c r="AA419" i="5"/>
  <c r="AA391" i="5"/>
  <c r="AA395" i="5"/>
  <c r="AB399" i="5"/>
  <c r="AB401" i="5"/>
  <c r="AB407" i="5"/>
  <c r="AB409" i="5"/>
  <c r="AB413" i="5"/>
  <c r="AB417" i="5"/>
  <c r="AA404" i="5"/>
  <c r="AA406" i="5"/>
  <c r="AA412" i="5"/>
  <c r="AA414" i="5"/>
  <c r="AA420" i="5"/>
  <c r="AA422" i="5"/>
  <c r="AA428" i="5"/>
  <c r="AA430" i="5"/>
  <c r="AB400" i="5"/>
  <c r="AB402" i="5"/>
  <c r="AB408" i="5"/>
  <c r="AB410" i="5"/>
  <c r="AB416" i="5"/>
  <c r="AB418" i="5"/>
  <c r="AB424" i="5"/>
  <c r="AB426" i="5"/>
  <c r="AB432" i="5"/>
  <c r="AB434" i="5"/>
  <c r="U435" i="5"/>
  <c r="T386" i="5"/>
  <c r="U387" i="5"/>
  <c r="T385" i="5"/>
  <c r="AX350" i="5"/>
  <c r="AX346" i="5"/>
  <c r="AX342" i="5"/>
  <c r="AX338" i="5"/>
  <c r="AX345" i="5"/>
  <c r="AX341" i="5"/>
  <c r="G50" i="5" l="1"/>
  <c r="AP61" i="24" s="1"/>
  <c r="G49" i="5"/>
  <c r="AN62" i="25" s="1"/>
  <c r="G51" i="5"/>
  <c r="G48" i="5"/>
  <c r="AB415" i="5"/>
  <c r="AA403" i="5"/>
  <c r="AA409" i="5"/>
  <c r="AA407" i="5"/>
  <c r="AA429" i="5"/>
  <c r="AA439" i="5"/>
  <c r="AA413" i="5"/>
  <c r="AA399" i="5"/>
  <c r="AA441" i="5"/>
  <c r="AA446" i="5"/>
  <c r="AB430" i="5"/>
  <c r="AB422" i="5"/>
  <c r="AB414" i="5"/>
  <c r="AB406" i="5"/>
  <c r="AB450" i="5"/>
  <c r="AA434" i="5"/>
  <c r="AA426" i="5"/>
  <c r="AA418" i="5"/>
  <c r="AA410" i="5"/>
  <c r="AA402" i="5"/>
  <c r="AB429" i="5"/>
  <c r="AB421" i="5"/>
  <c r="AB405" i="5"/>
  <c r="AA433" i="5"/>
  <c r="AA431" i="5"/>
  <c r="AA453" i="5"/>
  <c r="AA463" i="5"/>
  <c r="AA437" i="5"/>
  <c r="AA401" i="5"/>
  <c r="AA423" i="5"/>
  <c r="AB442" i="5"/>
  <c r="AA454" i="5"/>
  <c r="AA438" i="5"/>
  <c r="AB433" i="5"/>
  <c r="AB468" i="5"/>
  <c r="AB460" i="5"/>
  <c r="AA444" i="5"/>
  <c r="AA436" i="5"/>
  <c r="AB428" i="5"/>
  <c r="AB420" i="5"/>
  <c r="AB412" i="5"/>
  <c r="AB404" i="5"/>
  <c r="AA464" i="5"/>
  <c r="AA432" i="5"/>
  <c r="AA424" i="5"/>
  <c r="AA416" i="5"/>
  <c r="AA408" i="5"/>
  <c r="AA400" i="5"/>
  <c r="AB427" i="5"/>
  <c r="AB419" i="5"/>
  <c r="AB411" i="5"/>
  <c r="AB403" i="5"/>
  <c r="AA451" i="5"/>
  <c r="AA443" i="5"/>
  <c r="AA467" i="5"/>
  <c r="AA457" i="5"/>
  <c r="AA455" i="5"/>
  <c r="AA417" i="5"/>
  <c r="AB425" i="5"/>
  <c r="AA447" i="5"/>
  <c r="U436" i="5"/>
  <c r="T435" i="5"/>
  <c r="U388" i="5"/>
  <c r="T387" i="5"/>
  <c r="AN63" i="25" l="1"/>
  <c r="AP60" i="24"/>
  <c r="AN61" i="25"/>
  <c r="AP59" i="24"/>
  <c r="AN64" i="25"/>
  <c r="AP62" i="24"/>
  <c r="AB462" i="5"/>
  <c r="AA462" i="5"/>
  <c r="AB477" i="5"/>
  <c r="AB435" i="5"/>
  <c r="AB467" i="5"/>
  <c r="AA458" i="5"/>
  <c r="AB454" i="5"/>
  <c r="AA427" i="5"/>
  <c r="AB439" i="5"/>
  <c r="AB456" i="5"/>
  <c r="AB458" i="5"/>
  <c r="AA425" i="5"/>
  <c r="AB443" i="5"/>
  <c r="AA440" i="5"/>
  <c r="AA472" i="5"/>
  <c r="AB436" i="5"/>
  <c r="AB472" i="5"/>
  <c r="AB496" i="5"/>
  <c r="AB437" i="5"/>
  <c r="AA460" i="5"/>
  <c r="AB447" i="5"/>
  <c r="AA461" i="5"/>
  <c r="AA477" i="5"/>
  <c r="AB451" i="5"/>
  <c r="AA448" i="5"/>
  <c r="AB444" i="5"/>
  <c r="AB504" i="5"/>
  <c r="AB476" i="5"/>
  <c r="AB508" i="5"/>
  <c r="AA468" i="5"/>
  <c r="AB457" i="5"/>
  <c r="AA475" i="5"/>
  <c r="AB445" i="5"/>
  <c r="AB481" i="5"/>
  <c r="AA442" i="5"/>
  <c r="AB438" i="5"/>
  <c r="AB474" i="5"/>
  <c r="AB464" i="5"/>
  <c r="AA435" i="5"/>
  <c r="AA473" i="5"/>
  <c r="AA491" i="5"/>
  <c r="AB423" i="5"/>
  <c r="AB455" i="5"/>
  <c r="AA452" i="5"/>
  <c r="AA479" i="5"/>
  <c r="AA487" i="5"/>
  <c r="AB459" i="5"/>
  <c r="AA456" i="5"/>
  <c r="AA492" i="5"/>
  <c r="AA488" i="5"/>
  <c r="AB452" i="5"/>
  <c r="AB484" i="5"/>
  <c r="AB448" i="5"/>
  <c r="AB453" i="5"/>
  <c r="AA450" i="5"/>
  <c r="AA486" i="5"/>
  <c r="AB446" i="5"/>
  <c r="AA471" i="5"/>
  <c r="AB441" i="5"/>
  <c r="AA445" i="5"/>
  <c r="AB431" i="5"/>
  <c r="AB463" i="5"/>
  <c r="AB440" i="5"/>
  <c r="T436" i="5"/>
  <c r="U437" i="5"/>
  <c r="T388" i="5"/>
  <c r="U389" i="5"/>
  <c r="AB478" i="5" l="1"/>
  <c r="AB510" i="5"/>
  <c r="AB482" i="5"/>
  <c r="AA515" i="5"/>
  <c r="AA498" i="5"/>
  <c r="AA506" i="5"/>
  <c r="AA478" i="5"/>
  <c r="AA512" i="5"/>
  <c r="AA503" i="5"/>
  <c r="AA449" i="5"/>
  <c r="AB449" i="5"/>
  <c r="AA511" i="5"/>
  <c r="AA469" i="5"/>
  <c r="AB492" i="5"/>
  <c r="AB469" i="5"/>
  <c r="AA474" i="5"/>
  <c r="AB480" i="5"/>
  <c r="AB516" i="5"/>
  <c r="AA508" i="5"/>
  <c r="AB487" i="5"/>
  <c r="AA466" i="5"/>
  <c r="AB466" i="5"/>
  <c r="AB473" i="5"/>
  <c r="AB520" i="5"/>
  <c r="AA476" i="5"/>
  <c r="AB479" i="5"/>
  <c r="AB518" i="5"/>
  <c r="AB512" i="5"/>
  <c r="AB491" i="5"/>
  <c r="AA465" i="5"/>
  <c r="AA513" i="5"/>
  <c r="AB465" i="5"/>
  <c r="AB522" i="5"/>
  <c r="AA534" i="5"/>
  <c r="AA523" i="5"/>
  <c r="AB489" i="5"/>
  <c r="AA504" i="5"/>
  <c r="AB475" i="5"/>
  <c r="AB539" i="5"/>
  <c r="AB461" i="5"/>
  <c r="AA481" i="5"/>
  <c r="AA496" i="5"/>
  <c r="AB495" i="5"/>
  <c r="AB493" i="5"/>
  <c r="AB506" i="5"/>
  <c r="AA482" i="5"/>
  <c r="AB488" i="5"/>
  <c r="AA516" i="5"/>
  <c r="AB470" i="5"/>
  <c r="AA470" i="5"/>
  <c r="AB542" i="5"/>
  <c r="AA502" i="5"/>
  <c r="AB528" i="5"/>
  <c r="AA484" i="5"/>
  <c r="AA501" i="5"/>
  <c r="AA505" i="5"/>
  <c r="AA537" i="5"/>
  <c r="AA497" i="5"/>
  <c r="AB532" i="5"/>
  <c r="AA536" i="5"/>
  <c r="AB527" i="5"/>
  <c r="AA459" i="5"/>
  <c r="AB490" i="5"/>
  <c r="AA494" i="5"/>
  <c r="AB471" i="5"/>
  <c r="AB486" i="5"/>
  <c r="AA480" i="5"/>
  <c r="U438" i="5"/>
  <c r="T437" i="5"/>
  <c r="U390" i="5"/>
  <c r="T389" i="5"/>
  <c r="AA483" i="5" l="1"/>
  <c r="AA520" i="5"/>
  <c r="AA485" i="5"/>
  <c r="AB502" i="5"/>
  <c r="AA532" i="5"/>
  <c r="AA527" i="5"/>
  <c r="AB537" i="5"/>
  <c r="AB507" i="5"/>
  <c r="AB536" i="5"/>
  <c r="AA493" i="5"/>
  <c r="AA517" i="5"/>
  <c r="AA541" i="5"/>
  <c r="AA529" i="5"/>
  <c r="AA521" i="5"/>
  <c r="AA551" i="5"/>
  <c r="AB511" i="5"/>
  <c r="AB497" i="5"/>
  <c r="AB509" i="5"/>
  <c r="AA489" i="5"/>
  <c r="AA549" i="5"/>
  <c r="AA539" i="5"/>
  <c r="AA522" i="5"/>
  <c r="AA542" i="5"/>
  <c r="AB485" i="5"/>
  <c r="AB483" i="5"/>
  <c r="AB513" i="5"/>
  <c r="AA490" i="5"/>
  <c r="AA514" i="5"/>
  <c r="AA495" i="5"/>
  <c r="AB498" i="5"/>
  <c r="AB546" i="5"/>
  <c r="AA510" i="5"/>
  <c r="AB515" i="5"/>
  <c r="AB549" i="5"/>
  <c r="AB501" i="5"/>
  <c r="AB521" i="5"/>
  <c r="AB514" i="5"/>
  <c r="AA500" i="5"/>
  <c r="AB494" i="5"/>
  <c r="AB530" i="5"/>
  <c r="AA544" i="5"/>
  <c r="AA519" i="5"/>
  <c r="AB534" i="5"/>
  <c r="AA528" i="5"/>
  <c r="AA552" i="5"/>
  <c r="AA547" i="5"/>
  <c r="AA499" i="5"/>
  <c r="AB499" i="5"/>
  <c r="AA538" i="5"/>
  <c r="AB523" i="5"/>
  <c r="AA553" i="5"/>
  <c r="AA535" i="5"/>
  <c r="AB500" i="5"/>
  <c r="AB505" i="5"/>
  <c r="AB526" i="5"/>
  <c r="AA524" i="5"/>
  <c r="AB503" i="5"/>
  <c r="AA518" i="5"/>
  <c r="T438" i="5"/>
  <c r="U439" i="5"/>
  <c r="T390" i="5"/>
  <c r="U391" i="5"/>
  <c r="AB552" i="5" l="1"/>
  <c r="AA543" i="5"/>
  <c r="AB519" i="5"/>
  <c r="AB544" i="5"/>
  <c r="AB551" i="5"/>
  <c r="AA530" i="5"/>
  <c r="AB554" i="5"/>
  <c r="AB548" i="5"/>
  <c r="AA548" i="5"/>
  <c r="AB547" i="5"/>
  <c r="AB540" i="5"/>
  <c r="AA540" i="5"/>
  <c r="AB517" i="5"/>
  <c r="AA507" i="5"/>
  <c r="AA546" i="5"/>
  <c r="AB543" i="5"/>
  <c r="AA525" i="5"/>
  <c r="AB525" i="5"/>
  <c r="AB541" i="5"/>
  <c r="AB535" i="5"/>
  <c r="AA509" i="5"/>
  <c r="AA545" i="5"/>
  <c r="AB529" i="5"/>
  <c r="AA526" i="5"/>
  <c r="AB553" i="5"/>
  <c r="AB524" i="5"/>
  <c r="AB538" i="5"/>
  <c r="AA550" i="5"/>
  <c r="AB531" i="5"/>
  <c r="U440" i="5"/>
  <c r="T439" i="5"/>
  <c r="U392" i="5"/>
  <c r="T391" i="5"/>
  <c r="AB545" i="5" l="1"/>
  <c r="AA531" i="5"/>
  <c r="AB550" i="5"/>
  <c r="AA533" i="5"/>
  <c r="AB533" i="5"/>
  <c r="AA554" i="5"/>
  <c r="T440" i="5"/>
  <c r="U441" i="5"/>
  <c r="T392" i="5"/>
  <c r="U393" i="5"/>
  <c r="T441" i="5" l="1"/>
  <c r="U442" i="5"/>
  <c r="U394" i="5"/>
  <c r="T393" i="5"/>
  <c r="T442" i="5" l="1"/>
  <c r="U443" i="5"/>
  <c r="T394" i="5"/>
  <c r="U395" i="5"/>
  <c r="T443" i="5" l="1"/>
  <c r="U444" i="5"/>
  <c r="U396" i="5"/>
  <c r="T395" i="5"/>
  <c r="T444" i="5" l="1"/>
  <c r="U445" i="5"/>
  <c r="T396" i="5"/>
  <c r="U397" i="5"/>
  <c r="T445" i="5" l="1"/>
  <c r="U446" i="5"/>
  <c r="U398" i="5"/>
  <c r="T397" i="5"/>
  <c r="T446" i="5" l="1"/>
  <c r="U447" i="5"/>
  <c r="T398" i="5"/>
  <c r="U399" i="5"/>
  <c r="T447" i="5" l="1"/>
  <c r="U448" i="5"/>
  <c r="U400" i="5"/>
  <c r="T399" i="5"/>
  <c r="T448" i="5" l="1"/>
  <c r="U449" i="5"/>
  <c r="T400" i="5"/>
  <c r="U401" i="5"/>
  <c r="T449" i="5" l="1"/>
  <c r="U450" i="5"/>
  <c r="U402" i="5"/>
  <c r="T401" i="5"/>
  <c r="T450" i="5" l="1"/>
  <c r="U451" i="5"/>
  <c r="T402" i="5"/>
  <c r="U403" i="5"/>
  <c r="T451" i="5" l="1"/>
  <c r="U452" i="5"/>
  <c r="U404" i="5"/>
  <c r="T403" i="5"/>
  <c r="T452" i="5" l="1"/>
  <c r="U453" i="5"/>
  <c r="T404" i="5"/>
  <c r="U405" i="5"/>
  <c r="T453" i="5" l="1"/>
  <c r="U454" i="5"/>
  <c r="U406" i="5"/>
  <c r="T405" i="5"/>
  <c r="T454" i="5" l="1"/>
  <c r="U455" i="5"/>
  <c r="T406" i="5"/>
  <c r="U407" i="5"/>
  <c r="T455" i="5" l="1"/>
  <c r="U456" i="5"/>
  <c r="U408" i="5"/>
  <c r="T407" i="5"/>
  <c r="T456" i="5" l="1"/>
  <c r="U457" i="5"/>
  <c r="T408" i="5"/>
  <c r="U409" i="5"/>
  <c r="T457" i="5" l="1"/>
  <c r="U458" i="5"/>
  <c r="U410" i="5"/>
  <c r="T409" i="5"/>
  <c r="T458" i="5" l="1"/>
  <c r="U459" i="5"/>
  <c r="T410" i="5"/>
  <c r="U411" i="5"/>
  <c r="T459" i="5" l="1"/>
  <c r="U460" i="5"/>
  <c r="U412" i="5"/>
  <c r="T411" i="5"/>
  <c r="T460" i="5" l="1"/>
  <c r="U461" i="5"/>
  <c r="T412" i="5"/>
  <c r="U413" i="5"/>
  <c r="T461" i="5" l="1"/>
  <c r="U462" i="5"/>
  <c r="U414" i="5"/>
  <c r="T413" i="5"/>
  <c r="T462" i="5" l="1"/>
  <c r="U463" i="5"/>
  <c r="T414" i="5"/>
  <c r="U415" i="5"/>
  <c r="T463" i="5" l="1"/>
  <c r="U464" i="5"/>
  <c r="U416" i="5"/>
  <c r="T415" i="5"/>
  <c r="T464" i="5" l="1"/>
  <c r="U465" i="5"/>
  <c r="T416" i="5"/>
  <c r="U417" i="5"/>
  <c r="T465" i="5" l="1"/>
  <c r="U466" i="5"/>
  <c r="U418" i="5"/>
  <c r="T417" i="5"/>
  <c r="T466" i="5" l="1"/>
  <c r="U467" i="5"/>
  <c r="T418" i="5"/>
  <c r="U419" i="5"/>
  <c r="T467" i="5" l="1"/>
  <c r="U468" i="5"/>
  <c r="U420" i="5"/>
  <c r="T419" i="5"/>
  <c r="T468" i="5" l="1"/>
  <c r="U469" i="5"/>
  <c r="T420" i="5"/>
  <c r="U421" i="5"/>
  <c r="T469" i="5" l="1"/>
  <c r="U470" i="5"/>
  <c r="U422" i="5"/>
  <c r="T421" i="5"/>
  <c r="T470" i="5" l="1"/>
  <c r="U471" i="5"/>
  <c r="T422" i="5"/>
  <c r="U423" i="5"/>
  <c r="T471" i="5" l="1"/>
  <c r="U472" i="5"/>
  <c r="U424" i="5"/>
  <c r="T423" i="5"/>
  <c r="T472" i="5" l="1"/>
  <c r="U473" i="5"/>
  <c r="T424" i="5"/>
  <c r="U425" i="5"/>
  <c r="T473" i="5" l="1"/>
  <c r="U474" i="5"/>
  <c r="U426" i="5"/>
  <c r="T425" i="5"/>
  <c r="T474" i="5" l="1"/>
  <c r="U475" i="5"/>
  <c r="T426" i="5"/>
  <c r="U427" i="5"/>
  <c r="T475" i="5" l="1"/>
  <c r="U476" i="5"/>
  <c r="U428" i="5"/>
  <c r="T427" i="5"/>
  <c r="T476" i="5" l="1"/>
  <c r="U477" i="5"/>
  <c r="T428" i="5"/>
  <c r="U429" i="5"/>
  <c r="T477" i="5" l="1"/>
  <c r="U478" i="5"/>
  <c r="U430" i="5"/>
  <c r="T429" i="5"/>
  <c r="T478" i="5" l="1"/>
  <c r="U479" i="5"/>
  <c r="T430" i="5"/>
  <c r="U431" i="5"/>
  <c r="T479" i="5" l="1"/>
  <c r="U480" i="5"/>
  <c r="U432" i="5"/>
  <c r="T431" i="5"/>
  <c r="T480" i="5" l="1"/>
  <c r="U481" i="5"/>
  <c r="T432" i="5"/>
  <c r="U433" i="5"/>
  <c r="T433" i="5" s="1"/>
  <c r="T481" i="5" l="1"/>
  <c r="U482" i="5"/>
  <c r="T482" i="5" l="1"/>
  <c r="U483" i="5"/>
  <c r="T483" i="5" l="1"/>
  <c r="U484" i="5"/>
  <c r="T484" i="5" l="1"/>
  <c r="U485" i="5"/>
  <c r="T485" i="5" l="1"/>
  <c r="U486" i="5"/>
  <c r="T486" i="5" l="1"/>
  <c r="U487" i="5"/>
  <c r="T487" i="5" l="1"/>
  <c r="U488" i="5"/>
  <c r="T488" i="5" l="1"/>
  <c r="U489" i="5"/>
  <c r="T489" i="5" l="1"/>
  <c r="U490" i="5"/>
  <c r="T490" i="5" l="1"/>
  <c r="U491" i="5"/>
  <c r="T491" i="5" l="1"/>
  <c r="U492" i="5"/>
  <c r="T492" i="5" l="1"/>
  <c r="U493" i="5"/>
  <c r="T493" i="5" l="1"/>
  <c r="U494" i="5"/>
  <c r="T494" i="5" l="1"/>
  <c r="U495" i="5"/>
  <c r="T495" i="5" l="1"/>
  <c r="U496" i="5"/>
  <c r="T496" i="5" l="1"/>
  <c r="U497" i="5"/>
  <c r="T497" i="5" l="1"/>
  <c r="U498" i="5"/>
  <c r="T498" i="5" l="1"/>
  <c r="U499" i="5"/>
  <c r="T499" i="5" l="1"/>
  <c r="U500" i="5"/>
  <c r="T500" i="5" l="1"/>
  <c r="U501" i="5"/>
  <c r="T501" i="5" l="1"/>
  <c r="U502" i="5"/>
  <c r="T502" i="5" l="1"/>
  <c r="U503" i="5"/>
  <c r="T503" i="5" l="1"/>
  <c r="U504" i="5"/>
  <c r="T504" i="5" l="1"/>
  <c r="U505" i="5"/>
  <c r="T505" i="5" l="1"/>
  <c r="U506" i="5"/>
  <c r="T506" i="5" l="1"/>
  <c r="U507" i="5"/>
  <c r="T507" i="5" l="1"/>
  <c r="U508" i="5"/>
  <c r="T508" i="5" l="1"/>
  <c r="U509" i="5"/>
  <c r="T509" i="5" l="1"/>
  <c r="U510" i="5"/>
  <c r="T510" i="5" l="1"/>
  <c r="U511" i="5"/>
  <c r="T511" i="5" l="1"/>
  <c r="U512" i="5"/>
  <c r="T512" i="5" l="1"/>
  <c r="U513" i="5"/>
  <c r="T513" i="5" l="1"/>
  <c r="U514" i="5"/>
  <c r="T514" i="5" l="1"/>
  <c r="U515" i="5"/>
  <c r="T515" i="5" l="1"/>
  <c r="U516" i="5"/>
  <c r="T516" i="5" l="1"/>
  <c r="U517" i="5"/>
  <c r="T517" i="5" l="1"/>
  <c r="U518" i="5"/>
  <c r="T518" i="5" l="1"/>
  <c r="U519" i="5"/>
  <c r="T519" i="5" l="1"/>
  <c r="U520" i="5"/>
  <c r="T520" i="5" l="1"/>
  <c r="U521" i="5"/>
  <c r="T521" i="5" l="1"/>
  <c r="U522" i="5"/>
  <c r="T522" i="5" l="1"/>
  <c r="U523" i="5"/>
  <c r="T523" i="5" l="1"/>
  <c r="U524" i="5"/>
  <c r="T524" i="5" l="1"/>
  <c r="U525" i="5"/>
  <c r="T525" i="5" l="1"/>
  <c r="U526" i="5"/>
  <c r="T526" i="5" l="1"/>
  <c r="U527" i="5"/>
  <c r="T527" i="5" l="1"/>
  <c r="U528" i="5"/>
  <c r="T528" i="5" l="1"/>
  <c r="U529" i="5"/>
  <c r="T529" i="5" l="1"/>
  <c r="U530" i="5"/>
  <c r="T530" i="5" l="1"/>
  <c r="U531" i="5"/>
  <c r="T531" i="5" l="1"/>
  <c r="U532" i="5"/>
  <c r="T532" i="5" l="1"/>
  <c r="U533" i="5"/>
  <c r="T533" i="5" l="1"/>
  <c r="U534" i="5"/>
  <c r="T534" i="5" l="1"/>
  <c r="U535" i="5"/>
  <c r="T535" i="5" l="1"/>
  <c r="U536" i="5"/>
  <c r="T536" i="5" l="1"/>
  <c r="U537" i="5"/>
  <c r="T537" i="5" l="1"/>
  <c r="U538" i="5"/>
  <c r="T538" i="5" l="1"/>
  <c r="U539" i="5"/>
  <c r="T539" i="5" l="1"/>
  <c r="U540" i="5"/>
  <c r="T540" i="5" l="1"/>
  <c r="U541" i="5"/>
  <c r="T541" i="5" l="1"/>
  <c r="U542" i="5"/>
  <c r="T542" i="5" l="1"/>
  <c r="U543" i="5"/>
  <c r="T543" i="5" l="1"/>
  <c r="U544" i="5"/>
  <c r="T544" i="5" l="1"/>
  <c r="U545" i="5"/>
  <c r="T545" i="5" l="1"/>
  <c r="U546" i="5"/>
  <c r="T546" i="5" l="1"/>
  <c r="U547" i="5"/>
  <c r="T547" i="5" l="1"/>
  <c r="U548" i="5"/>
  <c r="T548" i="5" l="1"/>
  <c r="U549" i="5"/>
  <c r="T549" i="5" l="1"/>
  <c r="U550" i="5"/>
  <c r="T550" i="5" l="1"/>
  <c r="U551" i="5"/>
  <c r="T551" i="5" l="1"/>
  <c r="U552" i="5"/>
  <c r="T552" i="5" l="1"/>
  <c r="U553" i="5"/>
  <c r="T553" i="5" l="1"/>
  <c r="U554" i="5"/>
  <c r="T554" i="5" l="1"/>
  <c r="AI19" i="5" l="1"/>
  <c r="BI16" i="25"/>
  <c r="BK15" i="25"/>
  <c r="BK14" i="25"/>
  <c r="BD41" i="25"/>
  <c r="O30" i="4"/>
  <c r="J29" i="4"/>
  <c r="M29" i="4"/>
  <c r="L29" i="4"/>
  <c r="D29" i="4"/>
  <c r="N15" i="4"/>
  <c r="M15" i="4"/>
  <c r="D43" i="4"/>
  <c r="O29" i="4" l="1"/>
  <c r="O43" i="4"/>
  <c r="G43" i="4"/>
  <c r="O41" i="4"/>
  <c r="M41" i="4"/>
  <c r="L41" i="4"/>
  <c r="K41" i="4"/>
  <c r="AR16" i="25" s="1"/>
  <c r="J41" i="4"/>
  <c r="H41" i="4"/>
  <c r="G41" i="4"/>
  <c r="E41" i="4"/>
  <c r="D41" i="4"/>
  <c r="O40" i="4"/>
  <c r="M40" i="4"/>
  <c r="L40" i="4"/>
  <c r="K40" i="4"/>
  <c r="J40" i="4"/>
  <c r="H40" i="4"/>
  <c r="G40" i="4"/>
  <c r="E40" i="4"/>
  <c r="D40" i="4"/>
  <c r="AF28" i="2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E41" i="25" s="1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15" i="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42" i="25" l="1"/>
  <c r="BD39" i="24"/>
  <c r="AF39" i="24"/>
  <c r="AJ39" i="24"/>
  <c r="BB39" i="24"/>
  <c r="AH39" i="24"/>
  <c r="AR39" i="24"/>
  <c r="M41" i="25"/>
  <c r="M42" i="25" s="1"/>
  <c r="M43" i="25" s="1"/>
  <c r="M44" i="25" s="1"/>
  <c r="M45" i="25" s="1"/>
  <c r="M46" i="25" s="1"/>
  <c r="M47" i="25" s="1"/>
  <c r="M48" i="25" s="1"/>
  <c r="M49" i="25" s="1"/>
  <c r="M50" i="25" s="1"/>
  <c r="M51" i="25" s="1"/>
  <c r="M52" i="25" s="1"/>
  <c r="M53" i="25" s="1"/>
  <c r="M54" i="25" s="1"/>
  <c r="M55" i="25" s="1"/>
  <c r="M56" i="25" s="1"/>
  <c r="M57" i="25" s="1"/>
  <c r="M58" i="25" s="1"/>
  <c r="M59" i="25" s="1"/>
  <c r="M60" i="25" s="1"/>
  <c r="M61" i="25" s="1"/>
  <c r="M62" i="25" s="1"/>
  <c r="M63" i="25" s="1"/>
  <c r="M64" i="25" s="1"/>
  <c r="M65" i="25" s="1"/>
  <c r="M66" i="25" s="1"/>
  <c r="M67" i="25" s="1"/>
  <c r="M68" i="25" s="1"/>
  <c r="M69" i="25" s="1"/>
  <c r="M70" i="25" s="1"/>
  <c r="M71" i="25" s="1"/>
  <c r="AR41" i="25"/>
  <c r="G52" i="5"/>
  <c r="N41" i="4"/>
  <c r="I41" i="4"/>
  <c r="D42" i="4"/>
  <c r="AV16" i="25" s="1"/>
  <c r="H29" i="4"/>
  <c r="J42" i="4"/>
  <c r="AR15" i="25" s="1"/>
  <c r="AF41" i="25" s="1"/>
  <c r="L42" i="4"/>
  <c r="AV11" i="25" s="1"/>
  <c r="AH41" i="25" s="1"/>
  <c r="M42" i="4"/>
  <c r="I40" i="4"/>
  <c r="N40" i="4"/>
  <c r="N42" i="4" s="1"/>
  <c r="AP63" i="24" l="1"/>
  <c r="G53" i="5"/>
  <c r="AN65" i="25"/>
  <c r="AP65" i="25" s="1"/>
  <c r="AF40" i="24"/>
  <c r="H42" i="4"/>
  <c r="AR14" i="25" s="1"/>
  <c r="O42" i="4"/>
  <c r="AV13" i="25" s="1"/>
  <c r="AJ41" i="25" s="1"/>
  <c r="AP63" i="25" l="1"/>
  <c r="AP62" i="25"/>
  <c r="AP61" i="25"/>
  <c r="AP64" i="25"/>
  <c r="G54" i="5"/>
  <c r="AP64" i="24"/>
  <c r="AN66" i="25"/>
  <c r="AP66" i="25" s="1"/>
  <c r="Q71" i="25"/>
  <c r="G71" i="25"/>
  <c r="AD71" i="25" s="1"/>
  <c r="Q70" i="25"/>
  <c r="G70" i="25"/>
  <c r="AD70" i="25" s="1"/>
  <c r="Q69" i="25"/>
  <c r="G69" i="25"/>
  <c r="AD69" i="25" s="1"/>
  <c r="Q68" i="25"/>
  <c r="G68" i="25"/>
  <c r="AD68" i="25" s="1"/>
  <c r="Q67" i="25"/>
  <c r="G67" i="25"/>
  <c r="AD67" i="25" s="1"/>
  <c r="Q66" i="25"/>
  <c r="G66" i="25"/>
  <c r="AD66" i="25" s="1"/>
  <c r="Q65" i="25"/>
  <c r="G65" i="25"/>
  <c r="AD65" i="25" s="1"/>
  <c r="Q64" i="25"/>
  <c r="G64" i="25"/>
  <c r="AD64" i="25" s="1"/>
  <c r="Q63" i="25"/>
  <c r="G63" i="25"/>
  <c r="AD63" i="25" s="1"/>
  <c r="Q62" i="25"/>
  <c r="G62" i="25"/>
  <c r="AD62" i="25" s="1"/>
  <c r="Q61" i="25"/>
  <c r="G61" i="25"/>
  <c r="AD61" i="25" s="1"/>
  <c r="Q60" i="25"/>
  <c r="G60" i="25"/>
  <c r="AD60" i="25" s="1"/>
  <c r="Q59" i="25"/>
  <c r="G59" i="25"/>
  <c r="AD59" i="25" s="1"/>
  <c r="Q58" i="25"/>
  <c r="G58" i="25"/>
  <c r="AD58" i="25" s="1"/>
  <c r="Q57" i="25"/>
  <c r="G57" i="25"/>
  <c r="AD57" i="25" s="1"/>
  <c r="Q56" i="25"/>
  <c r="G56" i="25"/>
  <c r="AD56" i="25" s="1"/>
  <c r="Q55" i="25"/>
  <c r="G55" i="25"/>
  <c r="AD55" i="25" s="1"/>
  <c r="Q54" i="25"/>
  <c r="G54" i="25"/>
  <c r="AD54" i="25" s="1"/>
  <c r="Q53" i="25"/>
  <c r="G53" i="25"/>
  <c r="AD53" i="25" s="1"/>
  <c r="Q52" i="25"/>
  <c r="G52" i="25"/>
  <c r="AD52" i="25" s="1"/>
  <c r="Q51" i="25"/>
  <c r="G51" i="25"/>
  <c r="AD51" i="25" s="1"/>
  <c r="Q50" i="25"/>
  <c r="G50" i="25"/>
  <c r="AD50" i="25" s="1"/>
  <c r="Q49" i="25"/>
  <c r="G49" i="25"/>
  <c r="AD49" i="25" s="1"/>
  <c r="Q48" i="25"/>
  <c r="G48" i="25"/>
  <c r="AD48" i="25" s="1"/>
  <c r="Q47" i="25"/>
  <c r="G47" i="25"/>
  <c r="AD47" i="25" s="1"/>
  <c r="Q46" i="25"/>
  <c r="G46" i="25"/>
  <c r="AD46" i="25" s="1"/>
  <c r="Q45" i="25"/>
  <c r="G45" i="25"/>
  <c r="AD45" i="25" s="1"/>
  <c r="Q44" i="25"/>
  <c r="G44" i="25"/>
  <c r="AD44" i="25" s="1"/>
  <c r="Q43" i="25"/>
  <c r="G43" i="25"/>
  <c r="AD43" i="25" s="1"/>
  <c r="Q42" i="25"/>
  <c r="G42" i="25"/>
  <c r="Q41" i="25"/>
  <c r="Q73" i="25" s="1"/>
  <c r="O41" i="25"/>
  <c r="O73" i="25" s="1"/>
  <c r="G41" i="25"/>
  <c r="AD41" i="25" s="1"/>
  <c r="AD40" i="25"/>
  <c r="AL40" i="25" s="1"/>
  <c r="AD39" i="25"/>
  <c r="AL39" i="25" s="1"/>
  <c r="AD38" i="25"/>
  <c r="AL38" i="25" s="1"/>
  <c r="AD37" i="25"/>
  <c r="AL37" i="25" s="1"/>
  <c r="AD36" i="25"/>
  <c r="AL36" i="25" s="1"/>
  <c r="AD35" i="25"/>
  <c r="AL35" i="25" s="1"/>
  <c r="AD34" i="25"/>
  <c r="AL34" i="25" s="1"/>
  <c r="AD33" i="25"/>
  <c r="AL33" i="25" s="1"/>
  <c r="AD32" i="25"/>
  <c r="AL32" i="25" s="1"/>
  <c r="AD31" i="25"/>
  <c r="AL31" i="25" s="1"/>
  <c r="AD30" i="25"/>
  <c r="AL30" i="25" s="1"/>
  <c r="AD29" i="25"/>
  <c r="AL29" i="25" s="1"/>
  <c r="C29" i="25"/>
  <c r="C30" i="25" s="1"/>
  <c r="C31" i="25" s="1"/>
  <c r="C32" i="25" s="1"/>
  <c r="C33" i="25" s="1"/>
  <c r="C34" i="25" s="1"/>
  <c r="C35" i="25" s="1"/>
  <c r="C36" i="25" s="1"/>
  <c r="C37" i="25" s="1"/>
  <c r="C38" i="25" s="1"/>
  <c r="C39" i="25" s="1"/>
  <c r="C40" i="25" s="1"/>
  <c r="C41" i="25" s="1"/>
  <c r="C42" i="25" s="1"/>
  <c r="C43" i="25" s="1"/>
  <c r="C44" i="25" s="1"/>
  <c r="C45" i="25" s="1"/>
  <c r="C46" i="25" s="1"/>
  <c r="C47" i="25" s="1"/>
  <c r="C48" i="25" s="1"/>
  <c r="C49" i="25" s="1"/>
  <c r="C50" i="25" s="1"/>
  <c r="C51" i="25" s="1"/>
  <c r="C52" i="25" s="1"/>
  <c r="C53" i="25" s="1"/>
  <c r="C54" i="25" s="1"/>
  <c r="C55" i="25" s="1"/>
  <c r="C56" i="25" s="1"/>
  <c r="C57" i="25" s="1"/>
  <c r="C58" i="25" s="1"/>
  <c r="C59" i="25" s="1"/>
  <c r="C60" i="25" s="1"/>
  <c r="C61" i="25" s="1"/>
  <c r="C62" i="25" s="1"/>
  <c r="C63" i="25" s="1"/>
  <c r="C64" i="25" s="1"/>
  <c r="C65" i="25" s="1"/>
  <c r="C66" i="25" s="1"/>
  <c r="C67" i="25" s="1"/>
  <c r="C68" i="25" s="1"/>
  <c r="C69" i="25" s="1"/>
  <c r="C70" i="25" s="1"/>
  <c r="C71" i="25" s="1"/>
  <c r="BD28" i="25"/>
  <c r="BB28" i="25"/>
  <c r="AZ28" i="25"/>
  <c r="AZ29" i="25" s="1"/>
  <c r="AZ30" i="25" s="1"/>
  <c r="AZ31" i="25" s="1"/>
  <c r="AZ32" i="25" s="1"/>
  <c r="AZ33" i="25" s="1"/>
  <c r="AZ34" i="25" s="1"/>
  <c r="AZ35" i="25" s="1"/>
  <c r="AZ36" i="25" s="1"/>
  <c r="AZ37" i="25" s="1"/>
  <c r="AZ38" i="25" s="1"/>
  <c r="AZ39" i="25" s="1"/>
  <c r="AZ40" i="25" s="1"/>
  <c r="AZ41" i="25" s="1"/>
  <c r="AZ42" i="25" s="1"/>
  <c r="AZ43" i="25" s="1"/>
  <c r="AZ44" i="25" s="1"/>
  <c r="AZ45" i="25" s="1"/>
  <c r="AZ46" i="25" s="1"/>
  <c r="AZ47" i="25" s="1"/>
  <c r="AZ48" i="25" s="1"/>
  <c r="AZ49" i="25" s="1"/>
  <c r="AZ50" i="25" s="1"/>
  <c r="AZ51" i="25" s="1"/>
  <c r="AZ52" i="25" s="1"/>
  <c r="AZ53" i="25" s="1"/>
  <c r="AZ54" i="25" s="1"/>
  <c r="AZ55" i="25" s="1"/>
  <c r="AZ56" i="25" s="1"/>
  <c r="AZ57" i="25" s="1"/>
  <c r="AZ58" i="25" s="1"/>
  <c r="AZ59" i="25" s="1"/>
  <c r="AZ60" i="25" s="1"/>
  <c r="AZ61" i="25" s="1"/>
  <c r="AZ62" i="25" s="1"/>
  <c r="AZ63" i="25" s="1"/>
  <c r="AZ64" i="25" s="1"/>
  <c r="AZ65" i="25" s="1"/>
  <c r="AZ66" i="25" s="1"/>
  <c r="AZ67" i="25" s="1"/>
  <c r="AZ68" i="25" s="1"/>
  <c r="AZ69" i="25" s="1"/>
  <c r="AZ70" i="25" s="1"/>
  <c r="AZ71" i="25" s="1"/>
  <c r="AR28" i="25"/>
  <c r="AJ28" i="25"/>
  <c r="AJ29" i="25" s="1"/>
  <c r="AJ30" i="25" s="1"/>
  <c r="AJ31" i="25" s="1"/>
  <c r="AJ32" i="25" s="1"/>
  <c r="AJ33" i="25" s="1"/>
  <c r="AJ34" i="25" s="1"/>
  <c r="AJ35" i="25" s="1"/>
  <c r="AJ36" i="25" s="1"/>
  <c r="AJ37" i="25" s="1"/>
  <c r="AJ38" i="25" s="1"/>
  <c r="AJ39" i="25" s="1"/>
  <c r="AJ40" i="25" s="1"/>
  <c r="AJ42" i="25" s="1"/>
  <c r="AJ43" i="25" s="1"/>
  <c r="AJ44" i="25" s="1"/>
  <c r="AJ45" i="25" s="1"/>
  <c r="AJ46" i="25" s="1"/>
  <c r="AJ47" i="25" s="1"/>
  <c r="AJ48" i="25" s="1"/>
  <c r="AJ49" i="25" s="1"/>
  <c r="AJ50" i="25" s="1"/>
  <c r="AJ51" i="25" s="1"/>
  <c r="AJ52" i="25" s="1"/>
  <c r="AJ53" i="25" s="1"/>
  <c r="AJ54" i="25" s="1"/>
  <c r="AJ55" i="25" s="1"/>
  <c r="AJ56" i="25" s="1"/>
  <c r="AJ57" i="25" s="1"/>
  <c r="AJ58" i="25" s="1"/>
  <c r="AJ59" i="25" s="1"/>
  <c r="AJ60" i="25" s="1"/>
  <c r="AJ61" i="25" s="1"/>
  <c r="AJ62" i="25" s="1"/>
  <c r="AJ63" i="25" s="1"/>
  <c r="AJ64" i="25" s="1"/>
  <c r="AJ65" i="25" s="1"/>
  <c r="AJ66" i="25" s="1"/>
  <c r="AJ67" i="25" s="1"/>
  <c r="AJ68" i="25" s="1"/>
  <c r="AJ69" i="25" s="1"/>
  <c r="AJ70" i="25" s="1"/>
  <c r="AJ71" i="25" s="1"/>
  <c r="AH28" i="25"/>
  <c r="AB28" i="25"/>
  <c r="AB29" i="25" s="1"/>
  <c r="AB30" i="25" s="1"/>
  <c r="AB31" i="25" s="1"/>
  <c r="AB32" i="25" s="1"/>
  <c r="AB33" i="25" s="1"/>
  <c r="AB34" i="25" s="1"/>
  <c r="AB35" i="25" s="1"/>
  <c r="AB36" i="25" s="1"/>
  <c r="I28" i="25"/>
  <c r="G28" i="25"/>
  <c r="C28" i="25"/>
  <c r="W26" i="25"/>
  <c r="U26" i="25"/>
  <c r="S26" i="25"/>
  <c r="Q26" i="25"/>
  <c r="O26" i="25"/>
  <c r="M26" i="25"/>
  <c r="K26" i="25"/>
  <c r="I12" i="25"/>
  <c r="I11" i="25"/>
  <c r="AR11" i="25" l="1"/>
  <c r="G55" i="5"/>
  <c r="AN67" i="25"/>
  <c r="AP67" i="25" s="1"/>
  <c r="AP65" i="24"/>
  <c r="S41" i="25"/>
  <c r="S44" i="25"/>
  <c r="S42" i="25"/>
  <c r="S43" i="25"/>
  <c r="S45" i="25"/>
  <c r="S46" i="25"/>
  <c r="S47" i="25"/>
  <c r="S48" i="25"/>
  <c r="S49" i="25"/>
  <c r="S50" i="25"/>
  <c r="S51" i="25"/>
  <c r="S52" i="25"/>
  <c r="S53" i="25"/>
  <c r="S54" i="25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1" i="25"/>
  <c r="S70" i="25"/>
  <c r="AD42" i="25"/>
  <c r="G73" i="25"/>
  <c r="K73" i="25"/>
  <c r="BF28" i="25"/>
  <c r="AP32" i="25"/>
  <c r="AV32" i="25" s="1"/>
  <c r="S28" i="25"/>
  <c r="BD29" i="25"/>
  <c r="BD30" i="25" s="1"/>
  <c r="BD31" i="25" s="1"/>
  <c r="BD32" i="25" s="1"/>
  <c r="BD33" i="25" s="1"/>
  <c r="BD34" i="25" s="1"/>
  <c r="BD35" i="25" s="1"/>
  <c r="BD36" i="25" s="1"/>
  <c r="BD37" i="25" s="1"/>
  <c r="BD38" i="25" s="1"/>
  <c r="BD39" i="25" s="1"/>
  <c r="BD40" i="25" s="1"/>
  <c r="BD42" i="25" s="1"/>
  <c r="BD43" i="25" s="1"/>
  <c r="BD44" i="25" s="1"/>
  <c r="BD45" i="25" s="1"/>
  <c r="BD46" i="25" s="1"/>
  <c r="BD47" i="25" s="1"/>
  <c r="BD48" i="25" s="1"/>
  <c r="BD49" i="25" s="1"/>
  <c r="BD50" i="25" s="1"/>
  <c r="BD51" i="25" s="1"/>
  <c r="BD52" i="25" s="1"/>
  <c r="BD53" i="25" s="1"/>
  <c r="BD54" i="25" s="1"/>
  <c r="BD55" i="25" s="1"/>
  <c r="BD56" i="25" s="1"/>
  <c r="BD57" i="25" s="1"/>
  <c r="BD58" i="25" s="1"/>
  <c r="BD59" i="25" s="1"/>
  <c r="BD60" i="25" s="1"/>
  <c r="BD61" i="25" s="1"/>
  <c r="BD62" i="25" s="1"/>
  <c r="BD63" i="25" s="1"/>
  <c r="BD64" i="25" s="1"/>
  <c r="BD65" i="25" s="1"/>
  <c r="BD66" i="25" s="1"/>
  <c r="BD67" i="25" s="1"/>
  <c r="BD68" i="25" s="1"/>
  <c r="BD69" i="25" s="1"/>
  <c r="BD70" i="25" s="1"/>
  <c r="BD71" i="25" s="1"/>
  <c r="AP31" i="25"/>
  <c r="AP35" i="25"/>
  <c r="AB37" i="25"/>
  <c r="AP36" i="25"/>
  <c r="AF29" i="25"/>
  <c r="AP30" i="25"/>
  <c r="AV30" i="25" s="1"/>
  <c r="AP34" i="25"/>
  <c r="K30" i="25"/>
  <c r="K31" i="25" s="1"/>
  <c r="K32" i="25" s="1"/>
  <c r="K33" i="25" s="1"/>
  <c r="K34" i="25" s="1"/>
  <c r="K35" i="25" s="1"/>
  <c r="K36" i="25" s="1"/>
  <c r="K37" i="25" s="1"/>
  <c r="K38" i="25" s="1"/>
  <c r="K39" i="25" s="1"/>
  <c r="K40" i="25" s="1"/>
  <c r="AP29" i="25"/>
  <c r="AP33" i="25"/>
  <c r="AH29" i="25"/>
  <c r="AH30" i="25" s="1"/>
  <c r="AH31" i="25" s="1"/>
  <c r="AH32" i="25" s="1"/>
  <c r="AH33" i="25" s="1"/>
  <c r="AH34" i="25" s="1"/>
  <c r="AH35" i="25" s="1"/>
  <c r="AH36" i="25" s="1"/>
  <c r="AH37" i="25" s="1"/>
  <c r="AH38" i="25" s="1"/>
  <c r="AH39" i="25" s="1"/>
  <c r="AH40" i="25" s="1"/>
  <c r="AH42" i="25" s="1"/>
  <c r="AH43" i="25" s="1"/>
  <c r="AH44" i="25" s="1"/>
  <c r="AH45" i="25" s="1"/>
  <c r="AH46" i="25" s="1"/>
  <c r="AH47" i="25" s="1"/>
  <c r="AH48" i="25" s="1"/>
  <c r="AH49" i="25" s="1"/>
  <c r="AH50" i="25" s="1"/>
  <c r="AH51" i="25" s="1"/>
  <c r="AH52" i="25" s="1"/>
  <c r="AH53" i="25" s="1"/>
  <c r="AH54" i="25" s="1"/>
  <c r="AH55" i="25" s="1"/>
  <c r="AH56" i="25" s="1"/>
  <c r="AH57" i="25" s="1"/>
  <c r="AH58" i="25" s="1"/>
  <c r="AH59" i="25" s="1"/>
  <c r="AH60" i="25" s="1"/>
  <c r="AH61" i="25" s="1"/>
  <c r="AH62" i="25" s="1"/>
  <c r="AH63" i="25" s="1"/>
  <c r="AH64" i="25" s="1"/>
  <c r="AH65" i="25" s="1"/>
  <c r="AH66" i="25" s="1"/>
  <c r="AH67" i="25" s="1"/>
  <c r="AH68" i="25" s="1"/>
  <c r="AH69" i="25" s="1"/>
  <c r="AH70" i="25" s="1"/>
  <c r="AH71" i="25" s="1"/>
  <c r="AR29" i="25"/>
  <c r="AR30" i="25" s="1"/>
  <c r="AR31" i="25" s="1"/>
  <c r="AR32" i="25" s="1"/>
  <c r="AR33" i="25" s="1"/>
  <c r="AR34" i="25" s="1"/>
  <c r="AR35" i="25" s="1"/>
  <c r="AR36" i="25" s="1"/>
  <c r="AR37" i="25" s="1"/>
  <c r="AR38" i="25" s="1"/>
  <c r="AR39" i="25" s="1"/>
  <c r="AR40" i="25" s="1"/>
  <c r="AR42" i="25" s="1"/>
  <c r="AJ73" i="25"/>
  <c r="AD28" i="25"/>
  <c r="I29" i="25"/>
  <c r="BB29" i="25"/>
  <c r="AR43" i="25" l="1"/>
  <c r="AR44" i="25" s="1"/>
  <c r="AR45" i="25" s="1"/>
  <c r="AR46" i="25" s="1"/>
  <c r="AR47" i="25" s="1"/>
  <c r="AR48" i="25" s="1"/>
  <c r="AR49" i="25" s="1"/>
  <c r="AR50" i="25" s="1"/>
  <c r="AR51" i="25" s="1"/>
  <c r="AR52" i="25" s="1"/>
  <c r="AR53" i="25" s="1"/>
  <c r="AR54" i="25" s="1"/>
  <c r="AR55" i="25" s="1"/>
  <c r="AR56" i="25" s="1"/>
  <c r="AR57" i="25" s="1"/>
  <c r="AR58" i="25" s="1"/>
  <c r="AR59" i="25" s="1"/>
  <c r="AR60" i="25" s="1"/>
  <c r="AR61" i="25" s="1"/>
  <c r="AR62" i="25" s="1"/>
  <c r="AR63" i="25" s="1"/>
  <c r="AR64" i="25" s="1"/>
  <c r="AR65" i="25" s="1"/>
  <c r="AR66" i="25" s="1"/>
  <c r="AR67" i="25" s="1"/>
  <c r="AR68" i="25" s="1"/>
  <c r="AR69" i="25" s="1"/>
  <c r="AR70" i="25" s="1"/>
  <c r="AR71" i="25" s="1"/>
  <c r="G56" i="5"/>
  <c r="AN68" i="25"/>
  <c r="AP68" i="25" s="1"/>
  <c r="AP66" i="24"/>
  <c r="BK11" i="25"/>
  <c r="BF41" i="25" s="1"/>
  <c r="AL41" i="25"/>
  <c r="AD73" i="25"/>
  <c r="AL28" i="25"/>
  <c r="AV34" i="25"/>
  <c r="BD73" i="25"/>
  <c r="BB30" i="25"/>
  <c r="BF29" i="25"/>
  <c r="AV33" i="25"/>
  <c r="AF30" i="25"/>
  <c r="AV35" i="25"/>
  <c r="I30" i="25"/>
  <c r="S29" i="25"/>
  <c r="AH73" i="25"/>
  <c r="AV29" i="25"/>
  <c r="AV36" i="25"/>
  <c r="AV31" i="25"/>
  <c r="AV28" i="25"/>
  <c r="AB38" i="25"/>
  <c r="AP37" i="25"/>
  <c r="AV37" i="25" s="1"/>
  <c r="AR12" i="25" l="1"/>
  <c r="AF12" i="25"/>
  <c r="G57" i="5"/>
  <c r="AN69" i="25"/>
  <c r="AP69" i="25" s="1"/>
  <c r="AP67" i="24"/>
  <c r="AR73" i="25"/>
  <c r="AT41" i="25"/>
  <c r="AT29" i="25"/>
  <c r="AX29" i="25" s="1"/>
  <c r="U29" i="25" s="1"/>
  <c r="W29" i="25" s="1"/>
  <c r="Y29" i="25" s="1"/>
  <c r="AB39" i="25"/>
  <c r="AT28" i="25"/>
  <c r="BB31" i="25"/>
  <c r="BF30" i="25"/>
  <c r="I31" i="25"/>
  <c r="S30" i="25"/>
  <c r="AF31" i="25"/>
  <c r="G58" i="5" l="1"/>
  <c r="AP68" i="24"/>
  <c r="AN70" i="25"/>
  <c r="AP70" i="25" s="1"/>
  <c r="AT30" i="25"/>
  <c r="AX30" i="25" s="1"/>
  <c r="U30" i="25" s="1"/>
  <c r="W30" i="25" s="1"/>
  <c r="Y30" i="25" s="1"/>
  <c r="AP38" i="25"/>
  <c r="I32" i="25"/>
  <c r="S31" i="25"/>
  <c r="AB40" i="25"/>
  <c r="AP39" i="25"/>
  <c r="AV39" i="25" s="1"/>
  <c r="BB32" i="25"/>
  <c r="BF31" i="25"/>
  <c r="AX28" i="25"/>
  <c r="AF32" i="25"/>
  <c r="G59" i="5" l="1"/>
  <c r="G60" i="5" s="1"/>
  <c r="AN71" i="25"/>
  <c r="AP71" i="25" s="1"/>
  <c r="AP69" i="24"/>
  <c r="AT31" i="25"/>
  <c r="AX31" i="25" s="1"/>
  <c r="U31" i="25" s="1"/>
  <c r="AB41" i="25"/>
  <c r="AP40" i="25"/>
  <c r="AV38" i="25"/>
  <c r="W31" i="25"/>
  <c r="Y31" i="25" s="1"/>
  <c r="AF33" i="25"/>
  <c r="U28" i="25"/>
  <c r="BB33" i="25"/>
  <c r="BF32" i="25"/>
  <c r="I33" i="25"/>
  <c r="S32" i="25"/>
  <c r="AV40" i="25" l="1"/>
  <c r="AB42" i="25"/>
  <c r="BB34" i="25"/>
  <c r="BF33" i="25"/>
  <c r="AF34" i="25"/>
  <c r="AT32" i="25"/>
  <c r="W28" i="25"/>
  <c r="I34" i="25"/>
  <c r="S33" i="25"/>
  <c r="Y28" i="25" l="1"/>
  <c r="AX32" i="25"/>
  <c r="AF35" i="25"/>
  <c r="BB35" i="25"/>
  <c r="BF34" i="25"/>
  <c r="AT33" i="25"/>
  <c r="AX33" i="25" s="1"/>
  <c r="U33" i="25" s="1"/>
  <c r="W33" i="25" s="1"/>
  <c r="Y33" i="25" s="1"/>
  <c r="I35" i="25"/>
  <c r="S34" i="25"/>
  <c r="AB43" i="25"/>
  <c r="BB36" i="25" l="1"/>
  <c r="BF35" i="25"/>
  <c r="U32" i="25"/>
  <c r="I36" i="25"/>
  <c r="S35" i="25"/>
  <c r="AT35" i="25"/>
  <c r="AX35" i="25" s="1"/>
  <c r="U35" i="25" s="1"/>
  <c r="AF36" i="25"/>
  <c r="AB44" i="25"/>
  <c r="AT34" i="25"/>
  <c r="W35" i="25" l="1"/>
  <c r="Y35" i="25" s="1"/>
  <c r="W32" i="25"/>
  <c r="AB45" i="25"/>
  <c r="I37" i="25"/>
  <c r="S36" i="25"/>
  <c r="AX34" i="25"/>
  <c r="AF37" i="25"/>
  <c r="BB37" i="25"/>
  <c r="BF36" i="25"/>
  <c r="U34" i="25" l="1"/>
  <c r="AB46" i="25"/>
  <c r="AF38" i="25"/>
  <c r="BB38" i="25"/>
  <c r="AT36" i="25"/>
  <c r="I38" i="25"/>
  <c r="S37" i="25"/>
  <c r="Y32" i="25"/>
  <c r="AX36" i="25" l="1"/>
  <c r="AB47" i="25"/>
  <c r="AF39" i="25"/>
  <c r="I39" i="25"/>
  <c r="S38" i="25"/>
  <c r="BB39" i="25"/>
  <c r="BF38" i="25"/>
  <c r="AT37" i="25"/>
  <c r="AX37" i="25" s="1"/>
  <c r="U37" i="25" s="1"/>
  <c r="W37" i="25" s="1"/>
  <c r="Y37" i="25" s="1"/>
  <c r="W34" i="25"/>
  <c r="AT38" i="25" l="1"/>
  <c r="AX38" i="25" s="1"/>
  <c r="U38" i="25" s="1"/>
  <c r="W38" i="25" s="1"/>
  <c r="Y38" i="25" s="1"/>
  <c r="AB48" i="25"/>
  <c r="I40" i="25"/>
  <c r="S39" i="25"/>
  <c r="S73" i="25" s="1"/>
  <c r="BB40" i="25"/>
  <c r="BF39" i="25"/>
  <c r="U36" i="25"/>
  <c r="Y34" i="25"/>
  <c r="AF40" i="25"/>
  <c r="AT39" i="25" l="1"/>
  <c r="AX39" i="25" s="1"/>
  <c r="U39" i="25" s="1"/>
  <c r="W39" i="25" s="1"/>
  <c r="Y39" i="25" s="1"/>
  <c r="W36" i="25"/>
  <c r="BF40" i="25"/>
  <c r="AB49" i="25"/>
  <c r="AT40" i="25"/>
  <c r="AX40" i="25" s="1"/>
  <c r="U40" i="25" s="1"/>
  <c r="BB42" i="25" l="1"/>
  <c r="BF42" i="25" s="1"/>
  <c r="W40" i="25"/>
  <c r="Y40" i="25" s="1"/>
  <c r="AF42" i="25"/>
  <c r="AL42" i="25" s="1"/>
  <c r="Y36" i="25"/>
  <c r="AB50" i="25"/>
  <c r="AF43" i="25" l="1"/>
  <c r="AL43" i="25" s="1"/>
  <c r="BB43" i="25"/>
  <c r="BF43" i="25" s="1"/>
  <c r="AB51" i="25"/>
  <c r="AT42" i="25" l="1"/>
  <c r="BB44" i="25"/>
  <c r="BF44" i="25" s="1"/>
  <c r="AB52" i="25"/>
  <c r="AF44" i="25"/>
  <c r="AL44" i="25" s="1"/>
  <c r="AF45" i="25" l="1"/>
  <c r="AL45" i="25" s="1"/>
  <c r="BB45" i="25"/>
  <c r="BF45" i="25" s="1"/>
  <c r="AT43" i="25"/>
  <c r="AB53" i="25"/>
  <c r="BB46" i="25" l="1"/>
  <c r="BF46" i="25" s="1"/>
  <c r="AF46" i="25"/>
  <c r="AL46" i="25" s="1"/>
  <c r="AB54" i="25"/>
  <c r="AT44" i="25"/>
  <c r="AF47" i="25" l="1"/>
  <c r="AL47" i="25" s="1"/>
  <c r="AT45" i="25"/>
  <c r="AB55" i="25"/>
  <c r="BB47" i="25"/>
  <c r="BF47" i="25" s="1"/>
  <c r="BB48" i="25" l="1"/>
  <c r="BF48" i="25" s="1"/>
  <c r="AT46" i="25"/>
  <c r="AB56" i="25"/>
  <c r="AF48" i="25"/>
  <c r="AL48" i="25" s="1"/>
  <c r="AT47" i="25" l="1"/>
  <c r="AF49" i="25"/>
  <c r="AL49" i="25" s="1"/>
  <c r="AB57" i="25"/>
  <c r="BB49" i="25"/>
  <c r="BF49" i="25" s="1"/>
  <c r="AB58" i="25" l="1"/>
  <c r="AT48" i="25"/>
  <c r="BB50" i="25"/>
  <c r="BF50" i="25" s="1"/>
  <c r="AF50" i="25"/>
  <c r="AL50" i="25" s="1"/>
  <c r="AT49" i="25" l="1"/>
  <c r="BB51" i="25"/>
  <c r="BF51" i="25" s="1"/>
  <c r="AF51" i="25"/>
  <c r="AL51" i="25" s="1"/>
  <c r="AB59" i="25"/>
  <c r="AT50" i="25" l="1"/>
  <c r="AF52" i="25"/>
  <c r="AL52" i="25" s="1"/>
  <c r="AB60" i="25"/>
  <c r="BB52" i="25"/>
  <c r="BF52" i="25" s="1"/>
  <c r="AB61" i="25" l="1"/>
  <c r="AT51" i="25"/>
  <c r="BB53" i="25"/>
  <c r="BF53" i="25" s="1"/>
  <c r="AF53" i="25"/>
  <c r="AL53" i="25" s="1"/>
  <c r="BB54" i="25" l="1"/>
  <c r="BF54" i="25" s="1"/>
  <c r="AT52" i="25"/>
  <c r="AF54" i="25"/>
  <c r="AL54" i="25" s="1"/>
  <c r="AV61" i="25"/>
  <c r="AB62" i="25"/>
  <c r="M73" i="25" l="1"/>
  <c r="O14" i="18"/>
  <c r="AV62" i="25"/>
  <c r="AB63" i="25"/>
  <c r="AF55" i="25"/>
  <c r="AL55" i="25" s="1"/>
  <c r="AT53" i="25"/>
  <c r="BB55" i="25"/>
  <c r="BF55" i="25" s="1"/>
  <c r="AT54" i="25" l="1"/>
  <c r="AF56" i="25"/>
  <c r="AL56" i="25" s="1"/>
  <c r="BB56" i="25"/>
  <c r="BF56" i="25" s="1"/>
  <c r="AV63" i="25"/>
  <c r="AB64" i="25"/>
  <c r="AT55" i="25" l="1"/>
  <c r="BB57" i="25"/>
  <c r="BF57" i="25" s="1"/>
  <c r="AV64" i="25"/>
  <c r="AB65" i="25"/>
  <c r="AF57" i="25"/>
  <c r="AL57" i="25" s="1"/>
  <c r="AT56" i="25" l="1"/>
  <c r="AV65" i="25"/>
  <c r="AB66" i="25"/>
  <c r="BB58" i="25"/>
  <c r="BF58" i="25" s="1"/>
  <c r="AF58" i="25"/>
  <c r="AL58" i="25" s="1"/>
  <c r="AT57" i="25" l="1"/>
  <c r="BB59" i="25"/>
  <c r="BF59" i="25" s="1"/>
  <c r="AV66" i="25"/>
  <c r="AB67" i="25"/>
  <c r="AF59" i="25"/>
  <c r="AL59" i="25" s="1"/>
  <c r="AT58" i="25"/>
  <c r="AV67" i="25" l="1"/>
  <c r="AB68" i="25"/>
  <c r="BB60" i="25"/>
  <c r="BF60" i="25" s="1"/>
  <c r="AF60" i="25"/>
  <c r="AL60" i="25" s="1"/>
  <c r="AT59" i="25" l="1"/>
  <c r="BB61" i="25"/>
  <c r="BF61" i="25" s="1"/>
  <c r="AV68" i="25"/>
  <c r="AB69" i="25"/>
  <c r="AF61" i="25"/>
  <c r="AL61" i="25" s="1"/>
  <c r="AT60" i="25" l="1"/>
  <c r="AV69" i="25"/>
  <c r="AB70" i="25"/>
  <c r="BB62" i="25"/>
  <c r="BF62" i="25" s="1"/>
  <c r="AF62" i="25"/>
  <c r="AL62" i="25" s="1"/>
  <c r="AT61" i="25" l="1"/>
  <c r="AX61" i="25" s="1"/>
  <c r="U61" i="25" s="1"/>
  <c r="W61" i="25" s="1"/>
  <c r="Y61" i="25" s="1"/>
  <c r="BB63" i="25"/>
  <c r="BF63" i="25" s="1"/>
  <c r="AV70" i="25"/>
  <c r="AB71" i="25"/>
  <c r="AF63" i="25"/>
  <c r="AL63" i="25" s="1"/>
  <c r="AT62" i="25" l="1"/>
  <c r="AX62" i="25" s="1"/>
  <c r="U62" i="25" s="1"/>
  <c r="W62" i="25" s="1"/>
  <c r="Y62" i="25" s="1"/>
  <c r="BB64" i="25"/>
  <c r="BF64" i="25" s="1"/>
  <c r="AF64" i="25"/>
  <c r="AL64" i="25" s="1"/>
  <c r="AT63" i="25" l="1"/>
  <c r="AX63" i="25" s="1"/>
  <c r="U63" i="25" s="1"/>
  <c r="W63" i="25" s="1"/>
  <c r="Y63" i="25" s="1"/>
  <c r="BB65" i="25"/>
  <c r="BF65" i="25" s="1"/>
  <c r="AF65" i="25"/>
  <c r="AL65" i="25" s="1"/>
  <c r="AV71" i="25"/>
  <c r="AT64" i="25" l="1"/>
  <c r="AX64" i="25" s="1"/>
  <c r="U64" i="25" s="1"/>
  <c r="W64" i="25" s="1"/>
  <c r="Y64" i="25" s="1"/>
  <c r="AF66" i="25"/>
  <c r="AL66" i="25" s="1"/>
  <c r="BB66" i="25"/>
  <c r="BF66" i="25" s="1"/>
  <c r="BB67" i="25" l="1"/>
  <c r="BF67" i="25" s="1"/>
  <c r="AT65" i="25"/>
  <c r="AX65" i="25" s="1"/>
  <c r="U65" i="25" s="1"/>
  <c r="W65" i="25" s="1"/>
  <c r="Y65" i="25" s="1"/>
  <c r="AF67" i="25"/>
  <c r="AL67" i="25" s="1"/>
  <c r="AT66" i="25"/>
  <c r="AX66" i="25" s="1"/>
  <c r="U66" i="25" s="1"/>
  <c r="W66" i="25" s="1"/>
  <c r="Y66" i="25" s="1"/>
  <c r="AF68" i="25" l="1"/>
  <c r="AL68" i="25" s="1"/>
  <c r="BB68" i="25"/>
  <c r="BF68" i="25" s="1"/>
  <c r="BB69" i="25" l="1"/>
  <c r="BF69" i="25" s="1"/>
  <c r="AT67" i="25"/>
  <c r="AX67" i="25" s="1"/>
  <c r="U67" i="25" s="1"/>
  <c r="W67" i="25" s="1"/>
  <c r="Y67" i="25" s="1"/>
  <c r="AF69" i="25"/>
  <c r="AL69" i="25" s="1"/>
  <c r="AT68" i="25" l="1"/>
  <c r="AX68" i="25" s="1"/>
  <c r="U68" i="25" s="1"/>
  <c r="W68" i="25" s="1"/>
  <c r="Y68" i="25" s="1"/>
  <c r="AF70" i="25"/>
  <c r="AL70" i="25" s="1"/>
  <c r="BB70" i="25"/>
  <c r="BF70" i="25" s="1"/>
  <c r="BB71" i="25" l="1"/>
  <c r="BF71" i="25" s="1"/>
  <c r="AT69" i="25"/>
  <c r="AX69" i="25" s="1"/>
  <c r="U69" i="25" s="1"/>
  <c r="W69" i="25" s="1"/>
  <c r="Y69" i="25" s="1"/>
  <c r="AF71" i="25"/>
  <c r="AL71" i="25" s="1"/>
  <c r="AL73" i="25" s="1"/>
  <c r="AT70" i="25"/>
  <c r="AX70" i="25" l="1"/>
  <c r="U70" i="25" s="1"/>
  <c r="W70" i="25" s="1"/>
  <c r="Y70" i="25" s="1"/>
  <c r="AF73" i="25"/>
  <c r="BF73" i="25"/>
  <c r="BB73" i="25"/>
  <c r="AT71" i="25" l="1"/>
  <c r="AT73" i="25" s="1"/>
  <c r="AX71" i="25" l="1"/>
  <c r="U71" i="25" l="1"/>
  <c r="W71" i="25" l="1"/>
  <c r="Y71" i="25" l="1"/>
  <c r="AX294" i="5" l="1"/>
  <c r="AX293" i="5"/>
  <c r="AX292" i="5"/>
  <c r="AX291" i="5"/>
  <c r="AX290" i="5"/>
  <c r="AX289" i="5"/>
  <c r="AX288" i="5"/>
  <c r="AX287" i="5"/>
  <c r="AX286" i="5"/>
  <c r="AX285" i="5"/>
  <c r="AX284" i="5"/>
  <c r="AX283" i="5"/>
  <c r="AX282" i="5"/>
  <c r="AX281" i="5"/>
  <c r="AX280" i="5"/>
  <c r="AX279" i="5"/>
  <c r="AX278" i="5"/>
  <c r="AX277" i="5"/>
  <c r="AX276" i="5"/>
  <c r="AX275" i="5"/>
  <c r="AX274" i="5"/>
  <c r="AX273" i="5"/>
  <c r="AX272" i="5"/>
  <c r="AX271" i="5"/>
  <c r="AX270" i="5"/>
  <c r="AX269" i="5"/>
  <c r="AX268" i="5"/>
  <c r="AX267" i="5"/>
  <c r="AX266" i="5"/>
  <c r="AX265" i="5"/>
  <c r="AX264" i="5"/>
  <c r="AX263" i="5"/>
  <c r="AX262" i="5"/>
  <c r="AX261" i="5"/>
  <c r="AX260" i="5"/>
  <c r="AX259" i="5"/>
  <c r="AX258" i="5"/>
  <c r="AX257" i="5"/>
  <c r="AX256" i="5"/>
  <c r="AX255" i="5"/>
  <c r="AX254" i="5"/>
  <c r="AX253" i="5"/>
  <c r="AX252" i="5"/>
  <c r="AX251" i="5"/>
  <c r="AX250" i="5"/>
  <c r="AX249" i="5"/>
  <c r="AX248" i="5"/>
  <c r="AX247" i="5"/>
  <c r="AX246" i="5"/>
  <c r="AX245" i="5"/>
  <c r="AX244" i="5"/>
  <c r="AX243" i="5"/>
  <c r="AX242" i="5"/>
  <c r="AX241" i="5"/>
  <c r="AX240" i="5"/>
  <c r="AX239" i="5"/>
  <c r="AX238" i="5"/>
  <c r="AX237" i="5"/>
  <c r="AX236" i="5"/>
  <c r="AX235" i="5"/>
  <c r="AX234" i="5"/>
  <c r="AX233" i="5"/>
  <c r="AX232" i="5"/>
  <c r="AX231" i="5"/>
  <c r="AX230" i="5"/>
  <c r="AX229" i="5"/>
  <c r="AX228" i="5"/>
  <c r="AX227" i="5"/>
  <c r="AX226" i="5"/>
  <c r="AX225" i="5"/>
  <c r="AX224" i="5"/>
  <c r="AX223" i="5"/>
  <c r="AX222" i="5"/>
  <c r="AX221" i="5"/>
  <c r="AX220" i="5"/>
  <c r="AX219" i="5"/>
  <c r="AX218" i="5"/>
  <c r="AX217" i="5"/>
  <c r="AX216" i="5"/>
  <c r="AX215" i="5"/>
  <c r="AX214" i="5"/>
  <c r="AX213" i="5"/>
  <c r="AX212" i="5"/>
  <c r="AX211" i="5"/>
  <c r="AX210" i="5"/>
  <c r="AX209" i="5"/>
  <c r="AX208" i="5"/>
  <c r="AX207" i="5"/>
  <c r="AX206" i="5"/>
  <c r="AX205" i="5"/>
  <c r="AX204" i="5"/>
  <c r="AX203" i="5"/>
  <c r="AX202" i="5"/>
  <c r="AX201" i="5"/>
  <c r="AX200" i="5"/>
  <c r="AX199" i="5"/>
  <c r="AX198" i="5"/>
  <c r="AX197" i="5"/>
  <c r="AX196" i="5"/>
  <c r="AX195" i="5"/>
  <c r="AX194" i="5"/>
  <c r="AX193" i="5"/>
  <c r="AX192" i="5"/>
  <c r="AX191" i="5"/>
  <c r="AX190" i="5"/>
  <c r="AX189" i="5"/>
  <c r="AX188" i="5"/>
  <c r="AX187" i="5"/>
  <c r="AX186" i="5"/>
  <c r="AX185" i="5"/>
  <c r="AX184" i="5"/>
  <c r="AX183" i="5"/>
  <c r="AX182" i="5"/>
  <c r="AX181" i="5"/>
  <c r="AX180" i="5"/>
  <c r="AX179" i="5"/>
  <c r="AX178" i="5"/>
  <c r="AX177" i="5"/>
  <c r="AX176" i="5"/>
  <c r="AX175" i="5"/>
  <c r="AX174" i="5"/>
  <c r="AX173" i="5"/>
  <c r="AX172" i="5"/>
  <c r="AX171" i="5"/>
  <c r="AX170" i="5"/>
  <c r="AX169" i="5"/>
  <c r="AX168" i="5"/>
  <c r="AX167" i="5"/>
  <c r="AX166" i="5"/>
  <c r="AX165" i="5"/>
  <c r="AX164" i="5"/>
  <c r="AX163" i="5"/>
  <c r="AX162" i="5"/>
  <c r="AX161" i="5"/>
  <c r="AX160" i="5"/>
  <c r="AX159" i="5"/>
  <c r="AX158" i="5"/>
  <c r="AX157" i="5"/>
  <c r="AX156" i="5"/>
  <c r="AX155" i="5"/>
  <c r="AX154" i="5"/>
  <c r="AX153" i="5"/>
  <c r="AX152" i="5"/>
  <c r="AX151" i="5"/>
  <c r="AX150" i="5"/>
  <c r="AX149" i="5"/>
  <c r="AX148" i="5"/>
  <c r="AX147" i="5"/>
  <c r="AX146" i="5"/>
  <c r="AX145" i="5"/>
  <c r="AX144" i="5"/>
  <c r="AX143" i="5"/>
  <c r="AX142" i="5"/>
  <c r="AX141" i="5"/>
  <c r="AX140" i="5"/>
  <c r="AX139" i="5"/>
  <c r="AX138" i="5"/>
  <c r="AX137" i="5"/>
  <c r="AX136" i="5"/>
  <c r="AX135" i="5"/>
  <c r="AX134" i="5"/>
  <c r="AX133" i="5"/>
  <c r="AX132" i="5"/>
  <c r="AX131" i="5"/>
  <c r="AX130" i="5"/>
  <c r="AX129" i="5"/>
  <c r="AX128" i="5"/>
  <c r="AX127" i="5"/>
  <c r="AX126" i="5"/>
  <c r="AX125" i="5"/>
  <c r="AX124" i="5"/>
  <c r="AX123" i="5"/>
  <c r="AX122" i="5"/>
  <c r="AX121" i="5"/>
  <c r="AX120" i="5"/>
  <c r="AX119" i="5"/>
  <c r="AX118" i="5"/>
  <c r="AX117" i="5"/>
  <c r="AX116" i="5"/>
  <c r="AX115" i="5"/>
  <c r="AX114" i="5"/>
  <c r="AX113" i="5"/>
  <c r="AX112" i="5"/>
  <c r="AX111" i="5"/>
  <c r="AX110" i="5"/>
  <c r="AX109" i="5"/>
  <c r="AX108" i="5"/>
  <c r="AX107" i="5"/>
  <c r="AX106" i="5"/>
  <c r="AX105" i="5"/>
  <c r="AX104" i="5"/>
  <c r="AX103" i="5"/>
  <c r="AX102" i="5"/>
  <c r="AX101" i="5"/>
  <c r="AX100" i="5"/>
  <c r="AX99" i="5"/>
  <c r="AX98" i="5"/>
  <c r="AX97" i="5"/>
  <c r="AX96" i="5"/>
  <c r="AX95" i="5"/>
  <c r="AX94" i="5"/>
  <c r="AX93" i="5"/>
  <c r="AX92" i="5"/>
  <c r="AX91" i="5"/>
  <c r="AX90" i="5"/>
  <c r="AX89" i="5"/>
  <c r="AX88" i="5"/>
  <c r="AX87" i="5"/>
  <c r="AX86" i="5"/>
  <c r="AX85" i="5"/>
  <c r="AX84" i="5"/>
  <c r="AX83" i="5"/>
  <c r="AX82" i="5"/>
  <c r="AX81" i="5"/>
  <c r="AX80" i="5"/>
  <c r="AX79" i="5"/>
  <c r="AX78" i="5"/>
  <c r="AX77" i="5"/>
  <c r="AX76" i="5"/>
  <c r="AX75" i="5"/>
  <c r="AX74" i="5"/>
  <c r="AX73" i="5"/>
  <c r="AX72" i="5"/>
  <c r="AX71" i="5"/>
  <c r="AX70" i="5"/>
  <c r="AX69" i="5"/>
  <c r="AX68" i="5"/>
  <c r="AX67" i="5"/>
  <c r="AX66" i="5"/>
  <c r="AX65" i="5"/>
  <c r="AX64" i="5"/>
  <c r="AX63" i="5"/>
  <c r="AX62" i="5"/>
  <c r="AX61" i="5"/>
  <c r="AX60" i="5"/>
  <c r="AX59" i="5"/>
  <c r="AX58" i="5"/>
  <c r="AX57" i="5"/>
  <c r="AX56" i="5"/>
  <c r="AX55" i="5"/>
  <c r="AX54" i="5"/>
  <c r="AX53" i="5"/>
  <c r="AX52" i="5"/>
  <c r="AX51" i="5"/>
  <c r="AX50" i="5"/>
  <c r="AX49" i="5"/>
  <c r="AX48" i="5"/>
  <c r="AX47" i="5"/>
  <c r="AX46" i="5"/>
  <c r="AX45" i="5"/>
  <c r="AX44" i="5"/>
  <c r="AX43" i="5"/>
  <c r="AX42" i="5"/>
  <c r="AX41" i="5"/>
  <c r="AX40" i="5"/>
  <c r="AX39" i="5"/>
  <c r="AX38" i="5"/>
  <c r="AX37" i="5"/>
  <c r="AX36" i="5"/>
  <c r="AX35" i="5"/>
  <c r="AX34" i="5"/>
  <c r="AX33" i="5"/>
  <c r="AX32" i="5"/>
  <c r="AX31" i="5"/>
  <c r="AX30" i="5"/>
  <c r="AX29" i="5"/>
  <c r="AX28" i="5"/>
  <c r="AX27" i="5"/>
  <c r="AX26" i="5"/>
  <c r="AX25" i="5"/>
  <c r="AX24" i="5"/>
  <c r="AX23" i="5"/>
  <c r="AX22" i="5"/>
  <c r="AX21" i="5"/>
  <c r="AX20" i="5"/>
  <c r="AX19" i="5"/>
  <c r="AX18" i="5"/>
  <c r="AX17" i="5"/>
  <c r="AX16" i="5"/>
  <c r="AX15" i="5"/>
  <c r="AX14" i="5"/>
  <c r="AX13" i="5"/>
  <c r="AX12" i="5"/>
  <c r="AD28" i="24"/>
  <c r="C71" i="24"/>
  <c r="O71" i="24"/>
  <c r="M30" i="24"/>
  <c r="M31" i="24" s="1"/>
  <c r="M32" i="24" s="1"/>
  <c r="M33" i="24" s="1"/>
  <c r="M34" i="24" s="1"/>
  <c r="M35" i="24" s="1"/>
  <c r="M36" i="24" s="1"/>
  <c r="M37" i="24" s="1"/>
  <c r="M38" i="24" s="1"/>
  <c r="M39" i="24" s="1"/>
  <c r="M40" i="24" s="1"/>
  <c r="M41" i="24" s="1"/>
  <c r="M42" i="24" s="1"/>
  <c r="M43" i="24" s="1"/>
  <c r="M44" i="24" s="1"/>
  <c r="M45" i="24" s="1"/>
  <c r="M46" i="24" s="1"/>
  <c r="M47" i="24" s="1"/>
  <c r="M48" i="24" s="1"/>
  <c r="M49" i="24" s="1"/>
  <c r="M50" i="24" s="1"/>
  <c r="M51" i="24" s="1"/>
  <c r="M52" i="24" s="1"/>
  <c r="M53" i="24" s="1"/>
  <c r="M54" i="24" s="1"/>
  <c r="M55" i="24" s="1"/>
  <c r="M56" i="24" s="1"/>
  <c r="M57" i="24" s="1"/>
  <c r="M58" i="24" s="1"/>
  <c r="M59" i="24" s="1"/>
  <c r="M60" i="24" s="1"/>
  <c r="M61" i="24" s="1"/>
  <c r="M62" i="24" s="1"/>
  <c r="M63" i="24" s="1"/>
  <c r="M64" i="24" s="1"/>
  <c r="M65" i="24" s="1"/>
  <c r="M66" i="24" s="1"/>
  <c r="M67" i="24" s="1"/>
  <c r="M68" i="24" s="1"/>
  <c r="M69" i="24" s="1"/>
  <c r="M29" i="24"/>
  <c r="M28" i="24"/>
  <c r="AD40" i="24"/>
  <c r="AD42" i="24"/>
  <c r="AD46" i="24"/>
  <c r="AD50" i="24"/>
  <c r="AD52" i="24"/>
  <c r="AD54" i="24"/>
  <c r="AD56" i="24"/>
  <c r="AD58" i="24"/>
  <c r="AD60" i="24"/>
  <c r="AD68" i="24"/>
  <c r="AD62" i="24"/>
  <c r="AD66" i="24"/>
  <c r="AD51" i="24"/>
  <c r="AD67" i="24"/>
  <c r="AD59" i="24"/>
  <c r="AD43" i="24"/>
  <c r="AD49" i="24"/>
  <c r="AD64" i="24"/>
  <c r="AD48" i="24"/>
  <c r="I19" i="24"/>
  <c r="I12" i="24"/>
  <c r="I11" i="24"/>
  <c r="AD65" i="24"/>
  <c r="AD63" i="24"/>
  <c r="AD61" i="24"/>
  <c r="AD57" i="24"/>
  <c r="AD55" i="24"/>
  <c r="AD53" i="24"/>
  <c r="AD47" i="24"/>
  <c r="AD45" i="24"/>
  <c r="AD44" i="24"/>
  <c r="AD41" i="24"/>
  <c r="AD39" i="24"/>
  <c r="AD38" i="24"/>
  <c r="AD37" i="24"/>
  <c r="AD36" i="24"/>
  <c r="AD35" i="24"/>
  <c r="AD34" i="24"/>
  <c r="AD33" i="24"/>
  <c r="AD32" i="24"/>
  <c r="AD31" i="24"/>
  <c r="AD30" i="24"/>
  <c r="BD29" i="24"/>
  <c r="BD30" i="24" s="1"/>
  <c r="BD31" i="24" s="1"/>
  <c r="BD32" i="24" s="1"/>
  <c r="BD33" i="24" s="1"/>
  <c r="BD34" i="24" s="1"/>
  <c r="BD35" i="24" s="1"/>
  <c r="BD36" i="24" s="1"/>
  <c r="BD37" i="24" s="1"/>
  <c r="BD38" i="24" s="1"/>
  <c r="BD40" i="24" s="1"/>
  <c r="BB29" i="24"/>
  <c r="AR29" i="24"/>
  <c r="AJ29" i="24"/>
  <c r="AH29" i="24"/>
  <c r="AF29" i="24"/>
  <c r="AD29" i="24"/>
  <c r="AL29" i="24" s="1"/>
  <c r="K29" i="24"/>
  <c r="K31" i="24" s="1"/>
  <c r="K32" i="24" s="1"/>
  <c r="K33" i="24" s="1"/>
  <c r="K34" i="24" s="1"/>
  <c r="K35" i="24" s="1"/>
  <c r="K36" i="24" s="1"/>
  <c r="K37" i="24" s="1"/>
  <c r="K38" i="24" s="1"/>
  <c r="I29" i="24"/>
  <c r="I28" i="24"/>
  <c r="C28" i="24"/>
  <c r="C29" i="24" s="1"/>
  <c r="C30" i="24" s="1"/>
  <c r="C31" i="24" s="1"/>
  <c r="C32" i="24" s="1"/>
  <c r="C33" i="24" s="1"/>
  <c r="C34" i="24" s="1"/>
  <c r="C35" i="24" s="1"/>
  <c r="C36" i="24" s="1"/>
  <c r="C37" i="24" s="1"/>
  <c r="C38" i="24" s="1"/>
  <c r="C39" i="24" s="1"/>
  <c r="C40" i="24" s="1"/>
  <c r="C41" i="24" s="1"/>
  <c r="C42" i="24" s="1"/>
  <c r="C43" i="24" s="1"/>
  <c r="C44" i="24" s="1"/>
  <c r="C45" i="24" s="1"/>
  <c r="C46" i="24" s="1"/>
  <c r="C47" i="24" s="1"/>
  <c r="C48" i="24" s="1"/>
  <c r="C49" i="24" s="1"/>
  <c r="C50" i="24" s="1"/>
  <c r="C51" i="24" s="1"/>
  <c r="C52" i="24" s="1"/>
  <c r="C53" i="24" s="1"/>
  <c r="C54" i="24" s="1"/>
  <c r="C55" i="24" s="1"/>
  <c r="C56" i="24" s="1"/>
  <c r="C57" i="24" s="1"/>
  <c r="C58" i="24" s="1"/>
  <c r="C59" i="24" s="1"/>
  <c r="C60" i="24" s="1"/>
  <c r="C61" i="24" s="1"/>
  <c r="C62" i="24" s="1"/>
  <c r="C63" i="24" s="1"/>
  <c r="C64" i="24" s="1"/>
  <c r="C65" i="24" s="1"/>
  <c r="C66" i="24" s="1"/>
  <c r="C67" i="24" s="1"/>
  <c r="C68" i="24" s="1"/>
  <c r="C69" i="24" s="1"/>
  <c r="W26" i="24"/>
  <c r="U26" i="24"/>
  <c r="S26" i="24"/>
  <c r="Q26" i="24"/>
  <c r="O26" i="24"/>
  <c r="M26" i="24"/>
  <c r="K26" i="24"/>
  <c r="G19" i="24"/>
  <c r="AF11" i="24"/>
  <c r="AL28" i="24" s="1"/>
  <c r="A2" i="24"/>
  <c r="I67" i="4"/>
  <c r="G24" i="5" l="1"/>
  <c r="G28" i="5"/>
  <c r="G30" i="5"/>
  <c r="G34" i="5"/>
  <c r="AP45" i="24" s="1"/>
  <c r="G35" i="5"/>
  <c r="G39" i="5"/>
  <c r="AN52" i="25" s="1"/>
  <c r="AP52" i="25" s="1"/>
  <c r="AV52" i="25" s="1"/>
  <c r="AX52" i="25" s="1"/>
  <c r="U52" i="25" s="1"/>
  <c r="W52" i="25" s="1"/>
  <c r="Y52" i="25" s="1"/>
  <c r="G43" i="5"/>
  <c r="G44" i="5"/>
  <c r="AP55" i="24" s="1"/>
  <c r="G47" i="5"/>
  <c r="S39" i="24"/>
  <c r="S40" i="24"/>
  <c r="AR11" i="24"/>
  <c r="AL39" i="24" s="1"/>
  <c r="S41" i="24"/>
  <c r="S45" i="24"/>
  <c r="S49" i="24"/>
  <c r="S53" i="24"/>
  <c r="S57" i="24"/>
  <c r="S61" i="24"/>
  <c r="S65" i="24"/>
  <c r="S69" i="24"/>
  <c r="S43" i="24"/>
  <c r="S55" i="24"/>
  <c r="S67" i="24"/>
  <c r="S52" i="24"/>
  <c r="S60" i="24"/>
  <c r="S68" i="24"/>
  <c r="S42" i="24"/>
  <c r="S46" i="24"/>
  <c r="S50" i="24"/>
  <c r="S54" i="24"/>
  <c r="S58" i="24"/>
  <c r="S62" i="24"/>
  <c r="S66" i="24"/>
  <c r="S47" i="24"/>
  <c r="S51" i="24"/>
  <c r="S63" i="24"/>
  <c r="S48" i="24"/>
  <c r="S56" i="24"/>
  <c r="S64" i="24"/>
  <c r="S59" i="24"/>
  <c r="S44" i="24"/>
  <c r="G25" i="5"/>
  <c r="G26" i="5"/>
  <c r="G31" i="5"/>
  <c r="AN44" i="25" s="1"/>
  <c r="AP44" i="25" s="1"/>
  <c r="AV44" i="25" s="1"/>
  <c r="AX44" i="25" s="1"/>
  <c r="U44" i="25" s="1"/>
  <c r="W44" i="25" s="1"/>
  <c r="Y44" i="25" s="1"/>
  <c r="G32" i="5"/>
  <c r="G37" i="5"/>
  <c r="AN50" i="25" s="1"/>
  <c r="AP50" i="25" s="1"/>
  <c r="AV50" i="25" s="1"/>
  <c r="AX50" i="25" s="1"/>
  <c r="U50" i="25" s="1"/>
  <c r="W50" i="25" s="1"/>
  <c r="Y50" i="25" s="1"/>
  <c r="G38" i="5"/>
  <c r="G42" i="5"/>
  <c r="AP53" i="24" s="1"/>
  <c r="G46" i="5"/>
  <c r="G27" i="5"/>
  <c r="G29" i="5"/>
  <c r="G33" i="5"/>
  <c r="AN46" i="25" s="1"/>
  <c r="AP46" i="25" s="1"/>
  <c r="AV46" i="25" s="1"/>
  <c r="AX46" i="25" s="1"/>
  <c r="U46" i="25" s="1"/>
  <c r="W46" i="25" s="1"/>
  <c r="Y46" i="25" s="1"/>
  <c r="G36" i="5"/>
  <c r="G40" i="5"/>
  <c r="AN53" i="25" s="1"/>
  <c r="AP53" i="25" s="1"/>
  <c r="AV53" i="25" s="1"/>
  <c r="AX53" i="25" s="1"/>
  <c r="U53" i="25" s="1"/>
  <c r="W53" i="25" s="1"/>
  <c r="Y53" i="25" s="1"/>
  <c r="G41" i="5"/>
  <c r="G45" i="5"/>
  <c r="AN58" i="25" s="1"/>
  <c r="AP58" i="25" s="1"/>
  <c r="AV58" i="25" s="1"/>
  <c r="AX58" i="25" s="1"/>
  <c r="U58" i="25" s="1"/>
  <c r="W58" i="25" s="1"/>
  <c r="Y58" i="25" s="1"/>
  <c r="AN48" i="25"/>
  <c r="AP48" i="25" s="1"/>
  <c r="AV48" i="25" s="1"/>
  <c r="AX48" i="25" s="1"/>
  <c r="U48" i="25" s="1"/>
  <c r="W48" i="25" s="1"/>
  <c r="Y48" i="25" s="1"/>
  <c r="AP46" i="24"/>
  <c r="AP50" i="24"/>
  <c r="AN56" i="25"/>
  <c r="AP56" i="25" s="1"/>
  <c r="AV56" i="25" s="1"/>
  <c r="AX56" i="25" s="1"/>
  <c r="U56" i="25" s="1"/>
  <c r="W56" i="25" s="1"/>
  <c r="Y56" i="25" s="1"/>
  <c r="AP54" i="24"/>
  <c r="AN60" i="25"/>
  <c r="AP60" i="25" s="1"/>
  <c r="AV60" i="25" s="1"/>
  <c r="AX60" i="25" s="1"/>
  <c r="U60" i="25" s="1"/>
  <c r="W60" i="25" s="1"/>
  <c r="Y60" i="25" s="1"/>
  <c r="AP58" i="24"/>
  <c r="AN43" i="25"/>
  <c r="AP43" i="25" s="1"/>
  <c r="AV43" i="25" s="1"/>
  <c r="AX43" i="25" s="1"/>
  <c r="U43" i="25" s="1"/>
  <c r="W43" i="25" s="1"/>
  <c r="Y43" i="25" s="1"/>
  <c r="AP41" i="24"/>
  <c r="AN45" i="25"/>
  <c r="AP45" i="25" s="1"/>
  <c r="AV45" i="25" s="1"/>
  <c r="AX45" i="25" s="1"/>
  <c r="U45" i="25" s="1"/>
  <c r="W45" i="25" s="1"/>
  <c r="Y45" i="25" s="1"/>
  <c r="AP43" i="24"/>
  <c r="AN49" i="25"/>
  <c r="AP49" i="25" s="1"/>
  <c r="AV49" i="25" s="1"/>
  <c r="AX49" i="25" s="1"/>
  <c r="U49" i="25" s="1"/>
  <c r="W49" i="25" s="1"/>
  <c r="Y49" i="25" s="1"/>
  <c r="AP47" i="24"/>
  <c r="AN54" i="25"/>
  <c r="AP54" i="25" s="1"/>
  <c r="AV54" i="25" s="1"/>
  <c r="AX54" i="25" s="1"/>
  <c r="U54" i="25" s="1"/>
  <c r="W54" i="25" s="1"/>
  <c r="Y54" i="25" s="1"/>
  <c r="AP52" i="24"/>
  <c r="AN59" i="25"/>
  <c r="AP59" i="25" s="1"/>
  <c r="AV59" i="25" s="1"/>
  <c r="AX59" i="25" s="1"/>
  <c r="U59" i="25" s="1"/>
  <c r="W59" i="25" s="1"/>
  <c r="Y59" i="25" s="1"/>
  <c r="AP57" i="24"/>
  <c r="AN42" i="25"/>
  <c r="AP42" i="25" s="1"/>
  <c r="AV42" i="25" s="1"/>
  <c r="AX42" i="25" s="1"/>
  <c r="U42" i="25" s="1"/>
  <c r="W42" i="25" s="1"/>
  <c r="Y42" i="25" s="1"/>
  <c r="AP40" i="24"/>
  <c r="AN47" i="25"/>
  <c r="AP47" i="25" s="1"/>
  <c r="AV47" i="25" s="1"/>
  <c r="AX47" i="25" s="1"/>
  <c r="U47" i="25" s="1"/>
  <c r="W47" i="25" s="1"/>
  <c r="Y47" i="25" s="1"/>
  <c r="AN51" i="25"/>
  <c r="AP51" i="25" s="1"/>
  <c r="AV51" i="25" s="1"/>
  <c r="AX51" i="25" s="1"/>
  <c r="U51" i="25" s="1"/>
  <c r="W51" i="25" s="1"/>
  <c r="Y51" i="25" s="1"/>
  <c r="AP49" i="24"/>
  <c r="AN55" i="25"/>
  <c r="AP55" i="25" s="1"/>
  <c r="AV55" i="25" s="1"/>
  <c r="AX55" i="25" s="1"/>
  <c r="U55" i="25" s="1"/>
  <c r="W55" i="25" s="1"/>
  <c r="Y55" i="25" s="1"/>
  <c r="AN41" i="25"/>
  <c r="AP48" i="24"/>
  <c r="AP51" i="24"/>
  <c r="AN57" i="25"/>
  <c r="AP57" i="25" s="1"/>
  <c r="AV57" i="25" s="1"/>
  <c r="AX57" i="25" s="1"/>
  <c r="U57" i="25" s="1"/>
  <c r="W57" i="25" s="1"/>
  <c r="Y57" i="25" s="1"/>
  <c r="AD71" i="24"/>
  <c r="K71" i="24"/>
  <c r="M71" i="24"/>
  <c r="BD41" i="24"/>
  <c r="BD42" i="24" s="1"/>
  <c r="BD43" i="24" s="1"/>
  <c r="BD44" i="24" s="1"/>
  <c r="BD45" i="24" s="1"/>
  <c r="BD46" i="24" s="1"/>
  <c r="BD47" i="24" s="1"/>
  <c r="BD48" i="24" s="1"/>
  <c r="BD49" i="24" s="1"/>
  <c r="BD50" i="24" s="1"/>
  <c r="BD51" i="24" s="1"/>
  <c r="BD69" i="24" s="1"/>
  <c r="I30" i="24"/>
  <c r="BB30" i="24"/>
  <c r="AB28" i="24"/>
  <c r="AH30" i="24"/>
  <c r="AH31" i="24" s="1"/>
  <c r="AH32" i="24" s="1"/>
  <c r="AH33" i="24" s="1"/>
  <c r="AH34" i="24" s="1"/>
  <c r="AH35" i="24" s="1"/>
  <c r="AH36" i="24" s="1"/>
  <c r="AH37" i="24" s="1"/>
  <c r="AH38" i="24" s="1"/>
  <c r="AH40" i="24" s="1"/>
  <c r="AZ28" i="24"/>
  <c r="AZ29" i="24" s="1"/>
  <c r="AZ30" i="24" s="1"/>
  <c r="AZ31" i="24" s="1"/>
  <c r="AZ32" i="24" s="1"/>
  <c r="AZ33" i="24" s="1"/>
  <c r="AZ34" i="24" s="1"/>
  <c r="AZ35" i="24" s="1"/>
  <c r="AZ36" i="24" s="1"/>
  <c r="AZ37" i="24" s="1"/>
  <c r="AZ38" i="24" s="1"/>
  <c r="AZ39" i="24" s="1"/>
  <c r="AZ40" i="24" s="1"/>
  <c r="AZ41" i="24" s="1"/>
  <c r="AZ42" i="24" s="1"/>
  <c r="AZ43" i="24" s="1"/>
  <c r="AZ44" i="24" s="1"/>
  <c r="AZ45" i="24" s="1"/>
  <c r="AZ46" i="24" s="1"/>
  <c r="AZ47" i="24" s="1"/>
  <c r="AZ48" i="24" s="1"/>
  <c r="AZ49" i="24" s="1"/>
  <c r="AZ50" i="24" s="1"/>
  <c r="AZ51" i="24" s="1"/>
  <c r="AZ52" i="24" s="1"/>
  <c r="AZ53" i="24" s="1"/>
  <c r="AZ54" i="24" s="1"/>
  <c r="AZ55" i="24" s="1"/>
  <c r="AZ56" i="24" s="1"/>
  <c r="AZ57" i="24" s="1"/>
  <c r="AZ58" i="24" s="1"/>
  <c r="AZ59" i="24" s="1"/>
  <c r="AZ60" i="24" s="1"/>
  <c r="AZ61" i="24" s="1"/>
  <c r="AZ62" i="24" s="1"/>
  <c r="AZ63" i="24" s="1"/>
  <c r="AZ64" i="24" s="1"/>
  <c r="AZ65" i="24" s="1"/>
  <c r="AZ66" i="24" s="1"/>
  <c r="AZ67" i="24" s="1"/>
  <c r="AZ68" i="24" s="1"/>
  <c r="AZ69" i="24" s="1"/>
  <c r="AF30" i="24"/>
  <c r="BF28" i="24"/>
  <c r="AJ30" i="24"/>
  <c r="AJ31" i="24" s="1"/>
  <c r="AJ32" i="24" s="1"/>
  <c r="AJ33" i="24" s="1"/>
  <c r="AJ34" i="24" s="1"/>
  <c r="AJ35" i="24" s="1"/>
  <c r="AJ36" i="24" s="1"/>
  <c r="AJ37" i="24" s="1"/>
  <c r="AJ38" i="24" s="1"/>
  <c r="AJ40" i="24" s="1"/>
  <c r="AR30" i="24"/>
  <c r="AR31" i="24" s="1"/>
  <c r="AR32" i="24" s="1"/>
  <c r="AR33" i="24" s="1"/>
  <c r="AR34" i="24" s="1"/>
  <c r="AR35" i="24" s="1"/>
  <c r="AR36" i="24" s="1"/>
  <c r="AR37" i="24" s="1"/>
  <c r="AR38" i="24" s="1"/>
  <c r="AR40" i="24" s="1"/>
  <c r="AD69" i="24"/>
  <c r="J22" i="23"/>
  <c r="J23" i="23"/>
  <c r="P23" i="23"/>
  <c r="AR41" i="24" l="1"/>
  <c r="AR42" i="24" s="1"/>
  <c r="AR43" i="24" s="1"/>
  <c r="AR44" i="24" s="1"/>
  <c r="AR45" i="24" s="1"/>
  <c r="AR46" i="24" s="1"/>
  <c r="AR47" i="24" s="1"/>
  <c r="AR48" i="24" s="1"/>
  <c r="AR49" i="24" s="1"/>
  <c r="AR50" i="24" s="1"/>
  <c r="AR51" i="24" s="1"/>
  <c r="AR69" i="24" s="1"/>
  <c r="AP44" i="24"/>
  <c r="AP56" i="24"/>
  <c r="AP42" i="24"/>
  <c r="AR12" i="24"/>
  <c r="BK11" i="24"/>
  <c r="BF39" i="24" s="1"/>
  <c r="AT39" i="24" s="1"/>
  <c r="AP41" i="25"/>
  <c r="AN73" i="25"/>
  <c r="AP39" i="24"/>
  <c r="AV39" i="24" s="1"/>
  <c r="AF12" i="24"/>
  <c r="AL40" i="24"/>
  <c r="AH41" i="24"/>
  <c r="AH42" i="24" s="1"/>
  <c r="AH43" i="24" s="1"/>
  <c r="AH44" i="24" s="1"/>
  <c r="AH45" i="24" s="1"/>
  <c r="AH46" i="24" s="1"/>
  <c r="AH47" i="24" s="1"/>
  <c r="AH65" i="24" s="1"/>
  <c r="AJ41" i="24"/>
  <c r="AJ42" i="24" s="1"/>
  <c r="AJ43" i="24" s="1"/>
  <c r="AJ44" i="24" s="1"/>
  <c r="AJ45" i="24" s="1"/>
  <c r="AJ46" i="24" s="1"/>
  <c r="AJ47" i="24" s="1"/>
  <c r="AJ48" i="24" s="1"/>
  <c r="AJ49" i="24" s="1"/>
  <c r="AJ50" i="24" s="1"/>
  <c r="AJ51" i="24" s="1"/>
  <c r="AJ52" i="24" s="1"/>
  <c r="AJ53" i="24" s="1"/>
  <c r="AJ54" i="24" s="1"/>
  <c r="AJ55" i="24" s="1"/>
  <c r="AJ56" i="24" s="1"/>
  <c r="AJ57" i="24" s="1"/>
  <c r="AJ58" i="24" s="1"/>
  <c r="AJ59" i="24" s="1"/>
  <c r="AJ60" i="24" s="1"/>
  <c r="AJ61" i="24" s="1"/>
  <c r="AJ62" i="24" s="1"/>
  <c r="BD52" i="24"/>
  <c r="BD53" i="24" s="1"/>
  <c r="BD54" i="24" s="1"/>
  <c r="BD55" i="24" s="1"/>
  <c r="BD56" i="24" s="1"/>
  <c r="BD57" i="24" s="1"/>
  <c r="BD58" i="24" s="1"/>
  <c r="BD59" i="24" s="1"/>
  <c r="BD60" i="24" s="1"/>
  <c r="BD61" i="24" s="1"/>
  <c r="BD62" i="24" s="1"/>
  <c r="BD66" i="24" s="1"/>
  <c r="BD67" i="24" s="1"/>
  <c r="BD68" i="24" s="1"/>
  <c r="BD65" i="24"/>
  <c r="AR65" i="24"/>
  <c r="AF31" i="24"/>
  <c r="AL30" i="24"/>
  <c r="S30" i="24"/>
  <c r="I31" i="24"/>
  <c r="AB29" i="24"/>
  <c r="BB31" i="24"/>
  <c r="BF30" i="24"/>
  <c r="AT28" i="24"/>
  <c r="BF29" i="24"/>
  <c r="AT29" i="24" s="1"/>
  <c r="AN71" i="24" l="1"/>
  <c r="AX39" i="24"/>
  <c r="AV41" i="25"/>
  <c r="AP73" i="25"/>
  <c r="AH48" i="24"/>
  <c r="AH49" i="24" s="1"/>
  <c r="AH50" i="24" s="1"/>
  <c r="AH51" i="24" s="1"/>
  <c r="AH52" i="24" s="1"/>
  <c r="AH53" i="24" s="1"/>
  <c r="AH54" i="24" s="1"/>
  <c r="AH55" i="24" s="1"/>
  <c r="AH56" i="24" s="1"/>
  <c r="AH57" i="24" s="1"/>
  <c r="AH58" i="24" s="1"/>
  <c r="AH59" i="24" s="1"/>
  <c r="AH60" i="24" s="1"/>
  <c r="AH61" i="24" s="1"/>
  <c r="AH62" i="24" s="1"/>
  <c r="AH66" i="24" s="1"/>
  <c r="AH67" i="24" s="1"/>
  <c r="AH68" i="24" s="1"/>
  <c r="BD63" i="24"/>
  <c r="BD64" i="24" s="1"/>
  <c r="AJ65" i="24"/>
  <c r="AJ69" i="24"/>
  <c r="AR52" i="24"/>
  <c r="AJ66" i="24"/>
  <c r="AJ67" i="24" s="1"/>
  <c r="AJ68" i="24" s="1"/>
  <c r="AJ63" i="24"/>
  <c r="AJ64" i="24" s="1"/>
  <c r="AT30" i="24"/>
  <c r="AF32" i="24"/>
  <c r="AL31" i="24"/>
  <c r="BF31" i="24"/>
  <c r="BB32" i="24"/>
  <c r="AB30" i="24"/>
  <c r="I32" i="24"/>
  <c r="BD71" i="24" l="1"/>
  <c r="AH69" i="24"/>
  <c r="AR53" i="24"/>
  <c r="AR54" i="24" s="1"/>
  <c r="AR55" i="24" s="1"/>
  <c r="AR56" i="24" s="1"/>
  <c r="AR57" i="24" s="1"/>
  <c r="AR58" i="24" s="1"/>
  <c r="AR59" i="24" s="1"/>
  <c r="AR60" i="24" s="1"/>
  <c r="AR61" i="24" s="1"/>
  <c r="AR62" i="24" s="1"/>
  <c r="AX41" i="25"/>
  <c r="AV73" i="25"/>
  <c r="AH63" i="24"/>
  <c r="AH64" i="24" s="1"/>
  <c r="AH71" i="24" s="1"/>
  <c r="AJ71" i="24"/>
  <c r="AT31" i="24"/>
  <c r="I33" i="24"/>
  <c r="S32" i="24"/>
  <c r="AL32" i="24"/>
  <c r="BF32" i="24"/>
  <c r="BB33" i="24"/>
  <c r="AB31" i="24"/>
  <c r="E46" i="23"/>
  <c r="U41" i="25" l="1"/>
  <c r="AX73" i="25"/>
  <c r="AR66" i="24"/>
  <c r="AR67" i="24" s="1"/>
  <c r="AR68" i="24" s="1"/>
  <c r="AR63" i="24"/>
  <c r="BF33" i="24"/>
  <c r="BB34" i="24"/>
  <c r="I34" i="24"/>
  <c r="S33" i="24"/>
  <c r="AL33" i="24"/>
  <c r="AF34" i="24"/>
  <c r="AB32" i="24"/>
  <c r="AT32" i="24"/>
  <c r="B61" i="4"/>
  <c r="W41" i="25" l="1"/>
  <c r="U73" i="25"/>
  <c r="O16" i="18" s="1"/>
  <c r="AR64" i="24"/>
  <c r="AR71" i="24" s="1"/>
  <c r="AT33" i="24"/>
  <c r="AF35" i="24"/>
  <c r="AL34" i="24"/>
  <c r="BF34" i="24"/>
  <c r="BB35" i="24"/>
  <c r="AB33" i="24"/>
  <c r="S34" i="24"/>
  <c r="I35" i="24"/>
  <c r="O66" i="19"/>
  <c r="Q66" i="19"/>
  <c r="S66" i="19"/>
  <c r="G53" i="19"/>
  <c r="AD53" i="19"/>
  <c r="G54" i="19"/>
  <c r="AD54" i="19"/>
  <c r="G55" i="19"/>
  <c r="AD55" i="19" s="1"/>
  <c r="G56" i="19"/>
  <c r="AD56" i="19"/>
  <c r="G57" i="19"/>
  <c r="AD57" i="19"/>
  <c r="G58" i="19"/>
  <c r="AD58" i="19" s="1"/>
  <c r="G59" i="19"/>
  <c r="AD59" i="19"/>
  <c r="G60" i="19"/>
  <c r="AD60" i="19" s="1"/>
  <c r="G61" i="19"/>
  <c r="AD61" i="19"/>
  <c r="G62" i="19"/>
  <c r="AD62" i="19" s="1"/>
  <c r="Y41" i="25" l="1"/>
  <c r="Y73" i="25" s="1"/>
  <c r="O20" i="18" s="1"/>
  <c r="W73" i="25"/>
  <c r="O18" i="18" s="1"/>
  <c r="AT34" i="24"/>
  <c r="BF35" i="24"/>
  <c r="BB36" i="24"/>
  <c r="S35" i="24"/>
  <c r="I36" i="24"/>
  <c r="AB34" i="24"/>
  <c r="AL35" i="24"/>
  <c r="AF36" i="24"/>
  <c r="A5" i="23"/>
  <c r="A3" i="23"/>
  <c r="A2" i="23"/>
  <c r="A1" i="23"/>
  <c r="F23" i="22" l="1"/>
  <c r="AT35" i="24"/>
  <c r="AB35" i="24"/>
  <c r="S36" i="24"/>
  <c r="I37" i="24"/>
  <c r="AF37" i="24"/>
  <c r="AL36" i="24"/>
  <c r="BF36" i="24"/>
  <c r="BB37" i="24"/>
  <c r="H10" i="22"/>
  <c r="J10" i="22"/>
  <c r="D14" i="22"/>
  <c r="F14" i="22"/>
  <c r="H14" i="22"/>
  <c r="J14" i="22"/>
  <c r="AT36" i="24" l="1"/>
  <c r="BF37" i="24"/>
  <c r="BB38" i="24"/>
  <c r="AL37" i="24"/>
  <c r="AF38" i="24"/>
  <c r="AB36" i="24"/>
  <c r="S37" i="24"/>
  <c r="I38" i="24"/>
  <c r="I71" i="24" s="1"/>
  <c r="W12" i="18"/>
  <c r="AT37" i="24" l="1"/>
  <c r="AB37" i="24"/>
  <c r="AL38" i="24"/>
  <c r="AT38" i="24" s="1"/>
  <c r="BF38" i="24"/>
  <c r="S38" i="24"/>
  <c r="A2" i="19"/>
  <c r="A2" i="6"/>
  <c r="BB40" i="24" l="1"/>
  <c r="BF40" i="24" s="1"/>
  <c r="AB38" i="24"/>
  <c r="AB39" i="24" s="1"/>
  <c r="AB40" i="24" s="1"/>
  <c r="AB41" i="24" s="1"/>
  <c r="AB42" i="24" s="1"/>
  <c r="AB43" i="24" s="1"/>
  <c r="AB44" i="24" s="1"/>
  <c r="AB45" i="24" s="1"/>
  <c r="AB46" i="24" s="1"/>
  <c r="AB47" i="24" s="1"/>
  <c r="AB48" i="24" s="1"/>
  <c r="AB49" i="24" s="1"/>
  <c r="AB50" i="24" s="1"/>
  <c r="AB51" i="24" s="1"/>
  <c r="AB52" i="24" s="1"/>
  <c r="G18" i="4"/>
  <c r="F18" i="4"/>
  <c r="D18" i="4"/>
  <c r="E18" i="4"/>
  <c r="M28" i="21"/>
  <c r="K28" i="21"/>
  <c r="W26" i="21"/>
  <c r="U26" i="21"/>
  <c r="S26" i="21"/>
  <c r="Q26" i="21"/>
  <c r="O26" i="21"/>
  <c r="M26" i="21"/>
  <c r="K26" i="21"/>
  <c r="AF16" i="21"/>
  <c r="BD15" i="21"/>
  <c r="BD14" i="21"/>
  <c r="A3" i="21"/>
  <c r="A2" i="21"/>
  <c r="A1" i="21"/>
  <c r="Q15" i="5"/>
  <c r="AB53" i="24" l="1"/>
  <c r="AF41" i="24"/>
  <c r="AL41" i="24" s="1"/>
  <c r="BB41" i="24"/>
  <c r="BF41" i="24" s="1"/>
  <c r="C28" i="21"/>
  <c r="C29" i="21" s="1"/>
  <c r="U12" i="18"/>
  <c r="S12" i="18"/>
  <c r="AB54" i="24" l="1"/>
  <c r="BB42" i="24"/>
  <c r="BF42" i="24" s="1"/>
  <c r="AF42" i="24"/>
  <c r="AL42" i="24" s="1"/>
  <c r="AT40" i="24"/>
  <c r="E28" i="21"/>
  <c r="BB28" i="21" s="1"/>
  <c r="AB28" i="21"/>
  <c r="AZ28" i="21"/>
  <c r="AZ29" i="21" s="1"/>
  <c r="AZ30" i="21" s="1"/>
  <c r="AZ31" i="21" s="1"/>
  <c r="AZ32" i="21" s="1"/>
  <c r="AZ33" i="21" s="1"/>
  <c r="AZ34" i="21" s="1"/>
  <c r="AZ35" i="21" s="1"/>
  <c r="AZ36" i="21" s="1"/>
  <c r="AZ37" i="21" s="1"/>
  <c r="AZ38" i="21" s="1"/>
  <c r="AZ39" i="21" s="1"/>
  <c r="AZ40" i="21" s="1"/>
  <c r="AZ41" i="21" s="1"/>
  <c r="AZ42" i="21" s="1"/>
  <c r="C30" i="21"/>
  <c r="E29" i="21"/>
  <c r="AB29" i="21"/>
  <c r="AT41" i="24" l="1"/>
  <c r="AB55" i="24"/>
  <c r="AF43" i="24"/>
  <c r="AL43" i="24" s="1"/>
  <c r="BB43" i="24"/>
  <c r="BF43" i="24" s="1"/>
  <c r="C31" i="21"/>
  <c r="E30" i="21"/>
  <c r="AB30" i="21"/>
  <c r="M29" i="21"/>
  <c r="K29" i="21"/>
  <c r="BB29" i="21"/>
  <c r="AB56" i="24" l="1"/>
  <c r="AT42" i="24"/>
  <c r="BB44" i="24"/>
  <c r="BF44" i="24" s="1"/>
  <c r="AF44" i="24"/>
  <c r="AL44" i="24" s="1"/>
  <c r="K30" i="21"/>
  <c r="M30" i="21"/>
  <c r="BB30" i="21"/>
  <c r="AB31" i="21"/>
  <c r="E31" i="21"/>
  <c r="C32" i="21"/>
  <c r="AB57" i="24" l="1"/>
  <c r="AT43" i="24"/>
  <c r="AF45" i="24"/>
  <c r="AL45" i="24" s="1"/>
  <c r="BB45" i="24"/>
  <c r="BF45" i="24" s="1"/>
  <c r="M31" i="21"/>
  <c r="C33" i="21"/>
  <c r="E32" i="21"/>
  <c r="BB31" i="21"/>
  <c r="AB32" i="21"/>
  <c r="K31" i="21"/>
  <c r="AB58" i="24" l="1"/>
  <c r="AB59" i="24" s="1"/>
  <c r="AB60" i="24" s="1"/>
  <c r="AT44" i="24"/>
  <c r="BB46" i="24"/>
  <c r="BF46" i="24" s="1"/>
  <c r="AF46" i="24"/>
  <c r="AL46" i="24" s="1"/>
  <c r="M32" i="21"/>
  <c r="K32" i="21"/>
  <c r="BB32" i="21"/>
  <c r="AB33" i="21"/>
  <c r="E33" i="21"/>
  <c r="C34" i="21"/>
  <c r="AB61" i="24" l="1"/>
  <c r="AT45" i="24"/>
  <c r="BB47" i="24"/>
  <c r="AF47" i="24"/>
  <c r="O47" i="21"/>
  <c r="C47" i="21"/>
  <c r="Q47" i="21"/>
  <c r="S47" i="21"/>
  <c r="U14" i="18" s="1"/>
  <c r="AO47" i="21"/>
  <c r="M33" i="21"/>
  <c r="K33" i="21"/>
  <c r="AB34" i="21"/>
  <c r="BB33" i="21"/>
  <c r="C35" i="21"/>
  <c r="E34" i="21"/>
  <c r="AF65" i="24" l="1"/>
  <c r="AL65" i="24" s="1"/>
  <c r="AL47" i="24"/>
  <c r="BB65" i="24"/>
  <c r="BF65" i="24" s="1"/>
  <c r="BF47" i="24"/>
  <c r="AT46" i="24"/>
  <c r="AB62" i="24"/>
  <c r="BB48" i="24"/>
  <c r="BF48" i="24" s="1"/>
  <c r="AF48" i="24"/>
  <c r="AL48" i="24" s="1"/>
  <c r="M34" i="21"/>
  <c r="C36" i="21"/>
  <c r="E35" i="21"/>
  <c r="K34" i="21"/>
  <c r="BB34" i="21"/>
  <c r="AB35" i="21"/>
  <c r="AT65" i="24" l="1"/>
  <c r="AT47" i="24"/>
  <c r="AB63" i="24"/>
  <c r="BB49" i="24"/>
  <c r="BF49" i="24" s="1"/>
  <c r="AF49" i="24"/>
  <c r="AL49" i="24" s="1"/>
  <c r="M35" i="21"/>
  <c r="K35" i="21"/>
  <c r="C37" i="21"/>
  <c r="E36" i="21"/>
  <c r="AB36" i="21"/>
  <c r="BB35" i="21"/>
  <c r="AB64" i="24" l="1"/>
  <c r="AF50" i="24"/>
  <c r="AL50" i="24" s="1"/>
  <c r="AT48" i="24"/>
  <c r="BB50" i="24"/>
  <c r="BF50" i="24" s="1"/>
  <c r="K36" i="21"/>
  <c r="G41" i="21"/>
  <c r="AD41" i="21" s="1"/>
  <c r="G33" i="21"/>
  <c r="AD33" i="21" s="1"/>
  <c r="AD28" i="21"/>
  <c r="G38" i="21"/>
  <c r="AD38" i="21" s="1"/>
  <c r="G32" i="21"/>
  <c r="AD32" i="21" s="1"/>
  <c r="G36" i="21"/>
  <c r="AD36" i="21" s="1"/>
  <c r="G30" i="21"/>
  <c r="AD30" i="21" s="1"/>
  <c r="G29" i="21"/>
  <c r="AD29" i="21" s="1"/>
  <c r="G31" i="21"/>
  <c r="AD31" i="21" s="1"/>
  <c r="G42" i="21"/>
  <c r="AD42" i="21" s="1"/>
  <c r="G34" i="21"/>
  <c r="AD34" i="21" s="1"/>
  <c r="G39" i="21"/>
  <c r="AD39" i="21" s="1"/>
  <c r="G37" i="21"/>
  <c r="AD37" i="21" s="1"/>
  <c r="G35" i="21"/>
  <c r="AD35" i="21" s="1"/>
  <c r="G40" i="21"/>
  <c r="AD40" i="21" s="1"/>
  <c r="G15" i="21"/>
  <c r="BB36" i="21"/>
  <c r="AB37" i="21"/>
  <c r="M36" i="21"/>
  <c r="E37" i="21"/>
  <c r="C38" i="21"/>
  <c r="AB65" i="24" l="1"/>
  <c r="AF51" i="24"/>
  <c r="BB51" i="24"/>
  <c r="AT49" i="24"/>
  <c r="I28" i="21"/>
  <c r="I29" i="21" s="1"/>
  <c r="I30" i="21" s="1"/>
  <c r="I31" i="21" s="1"/>
  <c r="I32" i="21" s="1"/>
  <c r="I33" i="21" s="1"/>
  <c r="I34" i="21" s="1"/>
  <c r="I35" i="21" s="1"/>
  <c r="I36" i="21" s="1"/>
  <c r="I37" i="21" s="1"/>
  <c r="H18" i="4"/>
  <c r="AD47" i="21"/>
  <c r="G47" i="21"/>
  <c r="BB37" i="21"/>
  <c r="M37" i="21"/>
  <c r="AB38" i="21"/>
  <c r="K37" i="21"/>
  <c r="C39" i="21"/>
  <c r="E38" i="21"/>
  <c r="BB52" i="24" l="1"/>
  <c r="BF52" i="24" s="1"/>
  <c r="BF51" i="24"/>
  <c r="AF52" i="24"/>
  <c r="AL52" i="24" s="1"/>
  <c r="AL51" i="24"/>
  <c r="AB66" i="24"/>
  <c r="AT50" i="24"/>
  <c r="BB53" i="24"/>
  <c r="BF53" i="24" s="1"/>
  <c r="BB69" i="24"/>
  <c r="BF69" i="24" s="1"/>
  <c r="AF69" i="24"/>
  <c r="AL69" i="24" s="1"/>
  <c r="M38" i="21"/>
  <c r="C40" i="21"/>
  <c r="E39" i="21"/>
  <c r="K38" i="21"/>
  <c r="AB39" i="21"/>
  <c r="BB38" i="21"/>
  <c r="I38" i="21"/>
  <c r="AF53" i="24" l="1"/>
  <c r="AL53" i="24" s="1"/>
  <c r="AB67" i="24"/>
  <c r="AT51" i="24"/>
  <c r="AT52" i="24"/>
  <c r="AF54" i="24"/>
  <c r="AL54" i="24" s="1"/>
  <c r="BB54" i="24"/>
  <c r="BF54" i="24" s="1"/>
  <c r="K39" i="21"/>
  <c r="BB39" i="21"/>
  <c r="I39" i="21"/>
  <c r="C41" i="21"/>
  <c r="E40" i="21"/>
  <c r="AB40" i="21"/>
  <c r="M39" i="21"/>
  <c r="AB68" i="24" l="1"/>
  <c r="AT53" i="24"/>
  <c r="BB55" i="24"/>
  <c r="BF55" i="24" s="1"/>
  <c r="AF55" i="24"/>
  <c r="AL55" i="24" s="1"/>
  <c r="AT69" i="24"/>
  <c r="K40" i="21"/>
  <c r="C42" i="21"/>
  <c r="E42" i="21" s="1"/>
  <c r="E41" i="21"/>
  <c r="BB40" i="21"/>
  <c r="M40" i="21"/>
  <c r="AB41" i="21"/>
  <c r="I40" i="21"/>
  <c r="AB69" i="24" l="1"/>
  <c r="AF56" i="24"/>
  <c r="AL56" i="24" s="1"/>
  <c r="BB56" i="24"/>
  <c r="BF56" i="24" s="1"/>
  <c r="AT54" i="24"/>
  <c r="K41" i="21"/>
  <c r="K42" i="21" s="1"/>
  <c r="K47" i="21" s="1"/>
  <c r="AB42" i="21"/>
  <c r="BB41" i="21"/>
  <c r="I41" i="21"/>
  <c r="I42" i="21" s="1"/>
  <c r="I47" i="21" s="1"/>
  <c r="M41" i="21"/>
  <c r="M42" i="21" s="1"/>
  <c r="M47" i="21" s="1"/>
  <c r="AT55" i="24" l="1"/>
  <c r="BB57" i="24"/>
  <c r="BF57" i="24" s="1"/>
  <c r="AF57" i="24"/>
  <c r="AL57" i="24" s="1"/>
  <c r="BB42" i="21"/>
  <c r="AT56" i="24" l="1"/>
  <c r="BB58" i="24"/>
  <c r="BF58" i="24" s="1"/>
  <c r="AF58" i="24"/>
  <c r="AL58" i="24" s="1"/>
  <c r="BB47" i="21"/>
  <c r="AT57" i="24" l="1"/>
  <c r="BB59" i="24"/>
  <c r="BF59" i="24" s="1"/>
  <c r="AF59" i="24"/>
  <c r="AL59" i="24" s="1"/>
  <c r="G15" i="20"/>
  <c r="M28" i="20"/>
  <c r="K28" i="20"/>
  <c r="G29" i="20"/>
  <c r="AD29" i="20" s="1"/>
  <c r="E28" i="20"/>
  <c r="E29" i="20" s="1"/>
  <c r="W26" i="20"/>
  <c r="U26" i="20"/>
  <c r="S26" i="20"/>
  <c r="Q26" i="20"/>
  <c r="O26" i="20"/>
  <c r="M26" i="20"/>
  <c r="K26" i="20"/>
  <c r="AF16" i="20"/>
  <c r="BD15" i="20"/>
  <c r="BD14" i="20"/>
  <c r="BB31" i="20" s="1"/>
  <c r="C28" i="20"/>
  <c r="AZ28" i="20" s="1"/>
  <c r="A3" i="20"/>
  <c r="A2" i="20"/>
  <c r="A1" i="20"/>
  <c r="BD15" i="14"/>
  <c r="BD14" i="14"/>
  <c r="N70" i="4"/>
  <c r="BB16" i="14" s="1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38" i="5"/>
  <c r="AS39" i="5"/>
  <c r="AS40" i="5"/>
  <c r="AS41" i="5"/>
  <c r="AS42" i="5"/>
  <c r="AS43" i="5"/>
  <c r="AS44" i="5"/>
  <c r="AS45" i="5"/>
  <c r="AS46" i="5"/>
  <c r="AS47" i="5"/>
  <c r="AS48" i="5"/>
  <c r="AS49" i="5"/>
  <c r="AS50" i="5"/>
  <c r="AS51" i="5"/>
  <c r="AS52" i="5"/>
  <c r="AS53" i="5"/>
  <c r="AS54" i="5"/>
  <c r="AS55" i="5"/>
  <c r="AS56" i="5"/>
  <c r="AS57" i="5"/>
  <c r="AS58" i="5"/>
  <c r="AS59" i="5"/>
  <c r="AS60" i="5"/>
  <c r="AS61" i="5"/>
  <c r="AS62" i="5"/>
  <c r="AS63" i="5"/>
  <c r="AS64" i="5"/>
  <c r="AS65" i="5"/>
  <c r="AS66" i="5"/>
  <c r="AS67" i="5"/>
  <c r="AS68" i="5"/>
  <c r="AS69" i="5"/>
  <c r="AS70" i="5"/>
  <c r="AS71" i="5"/>
  <c r="AS72" i="5"/>
  <c r="AS73" i="5"/>
  <c r="AS74" i="5"/>
  <c r="AS75" i="5"/>
  <c r="AS76" i="5"/>
  <c r="AS77" i="5"/>
  <c r="AS78" i="5"/>
  <c r="AS79" i="5"/>
  <c r="AS80" i="5"/>
  <c r="AS81" i="5"/>
  <c r="AS82" i="5"/>
  <c r="AS83" i="5"/>
  <c r="AS84" i="5"/>
  <c r="AS85" i="5"/>
  <c r="AS86" i="5"/>
  <c r="AS87" i="5"/>
  <c r="AS88" i="5"/>
  <c r="AS89" i="5"/>
  <c r="AS90" i="5"/>
  <c r="AS91" i="5"/>
  <c r="AS92" i="5"/>
  <c r="AS93" i="5"/>
  <c r="AS94" i="5"/>
  <c r="AS95" i="5"/>
  <c r="AS96" i="5"/>
  <c r="AS97" i="5"/>
  <c r="AS98" i="5"/>
  <c r="AS99" i="5"/>
  <c r="AS100" i="5"/>
  <c r="AS101" i="5"/>
  <c r="AS102" i="5"/>
  <c r="AS103" i="5"/>
  <c r="AS104" i="5"/>
  <c r="AS105" i="5"/>
  <c r="AS106" i="5"/>
  <c r="AS107" i="5"/>
  <c r="AS108" i="5"/>
  <c r="AS109" i="5"/>
  <c r="AS110" i="5"/>
  <c r="AS111" i="5"/>
  <c r="AS112" i="5"/>
  <c r="AS113" i="5"/>
  <c r="AS114" i="5"/>
  <c r="AS115" i="5"/>
  <c r="AS116" i="5"/>
  <c r="AS117" i="5"/>
  <c r="AS118" i="5"/>
  <c r="AS119" i="5"/>
  <c r="AS120" i="5"/>
  <c r="AS121" i="5"/>
  <c r="AS122" i="5"/>
  <c r="AS123" i="5"/>
  <c r="AS124" i="5"/>
  <c r="AS125" i="5"/>
  <c r="AS126" i="5"/>
  <c r="AS127" i="5"/>
  <c r="AS128" i="5"/>
  <c r="AS129" i="5"/>
  <c r="AS130" i="5"/>
  <c r="AS131" i="5"/>
  <c r="AS132" i="5"/>
  <c r="AS133" i="5"/>
  <c r="AS134" i="5"/>
  <c r="AS135" i="5"/>
  <c r="AS136" i="5"/>
  <c r="AS137" i="5"/>
  <c r="AS138" i="5"/>
  <c r="AS139" i="5"/>
  <c r="AS140" i="5"/>
  <c r="AS141" i="5"/>
  <c r="AS142" i="5"/>
  <c r="AS143" i="5"/>
  <c r="AS144" i="5"/>
  <c r="AS145" i="5"/>
  <c r="AS146" i="5"/>
  <c r="AS147" i="5"/>
  <c r="AS148" i="5"/>
  <c r="AS149" i="5"/>
  <c r="AS150" i="5"/>
  <c r="AS151" i="5"/>
  <c r="AS152" i="5"/>
  <c r="AS153" i="5"/>
  <c r="AS154" i="5"/>
  <c r="AS155" i="5"/>
  <c r="AS156" i="5"/>
  <c r="AS157" i="5"/>
  <c r="AS158" i="5"/>
  <c r="AS159" i="5"/>
  <c r="AS160" i="5"/>
  <c r="AS161" i="5"/>
  <c r="AS162" i="5"/>
  <c r="AS163" i="5"/>
  <c r="AS164" i="5"/>
  <c r="AS165" i="5"/>
  <c r="AS166" i="5"/>
  <c r="AS167" i="5"/>
  <c r="AS168" i="5"/>
  <c r="AS169" i="5"/>
  <c r="AS170" i="5"/>
  <c r="AS171" i="5"/>
  <c r="AS172" i="5"/>
  <c r="AS173" i="5"/>
  <c r="AS174" i="5"/>
  <c r="AS175" i="5"/>
  <c r="AS176" i="5"/>
  <c r="AS177" i="5"/>
  <c r="AS178" i="5"/>
  <c r="AS179" i="5"/>
  <c r="AS180" i="5"/>
  <c r="AS181" i="5"/>
  <c r="AS182" i="5"/>
  <c r="AS183" i="5"/>
  <c r="AS184" i="5"/>
  <c r="AS185" i="5"/>
  <c r="AS186" i="5"/>
  <c r="AS187" i="5"/>
  <c r="AS188" i="5"/>
  <c r="AS189" i="5"/>
  <c r="AS190" i="5"/>
  <c r="AS191" i="5"/>
  <c r="AS192" i="5"/>
  <c r="AS193" i="5"/>
  <c r="AS194" i="5"/>
  <c r="AS195" i="5"/>
  <c r="AS196" i="5"/>
  <c r="AS197" i="5"/>
  <c r="AS198" i="5"/>
  <c r="AS199" i="5"/>
  <c r="AS200" i="5"/>
  <c r="AS201" i="5"/>
  <c r="AS202" i="5"/>
  <c r="AS203" i="5"/>
  <c r="AS204" i="5"/>
  <c r="AS205" i="5"/>
  <c r="AS206" i="5"/>
  <c r="AS207" i="5"/>
  <c r="AS208" i="5"/>
  <c r="AS209" i="5"/>
  <c r="AS210" i="5"/>
  <c r="AS211" i="5"/>
  <c r="AS212" i="5"/>
  <c r="AS213" i="5"/>
  <c r="AS214" i="5"/>
  <c r="AS215" i="5"/>
  <c r="AS216" i="5"/>
  <c r="AS217" i="5"/>
  <c r="AS218" i="5"/>
  <c r="AS219" i="5"/>
  <c r="AS220" i="5"/>
  <c r="AS221" i="5"/>
  <c r="AS222" i="5"/>
  <c r="AS223" i="5"/>
  <c r="AS224" i="5"/>
  <c r="AS225" i="5"/>
  <c r="AS226" i="5"/>
  <c r="AS227" i="5"/>
  <c r="AS228" i="5"/>
  <c r="AS229" i="5"/>
  <c r="AS230" i="5"/>
  <c r="AS231" i="5"/>
  <c r="AS232" i="5"/>
  <c r="AS233" i="5"/>
  <c r="AS234" i="5"/>
  <c r="AS235" i="5"/>
  <c r="AS236" i="5"/>
  <c r="AS237" i="5"/>
  <c r="AS238" i="5"/>
  <c r="AS239" i="5"/>
  <c r="AS240" i="5"/>
  <c r="AS241" i="5"/>
  <c r="AS242" i="5"/>
  <c r="AS243" i="5"/>
  <c r="AS244" i="5"/>
  <c r="AS245" i="5"/>
  <c r="AS246" i="5"/>
  <c r="AS247" i="5"/>
  <c r="AS248" i="5"/>
  <c r="AS249" i="5"/>
  <c r="AS250" i="5"/>
  <c r="AS251" i="5"/>
  <c r="AS252" i="5"/>
  <c r="AS253" i="5"/>
  <c r="AS254" i="5"/>
  <c r="AS255" i="5"/>
  <c r="AS256" i="5"/>
  <c r="AS257" i="5"/>
  <c r="AS258" i="5"/>
  <c r="AS259" i="5"/>
  <c r="AS260" i="5"/>
  <c r="AS261" i="5"/>
  <c r="AS262" i="5"/>
  <c r="AS263" i="5"/>
  <c r="AS264" i="5"/>
  <c r="AS265" i="5"/>
  <c r="AS266" i="5"/>
  <c r="AS267" i="5"/>
  <c r="AS268" i="5"/>
  <c r="AS269" i="5"/>
  <c r="AS270" i="5"/>
  <c r="AS271" i="5"/>
  <c r="AS272" i="5"/>
  <c r="AS273" i="5"/>
  <c r="AS274" i="5"/>
  <c r="AS275" i="5"/>
  <c r="AS276" i="5"/>
  <c r="AS277" i="5"/>
  <c r="AS278" i="5"/>
  <c r="AS279" i="5"/>
  <c r="AS280" i="5"/>
  <c r="AS281" i="5"/>
  <c r="AS282" i="5"/>
  <c r="AS283" i="5"/>
  <c r="AS284" i="5"/>
  <c r="AS285" i="5"/>
  <c r="AS286" i="5"/>
  <c r="AS287" i="5"/>
  <c r="AS288" i="5"/>
  <c r="AS289" i="5"/>
  <c r="AS290" i="5"/>
  <c r="AS291" i="5"/>
  <c r="AS292" i="5"/>
  <c r="AS293" i="5"/>
  <c r="AS294" i="5"/>
  <c r="AS295" i="5"/>
  <c r="AS296" i="5"/>
  <c r="AS297" i="5"/>
  <c r="AS298" i="5"/>
  <c r="AS299" i="5"/>
  <c r="AS300" i="5"/>
  <c r="AS301" i="5"/>
  <c r="AS302" i="5"/>
  <c r="AS303" i="5"/>
  <c r="AS304" i="5"/>
  <c r="AS305" i="5"/>
  <c r="AS306" i="5"/>
  <c r="AS307" i="5"/>
  <c r="AS308" i="5"/>
  <c r="AS309" i="5"/>
  <c r="AS310" i="5"/>
  <c r="AS311" i="5"/>
  <c r="AS312" i="5"/>
  <c r="AS313" i="5"/>
  <c r="AS314" i="5"/>
  <c r="AS315" i="5"/>
  <c r="AS316" i="5"/>
  <c r="AS317" i="5"/>
  <c r="AS318" i="5"/>
  <c r="AS319" i="5"/>
  <c r="AS320" i="5"/>
  <c r="AS321" i="5"/>
  <c r="AS322" i="5"/>
  <c r="AS323" i="5"/>
  <c r="AS324" i="5"/>
  <c r="AS325" i="5"/>
  <c r="AS326" i="5"/>
  <c r="AS327" i="5"/>
  <c r="AS328" i="5"/>
  <c r="AS329" i="5"/>
  <c r="AS330" i="5"/>
  <c r="AS331" i="5"/>
  <c r="AS332" i="5"/>
  <c r="AS333" i="5"/>
  <c r="AS334" i="5"/>
  <c r="AS335" i="5"/>
  <c r="AS336" i="5"/>
  <c r="AS337" i="5"/>
  <c r="AS338" i="5"/>
  <c r="AS339" i="5"/>
  <c r="AS340" i="5"/>
  <c r="AS341" i="5"/>
  <c r="AS342" i="5"/>
  <c r="AS343" i="5"/>
  <c r="AS344" i="5"/>
  <c r="AS345" i="5"/>
  <c r="AS346" i="5"/>
  <c r="AS347" i="5"/>
  <c r="AS348" i="5"/>
  <c r="AS349" i="5"/>
  <c r="AS350" i="5"/>
  <c r="AS351" i="5"/>
  <c r="AS352" i="5"/>
  <c r="AS353" i="5"/>
  <c r="AS354" i="5"/>
  <c r="AS355" i="5"/>
  <c r="AS356" i="5"/>
  <c r="AS357" i="5"/>
  <c r="AS358" i="5"/>
  <c r="AS359" i="5"/>
  <c r="AS360" i="5"/>
  <c r="AS361" i="5"/>
  <c r="AS362" i="5"/>
  <c r="AS363" i="5"/>
  <c r="AS364" i="5"/>
  <c r="AS365" i="5"/>
  <c r="AS366" i="5"/>
  <c r="AS367" i="5"/>
  <c r="AS368" i="5"/>
  <c r="AS369" i="5"/>
  <c r="AS370" i="5"/>
  <c r="AS371" i="5"/>
  <c r="AS372" i="5"/>
  <c r="AS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6" i="5"/>
  <c r="AQ137" i="5"/>
  <c r="AQ138" i="5"/>
  <c r="AQ139" i="5"/>
  <c r="AQ140" i="5"/>
  <c r="AQ141" i="5"/>
  <c r="AQ142" i="5"/>
  <c r="AQ143" i="5"/>
  <c r="AQ144" i="5"/>
  <c r="AQ145" i="5"/>
  <c r="AQ146" i="5"/>
  <c r="AQ147" i="5"/>
  <c r="AQ148" i="5"/>
  <c r="AQ149" i="5"/>
  <c r="AQ150" i="5"/>
  <c r="AQ151" i="5"/>
  <c r="AQ152" i="5"/>
  <c r="AQ153" i="5"/>
  <c r="AQ154" i="5"/>
  <c r="AQ155" i="5"/>
  <c r="AQ156" i="5"/>
  <c r="AQ157" i="5"/>
  <c r="AQ158" i="5"/>
  <c r="AQ159" i="5"/>
  <c r="AQ160" i="5"/>
  <c r="AQ161" i="5"/>
  <c r="AQ162" i="5"/>
  <c r="AQ163" i="5"/>
  <c r="AQ164" i="5"/>
  <c r="AQ165" i="5"/>
  <c r="AQ166" i="5"/>
  <c r="AQ167" i="5"/>
  <c r="AQ168" i="5"/>
  <c r="AQ169" i="5"/>
  <c r="AQ170" i="5"/>
  <c r="AQ171" i="5"/>
  <c r="AQ172" i="5"/>
  <c r="AQ173" i="5"/>
  <c r="AQ174" i="5"/>
  <c r="AQ175" i="5"/>
  <c r="AQ176" i="5"/>
  <c r="AQ177" i="5"/>
  <c r="AQ178" i="5"/>
  <c r="AQ179" i="5"/>
  <c r="AQ180" i="5"/>
  <c r="AQ181" i="5"/>
  <c r="AQ182" i="5"/>
  <c r="AQ183" i="5"/>
  <c r="AQ184" i="5"/>
  <c r="AQ185" i="5"/>
  <c r="AQ186" i="5"/>
  <c r="AQ187" i="5"/>
  <c r="AQ188" i="5"/>
  <c r="AQ189" i="5"/>
  <c r="AQ190" i="5"/>
  <c r="AQ191" i="5"/>
  <c r="AQ192" i="5"/>
  <c r="AQ193" i="5"/>
  <c r="AQ194" i="5"/>
  <c r="AQ195" i="5"/>
  <c r="AQ196" i="5"/>
  <c r="AQ197" i="5"/>
  <c r="AQ198" i="5"/>
  <c r="AQ199" i="5"/>
  <c r="AQ200" i="5"/>
  <c r="AQ201" i="5"/>
  <c r="AQ202" i="5"/>
  <c r="AQ203" i="5"/>
  <c r="AQ204" i="5"/>
  <c r="AQ205" i="5"/>
  <c r="AQ206" i="5"/>
  <c r="AQ207" i="5"/>
  <c r="AQ208" i="5"/>
  <c r="AQ209" i="5"/>
  <c r="AQ210" i="5"/>
  <c r="AQ211" i="5"/>
  <c r="AQ212" i="5"/>
  <c r="AQ213" i="5"/>
  <c r="AQ214" i="5"/>
  <c r="AQ215" i="5"/>
  <c r="AQ216" i="5"/>
  <c r="AQ217" i="5"/>
  <c r="AQ218" i="5"/>
  <c r="AQ219" i="5"/>
  <c r="AQ220" i="5"/>
  <c r="AQ221" i="5"/>
  <c r="AQ222" i="5"/>
  <c r="AQ223" i="5"/>
  <c r="AQ224" i="5"/>
  <c r="AQ225" i="5"/>
  <c r="AQ226" i="5"/>
  <c r="AQ227" i="5"/>
  <c r="AQ228" i="5"/>
  <c r="AQ229" i="5"/>
  <c r="AQ230" i="5"/>
  <c r="AQ231" i="5"/>
  <c r="AQ232" i="5"/>
  <c r="AQ233" i="5"/>
  <c r="AQ234" i="5"/>
  <c r="AQ235" i="5"/>
  <c r="AQ236" i="5"/>
  <c r="AQ237" i="5"/>
  <c r="AQ238" i="5"/>
  <c r="AQ239" i="5"/>
  <c r="AQ240" i="5"/>
  <c r="AQ241" i="5"/>
  <c r="AQ242" i="5"/>
  <c r="AQ243" i="5"/>
  <c r="AQ244" i="5"/>
  <c r="AQ245" i="5"/>
  <c r="AQ246" i="5"/>
  <c r="AQ247" i="5"/>
  <c r="AQ248" i="5"/>
  <c r="AQ249" i="5"/>
  <c r="AQ250" i="5"/>
  <c r="AQ251" i="5"/>
  <c r="AQ252" i="5"/>
  <c r="AQ253" i="5"/>
  <c r="AQ254" i="5"/>
  <c r="AQ255" i="5"/>
  <c r="AQ256" i="5"/>
  <c r="AQ257" i="5"/>
  <c r="AQ258" i="5"/>
  <c r="AQ259" i="5"/>
  <c r="AQ260" i="5"/>
  <c r="AQ261" i="5"/>
  <c r="AQ262" i="5"/>
  <c r="AQ263" i="5"/>
  <c r="AQ264" i="5"/>
  <c r="AQ265" i="5"/>
  <c r="AQ266" i="5"/>
  <c r="AQ267" i="5"/>
  <c r="AQ268" i="5"/>
  <c r="AQ269" i="5"/>
  <c r="AQ270" i="5"/>
  <c r="AQ271" i="5"/>
  <c r="AQ272" i="5"/>
  <c r="AQ273" i="5"/>
  <c r="AQ274" i="5"/>
  <c r="AQ275" i="5"/>
  <c r="AQ276" i="5"/>
  <c r="AQ277" i="5"/>
  <c r="AQ278" i="5"/>
  <c r="AQ279" i="5"/>
  <c r="AQ280" i="5"/>
  <c r="AQ281" i="5"/>
  <c r="AQ282" i="5"/>
  <c r="AQ283" i="5"/>
  <c r="AQ284" i="5"/>
  <c r="AQ285" i="5"/>
  <c r="AQ286" i="5"/>
  <c r="AQ287" i="5"/>
  <c r="AQ288" i="5"/>
  <c r="AQ289" i="5"/>
  <c r="AQ290" i="5"/>
  <c r="AQ291" i="5"/>
  <c r="AQ292" i="5"/>
  <c r="AQ293" i="5"/>
  <c r="AQ294" i="5"/>
  <c r="AQ295" i="5"/>
  <c r="AQ296" i="5"/>
  <c r="AQ297" i="5"/>
  <c r="AQ298" i="5"/>
  <c r="AQ299" i="5"/>
  <c r="AQ300" i="5"/>
  <c r="AQ301" i="5"/>
  <c r="AQ302" i="5"/>
  <c r="AQ303" i="5"/>
  <c r="AQ304" i="5"/>
  <c r="AQ305" i="5"/>
  <c r="AQ306" i="5"/>
  <c r="AQ307" i="5"/>
  <c r="AQ308" i="5"/>
  <c r="AQ309" i="5"/>
  <c r="AQ310" i="5"/>
  <c r="AQ311" i="5"/>
  <c r="AQ312" i="5"/>
  <c r="AQ313" i="5"/>
  <c r="AQ314" i="5"/>
  <c r="AQ315" i="5"/>
  <c r="AQ316" i="5"/>
  <c r="AQ317" i="5"/>
  <c r="AQ318" i="5"/>
  <c r="AQ319" i="5"/>
  <c r="AQ320" i="5"/>
  <c r="AQ321" i="5"/>
  <c r="AQ322" i="5"/>
  <c r="AQ323" i="5"/>
  <c r="AQ324" i="5"/>
  <c r="AQ325" i="5"/>
  <c r="AQ326" i="5"/>
  <c r="AQ327" i="5"/>
  <c r="AQ328" i="5"/>
  <c r="AQ329" i="5"/>
  <c r="AQ330" i="5"/>
  <c r="AQ331" i="5"/>
  <c r="AQ332" i="5"/>
  <c r="AQ333" i="5"/>
  <c r="AQ334" i="5"/>
  <c r="AQ335" i="5"/>
  <c r="AQ336" i="5"/>
  <c r="AQ337" i="5"/>
  <c r="AQ338" i="5"/>
  <c r="AQ339" i="5"/>
  <c r="AQ340" i="5"/>
  <c r="AQ341" i="5"/>
  <c r="AQ342" i="5"/>
  <c r="AQ343" i="5"/>
  <c r="AQ344" i="5"/>
  <c r="AQ345" i="5"/>
  <c r="AQ346" i="5"/>
  <c r="AQ347" i="5"/>
  <c r="AQ348" i="5"/>
  <c r="AQ349" i="5"/>
  <c r="AQ350" i="5"/>
  <c r="AQ351" i="5"/>
  <c r="AQ352" i="5"/>
  <c r="AQ353" i="5"/>
  <c r="AQ354" i="5"/>
  <c r="AQ355" i="5"/>
  <c r="AQ356" i="5"/>
  <c r="AQ357" i="5"/>
  <c r="AQ358" i="5"/>
  <c r="AQ359" i="5"/>
  <c r="AQ360" i="5"/>
  <c r="AQ361" i="5"/>
  <c r="AQ362" i="5"/>
  <c r="AQ363" i="5"/>
  <c r="AQ364" i="5"/>
  <c r="AQ365" i="5"/>
  <c r="AQ366" i="5"/>
  <c r="AQ367" i="5"/>
  <c r="AQ368" i="5"/>
  <c r="AQ369" i="5"/>
  <c r="AQ370" i="5"/>
  <c r="AQ371" i="5"/>
  <c r="AQ372" i="5"/>
  <c r="AQ12" i="5"/>
  <c r="AF16" i="14"/>
  <c r="AF60" i="24" l="1"/>
  <c r="AL60" i="24" s="1"/>
  <c r="AT58" i="24"/>
  <c r="BB60" i="24"/>
  <c r="BF60" i="24" s="1"/>
  <c r="K29" i="20"/>
  <c r="AZ29" i="20"/>
  <c r="AZ30" i="20" s="1"/>
  <c r="AZ31" i="20" s="1"/>
  <c r="AZ32" i="20" s="1"/>
  <c r="AZ33" i="20" s="1"/>
  <c r="AZ34" i="20" s="1"/>
  <c r="AZ35" i="20" s="1"/>
  <c r="AZ36" i="20" s="1"/>
  <c r="AZ37" i="20" s="1"/>
  <c r="AZ38" i="20" s="1"/>
  <c r="AZ39" i="20" s="1"/>
  <c r="AZ40" i="20" s="1"/>
  <c r="AZ41" i="20" s="1"/>
  <c r="AZ42" i="20" s="1"/>
  <c r="AZ43" i="20" s="1"/>
  <c r="AZ44" i="20" s="1"/>
  <c r="AZ45" i="20" s="1"/>
  <c r="AZ46" i="20" s="1"/>
  <c r="AZ47" i="20" s="1"/>
  <c r="AZ48" i="20" s="1"/>
  <c r="AZ49" i="20" s="1"/>
  <c r="AZ50" i="20" s="1"/>
  <c r="AZ51" i="20" s="1"/>
  <c r="AZ52" i="20" s="1"/>
  <c r="AZ53" i="20" s="1"/>
  <c r="AZ54" i="20" s="1"/>
  <c r="AZ55" i="20" s="1"/>
  <c r="AZ56" i="20" s="1"/>
  <c r="AZ57" i="20" s="1"/>
  <c r="AZ58" i="20" s="1"/>
  <c r="AZ59" i="20" s="1"/>
  <c r="AZ60" i="20" s="1"/>
  <c r="AZ61" i="20" s="1"/>
  <c r="AZ62" i="20" s="1"/>
  <c r="AD28" i="20"/>
  <c r="S66" i="20"/>
  <c r="W14" i="18" s="1"/>
  <c r="O66" i="20"/>
  <c r="Q66" i="20"/>
  <c r="C29" i="20"/>
  <c r="C30" i="20" s="1"/>
  <c r="C31" i="20" s="1"/>
  <c r="C32" i="20" s="1"/>
  <c r="C33" i="20" s="1"/>
  <c r="C34" i="20" s="1"/>
  <c r="C35" i="20" s="1"/>
  <c r="C36" i="20" s="1"/>
  <c r="C37" i="20" s="1"/>
  <c r="C38" i="20" s="1"/>
  <c r="C39" i="20" s="1"/>
  <c r="C40" i="20" s="1"/>
  <c r="C41" i="20" s="1"/>
  <c r="C42" i="20" s="1"/>
  <c r="C43" i="20" s="1"/>
  <c r="C44" i="20" s="1"/>
  <c r="C45" i="20" s="1"/>
  <c r="C46" i="20" s="1"/>
  <c r="C47" i="20" s="1"/>
  <c r="C48" i="20" s="1"/>
  <c r="C49" i="20" s="1"/>
  <c r="C50" i="20" s="1"/>
  <c r="C51" i="20" s="1"/>
  <c r="C52" i="20" s="1"/>
  <c r="C53" i="20" s="1"/>
  <c r="C54" i="20" s="1"/>
  <c r="C55" i="20" s="1"/>
  <c r="C56" i="20" s="1"/>
  <c r="C57" i="20" s="1"/>
  <c r="C58" i="20" s="1"/>
  <c r="C59" i="20" s="1"/>
  <c r="C60" i="20" s="1"/>
  <c r="C61" i="20" s="1"/>
  <c r="C62" i="20" s="1"/>
  <c r="AB28" i="20"/>
  <c r="G60" i="20"/>
  <c r="AD60" i="20" s="1"/>
  <c r="G56" i="20"/>
  <c r="AD56" i="20" s="1"/>
  <c r="G52" i="20"/>
  <c r="AD52" i="20" s="1"/>
  <c r="G61" i="20"/>
  <c r="AD61" i="20" s="1"/>
  <c r="G58" i="20"/>
  <c r="AD58" i="20" s="1"/>
  <c r="G55" i="20"/>
  <c r="AD55" i="20" s="1"/>
  <c r="G50" i="20"/>
  <c r="AD50" i="20" s="1"/>
  <c r="G62" i="20"/>
  <c r="AD62" i="20" s="1"/>
  <c r="G48" i="20"/>
  <c r="AD48" i="20" s="1"/>
  <c r="G45" i="20"/>
  <c r="AD45" i="20" s="1"/>
  <c r="G41" i="20"/>
  <c r="AD41" i="20" s="1"/>
  <c r="G37" i="20"/>
  <c r="AD37" i="20" s="1"/>
  <c r="G33" i="20"/>
  <c r="AD33" i="20" s="1"/>
  <c r="G57" i="20"/>
  <c r="AD57" i="20" s="1"/>
  <c r="G49" i="20"/>
  <c r="AD49" i="20" s="1"/>
  <c r="G44" i="20"/>
  <c r="AD44" i="20" s="1"/>
  <c r="G59" i="20"/>
  <c r="AD59" i="20" s="1"/>
  <c r="G53" i="20"/>
  <c r="AD53" i="20" s="1"/>
  <c r="G42" i="20"/>
  <c r="AD42" i="20" s="1"/>
  <c r="G39" i="20"/>
  <c r="AD39" i="20" s="1"/>
  <c r="G36" i="20"/>
  <c r="AD36" i="20" s="1"/>
  <c r="G47" i="20"/>
  <c r="AD47" i="20" s="1"/>
  <c r="G38" i="20"/>
  <c r="AD38" i="20" s="1"/>
  <c r="G34" i="20"/>
  <c r="AD34" i="20" s="1"/>
  <c r="G32" i="20"/>
  <c r="AD32" i="20" s="1"/>
  <c r="G30" i="20"/>
  <c r="AD30" i="20" s="1"/>
  <c r="G54" i="20"/>
  <c r="AD54" i="20" s="1"/>
  <c r="G51" i="20"/>
  <c r="AD51" i="20" s="1"/>
  <c r="G46" i="20"/>
  <c r="AD46" i="20" s="1"/>
  <c r="G43" i="20"/>
  <c r="AD43" i="20" s="1"/>
  <c r="G40" i="20"/>
  <c r="AD40" i="20" s="1"/>
  <c r="G35" i="20"/>
  <c r="AD35" i="20" s="1"/>
  <c r="G31" i="20"/>
  <c r="AD31" i="20" s="1"/>
  <c r="E30" i="20"/>
  <c r="E31" i="20" s="1"/>
  <c r="E32" i="20" s="1"/>
  <c r="E33" i="20" s="1"/>
  <c r="E34" i="20" s="1"/>
  <c r="E35" i="20" s="1"/>
  <c r="E36" i="20" s="1"/>
  <c r="E37" i="20" s="1"/>
  <c r="E38" i="20" s="1"/>
  <c r="E39" i="20" s="1"/>
  <c r="E40" i="20" s="1"/>
  <c r="E41" i="20" s="1"/>
  <c r="E42" i="20" s="1"/>
  <c r="E43" i="20" s="1"/>
  <c r="E44" i="20" s="1"/>
  <c r="E45" i="20" s="1"/>
  <c r="E46" i="20" s="1"/>
  <c r="E47" i="20" s="1"/>
  <c r="E48" i="20" s="1"/>
  <c r="E49" i="20" s="1"/>
  <c r="E50" i="20" s="1"/>
  <c r="E51" i="20" s="1"/>
  <c r="E52" i="20" s="1"/>
  <c r="E53" i="20" s="1"/>
  <c r="E54" i="20" s="1"/>
  <c r="E55" i="20" s="1"/>
  <c r="E56" i="20" s="1"/>
  <c r="E57" i="20" s="1"/>
  <c r="E58" i="20" s="1"/>
  <c r="E59" i="20" s="1"/>
  <c r="E60" i="20" s="1"/>
  <c r="E61" i="20" s="1"/>
  <c r="E62" i="20" s="1"/>
  <c r="M29" i="20"/>
  <c r="C66" i="20"/>
  <c r="BB30" i="20" l="1"/>
  <c r="BB29" i="20" s="1"/>
  <c r="BB28" i="20" s="1"/>
  <c r="AF61" i="24"/>
  <c r="AL61" i="24" s="1"/>
  <c r="BB61" i="24"/>
  <c r="BF61" i="24" s="1"/>
  <c r="AT59" i="24"/>
  <c r="AD66" i="20"/>
  <c r="G66" i="20"/>
  <c r="M30" i="20"/>
  <c r="M31" i="20" s="1"/>
  <c r="M32" i="20" s="1"/>
  <c r="M33" i="20" s="1"/>
  <c r="M34" i="20" s="1"/>
  <c r="M35" i="20" s="1"/>
  <c r="M36" i="20" s="1"/>
  <c r="M37" i="20" s="1"/>
  <c r="M38" i="20" s="1"/>
  <c r="M39" i="20" s="1"/>
  <c r="M40" i="20" s="1"/>
  <c r="M41" i="20" s="1"/>
  <c r="M42" i="20" s="1"/>
  <c r="M43" i="20" s="1"/>
  <c r="M44" i="20" s="1"/>
  <c r="M45" i="20" s="1"/>
  <c r="M46" i="20" s="1"/>
  <c r="M47" i="20" s="1"/>
  <c r="M48" i="20" s="1"/>
  <c r="M49" i="20" s="1"/>
  <c r="M50" i="20" s="1"/>
  <c r="M51" i="20" s="1"/>
  <c r="M52" i="20" s="1"/>
  <c r="M53" i="20" s="1"/>
  <c r="M54" i="20" s="1"/>
  <c r="M55" i="20" s="1"/>
  <c r="M56" i="20" s="1"/>
  <c r="M57" i="20" s="1"/>
  <c r="M58" i="20" s="1"/>
  <c r="M59" i="20" s="1"/>
  <c r="M60" i="20" s="1"/>
  <c r="M61" i="20" s="1"/>
  <c r="M62" i="20" s="1"/>
  <c r="AB29" i="20"/>
  <c r="K30" i="20"/>
  <c r="AF62" i="24" l="1"/>
  <c r="AT60" i="24"/>
  <c r="BB62" i="24"/>
  <c r="K31" i="20"/>
  <c r="K32" i="20" s="1"/>
  <c r="K33" i="20" s="1"/>
  <c r="K34" i="20" s="1"/>
  <c r="K35" i="20" s="1"/>
  <c r="K36" i="20" s="1"/>
  <c r="K37" i="20" s="1"/>
  <c r="K38" i="20" s="1"/>
  <c r="K39" i="20" s="1"/>
  <c r="K40" i="20" s="1"/>
  <c r="K41" i="20" s="1"/>
  <c r="K42" i="20" s="1"/>
  <c r="K43" i="20" s="1"/>
  <c r="K44" i="20" s="1"/>
  <c r="K45" i="20" s="1"/>
  <c r="K46" i="20" s="1"/>
  <c r="K47" i="20" s="1"/>
  <c r="K48" i="20" s="1"/>
  <c r="K49" i="20" s="1"/>
  <c r="K50" i="20" s="1"/>
  <c r="K51" i="20" s="1"/>
  <c r="K52" i="20" s="1"/>
  <c r="K53" i="20" s="1"/>
  <c r="K54" i="20" s="1"/>
  <c r="K55" i="20" s="1"/>
  <c r="K56" i="20" s="1"/>
  <c r="K57" i="20" s="1"/>
  <c r="K58" i="20" s="1"/>
  <c r="K59" i="20" s="1"/>
  <c r="K60" i="20" s="1"/>
  <c r="K61" i="20" s="1"/>
  <c r="K62" i="20" s="1"/>
  <c r="AB30" i="20"/>
  <c r="M66" i="20"/>
  <c r="BB63" i="24" l="1"/>
  <c r="BF63" i="24" s="1"/>
  <c r="BF62" i="24"/>
  <c r="AF63" i="24"/>
  <c r="AL63" i="24" s="1"/>
  <c r="AL62" i="24"/>
  <c r="AT61" i="24"/>
  <c r="AF66" i="24"/>
  <c r="AL66" i="24" s="1"/>
  <c r="BB66" i="24"/>
  <c r="BF66" i="24" s="1"/>
  <c r="K66" i="20"/>
  <c r="AB31" i="20"/>
  <c r="BB32" i="20"/>
  <c r="BB64" i="24" l="1"/>
  <c r="BF64" i="24" s="1"/>
  <c r="AF64" i="24"/>
  <c r="AL64" i="24" s="1"/>
  <c r="AT64" i="24" s="1"/>
  <c r="AT63" i="24"/>
  <c r="AT62" i="24"/>
  <c r="BB67" i="24"/>
  <c r="BF67" i="24" s="1"/>
  <c r="AF67" i="24"/>
  <c r="AL67" i="24" s="1"/>
  <c r="BB33" i="20"/>
  <c r="AB32" i="20"/>
  <c r="BB68" i="24" l="1"/>
  <c r="AF68" i="24"/>
  <c r="AT66" i="24"/>
  <c r="AB33" i="20"/>
  <c r="BB34" i="20"/>
  <c r="AF71" i="24" l="1"/>
  <c r="AL68" i="24"/>
  <c r="AL71" i="24" s="1"/>
  <c r="BB71" i="24"/>
  <c r="BF68" i="24"/>
  <c r="BF71" i="24" s="1"/>
  <c r="AT67" i="24"/>
  <c r="S71" i="24"/>
  <c r="G14" i="18" s="1"/>
  <c r="BB35" i="20"/>
  <c r="AB34" i="20"/>
  <c r="AT68" i="24" l="1"/>
  <c r="AT71" i="24" s="1"/>
  <c r="AB35" i="20"/>
  <c r="BB36" i="20"/>
  <c r="BB37" i="20" l="1"/>
  <c r="AB36" i="20"/>
  <c r="AB37" i="20" l="1"/>
  <c r="BB38" i="20"/>
  <c r="BB39" i="20" l="1"/>
  <c r="AB38" i="20"/>
  <c r="BB40" i="20" l="1"/>
  <c r="AB39" i="20"/>
  <c r="AB40" i="20" l="1"/>
  <c r="BB41" i="20"/>
  <c r="BB42" i="20" l="1"/>
  <c r="AB41" i="20"/>
  <c r="BB43" i="20" l="1"/>
  <c r="AB42" i="20"/>
  <c r="AB43" i="20" l="1"/>
  <c r="BB44" i="20"/>
  <c r="AB44" i="20" l="1"/>
  <c r="BB45" i="20"/>
  <c r="AB45" i="20" l="1"/>
  <c r="BB46" i="20"/>
  <c r="AB46" i="20" l="1"/>
  <c r="BB47" i="20"/>
  <c r="AB47" i="20" l="1"/>
  <c r="BB48" i="20"/>
  <c r="AB48" i="20" l="1"/>
  <c r="BB49" i="20"/>
  <c r="BB50" i="20" l="1"/>
  <c r="AB49" i="20"/>
  <c r="BB51" i="20" l="1"/>
  <c r="AB50" i="20"/>
  <c r="AB51" i="20" l="1"/>
  <c r="BB52" i="20"/>
  <c r="BB53" i="20" l="1"/>
  <c r="AB52" i="20"/>
  <c r="AB53" i="20" l="1"/>
  <c r="BB54" i="20"/>
  <c r="BB55" i="20" l="1"/>
  <c r="AB54" i="20"/>
  <c r="AB55" i="20" l="1"/>
  <c r="BB56" i="20"/>
  <c r="AB56" i="20" l="1"/>
  <c r="BB57" i="20"/>
  <c r="BB58" i="20" l="1"/>
  <c r="AB57" i="20"/>
  <c r="AB58" i="20" l="1"/>
  <c r="BB59" i="20"/>
  <c r="AB59" i="20" l="1"/>
  <c r="BB60" i="20"/>
  <c r="BB61" i="20" l="1"/>
  <c r="AB60" i="20"/>
  <c r="AB61" i="20" l="1"/>
  <c r="BB62" i="20"/>
  <c r="BB66" i="20" l="1"/>
  <c r="AB62" i="20"/>
  <c r="I28" i="20" l="1"/>
  <c r="I29" i="20" l="1"/>
  <c r="I30" i="20" s="1"/>
  <c r="I31" i="20" s="1"/>
  <c r="I32" i="20" s="1"/>
  <c r="I33" i="20" s="1"/>
  <c r="I34" i="20" s="1"/>
  <c r="I35" i="20" s="1"/>
  <c r="I36" i="20" s="1"/>
  <c r="I37" i="20" s="1"/>
  <c r="I38" i="20" s="1"/>
  <c r="I39" i="20" s="1"/>
  <c r="I40" i="20" s="1"/>
  <c r="I41" i="20" s="1"/>
  <c r="I42" i="20" s="1"/>
  <c r="I43" i="20" s="1"/>
  <c r="I44" i="20" s="1"/>
  <c r="I45" i="20" s="1"/>
  <c r="I46" i="20" s="1"/>
  <c r="I47" i="20" s="1"/>
  <c r="I48" i="20" s="1"/>
  <c r="I49" i="20" s="1"/>
  <c r="I50" i="20" s="1"/>
  <c r="I51" i="20" s="1"/>
  <c r="I52" i="20" s="1"/>
  <c r="I53" i="20" s="1"/>
  <c r="I54" i="20" s="1"/>
  <c r="I55" i="20" s="1"/>
  <c r="I56" i="20" s="1"/>
  <c r="I57" i="20" s="1"/>
  <c r="I58" i="20" s="1"/>
  <c r="I59" i="20" s="1"/>
  <c r="I60" i="20" s="1"/>
  <c r="I61" i="20" s="1"/>
  <c r="I62" i="20" s="1"/>
  <c r="I66" i="20" l="1"/>
  <c r="E28" i="19" l="1"/>
  <c r="E29" i="19" s="1"/>
  <c r="E30" i="19" s="1"/>
  <c r="E31" i="19" s="1"/>
  <c r="E32" i="19" s="1"/>
  <c r="E33" i="19" s="1"/>
  <c r="E34" i="19" s="1"/>
  <c r="E35" i="19" s="1"/>
  <c r="E36" i="19" s="1"/>
  <c r="E37" i="19" s="1"/>
  <c r="E38" i="19" s="1"/>
  <c r="E39" i="19" s="1"/>
  <c r="E40" i="19" s="1"/>
  <c r="E41" i="19" s="1"/>
  <c r="E42" i="19" s="1"/>
  <c r="E43" i="19" s="1"/>
  <c r="E44" i="19" s="1"/>
  <c r="E45" i="19" s="1"/>
  <c r="E46" i="19" s="1"/>
  <c r="E47" i="19" s="1"/>
  <c r="E48" i="19" s="1"/>
  <c r="E49" i="19" s="1"/>
  <c r="E50" i="19" s="1"/>
  <c r="E51" i="19" s="1"/>
  <c r="E52" i="19" s="1"/>
  <c r="E53" i="19" s="1"/>
  <c r="E54" i="19" s="1"/>
  <c r="E55" i="19" s="1"/>
  <c r="E56" i="19" s="1"/>
  <c r="E57" i="19" s="1"/>
  <c r="E58" i="19" s="1"/>
  <c r="E59" i="19" s="1"/>
  <c r="E60" i="19" s="1"/>
  <c r="E61" i="19" s="1"/>
  <c r="E62" i="19" s="1"/>
  <c r="BD15" i="19"/>
  <c r="BD14" i="19"/>
  <c r="BS47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314" i="5"/>
  <c r="AM315" i="5"/>
  <c r="AM316" i="5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12" i="5"/>
  <c r="BB28" i="19" l="1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3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195" i="5"/>
  <c r="AK196" i="5"/>
  <c r="AK197" i="5"/>
  <c r="AK198" i="5"/>
  <c r="AK199" i="5"/>
  <c r="AK200" i="5"/>
  <c r="AK201" i="5"/>
  <c r="AK202" i="5"/>
  <c r="AK203" i="5"/>
  <c r="AK204" i="5"/>
  <c r="AK205" i="5"/>
  <c r="AK206" i="5"/>
  <c r="AK207" i="5"/>
  <c r="AK208" i="5"/>
  <c r="AK209" i="5"/>
  <c r="AK210" i="5"/>
  <c r="AK211" i="5"/>
  <c r="AK212" i="5"/>
  <c r="AK213" i="5"/>
  <c r="AK214" i="5"/>
  <c r="AK215" i="5"/>
  <c r="AK216" i="5"/>
  <c r="AK217" i="5"/>
  <c r="AK218" i="5"/>
  <c r="AK219" i="5"/>
  <c r="AK220" i="5"/>
  <c r="AK221" i="5"/>
  <c r="AK222" i="5"/>
  <c r="AK223" i="5"/>
  <c r="AK224" i="5"/>
  <c r="AK225" i="5"/>
  <c r="AK226" i="5"/>
  <c r="AK227" i="5"/>
  <c r="AK228" i="5"/>
  <c r="AK229" i="5"/>
  <c r="AK230" i="5"/>
  <c r="AK231" i="5"/>
  <c r="AK232" i="5"/>
  <c r="AK233" i="5"/>
  <c r="AK234" i="5"/>
  <c r="AK235" i="5"/>
  <c r="AK236" i="5"/>
  <c r="AK237" i="5"/>
  <c r="AK238" i="5"/>
  <c r="AK239" i="5"/>
  <c r="AK240" i="5"/>
  <c r="AK241" i="5"/>
  <c r="AK242" i="5"/>
  <c r="AK243" i="5"/>
  <c r="AK244" i="5"/>
  <c r="AK245" i="5"/>
  <c r="AK246" i="5"/>
  <c r="AK247" i="5"/>
  <c r="AK248" i="5"/>
  <c r="AK249" i="5"/>
  <c r="AK250" i="5"/>
  <c r="AK251" i="5"/>
  <c r="AK252" i="5"/>
  <c r="AK253" i="5"/>
  <c r="AK254" i="5"/>
  <c r="AK255" i="5"/>
  <c r="AK256" i="5"/>
  <c r="AK257" i="5"/>
  <c r="AK258" i="5"/>
  <c r="AK259" i="5"/>
  <c r="AK260" i="5"/>
  <c r="AK261" i="5"/>
  <c r="AK262" i="5"/>
  <c r="AK263" i="5"/>
  <c r="AK264" i="5"/>
  <c r="AK265" i="5"/>
  <c r="AK266" i="5"/>
  <c r="AK267" i="5"/>
  <c r="AK268" i="5"/>
  <c r="AK269" i="5"/>
  <c r="AK270" i="5"/>
  <c r="AK271" i="5"/>
  <c r="AK272" i="5"/>
  <c r="AK273" i="5"/>
  <c r="AK274" i="5"/>
  <c r="AK275" i="5"/>
  <c r="AK276" i="5"/>
  <c r="AK277" i="5"/>
  <c r="AK278" i="5"/>
  <c r="AK279" i="5"/>
  <c r="AK280" i="5"/>
  <c r="AK281" i="5"/>
  <c r="AK282" i="5"/>
  <c r="AK283" i="5"/>
  <c r="AK284" i="5"/>
  <c r="AK285" i="5"/>
  <c r="AK286" i="5"/>
  <c r="AK287" i="5"/>
  <c r="AK288" i="5"/>
  <c r="AK289" i="5"/>
  <c r="AK290" i="5"/>
  <c r="AK291" i="5"/>
  <c r="AK292" i="5"/>
  <c r="AK293" i="5"/>
  <c r="AK294" i="5"/>
  <c r="AK295" i="5"/>
  <c r="AK296" i="5"/>
  <c r="AK297" i="5"/>
  <c r="AK298" i="5"/>
  <c r="AK299" i="5"/>
  <c r="AK300" i="5"/>
  <c r="AK301" i="5"/>
  <c r="AK302" i="5"/>
  <c r="AK303" i="5"/>
  <c r="AK304" i="5"/>
  <c r="AK305" i="5"/>
  <c r="AK306" i="5"/>
  <c r="AK307" i="5"/>
  <c r="AK308" i="5"/>
  <c r="AK309" i="5"/>
  <c r="AK310" i="5"/>
  <c r="AK311" i="5"/>
  <c r="AK312" i="5"/>
  <c r="AK313" i="5"/>
  <c r="AK314" i="5"/>
  <c r="AK315" i="5"/>
  <c r="AK316" i="5"/>
  <c r="AK317" i="5"/>
  <c r="AK318" i="5"/>
  <c r="AK319" i="5"/>
  <c r="AK320" i="5"/>
  <c r="AK321" i="5"/>
  <c r="AK322" i="5"/>
  <c r="AK323" i="5"/>
  <c r="AK324" i="5"/>
  <c r="AK325" i="5"/>
  <c r="AK326" i="5"/>
  <c r="AK327" i="5"/>
  <c r="AK328" i="5"/>
  <c r="AK329" i="5"/>
  <c r="AK330" i="5"/>
  <c r="AK331" i="5"/>
  <c r="AK332" i="5"/>
  <c r="AK333" i="5"/>
  <c r="AK334" i="5"/>
  <c r="AK335" i="5"/>
  <c r="AK336" i="5"/>
  <c r="AK337" i="5"/>
  <c r="AK338" i="5"/>
  <c r="AK339" i="5"/>
  <c r="AK340" i="5"/>
  <c r="AK341" i="5"/>
  <c r="AK342" i="5"/>
  <c r="AK343" i="5"/>
  <c r="AK344" i="5"/>
  <c r="AK345" i="5"/>
  <c r="AK346" i="5"/>
  <c r="AK347" i="5"/>
  <c r="AK348" i="5"/>
  <c r="AK349" i="5"/>
  <c r="AK350" i="5"/>
  <c r="AK351" i="5"/>
  <c r="AK352" i="5"/>
  <c r="AK353" i="5"/>
  <c r="AK354" i="5"/>
  <c r="AK355" i="5"/>
  <c r="AK356" i="5"/>
  <c r="AK357" i="5"/>
  <c r="AK358" i="5"/>
  <c r="AK359" i="5"/>
  <c r="AK360" i="5"/>
  <c r="AK361" i="5"/>
  <c r="AK362" i="5"/>
  <c r="AK363" i="5"/>
  <c r="AK364" i="5"/>
  <c r="AK365" i="5"/>
  <c r="AK366" i="5"/>
  <c r="AK367" i="5"/>
  <c r="AK368" i="5"/>
  <c r="AK369" i="5"/>
  <c r="AK370" i="5"/>
  <c r="AK371" i="5"/>
  <c r="AK12" i="5"/>
  <c r="J15" i="5"/>
  <c r="AN35" i="20" s="1"/>
  <c r="J14" i="5"/>
  <c r="AN34" i="20" s="1"/>
  <c r="J13" i="5"/>
  <c r="K14" i="5" l="1"/>
  <c r="AN28" i="21" s="1"/>
  <c r="K15" i="5"/>
  <c r="AN29" i="21" s="1"/>
  <c r="K13" i="5"/>
  <c r="J12" i="5"/>
  <c r="AN32" i="20" s="1"/>
  <c r="AN31" i="20" s="1"/>
  <c r="AN30" i="20" s="1"/>
  <c r="AN29" i="20" s="1"/>
  <c r="AN28" i="20" s="1"/>
  <c r="AN33" i="20"/>
  <c r="Z82" i="4"/>
  <c r="N96" i="4"/>
  <c r="M95" i="4"/>
  <c r="L95" i="4"/>
  <c r="D95" i="4"/>
  <c r="N94" i="4"/>
  <c r="I94" i="4"/>
  <c r="N93" i="4"/>
  <c r="J95" i="4"/>
  <c r="I93" i="4"/>
  <c r="BB16" i="21" l="1"/>
  <c r="BD28" i="21" s="1"/>
  <c r="AF15" i="21"/>
  <c r="AF28" i="21" s="1"/>
  <c r="AJ16" i="21"/>
  <c r="AF11" i="21" s="1"/>
  <c r="N95" i="4"/>
  <c r="H95" i="4"/>
  <c r="O95" i="4"/>
  <c r="AJ13" i="21" l="1"/>
  <c r="AJ28" i="21" s="1"/>
  <c r="AJ29" i="21" s="1"/>
  <c r="AJ30" i="21" s="1"/>
  <c r="AJ31" i="21" s="1"/>
  <c r="AJ32" i="21" s="1"/>
  <c r="AJ33" i="21" s="1"/>
  <c r="AJ34" i="21" s="1"/>
  <c r="AJ35" i="21" s="1"/>
  <c r="AJ36" i="21" s="1"/>
  <c r="AJ37" i="21" s="1"/>
  <c r="AJ38" i="21" s="1"/>
  <c r="AJ39" i="21" s="1"/>
  <c r="AJ40" i="21" s="1"/>
  <c r="AJ41" i="21" s="1"/>
  <c r="AJ42" i="21" s="1"/>
  <c r="AJ47" i="21" s="1"/>
  <c r="AF14" i="21"/>
  <c r="AF29" i="21"/>
  <c r="BD11" i="21"/>
  <c r="BF28" i="21" s="1"/>
  <c r="AF12" i="21"/>
  <c r="AJ11" i="21"/>
  <c r="AH28" i="21" s="1"/>
  <c r="AH29" i="21" s="1"/>
  <c r="AH30" i="21" s="1"/>
  <c r="AH31" i="21" s="1"/>
  <c r="AH32" i="21" s="1"/>
  <c r="AH33" i="21" s="1"/>
  <c r="AH34" i="21" s="1"/>
  <c r="AH35" i="21" s="1"/>
  <c r="AH36" i="21" s="1"/>
  <c r="AH37" i="21" s="1"/>
  <c r="AH38" i="21" s="1"/>
  <c r="AH39" i="21" s="1"/>
  <c r="AH40" i="21" s="1"/>
  <c r="AH41" i="21" s="1"/>
  <c r="AH42" i="21" s="1"/>
  <c r="AH47" i="21" s="1"/>
  <c r="BD29" i="21"/>
  <c r="P95" i="4"/>
  <c r="AI22" i="5"/>
  <c r="AF16" i="19"/>
  <c r="M28" i="19"/>
  <c r="K28" i="19"/>
  <c r="G43" i="19"/>
  <c r="AD43" i="19" s="1"/>
  <c r="W26" i="19"/>
  <c r="U26" i="19"/>
  <c r="S26" i="19"/>
  <c r="Q26" i="19"/>
  <c r="O26" i="19"/>
  <c r="M26" i="19"/>
  <c r="K26" i="19"/>
  <c r="G16" i="4"/>
  <c r="E16" i="4"/>
  <c r="D16" i="4"/>
  <c r="A3" i="19"/>
  <c r="A1" i="19"/>
  <c r="V80" i="4"/>
  <c r="V79" i="4"/>
  <c r="U80" i="4"/>
  <c r="U79" i="4"/>
  <c r="T80" i="4"/>
  <c r="T79" i="4"/>
  <c r="S80" i="4"/>
  <c r="S79" i="4"/>
  <c r="AL28" i="21" l="1"/>
  <c r="AP28" i="21"/>
  <c r="AP29" i="21"/>
  <c r="BD30" i="21"/>
  <c r="BF29" i="21"/>
  <c r="AF30" i="21"/>
  <c r="AL29" i="21"/>
  <c r="AT28" i="21"/>
  <c r="AJ15" i="21"/>
  <c r="AR28" i="21" s="1"/>
  <c r="AR29" i="21" s="1"/>
  <c r="AR30" i="21" s="1"/>
  <c r="AR31" i="21" s="1"/>
  <c r="AR32" i="21" s="1"/>
  <c r="AR33" i="21" s="1"/>
  <c r="AR34" i="21" s="1"/>
  <c r="AR35" i="21" s="1"/>
  <c r="AR36" i="21" s="1"/>
  <c r="AR37" i="21" s="1"/>
  <c r="AR38" i="21" s="1"/>
  <c r="AR39" i="21" s="1"/>
  <c r="AR40" i="21" s="1"/>
  <c r="AR41" i="21" s="1"/>
  <c r="AR42" i="21" s="1"/>
  <c r="AR47" i="21" s="1"/>
  <c r="C28" i="19"/>
  <c r="AB28" i="19" s="1"/>
  <c r="AN28" i="19" s="1"/>
  <c r="F16" i="4"/>
  <c r="G47" i="19"/>
  <c r="AD47" i="19" s="1"/>
  <c r="G15" i="19"/>
  <c r="G32" i="19"/>
  <c r="AD32" i="19" s="1"/>
  <c r="G34" i="19"/>
  <c r="AD34" i="19" s="1"/>
  <c r="G30" i="19"/>
  <c r="AD30" i="19" s="1"/>
  <c r="G38" i="19"/>
  <c r="AD38" i="19" s="1"/>
  <c r="G40" i="19"/>
  <c r="AD40" i="19" s="1"/>
  <c r="Q14" i="18"/>
  <c r="G52" i="19"/>
  <c r="AD52" i="19" s="1"/>
  <c r="G50" i="19"/>
  <c r="AD50" i="19" s="1"/>
  <c r="G48" i="19"/>
  <c r="AD48" i="19" s="1"/>
  <c r="G45" i="19"/>
  <c r="AD45" i="19" s="1"/>
  <c r="G41" i="19"/>
  <c r="AD41" i="19" s="1"/>
  <c r="G37" i="19"/>
  <c r="AD37" i="19" s="1"/>
  <c r="G33" i="19"/>
  <c r="AD33" i="19" s="1"/>
  <c r="G49" i="19"/>
  <c r="AD49" i="19" s="1"/>
  <c r="G44" i="19"/>
  <c r="AD44" i="19" s="1"/>
  <c r="G42" i="19"/>
  <c r="AD42" i="19" s="1"/>
  <c r="G39" i="19"/>
  <c r="AD39" i="19" s="1"/>
  <c r="G36" i="19"/>
  <c r="AD36" i="19" s="1"/>
  <c r="G51" i="19"/>
  <c r="AD51" i="19" s="1"/>
  <c r="G46" i="19"/>
  <c r="AD46" i="19" s="1"/>
  <c r="AD28" i="19"/>
  <c r="G29" i="19"/>
  <c r="G31" i="19"/>
  <c r="AD31" i="19" s="1"/>
  <c r="G35" i="19"/>
  <c r="AD35" i="19" s="1"/>
  <c r="C66" i="19"/>
  <c r="P79" i="4"/>
  <c r="P80" i="4"/>
  <c r="AD29" i="19" l="1"/>
  <c r="G66" i="19"/>
  <c r="AD66" i="19"/>
  <c r="AZ28" i="19"/>
  <c r="AZ29" i="19" s="1"/>
  <c r="AZ30" i="19" s="1"/>
  <c r="AZ31" i="19" s="1"/>
  <c r="AZ32" i="19" s="1"/>
  <c r="AZ33" i="19" s="1"/>
  <c r="AZ34" i="19" s="1"/>
  <c r="AZ35" i="19" s="1"/>
  <c r="AZ36" i="19" s="1"/>
  <c r="AZ37" i="19" s="1"/>
  <c r="AZ38" i="19" s="1"/>
  <c r="AZ39" i="19" s="1"/>
  <c r="AZ40" i="19" s="1"/>
  <c r="AZ41" i="19" s="1"/>
  <c r="AZ42" i="19" s="1"/>
  <c r="AZ43" i="19" s="1"/>
  <c r="AZ44" i="19" s="1"/>
  <c r="AZ45" i="19" s="1"/>
  <c r="AZ46" i="19" s="1"/>
  <c r="AZ47" i="19" s="1"/>
  <c r="AZ48" i="19" s="1"/>
  <c r="AZ49" i="19" s="1"/>
  <c r="AZ50" i="19" s="1"/>
  <c r="AZ51" i="19" s="1"/>
  <c r="AZ52" i="19" s="1"/>
  <c r="AZ53" i="19" s="1"/>
  <c r="AZ54" i="19" s="1"/>
  <c r="AZ55" i="19" s="1"/>
  <c r="AZ56" i="19" s="1"/>
  <c r="AZ57" i="19" s="1"/>
  <c r="AZ58" i="19" s="1"/>
  <c r="AZ59" i="19" s="1"/>
  <c r="AZ60" i="19" s="1"/>
  <c r="AZ61" i="19" s="1"/>
  <c r="AZ62" i="19" s="1"/>
  <c r="C29" i="19"/>
  <c r="C30" i="19" s="1"/>
  <c r="C31" i="19" s="1"/>
  <c r="C32" i="19" s="1"/>
  <c r="AT29" i="21"/>
  <c r="AF31" i="21"/>
  <c r="AL30" i="21"/>
  <c r="AV29" i="21"/>
  <c r="AV28" i="21"/>
  <c r="AX28" i="21" s="1"/>
  <c r="BD31" i="21"/>
  <c r="BF30" i="21"/>
  <c r="I28" i="19"/>
  <c r="H16" i="4"/>
  <c r="AB29" i="19"/>
  <c r="AN29" i="19" s="1"/>
  <c r="AX29" i="21" l="1"/>
  <c r="U29" i="21" s="1"/>
  <c r="W29" i="21" s="1"/>
  <c r="Y29" i="21" s="1"/>
  <c r="U28" i="21"/>
  <c r="AF32" i="21"/>
  <c r="AL31" i="21"/>
  <c r="BD32" i="21"/>
  <c r="BF31" i="21"/>
  <c r="AT30" i="21"/>
  <c r="M29" i="19"/>
  <c r="K29" i="19"/>
  <c r="I29" i="19"/>
  <c r="AB30" i="19"/>
  <c r="AN30" i="19" s="1"/>
  <c r="C33" i="19"/>
  <c r="AT31" i="21" l="1"/>
  <c r="AF33" i="21"/>
  <c r="AL32" i="21"/>
  <c r="BD33" i="21"/>
  <c r="BF32" i="21"/>
  <c r="W28" i="21"/>
  <c r="C34" i="19"/>
  <c r="I30" i="19"/>
  <c r="I31" i="19" s="1"/>
  <c r="M30" i="19"/>
  <c r="M31" i="19" s="1"/>
  <c r="AB31" i="19"/>
  <c r="AN31" i="19" s="1"/>
  <c r="K30" i="19"/>
  <c r="K31" i="19" s="1"/>
  <c r="Y28" i="21" l="1"/>
  <c r="BD34" i="21"/>
  <c r="BF33" i="21"/>
  <c r="AT32" i="21"/>
  <c r="AF34" i="21"/>
  <c r="AL33" i="21"/>
  <c r="AB32" i="19"/>
  <c r="C35" i="19"/>
  <c r="AT33" i="21" l="1"/>
  <c r="BD35" i="21"/>
  <c r="BF34" i="21"/>
  <c r="AF35" i="21"/>
  <c r="AL34" i="21"/>
  <c r="C36" i="19"/>
  <c r="AB33" i="19"/>
  <c r="AF36" i="21" l="1"/>
  <c r="AL35" i="21"/>
  <c r="AT34" i="21"/>
  <c r="BD36" i="21"/>
  <c r="BF35" i="21"/>
  <c r="C37" i="19"/>
  <c r="AB34" i="19"/>
  <c r="BD37" i="21" l="1"/>
  <c r="BF36" i="21"/>
  <c r="AT35" i="21"/>
  <c r="AF37" i="21"/>
  <c r="AL36" i="21"/>
  <c r="AB35" i="19"/>
  <c r="C38" i="19"/>
  <c r="AF38" i="21" l="1"/>
  <c r="AL37" i="21"/>
  <c r="AT36" i="21"/>
  <c r="BF37" i="21"/>
  <c r="BD38" i="21"/>
  <c r="C39" i="19"/>
  <c r="AB36" i="19"/>
  <c r="AT37" i="21" l="1"/>
  <c r="BD39" i="21"/>
  <c r="BF38" i="21"/>
  <c r="AF39" i="21"/>
  <c r="AL38" i="21"/>
  <c r="C40" i="19"/>
  <c r="AB37" i="19"/>
  <c r="AT38" i="21" l="1"/>
  <c r="BD40" i="21"/>
  <c r="BF39" i="21"/>
  <c r="AL39" i="21"/>
  <c r="AT39" i="21" s="1"/>
  <c r="AF40" i="21"/>
  <c r="C41" i="19"/>
  <c r="AB38" i="19"/>
  <c r="AL40" i="21" l="1"/>
  <c r="AF41" i="21"/>
  <c r="BD41" i="21"/>
  <c r="BF40" i="21"/>
  <c r="AB39" i="19"/>
  <c r="C42" i="19"/>
  <c r="BD42" i="21" l="1"/>
  <c r="BF41" i="21"/>
  <c r="AF42" i="21"/>
  <c r="AL41" i="21"/>
  <c r="AT41" i="21" s="1"/>
  <c r="AT40" i="21"/>
  <c r="C43" i="19"/>
  <c r="AB40" i="19"/>
  <c r="AL42" i="21" l="1"/>
  <c r="AF47" i="21"/>
  <c r="BD47" i="21"/>
  <c r="BF42" i="21"/>
  <c r="BF47" i="21" s="1"/>
  <c r="C44" i="19"/>
  <c r="AB41" i="19"/>
  <c r="AT42" i="21" l="1"/>
  <c r="AL47" i="21"/>
  <c r="AB42" i="19"/>
  <c r="C45" i="19"/>
  <c r="AT47" i="21" l="1"/>
  <c r="AB43" i="19"/>
  <c r="C46" i="19"/>
  <c r="C47" i="19" l="1"/>
  <c r="AB44" i="19"/>
  <c r="AB45" i="19" l="1"/>
  <c r="C48" i="19"/>
  <c r="AB46" i="19" l="1"/>
  <c r="C49" i="19"/>
  <c r="C50" i="19" l="1"/>
  <c r="AB47" i="19"/>
  <c r="C51" i="19" l="1"/>
  <c r="AB48" i="19"/>
  <c r="C52" i="19" l="1"/>
  <c r="C53" i="19" s="1"/>
  <c r="C54" i="19" s="1"/>
  <c r="C55" i="19" s="1"/>
  <c r="C56" i="19" s="1"/>
  <c r="C57" i="19" s="1"/>
  <c r="C58" i="19" s="1"/>
  <c r="C59" i="19" s="1"/>
  <c r="C60" i="19" s="1"/>
  <c r="C61" i="19" s="1"/>
  <c r="C62" i="19" s="1"/>
  <c r="AB49" i="19"/>
  <c r="AB50" i="19" l="1"/>
  <c r="AB51" i="19" l="1"/>
  <c r="AB52" i="19" l="1"/>
  <c r="AB53" i="19" l="1"/>
  <c r="N80" i="4"/>
  <c r="N79" i="4"/>
  <c r="N67" i="4"/>
  <c r="J79" i="4"/>
  <c r="J81" i="4" s="1"/>
  <c r="N82" i="4"/>
  <c r="I80" i="4"/>
  <c r="I79" i="4"/>
  <c r="M81" i="4"/>
  <c r="L81" i="4"/>
  <c r="D81" i="4"/>
  <c r="D56" i="4"/>
  <c r="J56" i="4"/>
  <c r="L56" i="4"/>
  <c r="M56" i="4"/>
  <c r="AB54" i="19" l="1"/>
  <c r="AF15" i="19"/>
  <c r="AF28" i="19" s="1"/>
  <c r="AF29" i="19" s="1"/>
  <c r="AF15" i="20"/>
  <c r="AF31" i="20" s="1"/>
  <c r="AJ16" i="19"/>
  <c r="AF11" i="19" s="1"/>
  <c r="AF12" i="19" s="1"/>
  <c r="AJ16" i="20"/>
  <c r="AF11" i="20" s="1"/>
  <c r="BB16" i="20"/>
  <c r="BD31" i="20" s="1"/>
  <c r="BB16" i="19"/>
  <c r="BD28" i="19" s="1"/>
  <c r="N81" i="4"/>
  <c r="P81" i="4"/>
  <c r="H81" i="4"/>
  <c r="O81" i="4"/>
  <c r="AB55" i="19" l="1"/>
  <c r="BD11" i="19"/>
  <c r="AF14" i="19"/>
  <c r="AF14" i="20"/>
  <c r="BD11" i="20"/>
  <c r="BF31" i="20" s="1"/>
  <c r="AF12" i="20"/>
  <c r="AJ15" i="19"/>
  <c r="AR28" i="19" s="1"/>
  <c r="AJ15" i="20"/>
  <c r="AR31" i="20" s="1"/>
  <c r="AF30" i="20"/>
  <c r="AF32" i="20"/>
  <c r="AJ13" i="19"/>
  <c r="AJ28" i="19" s="1"/>
  <c r="AJ13" i="20"/>
  <c r="AJ31" i="20" s="1"/>
  <c r="AJ11" i="19"/>
  <c r="AH28" i="19" s="1"/>
  <c r="AJ11" i="20"/>
  <c r="AH31" i="20" s="1"/>
  <c r="BD30" i="20"/>
  <c r="BD32" i="20"/>
  <c r="AF30" i="19"/>
  <c r="AB56" i="19" l="1"/>
  <c r="AR29" i="19"/>
  <c r="AR30" i="19" s="1"/>
  <c r="AR31" i="19" s="1"/>
  <c r="AJ29" i="19"/>
  <c r="AJ30" i="19" s="1"/>
  <c r="AJ31" i="19" s="1"/>
  <c r="AH29" i="19"/>
  <c r="AL28" i="19"/>
  <c r="BD33" i="20"/>
  <c r="BF32" i="20"/>
  <c r="AF29" i="20"/>
  <c r="BD29" i="20"/>
  <c r="BF30" i="20"/>
  <c r="AF33" i="20"/>
  <c r="AJ30" i="20"/>
  <c r="AJ29" i="20" s="1"/>
  <c r="AJ28" i="20" s="1"/>
  <c r="AJ32" i="20"/>
  <c r="AJ33" i="20" s="1"/>
  <c r="AJ34" i="20" s="1"/>
  <c r="AJ35" i="20" s="1"/>
  <c r="AJ36" i="20" s="1"/>
  <c r="AJ37" i="20" s="1"/>
  <c r="AJ38" i="20" s="1"/>
  <c r="AJ39" i="20" s="1"/>
  <c r="AJ40" i="20" s="1"/>
  <c r="AJ41" i="20" s="1"/>
  <c r="AJ42" i="20" s="1"/>
  <c r="AJ43" i="20" s="1"/>
  <c r="AJ44" i="20" s="1"/>
  <c r="AJ45" i="20" s="1"/>
  <c r="AJ46" i="20" s="1"/>
  <c r="AJ47" i="20" s="1"/>
  <c r="AJ48" i="20" s="1"/>
  <c r="AJ49" i="20" s="1"/>
  <c r="AJ50" i="20" s="1"/>
  <c r="AJ51" i="20" s="1"/>
  <c r="AJ52" i="20" s="1"/>
  <c r="AJ53" i="20" s="1"/>
  <c r="AJ54" i="20" s="1"/>
  <c r="AJ55" i="20" s="1"/>
  <c r="AJ56" i="20" s="1"/>
  <c r="AJ57" i="20" s="1"/>
  <c r="AJ58" i="20" s="1"/>
  <c r="AJ59" i="20" s="1"/>
  <c r="AJ60" i="20" s="1"/>
  <c r="AJ61" i="20" s="1"/>
  <c r="AJ62" i="20" s="1"/>
  <c r="AR30" i="20"/>
  <c r="AR29" i="20" s="1"/>
  <c r="AR28" i="20" s="1"/>
  <c r="AR32" i="20"/>
  <c r="AR33" i="20" s="1"/>
  <c r="AR34" i="20" s="1"/>
  <c r="AR35" i="20" s="1"/>
  <c r="AR36" i="20" s="1"/>
  <c r="AR37" i="20" s="1"/>
  <c r="AR38" i="20" s="1"/>
  <c r="AR39" i="20" s="1"/>
  <c r="AR40" i="20" s="1"/>
  <c r="AR41" i="20" s="1"/>
  <c r="AR42" i="20" s="1"/>
  <c r="AR43" i="20" s="1"/>
  <c r="AR44" i="20" s="1"/>
  <c r="AR45" i="20" s="1"/>
  <c r="AR46" i="20" s="1"/>
  <c r="AR47" i="20" s="1"/>
  <c r="AR48" i="20" s="1"/>
  <c r="AR49" i="20" s="1"/>
  <c r="AR50" i="20" s="1"/>
  <c r="AR51" i="20" s="1"/>
  <c r="AR52" i="20" s="1"/>
  <c r="AR53" i="20" s="1"/>
  <c r="AR54" i="20" s="1"/>
  <c r="AR55" i="20" s="1"/>
  <c r="AR56" i="20" s="1"/>
  <c r="AR57" i="20" s="1"/>
  <c r="AR58" i="20" s="1"/>
  <c r="AR59" i="20" s="1"/>
  <c r="AR60" i="20" s="1"/>
  <c r="AR61" i="20" s="1"/>
  <c r="AR62" i="20" s="1"/>
  <c r="AP32" i="20"/>
  <c r="AP33" i="20"/>
  <c r="AP31" i="20"/>
  <c r="AV31" i="20" s="1"/>
  <c r="AP34" i="20"/>
  <c r="AP30" i="20"/>
  <c r="AP35" i="20"/>
  <c r="AP29" i="20"/>
  <c r="AV29" i="20" s="1"/>
  <c r="AP28" i="20"/>
  <c r="AH30" i="20"/>
  <c r="AH29" i="20" s="1"/>
  <c r="AH28" i="20" s="1"/>
  <c r="AH32" i="20"/>
  <c r="AH33" i="20" s="1"/>
  <c r="AH34" i="20" s="1"/>
  <c r="AH35" i="20" s="1"/>
  <c r="AH36" i="20" s="1"/>
  <c r="AH37" i="20" s="1"/>
  <c r="AH38" i="20" s="1"/>
  <c r="AH39" i="20" s="1"/>
  <c r="AH40" i="20" s="1"/>
  <c r="AH41" i="20" s="1"/>
  <c r="AH42" i="20" s="1"/>
  <c r="AH43" i="20" s="1"/>
  <c r="AH44" i="20" s="1"/>
  <c r="AH45" i="20" s="1"/>
  <c r="AH46" i="20" s="1"/>
  <c r="AH47" i="20" s="1"/>
  <c r="AH48" i="20" s="1"/>
  <c r="AH49" i="20" s="1"/>
  <c r="AH50" i="20" s="1"/>
  <c r="AH51" i="20" s="1"/>
  <c r="AH52" i="20" s="1"/>
  <c r="AH53" i="20" s="1"/>
  <c r="AH54" i="20" s="1"/>
  <c r="AH55" i="20" s="1"/>
  <c r="AH56" i="20" s="1"/>
  <c r="AH57" i="20" s="1"/>
  <c r="AH58" i="20" s="1"/>
  <c r="AH59" i="20" s="1"/>
  <c r="AH60" i="20" s="1"/>
  <c r="AH61" i="20" s="1"/>
  <c r="AH62" i="20" s="1"/>
  <c r="AL31" i="20"/>
  <c r="AT31" i="20" s="1"/>
  <c r="AF31" i="19"/>
  <c r="B66" i="4"/>
  <c r="M69" i="4"/>
  <c r="L69" i="4"/>
  <c r="J69" i="4"/>
  <c r="AF15" i="14" s="1"/>
  <c r="D69" i="4"/>
  <c r="N68" i="4"/>
  <c r="I68" i="4"/>
  <c r="Q69" i="4"/>
  <c r="AV34" i="20" l="1"/>
  <c r="AV30" i="20"/>
  <c r="AH30" i="19"/>
  <c r="AL29" i="19"/>
  <c r="AB57" i="19"/>
  <c r="AV35" i="20"/>
  <c r="AV33" i="20"/>
  <c r="AV32" i="20"/>
  <c r="AX31" i="20"/>
  <c r="U31" i="20" s="1"/>
  <c r="W31" i="20" s="1"/>
  <c r="Y31" i="20" s="1"/>
  <c r="AV28" i="20"/>
  <c r="BD34" i="20"/>
  <c r="BF33" i="20"/>
  <c r="AR66" i="20"/>
  <c r="AF34" i="20"/>
  <c r="AL33" i="20"/>
  <c r="AF28" i="20"/>
  <c r="AL29" i="20"/>
  <c r="AJ66" i="20"/>
  <c r="BD28" i="20"/>
  <c r="BF29" i="20"/>
  <c r="AH66" i="20"/>
  <c r="AL32" i="20"/>
  <c r="AT32" i="20" s="1"/>
  <c r="AL30" i="20"/>
  <c r="AT30" i="20" s="1"/>
  <c r="AX30" i="20" s="1"/>
  <c r="U30" i="20" s="1"/>
  <c r="W30" i="20" s="1"/>
  <c r="Y30" i="20" s="1"/>
  <c r="AA69" i="4"/>
  <c r="N69" i="4"/>
  <c r="AJ11" i="14" s="1"/>
  <c r="X69" i="4"/>
  <c r="H69" i="4"/>
  <c r="Y69" i="4"/>
  <c r="O69" i="4"/>
  <c r="AJ13" i="14" s="1"/>
  <c r="Z69" i="4"/>
  <c r="P69" i="4"/>
  <c r="AJ14" i="14" s="1"/>
  <c r="AX32" i="20" l="1"/>
  <c r="U32" i="20" s="1"/>
  <c r="W32" i="20" s="1"/>
  <c r="Y32" i="20" s="1"/>
  <c r="AT29" i="20"/>
  <c r="AX29" i="20" s="1"/>
  <c r="U29" i="20" s="1"/>
  <c r="W29" i="20" s="1"/>
  <c r="Y29" i="20" s="1"/>
  <c r="AB58" i="19"/>
  <c r="AH31" i="19"/>
  <c r="AL31" i="19" s="1"/>
  <c r="AL30" i="19"/>
  <c r="AF35" i="20"/>
  <c r="AL34" i="20"/>
  <c r="BF28" i="20"/>
  <c r="AL28" i="20"/>
  <c r="BD35" i="20"/>
  <c r="BF34" i="20"/>
  <c r="AT33" i="20"/>
  <c r="AX33" i="20" s="1"/>
  <c r="U33" i="20" s="1"/>
  <c r="W33" i="20" s="1"/>
  <c r="Y33" i="20" s="1"/>
  <c r="A5" i="18"/>
  <c r="A3" i="18"/>
  <c r="A2" i="18"/>
  <c r="A1" i="18"/>
  <c r="A3" i="14"/>
  <c r="A2" i="14"/>
  <c r="A1" i="14"/>
  <c r="Q12" i="18"/>
  <c r="O12" i="18"/>
  <c r="K12" i="18"/>
  <c r="I12" i="18"/>
  <c r="G12" i="18"/>
  <c r="M28" i="14"/>
  <c r="K28" i="14"/>
  <c r="W26" i="14"/>
  <c r="U26" i="14"/>
  <c r="S26" i="14"/>
  <c r="Q26" i="14"/>
  <c r="O26" i="14"/>
  <c r="M26" i="14"/>
  <c r="K26" i="14"/>
  <c r="G17" i="4"/>
  <c r="AB59" i="19" l="1"/>
  <c r="AT34" i="20"/>
  <c r="AX34" i="20" s="1"/>
  <c r="U34" i="20" s="1"/>
  <c r="W34" i="20" s="1"/>
  <c r="Y34" i="20" s="1"/>
  <c r="AT28" i="20"/>
  <c r="BD36" i="20"/>
  <c r="BF35" i="20"/>
  <c r="AF36" i="20"/>
  <c r="AL35" i="20"/>
  <c r="C28" i="14"/>
  <c r="F17" i="4"/>
  <c r="AH28" i="9"/>
  <c r="W26" i="9"/>
  <c r="U26" i="9"/>
  <c r="S26" i="9"/>
  <c r="Q26" i="9"/>
  <c r="O26" i="9"/>
  <c r="M26" i="9"/>
  <c r="K26" i="9"/>
  <c r="G19" i="9"/>
  <c r="M28" i="9"/>
  <c r="BD28" i="9"/>
  <c r="K28" i="9"/>
  <c r="AR28" i="9"/>
  <c r="AF28" i="9"/>
  <c r="BB28" i="9"/>
  <c r="AJ28" i="9"/>
  <c r="C28" i="9"/>
  <c r="I28" i="9"/>
  <c r="AF11" i="9"/>
  <c r="BD11" i="9" s="1"/>
  <c r="K28" i="8"/>
  <c r="C28" i="8"/>
  <c r="W26" i="8"/>
  <c r="U26" i="8"/>
  <c r="S26" i="8"/>
  <c r="Q26" i="8"/>
  <c r="O26" i="8"/>
  <c r="M26" i="8"/>
  <c r="K26" i="8"/>
  <c r="G19" i="8"/>
  <c r="M28" i="8"/>
  <c r="C54" i="8"/>
  <c r="I28" i="8"/>
  <c r="K28" i="7"/>
  <c r="C28" i="7"/>
  <c r="W26" i="7"/>
  <c r="U26" i="7"/>
  <c r="S26" i="7"/>
  <c r="Q26" i="7"/>
  <c r="O26" i="7"/>
  <c r="M26" i="7"/>
  <c r="K26" i="7"/>
  <c r="G19" i="7"/>
  <c r="M28" i="7"/>
  <c r="I28" i="7"/>
  <c r="AF11" i="7"/>
  <c r="BD11" i="7" s="1"/>
  <c r="C28" i="6"/>
  <c r="W26" i="6"/>
  <c r="U26" i="6"/>
  <c r="S26" i="6"/>
  <c r="Q26" i="6"/>
  <c r="O26" i="6"/>
  <c r="M26" i="6"/>
  <c r="K26" i="6"/>
  <c r="G19" i="6"/>
  <c r="AB383" i="5"/>
  <c r="AA383" i="5"/>
  <c r="AB382" i="5"/>
  <c r="AA382" i="5"/>
  <c r="AB381" i="5"/>
  <c r="AA381" i="5"/>
  <c r="AB380" i="5"/>
  <c r="AA380" i="5"/>
  <c r="AB379" i="5"/>
  <c r="AA379" i="5"/>
  <c r="AB378" i="5"/>
  <c r="AA378" i="5"/>
  <c r="AB377" i="5"/>
  <c r="AA377" i="5"/>
  <c r="AB376" i="5"/>
  <c r="AA376" i="5"/>
  <c r="AB375" i="5"/>
  <c r="AA375" i="5"/>
  <c r="AB374" i="5"/>
  <c r="AA374" i="5"/>
  <c r="AB373" i="5"/>
  <c r="AA373" i="5"/>
  <c r="AB372" i="5"/>
  <c r="AA372" i="5"/>
  <c r="AB371" i="5"/>
  <c r="AA371" i="5"/>
  <c r="AB370" i="5"/>
  <c r="AA370" i="5"/>
  <c r="AB369" i="5"/>
  <c r="AA369" i="5"/>
  <c r="AB368" i="5"/>
  <c r="AA368" i="5"/>
  <c r="AB367" i="5"/>
  <c r="AA367" i="5"/>
  <c r="AB366" i="5"/>
  <c r="AA366" i="5"/>
  <c r="AB365" i="5"/>
  <c r="AA365" i="5"/>
  <c r="AB364" i="5"/>
  <c r="AA364" i="5"/>
  <c r="AB363" i="5"/>
  <c r="AA363" i="5"/>
  <c r="AB362" i="5"/>
  <c r="AA362" i="5"/>
  <c r="AB361" i="5"/>
  <c r="AA361" i="5"/>
  <c r="AB360" i="5"/>
  <c r="AA360" i="5"/>
  <c r="AB359" i="5"/>
  <c r="AA359" i="5"/>
  <c r="AB358" i="5"/>
  <c r="AA358" i="5"/>
  <c r="AB357" i="5"/>
  <c r="AA357" i="5"/>
  <c r="AB356" i="5"/>
  <c r="AA356" i="5"/>
  <c r="AB355" i="5"/>
  <c r="AA355" i="5"/>
  <c r="AB354" i="5"/>
  <c r="AA354" i="5"/>
  <c r="AB353" i="5"/>
  <c r="AA353" i="5"/>
  <c r="AB352" i="5"/>
  <c r="AA352" i="5"/>
  <c r="AB351" i="5"/>
  <c r="AA351" i="5"/>
  <c r="AB350" i="5"/>
  <c r="AA350" i="5"/>
  <c r="AB349" i="5"/>
  <c r="AA349" i="5"/>
  <c r="AB348" i="5"/>
  <c r="AA348" i="5"/>
  <c r="AB347" i="5"/>
  <c r="AA347" i="5"/>
  <c r="AB346" i="5"/>
  <c r="AA346" i="5"/>
  <c r="AB345" i="5"/>
  <c r="AA345" i="5"/>
  <c r="AB344" i="5"/>
  <c r="AA344" i="5"/>
  <c r="AB343" i="5"/>
  <c r="AA343" i="5"/>
  <c r="AB342" i="5"/>
  <c r="AA342" i="5"/>
  <c r="AB341" i="5"/>
  <c r="AA341" i="5"/>
  <c r="AB340" i="5"/>
  <c r="AA340" i="5"/>
  <c r="AB339" i="5"/>
  <c r="AA339" i="5"/>
  <c r="AB338" i="5"/>
  <c r="AA338" i="5"/>
  <c r="AB337" i="5"/>
  <c r="AA337" i="5"/>
  <c r="AB336" i="5"/>
  <c r="AA336" i="5"/>
  <c r="AB335" i="5"/>
  <c r="AA335" i="5"/>
  <c r="AB334" i="5"/>
  <c r="AA334" i="5"/>
  <c r="AB333" i="5"/>
  <c r="AA333" i="5"/>
  <c r="AB332" i="5"/>
  <c r="AA332" i="5"/>
  <c r="AB331" i="5"/>
  <c r="AA331" i="5"/>
  <c r="AB330" i="5"/>
  <c r="AA330" i="5"/>
  <c r="AB329" i="5"/>
  <c r="AA329" i="5"/>
  <c r="AB328" i="5"/>
  <c r="AA328" i="5"/>
  <c r="AB327" i="5"/>
  <c r="AA327" i="5"/>
  <c r="AB326" i="5"/>
  <c r="AA326" i="5"/>
  <c r="AB325" i="5"/>
  <c r="AA325" i="5"/>
  <c r="AB324" i="5"/>
  <c r="AA324" i="5"/>
  <c r="AB323" i="5"/>
  <c r="AA323" i="5"/>
  <c r="AB322" i="5"/>
  <c r="AA322" i="5"/>
  <c r="AB321" i="5"/>
  <c r="AA321" i="5"/>
  <c r="AB320" i="5"/>
  <c r="AA320" i="5"/>
  <c r="AB319" i="5"/>
  <c r="AA319" i="5"/>
  <c r="AB318" i="5"/>
  <c r="AA318" i="5"/>
  <c r="AB317" i="5"/>
  <c r="AA317" i="5"/>
  <c r="AB316" i="5"/>
  <c r="AA316" i="5"/>
  <c r="AB315" i="5"/>
  <c r="AA315" i="5"/>
  <c r="AB314" i="5"/>
  <c r="AA314" i="5"/>
  <c r="AB313" i="5"/>
  <c r="AA313" i="5"/>
  <c r="AB312" i="5"/>
  <c r="AA312" i="5"/>
  <c r="AB311" i="5"/>
  <c r="AA311" i="5"/>
  <c r="AB310" i="5"/>
  <c r="AA310" i="5"/>
  <c r="AB309" i="5"/>
  <c r="AA309" i="5"/>
  <c r="AB308" i="5"/>
  <c r="AA308" i="5"/>
  <c r="AB307" i="5"/>
  <c r="AA307" i="5"/>
  <c r="AB306" i="5"/>
  <c r="AA306" i="5"/>
  <c r="AB305" i="5"/>
  <c r="AA305" i="5"/>
  <c r="AB304" i="5"/>
  <c r="AA304" i="5"/>
  <c r="AB303" i="5"/>
  <c r="AA303" i="5"/>
  <c r="AB302" i="5"/>
  <c r="AA302" i="5"/>
  <c r="AB301" i="5"/>
  <c r="AA301" i="5"/>
  <c r="AB300" i="5"/>
  <c r="AA300" i="5"/>
  <c r="AB299" i="5"/>
  <c r="AA299" i="5"/>
  <c r="AB298" i="5"/>
  <c r="AA298" i="5"/>
  <c r="AB297" i="5"/>
  <c r="AA297" i="5"/>
  <c r="AB296" i="5"/>
  <c r="AA296" i="5"/>
  <c r="AB295" i="5"/>
  <c r="AA295" i="5"/>
  <c r="AB294" i="5"/>
  <c r="AA294" i="5"/>
  <c r="AB293" i="5"/>
  <c r="AA293" i="5"/>
  <c r="AB292" i="5"/>
  <c r="AA292" i="5"/>
  <c r="AB291" i="5"/>
  <c r="AA291" i="5"/>
  <c r="AB290" i="5"/>
  <c r="AA290" i="5"/>
  <c r="AB289" i="5"/>
  <c r="AA289" i="5"/>
  <c r="AB288" i="5"/>
  <c r="AA288" i="5"/>
  <c r="AB287" i="5"/>
  <c r="AA287" i="5"/>
  <c r="AB286" i="5"/>
  <c r="AA286" i="5"/>
  <c r="AB285" i="5"/>
  <c r="AA285" i="5"/>
  <c r="AB284" i="5"/>
  <c r="AA284" i="5"/>
  <c r="AB283" i="5"/>
  <c r="AA283" i="5"/>
  <c r="AB282" i="5"/>
  <c r="AA282" i="5"/>
  <c r="AB281" i="5"/>
  <c r="AA281" i="5"/>
  <c r="AB280" i="5"/>
  <c r="AA280" i="5"/>
  <c r="AB279" i="5"/>
  <c r="AA279" i="5"/>
  <c r="AB278" i="5"/>
  <c r="AA278" i="5"/>
  <c r="AB277" i="5"/>
  <c r="AA277" i="5"/>
  <c r="AB276" i="5"/>
  <c r="AA276" i="5"/>
  <c r="AB275" i="5"/>
  <c r="AA275" i="5"/>
  <c r="AB274" i="5"/>
  <c r="AA274" i="5"/>
  <c r="AB273" i="5"/>
  <c r="AA273" i="5"/>
  <c r="AB272" i="5"/>
  <c r="AA272" i="5"/>
  <c r="AB271" i="5"/>
  <c r="AA271" i="5"/>
  <c r="AB270" i="5"/>
  <c r="AA270" i="5"/>
  <c r="AB269" i="5"/>
  <c r="AA269" i="5"/>
  <c r="AB268" i="5"/>
  <c r="AA268" i="5"/>
  <c r="AB267" i="5"/>
  <c r="AA267" i="5"/>
  <c r="AB266" i="5"/>
  <c r="AA266" i="5"/>
  <c r="AB265" i="5"/>
  <c r="AA265" i="5"/>
  <c r="AB264" i="5"/>
  <c r="AA264" i="5"/>
  <c r="AB263" i="5"/>
  <c r="AA263" i="5"/>
  <c r="AB262" i="5"/>
  <c r="AA262" i="5"/>
  <c r="AB261" i="5"/>
  <c r="AA261" i="5"/>
  <c r="AB260" i="5"/>
  <c r="AA260" i="5"/>
  <c r="AB259" i="5"/>
  <c r="AA259" i="5"/>
  <c r="AB258" i="5"/>
  <c r="AA258" i="5"/>
  <c r="AB257" i="5"/>
  <c r="AA257" i="5"/>
  <c r="AB256" i="5"/>
  <c r="AA256" i="5"/>
  <c r="AB255" i="5"/>
  <c r="AA255" i="5"/>
  <c r="AB254" i="5"/>
  <c r="AA254" i="5"/>
  <c r="AB253" i="5"/>
  <c r="AA253" i="5"/>
  <c r="AB252" i="5"/>
  <c r="AA252" i="5"/>
  <c r="AB251" i="5"/>
  <c r="AA251" i="5"/>
  <c r="AB250" i="5"/>
  <c r="AA250" i="5"/>
  <c r="AB249" i="5"/>
  <c r="AA249" i="5"/>
  <c r="AB248" i="5"/>
  <c r="AA248" i="5"/>
  <c r="AB247" i="5"/>
  <c r="AA247" i="5"/>
  <c r="AB246" i="5"/>
  <c r="AA246" i="5"/>
  <c r="AB245" i="5"/>
  <c r="AA245" i="5"/>
  <c r="AB244" i="5"/>
  <c r="AA244" i="5"/>
  <c r="AB243" i="5"/>
  <c r="AA243" i="5"/>
  <c r="AB242" i="5"/>
  <c r="AA242" i="5"/>
  <c r="AB241" i="5"/>
  <c r="AA241" i="5"/>
  <c r="AB240" i="5"/>
  <c r="AA240" i="5"/>
  <c r="AB239" i="5"/>
  <c r="AA239" i="5"/>
  <c r="AB238" i="5"/>
  <c r="AA238" i="5"/>
  <c r="AB237" i="5"/>
  <c r="AA237" i="5"/>
  <c r="AB236" i="5"/>
  <c r="AA236" i="5"/>
  <c r="AB235" i="5"/>
  <c r="AA235" i="5"/>
  <c r="AB234" i="5"/>
  <c r="AA234" i="5"/>
  <c r="AB233" i="5"/>
  <c r="AA233" i="5"/>
  <c r="AB232" i="5"/>
  <c r="AA232" i="5"/>
  <c r="AB231" i="5"/>
  <c r="AA231" i="5"/>
  <c r="AB230" i="5"/>
  <c r="AA230" i="5"/>
  <c r="AB229" i="5"/>
  <c r="AA229" i="5"/>
  <c r="AB228" i="5"/>
  <c r="AA228" i="5"/>
  <c r="AB227" i="5"/>
  <c r="AA227" i="5"/>
  <c r="AB226" i="5"/>
  <c r="AA226" i="5"/>
  <c r="AB225" i="5"/>
  <c r="AA225" i="5"/>
  <c r="AB224" i="5"/>
  <c r="AA224" i="5"/>
  <c r="AB223" i="5"/>
  <c r="AA223" i="5"/>
  <c r="AB222" i="5"/>
  <c r="AA222" i="5"/>
  <c r="AB221" i="5"/>
  <c r="AA221" i="5"/>
  <c r="AB220" i="5"/>
  <c r="AA220" i="5"/>
  <c r="AB219" i="5"/>
  <c r="AA219" i="5"/>
  <c r="AB218" i="5"/>
  <c r="AA218" i="5"/>
  <c r="AB217" i="5"/>
  <c r="AA217" i="5"/>
  <c r="AB216" i="5"/>
  <c r="AA216" i="5"/>
  <c r="AB215" i="5"/>
  <c r="AA215" i="5"/>
  <c r="AB214" i="5"/>
  <c r="AA214" i="5"/>
  <c r="AB213" i="5"/>
  <c r="AA213" i="5"/>
  <c r="AB212" i="5"/>
  <c r="AA212" i="5"/>
  <c r="AB211" i="5"/>
  <c r="AA211" i="5"/>
  <c r="AB210" i="5"/>
  <c r="AA210" i="5"/>
  <c r="AB209" i="5"/>
  <c r="AA209" i="5"/>
  <c r="AB208" i="5"/>
  <c r="AA208" i="5"/>
  <c r="AB207" i="5"/>
  <c r="AA207" i="5"/>
  <c r="AB206" i="5"/>
  <c r="AA206" i="5"/>
  <c r="AB205" i="5"/>
  <c r="AA205" i="5"/>
  <c r="AB204" i="5"/>
  <c r="AA204" i="5"/>
  <c r="AB203" i="5"/>
  <c r="AA203" i="5"/>
  <c r="AB202" i="5"/>
  <c r="AA202" i="5"/>
  <c r="AB201" i="5"/>
  <c r="AA201" i="5"/>
  <c r="AB200" i="5"/>
  <c r="AA200" i="5"/>
  <c r="AB199" i="5"/>
  <c r="AA199" i="5"/>
  <c r="AB198" i="5"/>
  <c r="AA198" i="5"/>
  <c r="AA197" i="5"/>
  <c r="AB196" i="5"/>
  <c r="AA196" i="5"/>
  <c r="AB195" i="5"/>
  <c r="AA195" i="5"/>
  <c r="AB194" i="5"/>
  <c r="AA194" i="5"/>
  <c r="AB193" i="5"/>
  <c r="AA193" i="5"/>
  <c r="AB192" i="5"/>
  <c r="AA192" i="5"/>
  <c r="AB191" i="5"/>
  <c r="AA191" i="5"/>
  <c r="AB190" i="5"/>
  <c r="AA190" i="5"/>
  <c r="AB189" i="5"/>
  <c r="AA189" i="5"/>
  <c r="AB188" i="5"/>
  <c r="AA188" i="5"/>
  <c r="AB187" i="5"/>
  <c r="AA187" i="5"/>
  <c r="AB186" i="5"/>
  <c r="AA186" i="5"/>
  <c r="AB185" i="5"/>
  <c r="AA185" i="5"/>
  <c r="AB184" i="5"/>
  <c r="AA184" i="5"/>
  <c r="AB183" i="5"/>
  <c r="AA183" i="5"/>
  <c r="AB182" i="5"/>
  <c r="AA182" i="5"/>
  <c r="AB181" i="5"/>
  <c r="AA181" i="5"/>
  <c r="AB180" i="5"/>
  <c r="AA180" i="5"/>
  <c r="AB179" i="5"/>
  <c r="AA179" i="5"/>
  <c r="AB178" i="5"/>
  <c r="AA178" i="5"/>
  <c r="AB177" i="5"/>
  <c r="AA177" i="5"/>
  <c r="AB176" i="5"/>
  <c r="AA176" i="5"/>
  <c r="AB175" i="5"/>
  <c r="AA175" i="5"/>
  <c r="AB174" i="5"/>
  <c r="AA174" i="5"/>
  <c r="AB173" i="5"/>
  <c r="AA173" i="5"/>
  <c r="AB172" i="5"/>
  <c r="AA172" i="5"/>
  <c r="AB171" i="5"/>
  <c r="AA171" i="5"/>
  <c r="AB170" i="5"/>
  <c r="AA170" i="5"/>
  <c r="AB169" i="5"/>
  <c r="AA169" i="5"/>
  <c r="AB168" i="5"/>
  <c r="AA168" i="5"/>
  <c r="AB167" i="5"/>
  <c r="AA167" i="5"/>
  <c r="AB166" i="5"/>
  <c r="AA166" i="5"/>
  <c r="AB165" i="5"/>
  <c r="AA165" i="5"/>
  <c r="AB164" i="5"/>
  <c r="AA164" i="5"/>
  <c r="AB163" i="5"/>
  <c r="AA163" i="5"/>
  <c r="AB162" i="5"/>
  <c r="AA162" i="5"/>
  <c r="AB161" i="5"/>
  <c r="AA161" i="5"/>
  <c r="AB160" i="5"/>
  <c r="AA160" i="5"/>
  <c r="AB159" i="5"/>
  <c r="AA159" i="5"/>
  <c r="AB158" i="5"/>
  <c r="AA158" i="5"/>
  <c r="AB157" i="5"/>
  <c r="AA157" i="5"/>
  <c r="AB156" i="5"/>
  <c r="AA156" i="5"/>
  <c r="AB155" i="5"/>
  <c r="AA155" i="5"/>
  <c r="AB154" i="5"/>
  <c r="AA154" i="5"/>
  <c r="AB153" i="5"/>
  <c r="AA153" i="5"/>
  <c r="AB152" i="5"/>
  <c r="AA152" i="5"/>
  <c r="AB151" i="5"/>
  <c r="AA151" i="5"/>
  <c r="AB150" i="5"/>
  <c r="AA150" i="5"/>
  <c r="AB149" i="5"/>
  <c r="AA149" i="5"/>
  <c r="AB148" i="5"/>
  <c r="AA148" i="5"/>
  <c r="AB147" i="5"/>
  <c r="AA147" i="5"/>
  <c r="AB146" i="5"/>
  <c r="AA146" i="5"/>
  <c r="AB145" i="5"/>
  <c r="AA145" i="5"/>
  <c r="AB144" i="5"/>
  <c r="AA144" i="5"/>
  <c r="AB143" i="5"/>
  <c r="AA143" i="5"/>
  <c r="AB142" i="5"/>
  <c r="AA142" i="5"/>
  <c r="AB141" i="5"/>
  <c r="AA141" i="5"/>
  <c r="AB140" i="5"/>
  <c r="AA140" i="5"/>
  <c r="AB139" i="5"/>
  <c r="AA139" i="5"/>
  <c r="AB138" i="5"/>
  <c r="AA138" i="5"/>
  <c r="AB137" i="5"/>
  <c r="AA137" i="5"/>
  <c r="AB136" i="5"/>
  <c r="AA136" i="5"/>
  <c r="AB135" i="5"/>
  <c r="AA135" i="5"/>
  <c r="AB134" i="5"/>
  <c r="AA134" i="5"/>
  <c r="AB133" i="5"/>
  <c r="AA133" i="5"/>
  <c r="AB132" i="5"/>
  <c r="AA132" i="5"/>
  <c r="AB131" i="5"/>
  <c r="AA131" i="5"/>
  <c r="AB130" i="5"/>
  <c r="AA130" i="5"/>
  <c r="AB129" i="5"/>
  <c r="AA129" i="5"/>
  <c r="AB128" i="5"/>
  <c r="AA128" i="5"/>
  <c r="AB127" i="5"/>
  <c r="AA127" i="5"/>
  <c r="AB126" i="5"/>
  <c r="AA126" i="5"/>
  <c r="AB125" i="5"/>
  <c r="AA125" i="5"/>
  <c r="AB124" i="5"/>
  <c r="AA124" i="5"/>
  <c r="AB123" i="5"/>
  <c r="AA123" i="5"/>
  <c r="AB122" i="5"/>
  <c r="AA122" i="5"/>
  <c r="AB121" i="5"/>
  <c r="AA121" i="5"/>
  <c r="AB120" i="5"/>
  <c r="AA120" i="5"/>
  <c r="AB119" i="5"/>
  <c r="AA119" i="5"/>
  <c r="AB118" i="5"/>
  <c r="AA118" i="5"/>
  <c r="AB117" i="5"/>
  <c r="AA117" i="5"/>
  <c r="AB116" i="5"/>
  <c r="AA116" i="5"/>
  <c r="AB115" i="5"/>
  <c r="AA115" i="5"/>
  <c r="AB114" i="5"/>
  <c r="AA114" i="5"/>
  <c r="AB113" i="5"/>
  <c r="AA113" i="5"/>
  <c r="AB112" i="5"/>
  <c r="AA112" i="5"/>
  <c r="AB111" i="5"/>
  <c r="AA111" i="5"/>
  <c r="AB110" i="5"/>
  <c r="AA110" i="5"/>
  <c r="AB109" i="5"/>
  <c r="AA109" i="5"/>
  <c r="AB108" i="5"/>
  <c r="AA108" i="5"/>
  <c r="AB107" i="5"/>
  <c r="AA107" i="5"/>
  <c r="AB106" i="5"/>
  <c r="AA106" i="5"/>
  <c r="AB105" i="5"/>
  <c r="AA105" i="5"/>
  <c r="AB104" i="5"/>
  <c r="AA104" i="5"/>
  <c r="AB103" i="5"/>
  <c r="AA103" i="5"/>
  <c r="AB102" i="5"/>
  <c r="AA102" i="5"/>
  <c r="AB101" i="5"/>
  <c r="AA101" i="5"/>
  <c r="AB100" i="5"/>
  <c r="AA100" i="5"/>
  <c r="AB99" i="5"/>
  <c r="AA99" i="5"/>
  <c r="AB98" i="5"/>
  <c r="AA98" i="5"/>
  <c r="AB97" i="5"/>
  <c r="AA97" i="5"/>
  <c r="AB96" i="5"/>
  <c r="AA96" i="5"/>
  <c r="AB95" i="5"/>
  <c r="AA95" i="5"/>
  <c r="AB94" i="5"/>
  <c r="AA94" i="5"/>
  <c r="AB93" i="5"/>
  <c r="AA93" i="5"/>
  <c r="AB92" i="5"/>
  <c r="AA92" i="5"/>
  <c r="AB91" i="5"/>
  <c r="AA91" i="5"/>
  <c r="AB90" i="5"/>
  <c r="AA90" i="5"/>
  <c r="AB89" i="5"/>
  <c r="AA89" i="5"/>
  <c r="AB88" i="5"/>
  <c r="AA88" i="5"/>
  <c r="AB87" i="5"/>
  <c r="AA87" i="5"/>
  <c r="AB86" i="5"/>
  <c r="AA86" i="5"/>
  <c r="AB85" i="5"/>
  <c r="AA85" i="5"/>
  <c r="AB84" i="5"/>
  <c r="AA84" i="5"/>
  <c r="AB83" i="5"/>
  <c r="AA83" i="5"/>
  <c r="AB82" i="5"/>
  <c r="AA82" i="5"/>
  <c r="AB81" i="5"/>
  <c r="AA81" i="5"/>
  <c r="AB80" i="5"/>
  <c r="AA80" i="5"/>
  <c r="AB79" i="5"/>
  <c r="AA79" i="5"/>
  <c r="AB78" i="5"/>
  <c r="AA78" i="5"/>
  <c r="AB77" i="5"/>
  <c r="AA77" i="5"/>
  <c r="AB76" i="5"/>
  <c r="AA76" i="5"/>
  <c r="AB75" i="5"/>
  <c r="AA75" i="5"/>
  <c r="AB74" i="5"/>
  <c r="AA74" i="5"/>
  <c r="AB73" i="5"/>
  <c r="AA73" i="5"/>
  <c r="AB72" i="5"/>
  <c r="AA72" i="5"/>
  <c r="AB71" i="5"/>
  <c r="AA71" i="5"/>
  <c r="AB70" i="5"/>
  <c r="AA70" i="5"/>
  <c r="AB69" i="5"/>
  <c r="AA69" i="5"/>
  <c r="AB68" i="5"/>
  <c r="AA68" i="5"/>
  <c r="AB67" i="5"/>
  <c r="AA67" i="5"/>
  <c r="AB66" i="5"/>
  <c r="AA66" i="5"/>
  <c r="AB65" i="5"/>
  <c r="AA65" i="5"/>
  <c r="AB64" i="5"/>
  <c r="AA64" i="5"/>
  <c r="AB63" i="5"/>
  <c r="AA63" i="5"/>
  <c r="AB62" i="5"/>
  <c r="AA62" i="5"/>
  <c r="AB61" i="5"/>
  <c r="AA61" i="5"/>
  <c r="AB60" i="5"/>
  <c r="AA60" i="5"/>
  <c r="AB59" i="5"/>
  <c r="AA59" i="5"/>
  <c r="AB58" i="5"/>
  <c r="AA58" i="5"/>
  <c r="AB57" i="5"/>
  <c r="AA57" i="5"/>
  <c r="AB56" i="5"/>
  <c r="AA56" i="5"/>
  <c r="AB55" i="5"/>
  <c r="AA55" i="5"/>
  <c r="AB54" i="5"/>
  <c r="AA54" i="5"/>
  <c r="AB53" i="5"/>
  <c r="AA53" i="5"/>
  <c r="AB52" i="5"/>
  <c r="AA52" i="5"/>
  <c r="AB51" i="5"/>
  <c r="AA51" i="5"/>
  <c r="AB50" i="5"/>
  <c r="AA50" i="5"/>
  <c r="AB49" i="5"/>
  <c r="AA49" i="5"/>
  <c r="AB48" i="5"/>
  <c r="AA48" i="5"/>
  <c r="AB47" i="5"/>
  <c r="AA47" i="5"/>
  <c r="AB46" i="5"/>
  <c r="AA46" i="5"/>
  <c r="AB45" i="5"/>
  <c r="AA45" i="5"/>
  <c r="AB44" i="5"/>
  <c r="AA44" i="5"/>
  <c r="AB43" i="5"/>
  <c r="AA43" i="5"/>
  <c r="AB42" i="5"/>
  <c r="AA42" i="5"/>
  <c r="AB41" i="5"/>
  <c r="AA41" i="5"/>
  <c r="AB40" i="5"/>
  <c r="AA40" i="5"/>
  <c r="AB39" i="5"/>
  <c r="AA39" i="5"/>
  <c r="AB38" i="5"/>
  <c r="AA38" i="5"/>
  <c r="AB37" i="5"/>
  <c r="AA37" i="5"/>
  <c r="AB36" i="5"/>
  <c r="AA36" i="5"/>
  <c r="AB35" i="5"/>
  <c r="AA35" i="5"/>
  <c r="AB34" i="5"/>
  <c r="AA34" i="5"/>
  <c r="AB33" i="5"/>
  <c r="AA33" i="5"/>
  <c r="AB32" i="5"/>
  <c r="AA32" i="5"/>
  <c r="AB31" i="5"/>
  <c r="AA31" i="5"/>
  <c r="AB30" i="5"/>
  <c r="AA30" i="5"/>
  <c r="AB29" i="5"/>
  <c r="AA29" i="5"/>
  <c r="X29" i="5"/>
  <c r="AH28" i="5"/>
  <c r="AG28" i="5"/>
  <c r="AG29" i="5" s="1"/>
  <c r="AG30" i="5" s="1"/>
  <c r="AB28" i="5"/>
  <c r="AA28" i="5"/>
  <c r="W16" i="5"/>
  <c r="AH27" i="5"/>
  <c r="AF27" i="5"/>
  <c r="AB27" i="5"/>
  <c r="AA27" i="5"/>
  <c r="X27" i="5"/>
  <c r="AH26" i="5"/>
  <c r="AF26" i="5"/>
  <c r="AB26" i="5"/>
  <c r="AA26" i="5"/>
  <c r="X26" i="5"/>
  <c r="AH25" i="5"/>
  <c r="AF25" i="5"/>
  <c r="AB25" i="5"/>
  <c r="AA25" i="5"/>
  <c r="X25" i="5"/>
  <c r="AH24" i="5"/>
  <c r="AF24" i="5"/>
  <c r="AB24" i="5"/>
  <c r="AA24" i="5"/>
  <c r="X24" i="5"/>
  <c r="AH23" i="5"/>
  <c r="AF23" i="5"/>
  <c r="AB23" i="5"/>
  <c r="AA23" i="5"/>
  <c r="X23" i="5"/>
  <c r="AF22" i="5"/>
  <c r="AB22" i="5"/>
  <c r="AA22" i="5"/>
  <c r="AF21" i="5"/>
  <c r="AB21" i="5"/>
  <c r="AA21" i="5"/>
  <c r="AF20" i="5"/>
  <c r="AB20" i="5"/>
  <c r="AA20" i="5"/>
  <c r="AF19" i="5"/>
  <c r="AB19" i="5"/>
  <c r="AA19" i="5"/>
  <c r="AF18" i="5"/>
  <c r="AB18" i="5"/>
  <c r="AA18" i="5"/>
  <c r="AF17" i="5"/>
  <c r="AB17" i="5"/>
  <c r="AA17" i="5"/>
  <c r="W17" i="5"/>
  <c r="AI16" i="5"/>
  <c r="AH16" i="5" s="1"/>
  <c r="AF16" i="5"/>
  <c r="AB16" i="5"/>
  <c r="AA16" i="5"/>
  <c r="U16" i="5"/>
  <c r="U17" i="5" s="1"/>
  <c r="C16" i="5"/>
  <c r="AI15" i="5"/>
  <c r="AH15" i="5"/>
  <c r="I15" i="5" s="1"/>
  <c r="AF15" i="5"/>
  <c r="AB15" i="5"/>
  <c r="AA15" i="5"/>
  <c r="T15" i="5"/>
  <c r="W15" i="5"/>
  <c r="N57" i="4"/>
  <c r="BD29" i="19" s="1"/>
  <c r="J57" i="4"/>
  <c r="N55" i="4"/>
  <c r="I55" i="4"/>
  <c r="N54" i="4"/>
  <c r="I54" i="4"/>
  <c r="B53" i="4"/>
  <c r="AF28" i="5" l="1"/>
  <c r="AB60" i="19"/>
  <c r="BD30" i="19"/>
  <c r="BD31" i="19" s="1"/>
  <c r="K16" i="5"/>
  <c r="AN30" i="21" s="1"/>
  <c r="J16" i="5"/>
  <c r="AN36" i="20" s="1"/>
  <c r="AZ28" i="14"/>
  <c r="AZ29" i="14" s="1"/>
  <c r="AZ30" i="14" s="1"/>
  <c r="AZ31" i="14" s="1"/>
  <c r="AZ32" i="14" s="1"/>
  <c r="AZ33" i="14" s="1"/>
  <c r="AZ34" i="14" s="1"/>
  <c r="AZ35" i="14" s="1"/>
  <c r="AZ36" i="14" s="1"/>
  <c r="AZ37" i="14" s="1"/>
  <c r="AZ38" i="14" s="1"/>
  <c r="AZ39" i="14" s="1"/>
  <c r="AZ40" i="14" s="1"/>
  <c r="AZ41" i="14" s="1"/>
  <c r="AZ42" i="14" s="1"/>
  <c r="AZ43" i="14" s="1"/>
  <c r="AZ44" i="14" s="1"/>
  <c r="AZ45" i="14" s="1"/>
  <c r="AZ46" i="14" s="1"/>
  <c r="AZ47" i="14" s="1"/>
  <c r="AZ48" i="14" s="1"/>
  <c r="AZ49" i="14" s="1"/>
  <c r="AZ50" i="14" s="1"/>
  <c r="AZ51" i="14" s="1"/>
  <c r="AZ52" i="14" s="1"/>
  <c r="AZ53" i="14" s="1"/>
  <c r="AZ54" i="14" s="1"/>
  <c r="AZ55" i="14" s="1"/>
  <c r="AZ56" i="14" s="1"/>
  <c r="C29" i="14"/>
  <c r="AT35" i="20"/>
  <c r="AX35" i="20" s="1"/>
  <c r="U35" i="20" s="1"/>
  <c r="W35" i="20" s="1"/>
  <c r="Y35" i="20" s="1"/>
  <c r="BD37" i="20"/>
  <c r="BF36" i="20"/>
  <c r="AF37" i="20"/>
  <c r="AL36" i="20"/>
  <c r="AX28" i="20"/>
  <c r="AB28" i="14"/>
  <c r="BF28" i="19"/>
  <c r="BB29" i="19"/>
  <c r="T16" i="5"/>
  <c r="AF29" i="5"/>
  <c r="H56" i="4"/>
  <c r="O56" i="4"/>
  <c r="P56" i="4"/>
  <c r="N56" i="4"/>
  <c r="AJ16" i="14"/>
  <c r="C30" i="14"/>
  <c r="C54" i="7"/>
  <c r="C54" i="9"/>
  <c r="AF11" i="6"/>
  <c r="BD11" i="6" s="1"/>
  <c r="BF28" i="9"/>
  <c r="AZ28" i="9"/>
  <c r="AZ29" i="9" s="1"/>
  <c r="AZ30" i="9" s="1"/>
  <c r="AZ31" i="9" s="1"/>
  <c r="AZ32" i="9" s="1"/>
  <c r="AZ33" i="9" s="1"/>
  <c r="AZ34" i="9" s="1"/>
  <c r="AZ35" i="9" s="1"/>
  <c r="AZ36" i="9" s="1"/>
  <c r="AZ37" i="9" s="1"/>
  <c r="AZ38" i="9" s="1"/>
  <c r="AZ39" i="9" s="1"/>
  <c r="AZ40" i="9" s="1"/>
  <c r="AZ41" i="9" s="1"/>
  <c r="AZ42" i="9" s="1"/>
  <c r="AZ43" i="9" s="1"/>
  <c r="AZ44" i="9" s="1"/>
  <c r="AZ45" i="9" s="1"/>
  <c r="AZ46" i="9" s="1"/>
  <c r="AZ47" i="9" s="1"/>
  <c r="AZ48" i="9" s="1"/>
  <c r="AZ49" i="9" s="1"/>
  <c r="AZ50" i="9" s="1"/>
  <c r="AZ51" i="9" s="1"/>
  <c r="AZ52" i="9" s="1"/>
  <c r="AB28" i="9"/>
  <c r="C29" i="9"/>
  <c r="AF11" i="8"/>
  <c r="BD11" i="8" s="1"/>
  <c r="BF28" i="8" s="1"/>
  <c r="AB28" i="8"/>
  <c r="C29" i="8"/>
  <c r="AZ28" i="8"/>
  <c r="AZ29" i="8" s="1"/>
  <c r="AZ30" i="8" s="1"/>
  <c r="AZ31" i="8" s="1"/>
  <c r="AZ32" i="8" s="1"/>
  <c r="AZ33" i="8" s="1"/>
  <c r="AZ34" i="8" s="1"/>
  <c r="AZ35" i="8" s="1"/>
  <c r="AZ36" i="8" s="1"/>
  <c r="AZ37" i="8" s="1"/>
  <c r="AZ38" i="8" s="1"/>
  <c r="AZ39" i="8" s="1"/>
  <c r="AZ40" i="8" s="1"/>
  <c r="AZ41" i="8" s="1"/>
  <c r="AZ42" i="8" s="1"/>
  <c r="AZ43" i="8" s="1"/>
  <c r="AZ44" i="8" s="1"/>
  <c r="AZ45" i="8" s="1"/>
  <c r="AZ46" i="8" s="1"/>
  <c r="AZ47" i="8" s="1"/>
  <c r="AZ48" i="8" s="1"/>
  <c r="AZ49" i="8" s="1"/>
  <c r="AZ50" i="8" s="1"/>
  <c r="AZ51" i="8" s="1"/>
  <c r="AZ52" i="8" s="1"/>
  <c r="BF28" i="7"/>
  <c r="AB28" i="7"/>
  <c r="C29" i="7"/>
  <c r="AZ28" i="7"/>
  <c r="AZ29" i="7" s="1"/>
  <c r="AZ30" i="7" s="1"/>
  <c r="AZ31" i="7" s="1"/>
  <c r="AZ32" i="7" s="1"/>
  <c r="AZ33" i="7" s="1"/>
  <c r="AZ34" i="7" s="1"/>
  <c r="AZ35" i="7" s="1"/>
  <c r="AZ36" i="7" s="1"/>
  <c r="AZ37" i="7" s="1"/>
  <c r="AZ38" i="7" s="1"/>
  <c r="AZ39" i="7" s="1"/>
  <c r="AZ40" i="7" s="1"/>
  <c r="AZ41" i="7" s="1"/>
  <c r="AZ42" i="7" s="1"/>
  <c r="AZ43" i="7" s="1"/>
  <c r="AZ44" i="7" s="1"/>
  <c r="AZ45" i="7" s="1"/>
  <c r="AZ46" i="7" s="1"/>
  <c r="AZ47" i="7" s="1"/>
  <c r="AZ48" i="7" s="1"/>
  <c r="AZ49" i="7" s="1"/>
  <c r="AZ50" i="7" s="1"/>
  <c r="AZ51" i="7" s="1"/>
  <c r="AZ52" i="7" s="1"/>
  <c r="C54" i="6"/>
  <c r="BF28" i="6"/>
  <c r="AZ28" i="6"/>
  <c r="AZ29" i="6" s="1"/>
  <c r="AZ30" i="6" s="1"/>
  <c r="AZ31" i="6" s="1"/>
  <c r="AZ32" i="6" s="1"/>
  <c r="AZ33" i="6" s="1"/>
  <c r="AZ34" i="6" s="1"/>
  <c r="AZ35" i="6" s="1"/>
  <c r="AZ36" i="6" s="1"/>
  <c r="AZ37" i="6" s="1"/>
  <c r="AZ38" i="6" s="1"/>
  <c r="AZ39" i="6" s="1"/>
  <c r="AZ40" i="6" s="1"/>
  <c r="AZ41" i="6" s="1"/>
  <c r="AZ42" i="6" s="1"/>
  <c r="AZ43" i="6" s="1"/>
  <c r="AZ44" i="6" s="1"/>
  <c r="AZ45" i="6" s="1"/>
  <c r="AZ46" i="6" s="1"/>
  <c r="AZ47" i="6" s="1"/>
  <c r="AZ48" i="6" s="1"/>
  <c r="AZ49" i="6" s="1"/>
  <c r="AZ50" i="6" s="1"/>
  <c r="AZ51" i="6" s="1"/>
  <c r="AZ52" i="6" s="1"/>
  <c r="K28" i="6"/>
  <c r="AB28" i="6"/>
  <c r="C29" i="6"/>
  <c r="AD28" i="6"/>
  <c r="AL28" i="6" s="1"/>
  <c r="U18" i="5"/>
  <c r="T17" i="5"/>
  <c r="X28" i="5"/>
  <c r="AG31" i="5"/>
  <c r="W18" i="5"/>
  <c r="AF30" i="5"/>
  <c r="V15" i="5"/>
  <c r="V16" i="5"/>
  <c r="X16" i="5" s="1"/>
  <c r="C17" i="5"/>
  <c r="V17" i="5"/>
  <c r="X17" i="5" s="1"/>
  <c r="AP30" i="21" l="1"/>
  <c r="AP36" i="20"/>
  <c r="AB61" i="19"/>
  <c r="K17" i="5"/>
  <c r="AN31" i="21" s="1"/>
  <c r="AP31" i="21" s="1"/>
  <c r="AV31" i="21" s="1"/>
  <c r="AX31" i="21" s="1"/>
  <c r="U31" i="21" s="1"/>
  <c r="W31" i="21" s="1"/>
  <c r="Y31" i="21" s="1"/>
  <c r="J17" i="5"/>
  <c r="AN32" i="19"/>
  <c r="AT28" i="6"/>
  <c r="AT28" i="19"/>
  <c r="AB29" i="14"/>
  <c r="U28" i="20"/>
  <c r="AT36" i="20"/>
  <c r="AF38" i="20"/>
  <c r="AL37" i="20"/>
  <c r="BD38" i="20"/>
  <c r="BF37" i="20"/>
  <c r="BF29" i="19"/>
  <c r="AT29" i="19" s="1"/>
  <c r="BB30" i="19"/>
  <c r="K32" i="19"/>
  <c r="AH32" i="19"/>
  <c r="AR32" i="19"/>
  <c r="M32" i="19"/>
  <c r="BD32" i="19"/>
  <c r="AJ32" i="19"/>
  <c r="I32" i="19"/>
  <c r="AF32" i="19"/>
  <c r="AJ15" i="14"/>
  <c r="C31" i="14"/>
  <c r="C30" i="9"/>
  <c r="AB29" i="9"/>
  <c r="AD29" i="8"/>
  <c r="C30" i="8"/>
  <c r="AB29" i="8"/>
  <c r="AD29" i="7"/>
  <c r="C30" i="7"/>
  <c r="AB29" i="7"/>
  <c r="AB29" i="6"/>
  <c r="M28" i="6"/>
  <c r="C30" i="6"/>
  <c r="I28" i="6"/>
  <c r="C18" i="5"/>
  <c r="Q17" i="5"/>
  <c r="X30" i="5"/>
  <c r="V18" i="5"/>
  <c r="AI17" i="5"/>
  <c r="AH17" i="5" s="1"/>
  <c r="AH29" i="5"/>
  <c r="X15" i="5"/>
  <c r="AH30" i="5"/>
  <c r="AI18" i="5"/>
  <c r="AH18" i="5" s="1"/>
  <c r="AG32" i="5"/>
  <c r="W19" i="5"/>
  <c r="AF31" i="5"/>
  <c r="T18" i="5"/>
  <c r="U19" i="5"/>
  <c r="L18" i="5" l="1"/>
  <c r="AN28" i="14" s="1"/>
  <c r="K18" i="5"/>
  <c r="AN32" i="21" s="1"/>
  <c r="AP32" i="21" s="1"/>
  <c r="AV32" i="21" s="1"/>
  <c r="AX32" i="21" s="1"/>
  <c r="U32" i="21" s="1"/>
  <c r="W32" i="21" s="1"/>
  <c r="Y32" i="21" s="1"/>
  <c r="J18" i="5"/>
  <c r="AN34" i="19" s="1"/>
  <c r="AV36" i="20"/>
  <c r="AB30" i="14"/>
  <c r="E28" i="14"/>
  <c r="AR28" i="14" s="1"/>
  <c r="AN37" i="20"/>
  <c r="AN33" i="19"/>
  <c r="AP33" i="19" s="1"/>
  <c r="AB62" i="19"/>
  <c r="AV30" i="21"/>
  <c r="AT37" i="20"/>
  <c r="AF39" i="20"/>
  <c r="AL38" i="20"/>
  <c r="W28" i="20"/>
  <c r="BD39" i="20"/>
  <c r="BF38" i="20"/>
  <c r="AJ33" i="19"/>
  <c r="AJ34" i="19" s="1"/>
  <c r="AH33" i="19"/>
  <c r="AH34" i="19" s="1"/>
  <c r="I33" i="19"/>
  <c r="AR33" i="19"/>
  <c r="AR34" i="19" s="1"/>
  <c r="BF30" i="19"/>
  <c r="BB31" i="19"/>
  <c r="AF33" i="19"/>
  <c r="AL32" i="19"/>
  <c r="BD33" i="19"/>
  <c r="BD34" i="19" s="1"/>
  <c r="K33" i="19"/>
  <c r="K34" i="19" s="1"/>
  <c r="I34" i="19"/>
  <c r="M33" i="19"/>
  <c r="M34" i="19" s="1"/>
  <c r="AB31" i="14"/>
  <c r="C32" i="14"/>
  <c r="AH29" i="9"/>
  <c r="K29" i="9"/>
  <c r="AR29" i="9"/>
  <c r="I29" i="9"/>
  <c r="AJ29" i="9"/>
  <c r="BD29" i="9"/>
  <c r="BB29" i="9"/>
  <c r="M29" i="9"/>
  <c r="AF29" i="9"/>
  <c r="AB30" i="9"/>
  <c r="AD30" i="9"/>
  <c r="C31" i="9"/>
  <c r="G28" i="9"/>
  <c r="AD29" i="9"/>
  <c r="AB30" i="8"/>
  <c r="BB29" i="8"/>
  <c r="BD29" i="8"/>
  <c r="I29" i="8"/>
  <c r="M29" i="8"/>
  <c r="AH29" i="8"/>
  <c r="K29" i="8"/>
  <c r="AR29" i="8"/>
  <c r="AJ29" i="8"/>
  <c r="AF29" i="8"/>
  <c r="AD30" i="8"/>
  <c r="C31" i="8"/>
  <c r="AB30" i="7"/>
  <c r="AH29" i="7"/>
  <c r="AR29" i="7"/>
  <c r="BB29" i="7"/>
  <c r="M29" i="7"/>
  <c r="AF29" i="7"/>
  <c r="I29" i="7"/>
  <c r="AJ29" i="7"/>
  <c r="K29" i="7"/>
  <c r="BD29" i="7"/>
  <c r="C31" i="7"/>
  <c r="AB30" i="6"/>
  <c r="AD30" i="6"/>
  <c r="C31" i="6"/>
  <c r="M29" i="6"/>
  <c r="S28" i="6"/>
  <c r="I29" i="6"/>
  <c r="AH29" i="6"/>
  <c r="AR29" i="6"/>
  <c r="AJ29" i="6"/>
  <c r="BB29" i="6"/>
  <c r="AF29" i="6"/>
  <c r="BD29" i="6"/>
  <c r="K29" i="6"/>
  <c r="AD29" i="6"/>
  <c r="X18" i="5"/>
  <c r="C19" i="5"/>
  <c r="Q18" i="5"/>
  <c r="AH31" i="5"/>
  <c r="AH19" i="5"/>
  <c r="AG33" i="5"/>
  <c r="W20" i="5"/>
  <c r="AF32" i="5"/>
  <c r="T19" i="5"/>
  <c r="U20" i="5"/>
  <c r="X31" i="5"/>
  <c r="V19" i="5"/>
  <c r="X19" i="5" s="1"/>
  <c r="E29" i="14" l="1"/>
  <c r="AX30" i="21"/>
  <c r="AN38" i="20"/>
  <c r="AP38" i="20" s="1"/>
  <c r="AV38" i="20" s="1"/>
  <c r="AP37" i="20"/>
  <c r="AX36" i="20"/>
  <c r="U36" i="20" s="1"/>
  <c r="AH28" i="14"/>
  <c r="BD28" i="14"/>
  <c r="AJ28" i="14"/>
  <c r="AF28" i="14"/>
  <c r="BB28" i="14"/>
  <c r="AV33" i="19"/>
  <c r="L19" i="5"/>
  <c r="AN29" i="14" s="1"/>
  <c r="K19" i="5"/>
  <c r="AN33" i="21" s="1"/>
  <c r="AP33" i="21" s="1"/>
  <c r="AV33" i="21" s="1"/>
  <c r="AX33" i="21" s="1"/>
  <c r="U33" i="21" s="1"/>
  <c r="W33" i="21" s="1"/>
  <c r="Y33" i="21" s="1"/>
  <c r="J19" i="5"/>
  <c r="AN39" i="20"/>
  <c r="AP39" i="20" s="1"/>
  <c r="AV39" i="20" s="1"/>
  <c r="AF14" i="14"/>
  <c r="AP28" i="14" s="1"/>
  <c r="AT30" i="19"/>
  <c r="AN35" i="19"/>
  <c r="AT38" i="20"/>
  <c r="BD40" i="20"/>
  <c r="BF39" i="20"/>
  <c r="Y28" i="20"/>
  <c r="AF40" i="20"/>
  <c r="AL39" i="20"/>
  <c r="BF31" i="19"/>
  <c r="AT31" i="19" s="1"/>
  <c r="BB32" i="19"/>
  <c r="AF34" i="19"/>
  <c r="AL33" i="19"/>
  <c r="K35" i="19"/>
  <c r="C33" i="14"/>
  <c r="AB32" i="14"/>
  <c r="M30" i="6"/>
  <c r="M30" i="9"/>
  <c r="S29" i="9"/>
  <c r="I30" i="9"/>
  <c r="AD28" i="9"/>
  <c r="S28" i="9"/>
  <c r="AD31" i="9"/>
  <c r="C32" i="9"/>
  <c r="AB31" i="9"/>
  <c r="BB30" i="9"/>
  <c r="BF29" i="9"/>
  <c r="AR30" i="9"/>
  <c r="BD30" i="9"/>
  <c r="BD31" i="9" s="1"/>
  <c r="K30" i="9"/>
  <c r="AF30" i="9"/>
  <c r="AL29" i="9"/>
  <c r="AJ30" i="9"/>
  <c r="AH30" i="9"/>
  <c r="AJ30" i="8"/>
  <c r="M30" i="8"/>
  <c r="M31" i="8" s="1"/>
  <c r="AR30" i="8"/>
  <c r="S29" i="8"/>
  <c r="I30" i="8"/>
  <c r="K30" i="8"/>
  <c r="K31" i="8" s="1"/>
  <c r="BD30" i="8"/>
  <c r="AB31" i="8"/>
  <c r="AD31" i="8"/>
  <c r="C32" i="8"/>
  <c r="AF30" i="8"/>
  <c r="AL29" i="8"/>
  <c r="AT29" i="8" s="1"/>
  <c r="AH30" i="8"/>
  <c r="AH31" i="8" s="1"/>
  <c r="BB30" i="8"/>
  <c r="BF29" i="8"/>
  <c r="BD30" i="7"/>
  <c r="C32" i="7"/>
  <c r="AD31" i="7"/>
  <c r="AJ30" i="7"/>
  <c r="BB30" i="7"/>
  <c r="BF29" i="7"/>
  <c r="AB31" i="7"/>
  <c r="AD30" i="7"/>
  <c r="G28" i="7"/>
  <c r="AL29" i="7"/>
  <c r="AF30" i="7"/>
  <c r="AH30" i="7"/>
  <c r="K30" i="7"/>
  <c r="M30" i="7"/>
  <c r="I30" i="7"/>
  <c r="S29" i="7"/>
  <c r="AR30" i="7"/>
  <c r="BD30" i="6"/>
  <c r="AR30" i="6"/>
  <c r="BB30" i="6"/>
  <c r="BF29" i="6"/>
  <c r="AB31" i="6"/>
  <c r="K30" i="6"/>
  <c r="AJ30" i="6"/>
  <c r="S29" i="6"/>
  <c r="I30" i="6"/>
  <c r="AD31" i="6"/>
  <c r="M31" i="6"/>
  <c r="C32" i="6"/>
  <c r="AF30" i="6"/>
  <c r="AL29" i="6"/>
  <c r="AH30" i="6"/>
  <c r="C20" i="5"/>
  <c r="Q19" i="5"/>
  <c r="X32" i="5"/>
  <c r="V20" i="5"/>
  <c r="X20" i="5" s="1"/>
  <c r="AG34" i="5"/>
  <c r="W21" i="5"/>
  <c r="AF33" i="5"/>
  <c r="T20" i="5"/>
  <c r="U21" i="5"/>
  <c r="AH32" i="5"/>
  <c r="AI20" i="5"/>
  <c r="AH20" i="5" s="1"/>
  <c r="AX38" i="20" l="1"/>
  <c r="U38" i="20" s="1"/>
  <c r="W38" i="20" s="1"/>
  <c r="Y38" i="20" s="1"/>
  <c r="AP29" i="14"/>
  <c r="K20" i="5"/>
  <c r="AN34" i="21" s="1"/>
  <c r="AP34" i="21" s="1"/>
  <c r="AV34" i="21" s="1"/>
  <c r="AX34" i="21" s="1"/>
  <c r="U34" i="21" s="1"/>
  <c r="W34" i="21" s="1"/>
  <c r="Y34" i="21" s="1"/>
  <c r="L20" i="5"/>
  <c r="AN30" i="14" s="1"/>
  <c r="J20" i="5"/>
  <c r="AN40" i="20" s="1"/>
  <c r="AP40" i="20" s="1"/>
  <c r="AV40" i="20" s="1"/>
  <c r="E30" i="14"/>
  <c r="AT29" i="9"/>
  <c r="AV37" i="20"/>
  <c r="U30" i="21"/>
  <c r="W36" i="20"/>
  <c r="AT39" i="20"/>
  <c r="AF41" i="20"/>
  <c r="AL40" i="20"/>
  <c r="BD41" i="20"/>
  <c r="BF40" i="20"/>
  <c r="I35" i="19"/>
  <c r="M35" i="19"/>
  <c r="BB33" i="19"/>
  <c r="BF32" i="19"/>
  <c r="AT32" i="19" s="1"/>
  <c r="K36" i="19"/>
  <c r="AJ35" i="19"/>
  <c r="AF35" i="19"/>
  <c r="AL34" i="19"/>
  <c r="AH35" i="19"/>
  <c r="BD35" i="19"/>
  <c r="AR35" i="19"/>
  <c r="M29" i="14"/>
  <c r="BB29" i="14"/>
  <c r="AF29" i="14"/>
  <c r="BD29" i="14"/>
  <c r="BD30" i="14" s="1"/>
  <c r="K29" i="14"/>
  <c r="AJ29" i="14"/>
  <c r="AR29" i="14"/>
  <c r="AH29" i="14"/>
  <c r="AH30" i="14" s="1"/>
  <c r="C34" i="14"/>
  <c r="AB33" i="14"/>
  <c r="M31" i="9"/>
  <c r="M32" i="9" s="1"/>
  <c r="AH31" i="9"/>
  <c r="AR31" i="9"/>
  <c r="AR32" i="9" s="1"/>
  <c r="BD31" i="8"/>
  <c r="AJ31" i="9"/>
  <c r="K31" i="9"/>
  <c r="K32" i="9" s="1"/>
  <c r="BD32" i="9"/>
  <c r="AL28" i="9"/>
  <c r="AF31" i="9"/>
  <c r="AL30" i="9"/>
  <c r="BB31" i="9"/>
  <c r="BF30" i="9"/>
  <c r="AD32" i="9"/>
  <c r="C33" i="9"/>
  <c r="AJ32" i="9"/>
  <c r="AB32" i="9"/>
  <c r="S30" i="9"/>
  <c r="I31" i="9"/>
  <c r="AH32" i="8"/>
  <c r="C33" i="8"/>
  <c r="S30" i="8"/>
  <c r="I31" i="8"/>
  <c r="AB32" i="8"/>
  <c r="AR31" i="8"/>
  <c r="AJ31" i="8"/>
  <c r="BB31" i="8"/>
  <c r="BF30" i="8"/>
  <c r="AR31" i="7"/>
  <c r="AF31" i="8"/>
  <c r="AL30" i="8"/>
  <c r="AR31" i="6"/>
  <c r="AL30" i="7"/>
  <c r="AF31" i="7"/>
  <c r="AJ31" i="6"/>
  <c r="BD31" i="6"/>
  <c r="AT29" i="7"/>
  <c r="AB32" i="7"/>
  <c r="BD31" i="7"/>
  <c r="M31" i="7"/>
  <c r="BB31" i="7"/>
  <c r="BF30" i="7"/>
  <c r="AH31" i="6"/>
  <c r="K31" i="6"/>
  <c r="S30" i="7"/>
  <c r="I31" i="7"/>
  <c r="K31" i="7"/>
  <c r="AH31" i="7"/>
  <c r="AD28" i="7"/>
  <c r="AJ31" i="7"/>
  <c r="C33" i="7"/>
  <c r="AD32" i="7"/>
  <c r="AT29" i="6"/>
  <c r="C33" i="6"/>
  <c r="AF31" i="6"/>
  <c r="AL30" i="6"/>
  <c r="S30" i="6"/>
  <c r="I31" i="6"/>
  <c r="BB31" i="6"/>
  <c r="BF30" i="6"/>
  <c r="AB32" i="6"/>
  <c r="AG35" i="5"/>
  <c r="W22" i="5"/>
  <c r="E34" i="5" s="1"/>
  <c r="AF34" i="5"/>
  <c r="C21" i="5"/>
  <c r="Q20" i="5"/>
  <c r="AH33" i="5"/>
  <c r="AI21" i="5"/>
  <c r="AH21" i="5" s="1"/>
  <c r="U22" i="5"/>
  <c r="T21" i="5"/>
  <c r="X33" i="5"/>
  <c r="V21" i="5"/>
  <c r="AP30" i="14" l="1"/>
  <c r="L21" i="5"/>
  <c r="AN31" i="14" s="1"/>
  <c r="K21" i="5"/>
  <c r="AN35" i="21" s="1"/>
  <c r="AP35" i="21" s="1"/>
  <c r="J21" i="5"/>
  <c r="AN41" i="20" s="1"/>
  <c r="AP41" i="20" s="1"/>
  <c r="AV41" i="20" s="1"/>
  <c r="AX37" i="20"/>
  <c r="U37" i="20" s="1"/>
  <c r="W37" i="20" s="1"/>
  <c r="Y37" i="20" s="1"/>
  <c r="E31" i="14"/>
  <c r="AH31" i="14" s="1"/>
  <c r="W30" i="21"/>
  <c r="BD42" i="20"/>
  <c r="BF41" i="20"/>
  <c r="AF42" i="20"/>
  <c r="AL41" i="20"/>
  <c r="Y36" i="20"/>
  <c r="AX39" i="20"/>
  <c r="AT40" i="20"/>
  <c r="AX40" i="20" s="1"/>
  <c r="U40" i="20" s="1"/>
  <c r="W40" i="20" s="1"/>
  <c r="Y40" i="20" s="1"/>
  <c r="K30" i="14"/>
  <c r="M30" i="14"/>
  <c r="AJ30" i="14"/>
  <c r="BB30" i="14"/>
  <c r="BD36" i="19"/>
  <c r="M36" i="19"/>
  <c r="AJ36" i="19"/>
  <c r="I36" i="19"/>
  <c r="AH36" i="19"/>
  <c r="AR36" i="19"/>
  <c r="BF33" i="19"/>
  <c r="BB34" i="19"/>
  <c r="AR30" i="14"/>
  <c r="AF30" i="14"/>
  <c r="AL35" i="19"/>
  <c r="AF36" i="19"/>
  <c r="K37" i="19"/>
  <c r="AB34" i="14"/>
  <c r="C35" i="14"/>
  <c r="AH32" i="9"/>
  <c r="AR32" i="7"/>
  <c r="K32" i="8"/>
  <c r="K33" i="8" s="1"/>
  <c r="S31" i="9"/>
  <c r="I32" i="9"/>
  <c r="AB33" i="9"/>
  <c r="AR33" i="9"/>
  <c r="C34" i="9"/>
  <c r="AF32" i="9"/>
  <c r="AL31" i="9"/>
  <c r="AH32" i="6"/>
  <c r="M33" i="9"/>
  <c r="BB32" i="9"/>
  <c r="BF31" i="9"/>
  <c r="K33" i="9"/>
  <c r="BD33" i="9"/>
  <c r="M32" i="8"/>
  <c r="M33" i="8" s="1"/>
  <c r="BD32" i="8"/>
  <c r="AT30" i="9"/>
  <c r="AT28" i="9"/>
  <c r="AT30" i="7"/>
  <c r="BB32" i="8"/>
  <c r="BF31" i="8"/>
  <c r="G28" i="8"/>
  <c r="AD32" i="8"/>
  <c r="AT30" i="8"/>
  <c r="AJ32" i="8"/>
  <c r="AB33" i="8"/>
  <c r="AF32" i="8"/>
  <c r="AL31" i="8"/>
  <c r="AR32" i="8"/>
  <c r="S31" i="8"/>
  <c r="I32" i="8"/>
  <c r="AD33" i="8"/>
  <c r="C34" i="8"/>
  <c r="AH33" i="8"/>
  <c r="AH32" i="7"/>
  <c r="BB32" i="7"/>
  <c r="BF31" i="7"/>
  <c r="K32" i="7"/>
  <c r="K33" i="7" s="1"/>
  <c r="AT30" i="6"/>
  <c r="AJ32" i="6"/>
  <c r="I32" i="7"/>
  <c r="S31" i="7"/>
  <c r="AR32" i="6"/>
  <c r="AR33" i="7"/>
  <c r="C34" i="7"/>
  <c r="AD33" i="7"/>
  <c r="BD32" i="7"/>
  <c r="BD33" i="7" s="1"/>
  <c r="AB33" i="7"/>
  <c r="AJ32" i="7"/>
  <c r="AJ33" i="7" s="1"/>
  <c r="AL28" i="7"/>
  <c r="M32" i="7"/>
  <c r="AL31" i="7"/>
  <c r="AF32" i="7"/>
  <c r="AF32" i="6"/>
  <c r="AL31" i="6"/>
  <c r="AB33" i="6"/>
  <c r="M32" i="6"/>
  <c r="S31" i="6"/>
  <c r="I32" i="6"/>
  <c r="AD33" i="6"/>
  <c r="AH33" i="6"/>
  <c r="C34" i="6"/>
  <c r="K32" i="6"/>
  <c r="BB32" i="6"/>
  <c r="BF31" i="6"/>
  <c r="AD32" i="6"/>
  <c r="BD32" i="6"/>
  <c r="Q21" i="5"/>
  <c r="AH34" i="5"/>
  <c r="AH22" i="5"/>
  <c r="C22" i="5"/>
  <c r="X21" i="5"/>
  <c r="U23" i="5"/>
  <c r="T22" i="5"/>
  <c r="AG36" i="5"/>
  <c r="AH35" i="5"/>
  <c r="X35" i="5"/>
  <c r="AF35" i="5"/>
  <c r="X34" i="5"/>
  <c r="V22" i="5"/>
  <c r="X22" i="5" s="1"/>
  <c r="BB31" i="14" l="1"/>
  <c r="AN37" i="19"/>
  <c r="K31" i="14"/>
  <c r="AJ31" i="14"/>
  <c r="AF31" i="14"/>
  <c r="M31" i="14"/>
  <c r="BD31" i="14"/>
  <c r="AR31" i="14"/>
  <c r="AP31" i="14"/>
  <c r="AV35" i="21"/>
  <c r="Y30" i="21"/>
  <c r="AT33" i="19"/>
  <c r="AX33" i="19" s="1"/>
  <c r="U33" i="19" s="1"/>
  <c r="W33" i="19" s="1"/>
  <c r="Y33" i="19" s="1"/>
  <c r="E32" i="14"/>
  <c r="AF32" i="14" s="1"/>
  <c r="K22" i="5"/>
  <c r="L22" i="5"/>
  <c r="AN32" i="14" s="1"/>
  <c r="J22" i="5"/>
  <c r="AN42" i="20" s="1"/>
  <c r="AP42" i="20" s="1"/>
  <c r="AV42" i="20" s="1"/>
  <c r="AT31" i="7"/>
  <c r="AT41" i="20"/>
  <c r="AX41" i="20" s="1"/>
  <c r="U41" i="20" s="1"/>
  <c r="W41" i="20" s="1"/>
  <c r="Y41" i="20" s="1"/>
  <c r="U39" i="20"/>
  <c r="AF43" i="20"/>
  <c r="AL42" i="20"/>
  <c r="BD43" i="20"/>
  <c r="BF42" i="20"/>
  <c r="AJ37" i="19"/>
  <c r="I37" i="19"/>
  <c r="BD37" i="19"/>
  <c r="AH37" i="19"/>
  <c r="AR37" i="19"/>
  <c r="M37" i="19"/>
  <c r="BF34" i="19"/>
  <c r="AT34" i="19" s="1"/>
  <c r="BB35" i="19"/>
  <c r="K38" i="19"/>
  <c r="AF37" i="19"/>
  <c r="AL36" i="19"/>
  <c r="C36" i="14"/>
  <c r="AB35" i="14"/>
  <c r="M33" i="7"/>
  <c r="AJ33" i="9"/>
  <c r="AH33" i="7"/>
  <c r="AT31" i="9"/>
  <c r="AH33" i="9"/>
  <c r="AH34" i="9" s="1"/>
  <c r="BB33" i="9"/>
  <c r="BF32" i="9"/>
  <c r="I33" i="9"/>
  <c r="S32" i="9"/>
  <c r="BD33" i="8"/>
  <c r="AF33" i="9"/>
  <c r="AL32" i="9"/>
  <c r="AR34" i="9"/>
  <c r="C35" i="9"/>
  <c r="AD34" i="9"/>
  <c r="AB34" i="9"/>
  <c r="AD33" i="9"/>
  <c r="AT31" i="8"/>
  <c r="AB34" i="8"/>
  <c r="S32" i="8"/>
  <c r="I33" i="8"/>
  <c r="AR33" i="8"/>
  <c r="AF33" i="8"/>
  <c r="AL32" i="8"/>
  <c r="AD34" i="8"/>
  <c r="AH34" i="8"/>
  <c r="C35" i="8"/>
  <c r="M34" i="8"/>
  <c r="AJ33" i="8"/>
  <c r="AD28" i="8"/>
  <c r="S28" i="8"/>
  <c r="BB33" i="8"/>
  <c r="BF32" i="8"/>
  <c r="I33" i="7"/>
  <c r="S32" i="7"/>
  <c r="AB34" i="7"/>
  <c r="AL32" i="7"/>
  <c r="AF33" i="7"/>
  <c r="AR34" i="7"/>
  <c r="C35" i="7"/>
  <c r="AT28" i="7"/>
  <c r="BB33" i="7"/>
  <c r="BF32" i="7"/>
  <c r="AT31" i="6"/>
  <c r="AB34" i="6"/>
  <c r="AJ33" i="6"/>
  <c r="S32" i="6"/>
  <c r="I33" i="6"/>
  <c r="AF33" i="6"/>
  <c r="AL32" i="6"/>
  <c r="BD33" i="6"/>
  <c r="AR33" i="6"/>
  <c r="BB33" i="6"/>
  <c r="BF32" i="6"/>
  <c r="K33" i="6"/>
  <c r="AD34" i="6"/>
  <c r="C35" i="6"/>
  <c r="AH34" i="6"/>
  <c r="M33" i="6"/>
  <c r="C23" i="5"/>
  <c r="T23" i="5"/>
  <c r="U24" i="5"/>
  <c r="AG37" i="5"/>
  <c r="AH36" i="5"/>
  <c r="X36" i="5"/>
  <c r="AF36" i="5"/>
  <c r="Q22" i="5"/>
  <c r="AP32" i="14" l="1"/>
  <c r="E33" i="14"/>
  <c r="AF33" i="14" s="1"/>
  <c r="AX35" i="21"/>
  <c r="L23" i="5"/>
  <c r="AN33" i="14" s="1"/>
  <c r="K23" i="5"/>
  <c r="J23" i="5"/>
  <c r="AT32" i="7"/>
  <c r="BD44" i="20"/>
  <c r="BF43" i="20"/>
  <c r="AT42" i="20"/>
  <c r="AX42" i="20" s="1"/>
  <c r="AF44" i="20"/>
  <c r="AL43" i="20"/>
  <c r="W39" i="20"/>
  <c r="K39" i="19"/>
  <c r="AH38" i="19"/>
  <c r="AH39" i="19" s="1"/>
  <c r="BF35" i="19"/>
  <c r="AT35" i="19" s="1"/>
  <c r="BB36" i="19"/>
  <c r="AF38" i="19"/>
  <c r="AL37" i="19"/>
  <c r="AR38" i="19"/>
  <c r="AR39" i="19" s="1"/>
  <c r="AJ32" i="14"/>
  <c r="AH32" i="14"/>
  <c r="BB32" i="14"/>
  <c r="BD32" i="14"/>
  <c r="K32" i="14"/>
  <c r="I38" i="19"/>
  <c r="I39" i="19" s="1"/>
  <c r="M32" i="14"/>
  <c r="AJ38" i="19"/>
  <c r="AJ39" i="19" s="1"/>
  <c r="AR32" i="14"/>
  <c r="BD38" i="19"/>
  <c r="BD39" i="19" s="1"/>
  <c r="M38" i="19"/>
  <c r="M39" i="19" s="1"/>
  <c r="AB36" i="14"/>
  <c r="C37" i="14"/>
  <c r="S33" i="9"/>
  <c r="I34" i="9"/>
  <c r="BB34" i="9"/>
  <c r="BF33" i="9"/>
  <c r="BD34" i="8"/>
  <c r="AT32" i="9"/>
  <c r="AJ34" i="9"/>
  <c r="BD34" i="9"/>
  <c r="AL33" i="9"/>
  <c r="AT33" i="9" s="1"/>
  <c r="AF34" i="9"/>
  <c r="M34" i="9"/>
  <c r="K34" i="8"/>
  <c r="K34" i="9"/>
  <c r="K35" i="9" s="1"/>
  <c r="AB35" i="9"/>
  <c r="AR35" i="9"/>
  <c r="C36" i="9"/>
  <c r="C36" i="8"/>
  <c r="BD35" i="8"/>
  <c r="AL28" i="8"/>
  <c r="I34" i="8"/>
  <c r="S33" i="8"/>
  <c r="AB35" i="8"/>
  <c r="AF34" i="8"/>
  <c r="AL33" i="8"/>
  <c r="AR34" i="8"/>
  <c r="BD34" i="6"/>
  <c r="BD34" i="7"/>
  <c r="BB34" i="8"/>
  <c r="BF33" i="8"/>
  <c r="AJ34" i="8"/>
  <c r="AT32" i="8"/>
  <c r="BB34" i="7"/>
  <c r="BF33" i="7"/>
  <c r="AB35" i="7"/>
  <c r="I34" i="7"/>
  <c r="S33" i="7"/>
  <c r="M34" i="6"/>
  <c r="AT32" i="6"/>
  <c r="AD34" i="7"/>
  <c r="AL33" i="7"/>
  <c r="AF34" i="7"/>
  <c r="K34" i="7"/>
  <c r="M34" i="7"/>
  <c r="K34" i="6"/>
  <c r="AH34" i="7"/>
  <c r="AR35" i="7"/>
  <c r="C36" i="7"/>
  <c r="AD35" i="7"/>
  <c r="AJ34" i="7"/>
  <c r="AR34" i="6"/>
  <c r="S33" i="6"/>
  <c r="I34" i="6"/>
  <c r="AF34" i="6"/>
  <c r="AL33" i="6"/>
  <c r="C36" i="6"/>
  <c r="AD35" i="6"/>
  <c r="AH35" i="6"/>
  <c r="AJ34" i="6"/>
  <c r="BB34" i="6"/>
  <c r="BF33" i="6"/>
  <c r="AB35" i="6"/>
  <c r="AG38" i="5"/>
  <c r="AH37" i="5"/>
  <c r="X37" i="5"/>
  <c r="AF37" i="5"/>
  <c r="T24" i="5"/>
  <c r="U25" i="5"/>
  <c r="Q23" i="5"/>
  <c r="C24" i="5"/>
  <c r="AP33" i="14" l="1"/>
  <c r="AT43" i="20"/>
  <c r="K24" i="5"/>
  <c r="L24" i="5"/>
  <c r="AN34" i="14" s="1"/>
  <c r="J24" i="5"/>
  <c r="E34" i="14"/>
  <c r="AF34" i="14" s="1"/>
  <c r="U35" i="21"/>
  <c r="AF45" i="20"/>
  <c r="AL44" i="20"/>
  <c r="U42" i="20"/>
  <c r="Y39" i="20"/>
  <c r="BD45" i="20"/>
  <c r="BF44" i="20"/>
  <c r="K33" i="14"/>
  <c r="AJ33" i="14"/>
  <c r="M33" i="14"/>
  <c r="BB33" i="14"/>
  <c r="AR33" i="14"/>
  <c r="BF36" i="19"/>
  <c r="AT36" i="19" s="1"/>
  <c r="BB37" i="19"/>
  <c r="AL38" i="19"/>
  <c r="AF39" i="19"/>
  <c r="BD33" i="14"/>
  <c r="AH33" i="14"/>
  <c r="AB37" i="14"/>
  <c r="C38" i="14"/>
  <c r="K35" i="8"/>
  <c r="M35" i="8"/>
  <c r="M36" i="8" s="1"/>
  <c r="K35" i="6"/>
  <c r="AT33" i="7"/>
  <c r="AT33" i="8"/>
  <c r="AJ35" i="6"/>
  <c r="AJ36" i="6" s="1"/>
  <c r="AR36" i="9"/>
  <c r="C37" i="9"/>
  <c r="AD36" i="9"/>
  <c r="AB36" i="9"/>
  <c r="AJ35" i="9"/>
  <c r="AR35" i="8"/>
  <c r="AH35" i="8"/>
  <c r="AD35" i="9"/>
  <c r="M35" i="9"/>
  <c r="BB35" i="9"/>
  <c r="BF34" i="9"/>
  <c r="AH35" i="9"/>
  <c r="BD35" i="6"/>
  <c r="AJ35" i="8"/>
  <c r="AJ36" i="8" s="1"/>
  <c r="AL34" i="9"/>
  <c r="AF35" i="9"/>
  <c r="BD35" i="9"/>
  <c r="I35" i="9"/>
  <c r="S34" i="9"/>
  <c r="BB35" i="8"/>
  <c r="BF34" i="8"/>
  <c r="AB36" i="8"/>
  <c r="S34" i="8"/>
  <c r="I35" i="8"/>
  <c r="AT33" i="6"/>
  <c r="AF35" i="8"/>
  <c r="AL34" i="8"/>
  <c r="BD36" i="8"/>
  <c r="C37" i="8"/>
  <c r="AD36" i="8"/>
  <c r="BD35" i="7"/>
  <c r="AT28" i="8"/>
  <c r="AD35" i="8"/>
  <c r="K35" i="7"/>
  <c r="K36" i="7" s="1"/>
  <c r="AJ35" i="7"/>
  <c r="AJ36" i="7" s="1"/>
  <c r="AR36" i="7"/>
  <c r="AD36" i="7"/>
  <c r="C37" i="7"/>
  <c r="AL34" i="7"/>
  <c r="AF35" i="7"/>
  <c r="M35" i="7"/>
  <c r="M36" i="7" s="1"/>
  <c r="S34" i="7"/>
  <c r="I35" i="7"/>
  <c r="AH35" i="7"/>
  <c r="AH36" i="7" s="1"/>
  <c r="BB35" i="7"/>
  <c r="BF34" i="7"/>
  <c r="BD36" i="7"/>
  <c r="AB36" i="7"/>
  <c r="BB35" i="6"/>
  <c r="BF34" i="6"/>
  <c r="S34" i="6"/>
  <c r="I35" i="6"/>
  <c r="AD36" i="6"/>
  <c r="AH36" i="6"/>
  <c r="C37" i="6"/>
  <c r="AF35" i="6"/>
  <c r="AL34" i="6"/>
  <c r="AB36" i="6"/>
  <c r="M35" i="6"/>
  <c r="AR35" i="6"/>
  <c r="U26" i="5"/>
  <c r="T25" i="5"/>
  <c r="AG39" i="5"/>
  <c r="AH38" i="5"/>
  <c r="X38" i="5"/>
  <c r="AF38" i="5"/>
  <c r="C25" i="5"/>
  <c r="Q24" i="5"/>
  <c r="AT44" i="20" l="1"/>
  <c r="L25" i="5"/>
  <c r="AN35" i="14" s="1"/>
  <c r="K25" i="5"/>
  <c r="J25" i="5"/>
  <c r="W35" i="21"/>
  <c r="AT34" i="8"/>
  <c r="E35" i="14"/>
  <c r="AF35" i="14" s="1"/>
  <c r="AP34" i="14"/>
  <c r="W42" i="20"/>
  <c r="BD46" i="20"/>
  <c r="BF45" i="20"/>
  <c r="AF46" i="20"/>
  <c r="AL45" i="20"/>
  <c r="BB34" i="14"/>
  <c r="AH34" i="14"/>
  <c r="AJ34" i="14"/>
  <c r="BF37" i="19"/>
  <c r="AT37" i="19" s="1"/>
  <c r="BB38" i="19"/>
  <c r="AL39" i="19"/>
  <c r="K34" i="14"/>
  <c r="M34" i="14"/>
  <c r="BD34" i="14"/>
  <c r="AR34" i="14"/>
  <c r="AB38" i="14"/>
  <c r="C39" i="14"/>
  <c r="AH36" i="8"/>
  <c r="AR36" i="8"/>
  <c r="AT34" i="9"/>
  <c r="BB36" i="9"/>
  <c r="BF35" i="9"/>
  <c r="AB37" i="9"/>
  <c r="BD36" i="9"/>
  <c r="K36" i="9"/>
  <c r="I36" i="9"/>
  <c r="S35" i="9"/>
  <c r="AL35" i="9"/>
  <c r="AF36" i="9"/>
  <c r="AH36" i="9"/>
  <c r="M36" i="9"/>
  <c r="AJ36" i="9"/>
  <c r="Q54" i="9"/>
  <c r="AR37" i="9"/>
  <c r="AD37" i="9"/>
  <c r="C38" i="9"/>
  <c r="M36" i="6"/>
  <c r="BD36" i="6"/>
  <c r="K36" i="8"/>
  <c r="BB36" i="8"/>
  <c r="BF35" i="8"/>
  <c r="BD37" i="8"/>
  <c r="C38" i="8"/>
  <c r="Q54" i="8"/>
  <c r="AB37" i="8"/>
  <c r="M37" i="8"/>
  <c r="AL35" i="8"/>
  <c r="AF36" i="8"/>
  <c r="I36" i="8"/>
  <c r="S35" i="8"/>
  <c r="AJ37" i="7"/>
  <c r="K36" i="6"/>
  <c r="AL35" i="7"/>
  <c r="AF36" i="7"/>
  <c r="BB36" i="7"/>
  <c r="BF35" i="7"/>
  <c r="AT34" i="7"/>
  <c r="K37" i="7"/>
  <c r="AD37" i="7"/>
  <c r="Q54" i="7"/>
  <c r="C38" i="7"/>
  <c r="AB37" i="7"/>
  <c r="S35" i="7"/>
  <c r="I36" i="7"/>
  <c r="AR37" i="7"/>
  <c r="AF36" i="6"/>
  <c r="AL35" i="6"/>
  <c r="AD37" i="6"/>
  <c r="AH37" i="6"/>
  <c r="C38" i="6"/>
  <c r="AB37" i="6"/>
  <c r="S35" i="6"/>
  <c r="I36" i="6"/>
  <c r="BB36" i="6"/>
  <c r="BF35" i="6"/>
  <c r="AR36" i="6"/>
  <c r="AT34" i="6"/>
  <c r="C26" i="5"/>
  <c r="Q25" i="5"/>
  <c r="AG40" i="5"/>
  <c r="AH39" i="5"/>
  <c r="AF39" i="5"/>
  <c r="T26" i="5"/>
  <c r="U27" i="5"/>
  <c r="AT45" i="20" l="1"/>
  <c r="E36" i="14"/>
  <c r="AF36" i="14" s="1"/>
  <c r="AT35" i="8"/>
  <c r="L26" i="5"/>
  <c r="AN36" i="14" s="1"/>
  <c r="K26" i="5"/>
  <c r="J26" i="5"/>
  <c r="Y35" i="21"/>
  <c r="AP35" i="14"/>
  <c r="BD47" i="20"/>
  <c r="BF46" i="20"/>
  <c r="AF47" i="20"/>
  <c r="AL46" i="20"/>
  <c r="Y42" i="20"/>
  <c r="AJ35" i="14"/>
  <c r="AR35" i="14"/>
  <c r="M35" i="14"/>
  <c r="BF38" i="19"/>
  <c r="AT38" i="19" s="1"/>
  <c r="BB39" i="19"/>
  <c r="BF39" i="19" s="1"/>
  <c r="AT39" i="19" s="1"/>
  <c r="BB35" i="14"/>
  <c r="AH35" i="14"/>
  <c r="K35" i="14"/>
  <c r="BD35" i="14"/>
  <c r="AB39" i="14"/>
  <c r="C40" i="14"/>
  <c r="AJ37" i="8"/>
  <c r="BD37" i="9"/>
  <c r="M37" i="9"/>
  <c r="AR38" i="9"/>
  <c r="C39" i="9"/>
  <c r="AD38" i="9"/>
  <c r="AR37" i="8"/>
  <c r="AR38" i="8" s="1"/>
  <c r="AJ37" i="9"/>
  <c r="AL36" i="9"/>
  <c r="AF37" i="9"/>
  <c r="I37" i="9"/>
  <c r="S36" i="9"/>
  <c r="BF36" i="9"/>
  <c r="BB37" i="9"/>
  <c r="AT35" i="9"/>
  <c r="AB38" i="9"/>
  <c r="AH37" i="9"/>
  <c r="AH38" i="9" s="1"/>
  <c r="K37" i="9"/>
  <c r="S36" i="8"/>
  <c r="I37" i="8"/>
  <c r="AB38" i="8"/>
  <c r="AJ38" i="8"/>
  <c r="C39" i="8"/>
  <c r="AD38" i="8"/>
  <c r="BD37" i="7"/>
  <c r="M37" i="7"/>
  <c r="AL36" i="8"/>
  <c r="AF37" i="8"/>
  <c r="AD37" i="8"/>
  <c r="K37" i="8"/>
  <c r="AH37" i="8"/>
  <c r="AT35" i="7"/>
  <c r="BB37" i="8"/>
  <c r="BF36" i="8"/>
  <c r="BB37" i="7"/>
  <c r="BF36" i="7"/>
  <c r="I37" i="7"/>
  <c r="S36" i="7"/>
  <c r="AH37" i="7"/>
  <c r="AB38" i="7"/>
  <c r="C39" i="7"/>
  <c r="K38" i="7"/>
  <c r="AD38" i="7"/>
  <c r="AL36" i="7"/>
  <c r="AF37" i="7"/>
  <c r="AB38" i="6"/>
  <c r="AD38" i="6"/>
  <c r="AH38" i="6"/>
  <c r="C39" i="6"/>
  <c r="AT35" i="6"/>
  <c r="BB37" i="6"/>
  <c r="BF36" i="6"/>
  <c r="AF37" i="6"/>
  <c r="AL36" i="6"/>
  <c r="S36" i="6"/>
  <c r="I37" i="6"/>
  <c r="K37" i="6"/>
  <c r="K38" i="6" s="1"/>
  <c r="AJ37" i="6"/>
  <c r="M37" i="6"/>
  <c r="AR37" i="6"/>
  <c r="BD37" i="6"/>
  <c r="AG41" i="5"/>
  <c r="AH40" i="5"/>
  <c r="X40" i="5"/>
  <c r="AF40" i="5"/>
  <c r="X39" i="5"/>
  <c r="C27" i="5"/>
  <c r="Q26" i="5"/>
  <c r="U28" i="5"/>
  <c r="T27" i="5"/>
  <c r="AP36" i="14" l="1"/>
  <c r="L27" i="5"/>
  <c r="AN37" i="14" s="1"/>
  <c r="K27" i="5"/>
  <c r="J27" i="5"/>
  <c r="E37" i="14"/>
  <c r="AF37" i="14" s="1"/>
  <c r="AT46" i="20"/>
  <c r="AF48" i="20"/>
  <c r="AL47" i="20"/>
  <c r="BD48" i="20"/>
  <c r="BF47" i="20"/>
  <c r="AH36" i="14"/>
  <c r="AR36" i="14"/>
  <c r="AJ36" i="14"/>
  <c r="BD36" i="14"/>
  <c r="K36" i="14"/>
  <c r="M36" i="14"/>
  <c r="BB36" i="14"/>
  <c r="C41" i="14"/>
  <c r="AB40" i="14"/>
  <c r="AT36" i="8"/>
  <c r="AT36" i="9"/>
  <c r="AJ38" i="9"/>
  <c r="AF38" i="9"/>
  <c r="AL37" i="9"/>
  <c r="K38" i="8"/>
  <c r="AB39" i="9"/>
  <c r="M38" i="9"/>
  <c r="BD38" i="9"/>
  <c r="AR39" i="9"/>
  <c r="AD39" i="9"/>
  <c r="C40" i="9"/>
  <c r="BD38" i="8"/>
  <c r="BB38" i="9"/>
  <c r="BF37" i="9"/>
  <c r="M38" i="8"/>
  <c r="K38" i="9"/>
  <c r="I38" i="9"/>
  <c r="S37" i="9"/>
  <c r="AJ39" i="8"/>
  <c r="C40" i="8"/>
  <c r="AT36" i="7"/>
  <c r="AH38" i="8"/>
  <c r="AF38" i="8"/>
  <c r="AL37" i="8"/>
  <c r="AB39" i="8"/>
  <c r="BB38" i="8"/>
  <c r="BF37" i="8"/>
  <c r="S37" i="8"/>
  <c r="I38" i="8"/>
  <c r="I38" i="7"/>
  <c r="S37" i="7"/>
  <c r="AT36" i="6"/>
  <c r="BD38" i="7"/>
  <c r="AD39" i="7"/>
  <c r="C40" i="7"/>
  <c r="K39" i="7"/>
  <c r="AH38" i="7"/>
  <c r="M38" i="7"/>
  <c r="AF38" i="7"/>
  <c r="AL37" i="7"/>
  <c r="AB39" i="7"/>
  <c r="BF37" i="7"/>
  <c r="BB38" i="7"/>
  <c r="AJ38" i="7"/>
  <c r="AR38" i="7"/>
  <c r="AF38" i="6"/>
  <c r="AL37" i="6"/>
  <c r="BB38" i="6"/>
  <c r="BF37" i="6"/>
  <c r="AR38" i="6"/>
  <c r="S37" i="6"/>
  <c r="I38" i="6"/>
  <c r="M38" i="6"/>
  <c r="BD38" i="6"/>
  <c r="AJ38" i="6"/>
  <c r="AD39" i="6"/>
  <c r="AH39" i="6"/>
  <c r="C40" i="6"/>
  <c r="AB39" i="6"/>
  <c r="U29" i="5"/>
  <c r="T28" i="5"/>
  <c r="C28" i="5"/>
  <c r="E38" i="14" s="1"/>
  <c r="Q27" i="5"/>
  <c r="AG42" i="5"/>
  <c r="AH41" i="5"/>
  <c r="X41" i="5"/>
  <c r="AF41" i="5"/>
  <c r="AP37" i="14" l="1"/>
  <c r="K28" i="5"/>
  <c r="L28" i="5"/>
  <c r="AN38" i="14" s="1"/>
  <c r="AP38" i="14" s="1"/>
  <c r="J28" i="5"/>
  <c r="BD49" i="20"/>
  <c r="BF48" i="20"/>
  <c r="AF49" i="20"/>
  <c r="AL48" i="20"/>
  <c r="AT47" i="20"/>
  <c r="AF38" i="14"/>
  <c r="AJ37" i="14"/>
  <c r="AJ38" i="14" s="1"/>
  <c r="K37" i="14"/>
  <c r="K38" i="14" s="1"/>
  <c r="BD37" i="14"/>
  <c r="BD38" i="14" s="1"/>
  <c r="BB37" i="14"/>
  <c r="BB38" i="14" s="1"/>
  <c r="M37" i="14"/>
  <c r="M38" i="14" s="1"/>
  <c r="AR37" i="14"/>
  <c r="AR38" i="14" s="1"/>
  <c r="AH37" i="14"/>
  <c r="AH38" i="14" s="1"/>
  <c r="AB41" i="14"/>
  <c r="C42" i="14"/>
  <c r="M39" i="6"/>
  <c r="K39" i="6"/>
  <c r="S38" i="9"/>
  <c r="I39" i="9"/>
  <c r="AD40" i="9"/>
  <c r="AR40" i="9"/>
  <c r="C41" i="9"/>
  <c r="AB40" i="9"/>
  <c r="AJ39" i="6"/>
  <c r="K39" i="9"/>
  <c r="BF38" i="9"/>
  <c r="BB39" i="9"/>
  <c r="M39" i="9"/>
  <c r="AT37" i="9"/>
  <c r="AH39" i="9"/>
  <c r="AT37" i="7"/>
  <c r="AJ39" i="9"/>
  <c r="BD39" i="9"/>
  <c r="AF39" i="9"/>
  <c r="AL38" i="9"/>
  <c r="K39" i="8"/>
  <c r="AF39" i="8"/>
  <c r="AL38" i="8"/>
  <c r="BD39" i="8"/>
  <c r="AJ39" i="7"/>
  <c r="I39" i="8"/>
  <c r="S38" i="8"/>
  <c r="M39" i="8"/>
  <c r="AB40" i="8"/>
  <c r="AH39" i="8"/>
  <c r="C41" i="8"/>
  <c r="AD40" i="8"/>
  <c r="AJ40" i="8"/>
  <c r="AR39" i="8"/>
  <c r="BB39" i="8"/>
  <c r="BF38" i="8"/>
  <c r="AT37" i="8"/>
  <c r="AD39" i="8"/>
  <c r="BD39" i="7"/>
  <c r="BB39" i="7"/>
  <c r="BF38" i="7"/>
  <c r="M39" i="7"/>
  <c r="K40" i="7"/>
  <c r="C41" i="7"/>
  <c r="AD40" i="7"/>
  <c r="AT37" i="6"/>
  <c r="AL38" i="7"/>
  <c r="AT38" i="7" s="1"/>
  <c r="AF39" i="7"/>
  <c r="S38" i="7"/>
  <c r="I39" i="7"/>
  <c r="AR39" i="6"/>
  <c r="AR39" i="7"/>
  <c r="AB40" i="7"/>
  <c r="AH39" i="7"/>
  <c r="AF39" i="6"/>
  <c r="AL38" i="6"/>
  <c r="AD40" i="6"/>
  <c r="AH40" i="6"/>
  <c r="C41" i="6"/>
  <c r="AB40" i="6"/>
  <c r="BD39" i="6"/>
  <c r="S38" i="6"/>
  <c r="I39" i="6"/>
  <c r="BB39" i="6"/>
  <c r="BF38" i="6"/>
  <c r="AG43" i="5"/>
  <c r="AH42" i="5"/>
  <c r="X42" i="5"/>
  <c r="AF42" i="5"/>
  <c r="T29" i="5"/>
  <c r="U30" i="5"/>
  <c r="C29" i="5"/>
  <c r="E39" i="14" s="1"/>
  <c r="Q28" i="5"/>
  <c r="AT38" i="9" l="1"/>
  <c r="L29" i="5"/>
  <c r="AN39" i="14" s="1"/>
  <c r="AP39" i="14" s="1"/>
  <c r="K29" i="5"/>
  <c r="J29" i="5"/>
  <c r="AT48" i="20"/>
  <c r="BD50" i="20"/>
  <c r="BF49" i="20"/>
  <c r="AF50" i="20"/>
  <c r="AL49" i="20"/>
  <c r="AR39" i="14"/>
  <c r="C43" i="14"/>
  <c r="AB42" i="14"/>
  <c r="AH40" i="9"/>
  <c r="BD40" i="9"/>
  <c r="AT38" i="8"/>
  <c r="AJ40" i="9"/>
  <c r="BF39" i="9"/>
  <c r="BB40" i="9"/>
  <c r="AB41" i="9"/>
  <c r="M40" i="6"/>
  <c r="M41" i="6" s="1"/>
  <c r="M40" i="9"/>
  <c r="M41" i="9" s="1"/>
  <c r="BD40" i="6"/>
  <c r="AR40" i="8"/>
  <c r="M40" i="8"/>
  <c r="K40" i="8"/>
  <c r="AF40" i="9"/>
  <c r="AL39" i="9"/>
  <c r="K40" i="9"/>
  <c r="K41" i="9" s="1"/>
  <c r="C42" i="9"/>
  <c r="AR41" i="9"/>
  <c r="AD41" i="9"/>
  <c r="S39" i="9"/>
  <c r="I40" i="9"/>
  <c r="BF39" i="8"/>
  <c r="BB40" i="8"/>
  <c r="I40" i="8"/>
  <c r="S39" i="8"/>
  <c r="AJ40" i="6"/>
  <c r="C42" i="8"/>
  <c r="AD41" i="8"/>
  <c r="K40" i="6"/>
  <c r="AT38" i="6"/>
  <c r="AH40" i="8"/>
  <c r="BD40" i="8"/>
  <c r="AR40" i="6"/>
  <c r="AB41" i="8"/>
  <c r="AF40" i="8"/>
  <c r="AL39" i="8"/>
  <c r="M40" i="7"/>
  <c r="AB41" i="7"/>
  <c r="AJ40" i="7"/>
  <c r="BD40" i="7"/>
  <c r="AF40" i="7"/>
  <c r="AL39" i="7"/>
  <c r="AH40" i="7"/>
  <c r="AH41" i="7" s="1"/>
  <c r="AR40" i="7"/>
  <c r="I40" i="7"/>
  <c r="S39" i="7"/>
  <c r="C42" i="7"/>
  <c r="AD41" i="7"/>
  <c r="K41" i="7"/>
  <c r="BF39" i="7"/>
  <c r="BB40" i="7"/>
  <c r="BB40" i="6"/>
  <c r="BF39" i="6"/>
  <c r="AB41" i="6"/>
  <c r="I40" i="6"/>
  <c r="S39" i="6"/>
  <c r="C42" i="6"/>
  <c r="AD41" i="6"/>
  <c r="AH41" i="6"/>
  <c r="AF40" i="6"/>
  <c r="AL39" i="6"/>
  <c r="Q29" i="5"/>
  <c r="AG44" i="5"/>
  <c r="AH43" i="5"/>
  <c r="AF43" i="5"/>
  <c r="T30" i="5"/>
  <c r="U31" i="5"/>
  <c r="C30" i="5"/>
  <c r="K30" i="5" l="1"/>
  <c r="L30" i="5"/>
  <c r="AN40" i="14" s="1"/>
  <c r="J30" i="5"/>
  <c r="E40" i="14"/>
  <c r="AR40" i="14" s="1"/>
  <c r="AT49" i="20"/>
  <c r="AF51" i="20"/>
  <c r="AL50" i="20"/>
  <c r="BD51" i="20"/>
  <c r="BF50" i="20"/>
  <c r="K39" i="14"/>
  <c r="M39" i="14"/>
  <c r="BB39" i="14"/>
  <c r="BD39" i="14"/>
  <c r="AF39" i="14"/>
  <c r="AJ39" i="14"/>
  <c r="AH39" i="14"/>
  <c r="C44" i="14"/>
  <c r="AB43" i="14"/>
  <c r="K41" i="8"/>
  <c r="M41" i="8"/>
  <c r="AT39" i="9"/>
  <c r="AR41" i="8"/>
  <c r="BD41" i="8"/>
  <c r="K41" i="6"/>
  <c r="I41" i="9"/>
  <c r="S40" i="9"/>
  <c r="AF41" i="9"/>
  <c r="AL40" i="9"/>
  <c r="AJ41" i="9"/>
  <c r="AJ42" i="9" s="1"/>
  <c r="AH41" i="9"/>
  <c r="BF40" i="9"/>
  <c r="BB41" i="9"/>
  <c r="AT39" i="8"/>
  <c r="AR41" i="6"/>
  <c r="C43" i="9"/>
  <c r="AR42" i="9"/>
  <c r="AD42" i="9"/>
  <c r="BD41" i="9"/>
  <c r="AB42" i="9"/>
  <c r="BB41" i="8"/>
  <c r="BF40" i="8"/>
  <c r="BD41" i="6"/>
  <c r="AJ41" i="8"/>
  <c r="AB42" i="8"/>
  <c r="AH41" i="8"/>
  <c r="S40" i="8"/>
  <c r="I41" i="8"/>
  <c r="C43" i="8"/>
  <c r="AD42" i="8"/>
  <c r="AF41" i="8"/>
  <c r="AL40" i="8"/>
  <c r="AT40" i="8" s="1"/>
  <c r="M41" i="7"/>
  <c r="AJ41" i="6"/>
  <c r="S40" i="7"/>
  <c r="I41" i="7"/>
  <c r="AF41" i="7"/>
  <c r="AL40" i="7"/>
  <c r="AJ41" i="7"/>
  <c r="C43" i="7"/>
  <c r="AD42" i="7"/>
  <c r="K42" i="7"/>
  <c r="AB42" i="7"/>
  <c r="AT39" i="7"/>
  <c r="BB41" i="7"/>
  <c r="BF40" i="7"/>
  <c r="AR41" i="7"/>
  <c r="BD41" i="7"/>
  <c r="AF41" i="6"/>
  <c r="AL40" i="6"/>
  <c r="S40" i="6"/>
  <c r="I41" i="6"/>
  <c r="C43" i="6"/>
  <c r="AD42" i="6"/>
  <c r="AH42" i="6"/>
  <c r="BB41" i="6"/>
  <c r="BF40" i="6"/>
  <c r="AT39" i="6"/>
  <c r="AB42" i="6"/>
  <c r="AH44" i="5"/>
  <c r="X44" i="5"/>
  <c r="AF44" i="5"/>
  <c r="AG45" i="5"/>
  <c r="C31" i="5"/>
  <c r="Q30" i="5"/>
  <c r="T31" i="5"/>
  <c r="U32" i="5"/>
  <c r="X43" i="5"/>
  <c r="K40" i="14" l="1"/>
  <c r="AP40" i="14"/>
  <c r="BD40" i="14"/>
  <c r="AH40" i="14"/>
  <c r="L31" i="5"/>
  <c r="AN41" i="14" s="1"/>
  <c r="K31" i="5"/>
  <c r="J31" i="5"/>
  <c r="AJ40" i="14"/>
  <c r="BB40" i="14"/>
  <c r="AF40" i="14"/>
  <c r="M40" i="14"/>
  <c r="E41" i="14"/>
  <c r="AH41" i="14" s="1"/>
  <c r="AF52" i="20"/>
  <c r="AL51" i="20"/>
  <c r="BD52" i="20"/>
  <c r="BF51" i="20"/>
  <c r="AT50" i="20"/>
  <c r="C45" i="14"/>
  <c r="AB44" i="14"/>
  <c r="AR42" i="8"/>
  <c r="AT40" i="6"/>
  <c r="K42" i="8"/>
  <c r="K43" i="8" s="1"/>
  <c r="BD42" i="8"/>
  <c r="BD43" i="8" s="1"/>
  <c r="S41" i="9"/>
  <c r="I42" i="9"/>
  <c r="M42" i="9"/>
  <c r="AT40" i="9"/>
  <c r="AT40" i="7"/>
  <c r="AJ42" i="6"/>
  <c r="AB43" i="9"/>
  <c r="K42" i="9"/>
  <c r="AL41" i="9"/>
  <c r="AF42" i="9"/>
  <c r="M42" i="8"/>
  <c r="M43" i="8" s="1"/>
  <c r="BD42" i="9"/>
  <c r="AR43" i="9"/>
  <c r="C44" i="9"/>
  <c r="AD43" i="9"/>
  <c r="BB42" i="9"/>
  <c r="BF41" i="9"/>
  <c r="AH42" i="9"/>
  <c r="AD43" i="8"/>
  <c r="AR43" i="8"/>
  <c r="C44" i="8"/>
  <c r="AB43" i="8"/>
  <c r="BD42" i="7"/>
  <c r="BD43" i="7" s="1"/>
  <c r="K42" i="6"/>
  <c r="AR42" i="7"/>
  <c r="AR43" i="7" s="1"/>
  <c r="M42" i="7"/>
  <c r="AF42" i="8"/>
  <c r="AL41" i="8"/>
  <c r="AJ42" i="8"/>
  <c r="M42" i="6"/>
  <c r="S41" i="8"/>
  <c r="I42" i="8"/>
  <c r="AH42" i="8"/>
  <c r="BB42" i="8"/>
  <c r="BF41" i="8"/>
  <c r="AB43" i="7"/>
  <c r="AL41" i="7"/>
  <c r="AF42" i="7"/>
  <c r="BF41" i="7"/>
  <c r="BB42" i="7"/>
  <c r="AH42" i="7"/>
  <c r="AD43" i="7"/>
  <c r="K43" i="7"/>
  <c r="C44" i="7"/>
  <c r="I42" i="7"/>
  <c r="S41" i="7"/>
  <c r="AR42" i="6"/>
  <c r="AJ42" i="7"/>
  <c r="AB43" i="6"/>
  <c r="BF41" i="6"/>
  <c r="BB42" i="6"/>
  <c r="C44" i="6"/>
  <c r="AH43" i="6"/>
  <c r="AD43" i="6"/>
  <c r="AL41" i="6"/>
  <c r="AF42" i="6"/>
  <c r="BD42" i="6"/>
  <c r="I42" i="6"/>
  <c r="S41" i="6"/>
  <c r="AG46" i="5"/>
  <c r="AF45" i="5"/>
  <c r="AH45" i="5"/>
  <c r="T32" i="5"/>
  <c r="U33" i="5"/>
  <c r="Q31" i="5"/>
  <c r="C32" i="5"/>
  <c r="AP41" i="14" l="1"/>
  <c r="K32" i="5"/>
  <c r="L32" i="5"/>
  <c r="AN42" i="14" s="1"/>
  <c r="J32" i="5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J45" i="5" s="1"/>
  <c r="J46" i="5" s="1"/>
  <c r="J47" i="5" s="1"/>
  <c r="J48" i="5" s="1"/>
  <c r="E42" i="14"/>
  <c r="AH42" i="14" s="1"/>
  <c r="AT51" i="20"/>
  <c r="BD53" i="20"/>
  <c r="BF52" i="20"/>
  <c r="AF53" i="20"/>
  <c r="AL52" i="20"/>
  <c r="M41" i="14"/>
  <c r="AJ41" i="14"/>
  <c r="BD41" i="14"/>
  <c r="BB41" i="14"/>
  <c r="AR41" i="14"/>
  <c r="K41" i="14"/>
  <c r="AF41" i="14"/>
  <c r="C46" i="14"/>
  <c r="AB45" i="14"/>
  <c r="AH43" i="8"/>
  <c r="AJ43" i="8"/>
  <c r="AH43" i="9"/>
  <c r="K43" i="9"/>
  <c r="M43" i="9"/>
  <c r="AD44" i="9"/>
  <c r="C45" i="9"/>
  <c r="AR44" i="9"/>
  <c r="AJ43" i="9"/>
  <c r="I43" i="9"/>
  <c r="S42" i="9"/>
  <c r="BB43" i="9"/>
  <c r="BF42" i="9"/>
  <c r="AF43" i="9"/>
  <c r="AL42" i="9"/>
  <c r="AB44" i="9"/>
  <c r="AT41" i="8"/>
  <c r="BD43" i="9"/>
  <c r="AT41" i="9"/>
  <c r="S42" i="8"/>
  <c r="I43" i="8"/>
  <c r="AB44" i="8"/>
  <c r="BB43" i="8"/>
  <c r="BF42" i="8"/>
  <c r="C45" i="8"/>
  <c r="AD44" i="8"/>
  <c r="M44" i="8"/>
  <c r="BD44" i="8"/>
  <c r="AT41" i="7"/>
  <c r="AF43" i="8"/>
  <c r="AL42" i="8"/>
  <c r="BD43" i="6"/>
  <c r="S42" i="7"/>
  <c r="I43" i="7"/>
  <c r="M43" i="7"/>
  <c r="AB44" i="7"/>
  <c r="AJ43" i="7"/>
  <c r="AH43" i="7"/>
  <c r="AL42" i="7"/>
  <c r="AF43" i="7"/>
  <c r="K44" i="7"/>
  <c r="AD44" i="7"/>
  <c r="C45" i="7"/>
  <c r="BB43" i="7"/>
  <c r="BF42" i="7"/>
  <c r="C45" i="6"/>
  <c r="AD44" i="6"/>
  <c r="AH44" i="6"/>
  <c r="AF43" i="6"/>
  <c r="AL42" i="6"/>
  <c r="AT41" i="6"/>
  <c r="K43" i="6"/>
  <c r="AR43" i="6"/>
  <c r="AB44" i="6"/>
  <c r="S42" i="6"/>
  <c r="I43" i="6"/>
  <c r="M43" i="6"/>
  <c r="AJ43" i="6"/>
  <c r="AJ44" i="6" s="1"/>
  <c r="BF42" i="6"/>
  <c r="BB43" i="6"/>
  <c r="T33" i="5"/>
  <c r="U34" i="5"/>
  <c r="X45" i="5"/>
  <c r="AH46" i="5"/>
  <c r="X46" i="5"/>
  <c r="AF46" i="5"/>
  <c r="AG47" i="5"/>
  <c r="Q32" i="5"/>
  <c r="C33" i="5"/>
  <c r="E43" i="14" s="1"/>
  <c r="AN36" i="19" l="1"/>
  <c r="J49" i="5"/>
  <c r="J50" i="5" s="1"/>
  <c r="J51" i="5" s="1"/>
  <c r="J52" i="5" s="1"/>
  <c r="J53" i="5" s="1"/>
  <c r="J54" i="5" s="1"/>
  <c r="J55" i="5" s="1"/>
  <c r="J56" i="5" s="1"/>
  <c r="J57" i="5" s="1"/>
  <c r="J58" i="5" s="1"/>
  <c r="J59" i="5" s="1"/>
  <c r="J60" i="5" s="1"/>
  <c r="AP42" i="14"/>
  <c r="AR42" i="14"/>
  <c r="AJ42" i="14"/>
  <c r="L33" i="5"/>
  <c r="AN43" i="14" s="1"/>
  <c r="AP43" i="14" s="1"/>
  <c r="K33" i="5"/>
  <c r="BB42" i="14"/>
  <c r="BB43" i="14" s="1"/>
  <c r="M42" i="14"/>
  <c r="K42" i="14"/>
  <c r="AF42" i="14"/>
  <c r="BD42" i="14"/>
  <c r="AT52" i="20"/>
  <c r="AF54" i="20"/>
  <c r="AL53" i="20"/>
  <c r="BD54" i="20"/>
  <c r="BF53" i="20"/>
  <c r="C47" i="14"/>
  <c r="AB46" i="14"/>
  <c r="BD44" i="9"/>
  <c r="AT42" i="9"/>
  <c r="AJ44" i="8"/>
  <c r="C46" i="9"/>
  <c r="AD45" i="9"/>
  <c r="AR45" i="9"/>
  <c r="K44" i="9"/>
  <c r="AT42" i="7"/>
  <c r="AH44" i="8"/>
  <c r="AL43" i="9"/>
  <c r="AF44" i="9"/>
  <c r="I44" i="9"/>
  <c r="S43" i="9"/>
  <c r="AH44" i="9"/>
  <c r="BB44" i="9"/>
  <c r="BF43" i="9"/>
  <c r="M44" i="9"/>
  <c r="M45" i="9" s="1"/>
  <c r="AR44" i="8"/>
  <c r="AB45" i="9"/>
  <c r="AJ44" i="9"/>
  <c r="BD44" i="7"/>
  <c r="AB45" i="8"/>
  <c r="AH44" i="7"/>
  <c r="AH45" i="7" s="1"/>
  <c r="M44" i="7"/>
  <c r="AT42" i="8"/>
  <c r="K44" i="8"/>
  <c r="BF43" i="8"/>
  <c r="BB44" i="8"/>
  <c r="AL43" i="8"/>
  <c r="AF44" i="8"/>
  <c r="C46" i="8"/>
  <c r="AD45" i="8"/>
  <c r="M45" i="8"/>
  <c r="I44" i="8"/>
  <c r="S43" i="8"/>
  <c r="K45" i="7"/>
  <c r="C46" i="7"/>
  <c r="AB45" i="7"/>
  <c r="AR44" i="7"/>
  <c r="AR45" i="7" s="1"/>
  <c r="AF44" i="7"/>
  <c r="AL43" i="7"/>
  <c r="M44" i="6"/>
  <c r="M45" i="6" s="1"/>
  <c r="BD45" i="7"/>
  <c r="K44" i="6"/>
  <c r="BF43" i="7"/>
  <c r="BB44" i="7"/>
  <c r="AJ44" i="7"/>
  <c r="AJ45" i="7" s="1"/>
  <c r="S43" i="7"/>
  <c r="I44" i="7"/>
  <c r="AF44" i="6"/>
  <c r="AL43" i="6"/>
  <c r="C46" i="6"/>
  <c r="AD45" i="6"/>
  <c r="AH45" i="6"/>
  <c r="AB45" i="6"/>
  <c r="BD44" i="6"/>
  <c r="BD45" i="6" s="1"/>
  <c r="BF43" i="6"/>
  <c r="BB44" i="6"/>
  <c r="S43" i="6"/>
  <c r="I44" i="6"/>
  <c r="AR44" i="6"/>
  <c r="AR45" i="6" s="1"/>
  <c r="AT42" i="6"/>
  <c r="T34" i="5"/>
  <c r="U35" i="5"/>
  <c r="Q33" i="5"/>
  <c r="C34" i="5"/>
  <c r="AG48" i="5"/>
  <c r="AF47" i="5"/>
  <c r="AH47" i="5"/>
  <c r="L34" i="5" l="1"/>
  <c r="AN44" i="14" s="1"/>
  <c r="K34" i="5"/>
  <c r="E44" i="14"/>
  <c r="BB44" i="14" s="1"/>
  <c r="AF55" i="20"/>
  <c r="AL54" i="20"/>
  <c r="BD55" i="20"/>
  <c r="BF54" i="20"/>
  <c r="AT53" i="20"/>
  <c r="K43" i="14"/>
  <c r="AF43" i="14"/>
  <c r="AJ43" i="14"/>
  <c r="AH43" i="14"/>
  <c r="BD43" i="14"/>
  <c r="M43" i="14"/>
  <c r="AR43" i="14"/>
  <c r="AB47" i="14"/>
  <c r="C48" i="14"/>
  <c r="AT43" i="8"/>
  <c r="M45" i="7"/>
  <c r="M46" i="7" s="1"/>
  <c r="AB46" i="9"/>
  <c r="I45" i="9"/>
  <c r="S44" i="9"/>
  <c r="BF44" i="9"/>
  <c r="BB45" i="9"/>
  <c r="AL44" i="9"/>
  <c r="AF45" i="9"/>
  <c r="K45" i="9"/>
  <c r="C47" i="9"/>
  <c r="AR46" i="9"/>
  <c r="BD45" i="9"/>
  <c r="AJ45" i="9"/>
  <c r="AH45" i="9"/>
  <c r="AH46" i="9" s="1"/>
  <c r="AT43" i="9"/>
  <c r="BB45" i="8"/>
  <c r="BF44" i="8"/>
  <c r="AB46" i="8"/>
  <c r="K45" i="8"/>
  <c r="S44" i="8"/>
  <c r="I45" i="8"/>
  <c r="M46" i="8"/>
  <c r="C47" i="8"/>
  <c r="AD46" i="8"/>
  <c r="AJ45" i="8"/>
  <c r="BD45" i="8"/>
  <c r="BD46" i="8" s="1"/>
  <c r="AR45" i="8"/>
  <c r="AF45" i="8"/>
  <c r="AL44" i="8"/>
  <c r="AH45" i="8"/>
  <c r="AH46" i="8" s="1"/>
  <c r="BF44" i="7"/>
  <c r="BB45" i="7"/>
  <c r="C47" i="7"/>
  <c r="K46" i="7"/>
  <c r="AD46" i="7"/>
  <c r="S44" i="7"/>
  <c r="I45" i="7"/>
  <c r="AT43" i="7"/>
  <c r="AH46" i="7"/>
  <c r="AF45" i="7"/>
  <c r="AL44" i="7"/>
  <c r="AB46" i="7"/>
  <c r="G49" i="7"/>
  <c r="AD49" i="7" s="1"/>
  <c r="AD45" i="7"/>
  <c r="AF45" i="6"/>
  <c r="AL44" i="6"/>
  <c r="S44" i="6"/>
  <c r="I45" i="6"/>
  <c r="C47" i="6"/>
  <c r="AD46" i="6"/>
  <c r="AH46" i="6"/>
  <c r="K45" i="6"/>
  <c r="AJ45" i="6"/>
  <c r="BF44" i="6"/>
  <c r="BB45" i="6"/>
  <c r="AB46" i="6"/>
  <c r="AT43" i="6"/>
  <c r="Q34" i="5"/>
  <c r="X47" i="5"/>
  <c r="AH48" i="5"/>
  <c r="AG49" i="5"/>
  <c r="AF48" i="5"/>
  <c r="T35" i="5"/>
  <c r="U36" i="5"/>
  <c r="C35" i="5"/>
  <c r="AP44" i="14" l="1"/>
  <c r="AT44" i="9"/>
  <c r="E45" i="14"/>
  <c r="BB45" i="14" s="1"/>
  <c r="L35" i="5"/>
  <c r="AN45" i="14" s="1"/>
  <c r="K35" i="5"/>
  <c r="AT54" i="20"/>
  <c r="BD56" i="20"/>
  <c r="BF55" i="20"/>
  <c r="AF56" i="20"/>
  <c r="AL55" i="20"/>
  <c r="AR44" i="14"/>
  <c r="AJ44" i="14"/>
  <c r="M44" i="14"/>
  <c r="AF44" i="14"/>
  <c r="BD44" i="14"/>
  <c r="K44" i="14"/>
  <c r="AH44" i="14"/>
  <c r="C49" i="14"/>
  <c r="AB48" i="14"/>
  <c r="AR47" i="9"/>
  <c r="C48" i="9"/>
  <c r="S45" i="9"/>
  <c r="I46" i="9"/>
  <c r="BD46" i="9"/>
  <c r="BD47" i="9" s="1"/>
  <c r="AD46" i="9"/>
  <c r="G50" i="9"/>
  <c r="AD50" i="9" s="1"/>
  <c r="BB46" i="9"/>
  <c r="BF45" i="9"/>
  <c r="K46" i="9"/>
  <c r="K47" i="9" s="1"/>
  <c r="AB47" i="9"/>
  <c r="M46" i="9"/>
  <c r="AJ46" i="7"/>
  <c r="AR46" i="7"/>
  <c r="AR46" i="8"/>
  <c r="AJ46" i="9"/>
  <c r="AL45" i="9"/>
  <c r="AT45" i="9" s="1"/>
  <c r="AF46" i="9"/>
  <c r="AT44" i="8"/>
  <c r="AJ46" i="8"/>
  <c r="AD47" i="8"/>
  <c r="M47" i="8"/>
  <c r="C48" i="8"/>
  <c r="K46" i="8"/>
  <c r="BB46" i="8"/>
  <c r="BF45" i="8"/>
  <c r="S45" i="8"/>
  <c r="I46" i="8"/>
  <c r="AB47" i="8"/>
  <c r="AH47" i="8"/>
  <c r="AF46" i="8"/>
  <c r="AL45" i="8"/>
  <c r="I46" i="7"/>
  <c r="S45" i="7"/>
  <c r="AT44" i="7"/>
  <c r="BD46" i="7"/>
  <c r="AB47" i="7"/>
  <c r="C48" i="7"/>
  <c r="K47" i="7"/>
  <c r="AL45" i="7"/>
  <c r="AF46" i="7"/>
  <c r="BF45" i="7"/>
  <c r="BB46" i="7"/>
  <c r="AB47" i="6"/>
  <c r="BD46" i="6"/>
  <c r="AL45" i="6"/>
  <c r="AF46" i="6"/>
  <c r="BF45" i="6"/>
  <c r="BB46" i="6"/>
  <c r="S45" i="6"/>
  <c r="I46" i="6"/>
  <c r="M46" i="6"/>
  <c r="K46" i="6"/>
  <c r="AR46" i="6"/>
  <c r="AJ46" i="6"/>
  <c r="C48" i="6"/>
  <c r="AD47" i="6"/>
  <c r="AH47" i="6"/>
  <c r="AT44" i="6"/>
  <c r="T36" i="5"/>
  <c r="U37" i="5"/>
  <c r="AG50" i="5"/>
  <c r="AF49" i="5"/>
  <c r="AH49" i="5"/>
  <c r="X48" i="5"/>
  <c r="Q35" i="5"/>
  <c r="C36" i="5"/>
  <c r="AP45" i="14" l="1"/>
  <c r="K36" i="5"/>
  <c r="L36" i="5"/>
  <c r="AN46" i="14" s="1"/>
  <c r="E46" i="14"/>
  <c r="BB46" i="14" s="1"/>
  <c r="AF57" i="20"/>
  <c r="AL56" i="20"/>
  <c r="AT55" i="20"/>
  <c r="BD57" i="20"/>
  <c r="BF56" i="20"/>
  <c r="AJ45" i="14"/>
  <c r="K45" i="14"/>
  <c r="AF45" i="14"/>
  <c r="AH45" i="14"/>
  <c r="M45" i="14"/>
  <c r="BD45" i="14"/>
  <c r="AR45" i="14"/>
  <c r="AB49" i="14"/>
  <c r="C50" i="14"/>
  <c r="K47" i="8"/>
  <c r="AR48" i="9"/>
  <c r="C49" i="9"/>
  <c r="AF47" i="9"/>
  <c r="AL46" i="9"/>
  <c r="AB48" i="9"/>
  <c r="BF46" i="9"/>
  <c r="BB47" i="9"/>
  <c r="S46" i="9"/>
  <c r="I47" i="9"/>
  <c r="G48" i="9"/>
  <c r="AD47" i="9"/>
  <c r="K48" i="9"/>
  <c r="AJ47" i="9"/>
  <c r="M47" i="9"/>
  <c r="AH47" i="9"/>
  <c r="AH48" i="9" s="1"/>
  <c r="AR47" i="7"/>
  <c r="BD47" i="7"/>
  <c r="AF47" i="8"/>
  <c r="AL46" i="8"/>
  <c r="AJ47" i="7"/>
  <c r="M47" i="7"/>
  <c r="S46" i="8"/>
  <c r="I47" i="8"/>
  <c r="BB47" i="8"/>
  <c r="BF46" i="8"/>
  <c r="AH48" i="8"/>
  <c r="K48" i="8"/>
  <c r="BD47" i="8"/>
  <c r="AT45" i="8"/>
  <c r="AB48" i="8"/>
  <c r="AR47" i="8"/>
  <c r="C49" i="8"/>
  <c r="AD48" i="8"/>
  <c r="M48" i="8"/>
  <c r="AJ47" i="8"/>
  <c r="AJ48" i="8" s="1"/>
  <c r="K48" i="7"/>
  <c r="C49" i="7"/>
  <c r="AD47" i="7"/>
  <c r="G48" i="7"/>
  <c r="AF47" i="7"/>
  <c r="AL46" i="7"/>
  <c r="AH47" i="7"/>
  <c r="S46" i="7"/>
  <c r="I47" i="7"/>
  <c r="BB47" i="7"/>
  <c r="BF46" i="7"/>
  <c r="AR48" i="7"/>
  <c r="AT45" i="7"/>
  <c r="AB48" i="7"/>
  <c r="C49" i="6"/>
  <c r="AH48" i="6"/>
  <c r="K47" i="6"/>
  <c r="BF46" i="6"/>
  <c r="BB47" i="6"/>
  <c r="BD47" i="6"/>
  <c r="AJ47" i="6"/>
  <c r="M47" i="6"/>
  <c r="AR47" i="6"/>
  <c r="S46" i="6"/>
  <c r="I47" i="6"/>
  <c r="AF47" i="6"/>
  <c r="AL46" i="6"/>
  <c r="AB48" i="6"/>
  <c r="AT45" i="6"/>
  <c r="Q36" i="5"/>
  <c r="C37" i="5"/>
  <c r="E47" i="14" s="1"/>
  <c r="AH50" i="5"/>
  <c r="AG51" i="5"/>
  <c r="AF50" i="5"/>
  <c r="X49" i="5"/>
  <c r="T37" i="5"/>
  <c r="U38" i="5"/>
  <c r="AF46" i="14" l="1"/>
  <c r="BD46" i="14"/>
  <c r="BD47" i="14" s="1"/>
  <c r="AR46" i="14"/>
  <c r="AR47" i="14" s="1"/>
  <c r="AH46" i="14"/>
  <c r="AH47" i="14" s="1"/>
  <c r="AP46" i="14"/>
  <c r="M46" i="14"/>
  <c r="M47" i="14" s="1"/>
  <c r="AJ46" i="14"/>
  <c r="AJ47" i="14" s="1"/>
  <c r="L37" i="5"/>
  <c r="AN47" i="14" s="1"/>
  <c r="AP47" i="14" s="1"/>
  <c r="K37" i="5"/>
  <c r="K46" i="14"/>
  <c r="K47" i="14" s="1"/>
  <c r="BD58" i="20"/>
  <c r="BF57" i="20"/>
  <c r="AT56" i="20"/>
  <c r="AF58" i="20"/>
  <c r="AL57" i="20"/>
  <c r="BB47" i="14"/>
  <c r="AF47" i="14"/>
  <c r="AB50" i="14"/>
  <c r="C51" i="14"/>
  <c r="AT46" i="7"/>
  <c r="M48" i="9"/>
  <c r="BF47" i="9"/>
  <c r="BB48" i="9"/>
  <c r="AT46" i="9"/>
  <c r="AJ48" i="9"/>
  <c r="AD48" i="9"/>
  <c r="G49" i="9"/>
  <c r="AF48" i="9"/>
  <c r="AL47" i="9"/>
  <c r="BD48" i="9"/>
  <c r="AJ48" i="7"/>
  <c r="S47" i="9"/>
  <c r="I48" i="9"/>
  <c r="AB49" i="9"/>
  <c r="C50" i="9"/>
  <c r="AR49" i="9"/>
  <c r="AJ49" i="8"/>
  <c r="C50" i="8"/>
  <c r="AD49" i="8"/>
  <c r="M49" i="8"/>
  <c r="AF48" i="8"/>
  <c r="AL47" i="8"/>
  <c r="AR48" i="8"/>
  <c r="BD48" i="8"/>
  <c r="BD49" i="8" s="1"/>
  <c r="BF47" i="8"/>
  <c r="BB48" i="8"/>
  <c r="AB49" i="8"/>
  <c r="I48" i="8"/>
  <c r="S47" i="8"/>
  <c r="AT46" i="8"/>
  <c r="AR48" i="6"/>
  <c r="AJ48" i="6"/>
  <c r="K48" i="6"/>
  <c r="BD48" i="6"/>
  <c r="M48" i="7"/>
  <c r="AH48" i="7"/>
  <c r="C50" i="7"/>
  <c r="K49" i="7"/>
  <c r="BB48" i="7"/>
  <c r="BF47" i="7"/>
  <c r="G50" i="7"/>
  <c r="AD48" i="7"/>
  <c r="M48" i="6"/>
  <c r="AB49" i="7"/>
  <c r="BD48" i="7"/>
  <c r="I48" i="7"/>
  <c r="S47" i="7"/>
  <c r="AF48" i="7"/>
  <c r="AL47" i="7"/>
  <c r="AF48" i="6"/>
  <c r="AL47" i="6"/>
  <c r="G52" i="6"/>
  <c r="AD48" i="6"/>
  <c r="S47" i="6"/>
  <c r="I48" i="6"/>
  <c r="AB49" i="6"/>
  <c r="C50" i="6"/>
  <c r="AD49" i="6"/>
  <c r="AH49" i="6"/>
  <c r="AT46" i="6"/>
  <c r="BF47" i="6"/>
  <c r="BB48" i="6"/>
  <c r="X50" i="5"/>
  <c r="T38" i="5"/>
  <c r="U39" i="5"/>
  <c r="AG52" i="5"/>
  <c r="AF51" i="5"/>
  <c r="AH51" i="5"/>
  <c r="X51" i="5"/>
  <c r="Q37" i="5"/>
  <c r="C38" i="5"/>
  <c r="K38" i="5" l="1"/>
  <c r="L38" i="5"/>
  <c r="AN48" i="14" s="1"/>
  <c r="E48" i="14"/>
  <c r="BB48" i="14" s="1"/>
  <c r="AT47" i="7"/>
  <c r="AT57" i="20"/>
  <c r="AF59" i="20"/>
  <c r="AL58" i="20"/>
  <c r="BD59" i="20"/>
  <c r="BF58" i="20"/>
  <c r="AB51" i="14"/>
  <c r="C52" i="14"/>
  <c r="AD49" i="9"/>
  <c r="G51" i="9"/>
  <c r="AR49" i="8"/>
  <c r="AB50" i="9"/>
  <c r="BD49" i="9"/>
  <c r="BD50" i="9" s="1"/>
  <c r="K49" i="9"/>
  <c r="K50" i="9" s="1"/>
  <c r="I49" i="9"/>
  <c r="S48" i="9"/>
  <c r="AT47" i="9"/>
  <c r="AJ49" i="9"/>
  <c r="AJ50" i="9" s="1"/>
  <c r="M49" i="9"/>
  <c r="AH49" i="9"/>
  <c r="BF48" i="9"/>
  <c r="BB49" i="9"/>
  <c r="K49" i="8"/>
  <c r="C51" i="9"/>
  <c r="AR50" i="9"/>
  <c r="AF49" i="9"/>
  <c r="AL48" i="9"/>
  <c r="AB50" i="8"/>
  <c r="BB49" i="8"/>
  <c r="BF48" i="8"/>
  <c r="AH49" i="8"/>
  <c r="M50" i="8"/>
  <c r="AD50" i="8"/>
  <c r="C51" i="8"/>
  <c r="S48" i="8"/>
  <c r="I49" i="8"/>
  <c r="AT47" i="8"/>
  <c r="BD49" i="7"/>
  <c r="AJ49" i="7"/>
  <c r="AH49" i="7"/>
  <c r="AR49" i="7"/>
  <c r="AL48" i="8"/>
  <c r="AF49" i="8"/>
  <c r="AT47" i="6"/>
  <c r="C51" i="7"/>
  <c r="K50" i="7"/>
  <c r="I49" i="7"/>
  <c r="S48" i="7"/>
  <c r="BB49" i="7"/>
  <c r="BF48" i="7"/>
  <c r="M49" i="6"/>
  <c r="AF49" i="7"/>
  <c r="AL48" i="7"/>
  <c r="AB50" i="7"/>
  <c r="G51" i="7"/>
  <c r="AD50" i="7"/>
  <c r="M49" i="7"/>
  <c r="S48" i="6"/>
  <c r="I49" i="6"/>
  <c r="BF48" i="6"/>
  <c r="BB49" i="6"/>
  <c r="C51" i="6"/>
  <c r="AD50" i="6"/>
  <c r="AH50" i="6"/>
  <c r="AB50" i="6"/>
  <c r="BD49" i="6"/>
  <c r="K49" i="6"/>
  <c r="AF49" i="6"/>
  <c r="AL48" i="6"/>
  <c r="AR49" i="6"/>
  <c r="AJ49" i="6"/>
  <c r="AD52" i="6"/>
  <c r="Q38" i="5"/>
  <c r="C39" i="5"/>
  <c r="E49" i="14" s="1"/>
  <c r="T39" i="5"/>
  <c r="U40" i="5"/>
  <c r="AH52" i="5"/>
  <c r="X52" i="5"/>
  <c r="AF52" i="5"/>
  <c r="AG53" i="5"/>
  <c r="AP48" i="14" l="1"/>
  <c r="L39" i="5"/>
  <c r="AN49" i="14" s="1"/>
  <c r="AP49" i="14" s="1"/>
  <c r="K39" i="5"/>
  <c r="AT48" i="6"/>
  <c r="AT58" i="20"/>
  <c r="BD60" i="20"/>
  <c r="BF59" i="20"/>
  <c r="AF60" i="20"/>
  <c r="AL59" i="20"/>
  <c r="K48" i="14"/>
  <c r="M48" i="14"/>
  <c r="AF48" i="14"/>
  <c r="AR48" i="14"/>
  <c r="AH48" i="14"/>
  <c r="BD48" i="14"/>
  <c r="AJ48" i="14"/>
  <c r="BB49" i="14"/>
  <c r="C53" i="14"/>
  <c r="AB52" i="14"/>
  <c r="AH50" i="7"/>
  <c r="K50" i="8"/>
  <c r="K51" i="8" s="1"/>
  <c r="AT48" i="8"/>
  <c r="AF50" i="9"/>
  <c r="AL49" i="9"/>
  <c r="AR51" i="9"/>
  <c r="C52" i="9"/>
  <c r="BB50" i="9"/>
  <c r="BF49" i="9"/>
  <c r="G52" i="9"/>
  <c r="AD51" i="9"/>
  <c r="M50" i="7"/>
  <c r="AH50" i="9"/>
  <c r="AT48" i="9"/>
  <c r="M50" i="9"/>
  <c r="S49" i="9"/>
  <c r="I50" i="9"/>
  <c r="AB51" i="9"/>
  <c r="AJ50" i="7"/>
  <c r="AF50" i="8"/>
  <c r="AL49" i="8"/>
  <c r="AR50" i="8"/>
  <c r="BD50" i="8"/>
  <c r="AJ50" i="6"/>
  <c r="K50" i="6"/>
  <c r="S49" i="8"/>
  <c r="I50" i="8"/>
  <c r="AB51" i="8"/>
  <c r="AR50" i="6"/>
  <c r="BD50" i="6"/>
  <c r="AR50" i="7"/>
  <c r="BB50" i="8"/>
  <c r="BF49" i="8"/>
  <c r="AJ50" i="8"/>
  <c r="AJ51" i="8" s="1"/>
  <c r="AD51" i="8"/>
  <c r="M51" i="8"/>
  <c r="C52" i="8"/>
  <c r="AH50" i="8"/>
  <c r="AH51" i="8" s="1"/>
  <c r="AB51" i="7"/>
  <c r="M50" i="6"/>
  <c r="AT48" i="7"/>
  <c r="BF49" i="7"/>
  <c r="BB50" i="7"/>
  <c r="AD51" i="7"/>
  <c r="G52" i="7"/>
  <c r="AF50" i="7"/>
  <c r="AL49" i="7"/>
  <c r="BD50" i="7"/>
  <c r="I50" i="7"/>
  <c r="S49" i="7"/>
  <c r="K51" i="7"/>
  <c r="C52" i="7"/>
  <c r="AL49" i="6"/>
  <c r="AF50" i="6"/>
  <c r="AB51" i="6"/>
  <c r="C52" i="6"/>
  <c r="AH51" i="6"/>
  <c r="S49" i="6"/>
  <c r="I50" i="6"/>
  <c r="BF49" i="6"/>
  <c r="BB50" i="6"/>
  <c r="Q39" i="5"/>
  <c r="C40" i="5"/>
  <c r="T40" i="5"/>
  <c r="U41" i="5"/>
  <c r="AG54" i="5"/>
  <c r="AF53" i="5"/>
  <c r="AH53" i="5"/>
  <c r="X53" i="5"/>
  <c r="AT49" i="8" l="1"/>
  <c r="E50" i="14"/>
  <c r="BB50" i="14" s="1"/>
  <c r="K40" i="5"/>
  <c r="L40" i="5"/>
  <c r="AN50" i="14" s="1"/>
  <c r="AT59" i="20"/>
  <c r="AF61" i="20"/>
  <c r="AL60" i="20"/>
  <c r="BD61" i="20"/>
  <c r="BF60" i="20"/>
  <c r="AJ49" i="14"/>
  <c r="M49" i="14"/>
  <c r="AR49" i="14"/>
  <c r="K49" i="14"/>
  <c r="BD49" i="14"/>
  <c r="AF49" i="14"/>
  <c r="AH49" i="14"/>
  <c r="AB53" i="14"/>
  <c r="C54" i="14"/>
  <c r="K51" i="9"/>
  <c r="AH51" i="9"/>
  <c r="BD51" i="7"/>
  <c r="M51" i="9"/>
  <c r="AD52" i="9"/>
  <c r="AD54" i="9" s="1"/>
  <c r="AF12" i="9" s="1"/>
  <c r="G54" i="9"/>
  <c r="AB52" i="9"/>
  <c r="BD51" i="9"/>
  <c r="BB51" i="9"/>
  <c r="BF50" i="9"/>
  <c r="AT49" i="9"/>
  <c r="I51" i="9"/>
  <c r="S50" i="9"/>
  <c r="AF51" i="9"/>
  <c r="AL50" i="9"/>
  <c r="AT49" i="7"/>
  <c r="AJ51" i="9"/>
  <c r="O54" i="9"/>
  <c r="AR52" i="9"/>
  <c r="AR54" i="9" s="1"/>
  <c r="AB52" i="8"/>
  <c r="AF51" i="8"/>
  <c r="AL50" i="8"/>
  <c r="AH51" i="7"/>
  <c r="S50" i="8"/>
  <c r="I51" i="8"/>
  <c r="BD51" i="8"/>
  <c r="O54" i="8"/>
  <c r="M52" i="8"/>
  <c r="M54" i="8" s="1"/>
  <c r="M51" i="7"/>
  <c r="BB51" i="8"/>
  <c r="BF50" i="8"/>
  <c r="AR51" i="8"/>
  <c r="M51" i="6"/>
  <c r="AD52" i="7"/>
  <c r="AD54" i="7" s="1"/>
  <c r="AF12" i="7" s="1"/>
  <c r="G54" i="7"/>
  <c r="S50" i="7"/>
  <c r="I51" i="7"/>
  <c r="AJ51" i="7"/>
  <c r="AB52" i="7"/>
  <c r="K52" i="7"/>
  <c r="K54" i="7" s="1"/>
  <c r="O54" i="7"/>
  <c r="BB51" i="7"/>
  <c r="BF50" i="7"/>
  <c r="M52" i="7"/>
  <c r="M54" i="7" s="1"/>
  <c r="BD51" i="6"/>
  <c r="AJ51" i="6"/>
  <c r="AF51" i="7"/>
  <c r="AL50" i="7"/>
  <c r="AT50" i="7" s="1"/>
  <c r="AR51" i="7"/>
  <c r="BF50" i="6"/>
  <c r="BB51" i="6"/>
  <c r="S50" i="6"/>
  <c r="I51" i="6"/>
  <c r="AF51" i="6"/>
  <c r="AL50" i="6"/>
  <c r="AT49" i="6"/>
  <c r="Q54" i="6"/>
  <c r="AH52" i="6"/>
  <c r="AH54" i="6" s="1"/>
  <c r="O54" i="6"/>
  <c r="AR51" i="6"/>
  <c r="AD51" i="6"/>
  <c r="AD54" i="6" s="1"/>
  <c r="AF12" i="6" s="1"/>
  <c r="G54" i="6"/>
  <c r="K51" i="6"/>
  <c r="AB52" i="6"/>
  <c r="AH54" i="5"/>
  <c r="X54" i="5"/>
  <c r="AF54" i="5"/>
  <c r="AG55" i="5"/>
  <c r="T41" i="5"/>
  <c r="U42" i="5"/>
  <c r="Q40" i="5"/>
  <c r="C41" i="5"/>
  <c r="E51" i="14" s="1"/>
  <c r="AP50" i="14" l="1"/>
  <c r="L41" i="5"/>
  <c r="AN51" i="14" s="1"/>
  <c r="AP51" i="14" s="1"/>
  <c r="K41" i="5"/>
  <c r="BD62" i="20"/>
  <c r="BF61" i="20"/>
  <c r="AF62" i="20"/>
  <c r="AL61" i="20"/>
  <c r="AT60" i="20"/>
  <c r="AR50" i="14"/>
  <c r="AF50" i="14"/>
  <c r="AJ50" i="14"/>
  <c r="AH50" i="14"/>
  <c r="BB51" i="14"/>
  <c r="BD50" i="14"/>
  <c r="K50" i="14"/>
  <c r="M50" i="14"/>
  <c r="AB54" i="14"/>
  <c r="C55" i="14"/>
  <c r="AT50" i="9"/>
  <c r="AF52" i="9"/>
  <c r="AL51" i="9"/>
  <c r="BD52" i="9"/>
  <c r="BD54" i="9" s="1"/>
  <c r="K52" i="9"/>
  <c r="K54" i="9" s="1"/>
  <c r="AH52" i="9"/>
  <c r="AH54" i="9" s="1"/>
  <c r="AJ52" i="9"/>
  <c r="AJ54" i="9" s="1"/>
  <c r="M52" i="9"/>
  <c r="M54" i="9" s="1"/>
  <c r="AJ52" i="7"/>
  <c r="AJ54" i="7" s="1"/>
  <c r="AJ52" i="8"/>
  <c r="AJ54" i="8" s="1"/>
  <c r="K52" i="8"/>
  <c r="K54" i="8" s="1"/>
  <c r="I52" i="9"/>
  <c r="S51" i="9"/>
  <c r="BB52" i="9"/>
  <c r="BF51" i="9"/>
  <c r="AF52" i="8"/>
  <c r="AL51" i="8"/>
  <c r="BF51" i="8"/>
  <c r="BB52" i="8"/>
  <c r="AH52" i="8"/>
  <c r="AH54" i="8" s="1"/>
  <c r="I52" i="8"/>
  <c r="S51" i="8"/>
  <c r="K52" i="6"/>
  <c r="K54" i="6" s="1"/>
  <c r="AR52" i="8"/>
  <c r="AR54" i="8" s="1"/>
  <c r="AD52" i="8"/>
  <c r="AD54" i="8" s="1"/>
  <c r="AF12" i="8" s="1"/>
  <c r="G54" i="8"/>
  <c r="BD52" i="8"/>
  <c r="BD54" i="8" s="1"/>
  <c r="AT50" i="8"/>
  <c r="AT50" i="6"/>
  <c r="AF52" i="7"/>
  <c r="AL51" i="7"/>
  <c r="S51" i="7"/>
  <c r="I52" i="7"/>
  <c r="BF51" i="7"/>
  <c r="BB52" i="7"/>
  <c r="AR52" i="6"/>
  <c r="AR54" i="6" s="1"/>
  <c r="BD52" i="6"/>
  <c r="BD54" i="6" s="1"/>
  <c r="AR52" i="7"/>
  <c r="AR54" i="7" s="1"/>
  <c r="BD52" i="7"/>
  <c r="BD54" i="7" s="1"/>
  <c r="AH52" i="7"/>
  <c r="AH54" i="7" s="1"/>
  <c r="AF52" i="6"/>
  <c r="AL51" i="6"/>
  <c r="BF51" i="6"/>
  <c r="BB52" i="6"/>
  <c r="M52" i="6"/>
  <c r="M54" i="6" s="1"/>
  <c r="AJ52" i="6"/>
  <c r="AJ54" i="6" s="1"/>
  <c r="S51" i="6"/>
  <c r="I52" i="6"/>
  <c r="Q41" i="5"/>
  <c r="C42" i="5"/>
  <c r="T42" i="5"/>
  <c r="U43" i="5"/>
  <c r="AG56" i="5"/>
  <c r="AF55" i="5"/>
  <c r="AH55" i="5"/>
  <c r="X55" i="5"/>
  <c r="L42" i="5" l="1"/>
  <c r="AN52" i="14" s="1"/>
  <c r="K42" i="5"/>
  <c r="E52" i="14"/>
  <c r="BB52" i="14" s="1"/>
  <c r="AL62" i="20"/>
  <c r="AF66" i="20"/>
  <c r="AT61" i="20"/>
  <c r="BF62" i="20"/>
  <c r="BF66" i="20" s="1"/>
  <c r="BD66" i="20"/>
  <c r="C56" i="14"/>
  <c r="BD51" i="14"/>
  <c r="AJ51" i="14"/>
  <c r="M51" i="14"/>
  <c r="AF51" i="14"/>
  <c r="AH51" i="14"/>
  <c r="AR51" i="14"/>
  <c r="K51" i="14"/>
  <c r="AB55" i="14"/>
  <c r="S52" i="9"/>
  <c r="I54" i="9"/>
  <c r="AT51" i="9"/>
  <c r="AT51" i="7"/>
  <c r="BF52" i="9"/>
  <c r="BF54" i="9" s="1"/>
  <c r="BB54" i="9"/>
  <c r="AL52" i="9"/>
  <c r="AF54" i="9"/>
  <c r="S52" i="8"/>
  <c r="I54" i="8"/>
  <c r="BF52" i="8"/>
  <c r="BF54" i="8" s="1"/>
  <c r="BB54" i="8"/>
  <c r="AT51" i="8"/>
  <c r="AL52" i="8"/>
  <c r="AF54" i="8"/>
  <c r="AL52" i="7"/>
  <c r="AF54" i="7"/>
  <c r="BF52" i="7"/>
  <c r="BF54" i="7" s="1"/>
  <c r="BB54" i="7"/>
  <c r="S52" i="7"/>
  <c r="I54" i="7"/>
  <c r="S52" i="6"/>
  <c r="I54" i="6"/>
  <c r="AT51" i="6"/>
  <c r="AL52" i="6"/>
  <c r="AF54" i="6"/>
  <c r="BF52" i="6"/>
  <c r="BF54" i="6" s="1"/>
  <c r="BB54" i="6"/>
  <c r="T43" i="5"/>
  <c r="U44" i="5"/>
  <c r="Q42" i="5"/>
  <c r="C43" i="5"/>
  <c r="E53" i="14" s="1"/>
  <c r="AH56" i="5"/>
  <c r="X56" i="5"/>
  <c r="AG57" i="5"/>
  <c r="AF56" i="5"/>
  <c r="BD52" i="14" l="1"/>
  <c r="AF52" i="14"/>
  <c r="AP52" i="14"/>
  <c r="AR52" i="14"/>
  <c r="AJ52" i="14"/>
  <c r="L43" i="5"/>
  <c r="AN53" i="14" s="1"/>
  <c r="AP53" i="14" s="1"/>
  <c r="K43" i="5"/>
  <c r="K44" i="5" s="1"/>
  <c r="K45" i="5" s="1"/>
  <c r="K46" i="5" s="1"/>
  <c r="K48" i="5" s="1"/>
  <c r="K52" i="14"/>
  <c r="M52" i="14"/>
  <c r="AH52" i="14"/>
  <c r="AT62" i="20"/>
  <c r="AL66" i="20"/>
  <c r="BB53" i="14"/>
  <c r="AB56" i="14"/>
  <c r="AT52" i="9"/>
  <c r="AL54" i="9"/>
  <c r="S54" i="9"/>
  <c r="AT52" i="8"/>
  <c r="AL54" i="8"/>
  <c r="S54" i="8"/>
  <c r="K14" i="18" s="1"/>
  <c r="S54" i="7"/>
  <c r="I14" i="18" s="1"/>
  <c r="AT52" i="7"/>
  <c r="AL54" i="7"/>
  <c r="AT52" i="6"/>
  <c r="AL54" i="6"/>
  <c r="S54" i="6"/>
  <c r="Q43" i="5"/>
  <c r="C44" i="5"/>
  <c r="U45" i="5"/>
  <c r="T44" i="5"/>
  <c r="AG58" i="5"/>
  <c r="AF57" i="5"/>
  <c r="X57" i="5"/>
  <c r="AH57" i="5"/>
  <c r="AN36" i="21" l="1"/>
  <c r="AP36" i="21" s="1"/>
  <c r="AV36" i="21" s="1"/>
  <c r="AX36" i="21" s="1"/>
  <c r="K49" i="5"/>
  <c r="K50" i="5" s="1"/>
  <c r="K51" i="5" s="1"/>
  <c r="K52" i="5" s="1"/>
  <c r="K53" i="5" s="1"/>
  <c r="K54" i="5" s="1"/>
  <c r="K55" i="5" s="1"/>
  <c r="K56" i="5" s="1"/>
  <c r="K57" i="5" s="1"/>
  <c r="K58" i="5" s="1"/>
  <c r="K60" i="5" s="1"/>
  <c r="C45" i="5"/>
  <c r="L45" i="5" s="1"/>
  <c r="AN55" i="14" s="1"/>
  <c r="L44" i="5"/>
  <c r="AN54" i="14" s="1"/>
  <c r="E54" i="14"/>
  <c r="AT66" i="20"/>
  <c r="BD53" i="14"/>
  <c r="AF53" i="14"/>
  <c r="AJ53" i="14"/>
  <c r="M53" i="14"/>
  <c r="AH53" i="14"/>
  <c r="K53" i="14"/>
  <c r="AR53" i="14"/>
  <c r="C46" i="5"/>
  <c r="O46" i="5"/>
  <c r="O47" i="5" s="1"/>
  <c r="O48" i="5" s="1"/>
  <c r="O49" i="5" s="1"/>
  <c r="AT54" i="9"/>
  <c r="AT54" i="8"/>
  <c r="AT54" i="7"/>
  <c r="AT54" i="6"/>
  <c r="Q44" i="5"/>
  <c r="AH58" i="5"/>
  <c r="X58" i="5"/>
  <c r="AF58" i="5"/>
  <c r="AG59" i="5"/>
  <c r="U46" i="5"/>
  <c r="T45" i="5"/>
  <c r="E56" i="14" l="1"/>
  <c r="E55" i="14"/>
  <c r="AP55" i="14" s="1"/>
  <c r="O50" i="5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AP54" i="14"/>
  <c r="C47" i="5"/>
  <c r="L46" i="5"/>
  <c r="AN56" i="14" s="1"/>
  <c r="AP56" i="14" s="1"/>
  <c r="U36" i="21"/>
  <c r="M54" i="14"/>
  <c r="K54" i="14"/>
  <c r="BD54" i="14"/>
  <c r="BB54" i="14"/>
  <c r="AH54" i="14"/>
  <c r="AJ54" i="14"/>
  <c r="AR54" i="14"/>
  <c r="AF54" i="14"/>
  <c r="AG60" i="5"/>
  <c r="AF59" i="5"/>
  <c r="AH59" i="5"/>
  <c r="U47" i="5"/>
  <c r="T46" i="5"/>
  <c r="AH55" i="14" l="1"/>
  <c r="AH56" i="14" s="1"/>
  <c r="M55" i="14"/>
  <c r="M56" i="14" s="1"/>
  <c r="AR55" i="14"/>
  <c r="AR56" i="14" s="1"/>
  <c r="BD55" i="14"/>
  <c r="BD56" i="14" s="1"/>
  <c r="AJ55" i="14"/>
  <c r="AJ56" i="14" s="1"/>
  <c r="K55" i="14"/>
  <c r="K56" i="14" s="1"/>
  <c r="AF55" i="14"/>
  <c r="AF56" i="14" s="1"/>
  <c r="BB55" i="14"/>
  <c r="BB56" i="14" s="1"/>
  <c r="W36" i="21"/>
  <c r="C48" i="5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K40" i="19"/>
  <c r="K41" i="19" s="1"/>
  <c r="K42" i="19" s="1"/>
  <c r="K43" i="19" s="1"/>
  <c r="K44" i="19" s="1"/>
  <c r="K45" i="19" s="1"/>
  <c r="K46" i="19" s="1"/>
  <c r="K47" i="19" s="1"/>
  <c r="K48" i="19" s="1"/>
  <c r="K49" i="19" s="1"/>
  <c r="K50" i="19" s="1"/>
  <c r="K51" i="19" s="1"/>
  <c r="K52" i="19" s="1"/>
  <c r="K53" i="19" s="1"/>
  <c r="K54" i="19" s="1"/>
  <c r="K55" i="19" s="1"/>
  <c r="K56" i="19" s="1"/>
  <c r="K57" i="19" s="1"/>
  <c r="K58" i="19" s="1"/>
  <c r="K59" i="19" s="1"/>
  <c r="K60" i="19" s="1"/>
  <c r="K61" i="19" s="1"/>
  <c r="K62" i="19" s="1"/>
  <c r="K66" i="19" s="1"/>
  <c r="I40" i="19"/>
  <c r="I41" i="19" s="1"/>
  <c r="I42" i="19" s="1"/>
  <c r="I43" i="19" s="1"/>
  <c r="I44" i="19" s="1"/>
  <c r="I45" i="19" s="1"/>
  <c r="I46" i="19" s="1"/>
  <c r="I47" i="19" s="1"/>
  <c r="I48" i="19" s="1"/>
  <c r="I49" i="19" s="1"/>
  <c r="I50" i="19" s="1"/>
  <c r="I51" i="19" s="1"/>
  <c r="I52" i="19" s="1"/>
  <c r="I53" i="19" s="1"/>
  <c r="I54" i="19" s="1"/>
  <c r="I55" i="19" s="1"/>
  <c r="I56" i="19" s="1"/>
  <c r="I57" i="19" s="1"/>
  <c r="I58" i="19" s="1"/>
  <c r="I59" i="19" s="1"/>
  <c r="I60" i="19" s="1"/>
  <c r="I61" i="19" s="1"/>
  <c r="I62" i="19" s="1"/>
  <c r="I66" i="19" s="1"/>
  <c r="M40" i="19"/>
  <c r="M41" i="19" s="1"/>
  <c r="M42" i="19" s="1"/>
  <c r="M43" i="19" s="1"/>
  <c r="M44" i="19" s="1"/>
  <c r="M45" i="19" s="1"/>
  <c r="M46" i="19" s="1"/>
  <c r="M47" i="19" s="1"/>
  <c r="M48" i="19" s="1"/>
  <c r="M49" i="19" s="1"/>
  <c r="M50" i="19" s="1"/>
  <c r="M51" i="19" s="1"/>
  <c r="M52" i="19" s="1"/>
  <c r="M53" i="19" s="1"/>
  <c r="M54" i="19" s="1"/>
  <c r="M55" i="19" s="1"/>
  <c r="M56" i="19" s="1"/>
  <c r="M57" i="19" s="1"/>
  <c r="M58" i="19" s="1"/>
  <c r="M59" i="19" s="1"/>
  <c r="M60" i="19" s="1"/>
  <c r="M61" i="19" s="1"/>
  <c r="M62" i="19" s="1"/>
  <c r="M66" i="19" s="1"/>
  <c r="AR40" i="19"/>
  <c r="AR41" i="19" s="1"/>
  <c r="AR42" i="19" s="1"/>
  <c r="AR43" i="19" s="1"/>
  <c r="AR44" i="19" s="1"/>
  <c r="AR45" i="19" s="1"/>
  <c r="AR46" i="19" s="1"/>
  <c r="AR47" i="19" s="1"/>
  <c r="AR48" i="19" s="1"/>
  <c r="AR49" i="19" s="1"/>
  <c r="AR50" i="19" s="1"/>
  <c r="AR51" i="19" s="1"/>
  <c r="AR52" i="19" s="1"/>
  <c r="AR53" i="19" s="1"/>
  <c r="AR54" i="19" s="1"/>
  <c r="AR55" i="19" s="1"/>
  <c r="AR56" i="19" s="1"/>
  <c r="AR57" i="19" s="1"/>
  <c r="AR58" i="19" s="1"/>
  <c r="AR59" i="19" s="1"/>
  <c r="AR60" i="19" s="1"/>
  <c r="AR61" i="19" s="1"/>
  <c r="AR62" i="19" s="1"/>
  <c r="AR66" i="19" s="1"/>
  <c r="AJ40" i="19"/>
  <c r="AJ41" i="19" s="1"/>
  <c r="AJ42" i="19" s="1"/>
  <c r="AJ43" i="19" s="1"/>
  <c r="AJ44" i="19" s="1"/>
  <c r="AJ45" i="19" s="1"/>
  <c r="AJ46" i="19" s="1"/>
  <c r="AJ47" i="19" s="1"/>
  <c r="AJ48" i="19" s="1"/>
  <c r="AJ49" i="19" s="1"/>
  <c r="AJ50" i="19" s="1"/>
  <c r="AJ51" i="19" s="1"/>
  <c r="AJ52" i="19" s="1"/>
  <c r="AJ53" i="19" s="1"/>
  <c r="AJ54" i="19" s="1"/>
  <c r="AJ55" i="19" s="1"/>
  <c r="AJ56" i="19" s="1"/>
  <c r="AJ57" i="19" s="1"/>
  <c r="AJ58" i="19" s="1"/>
  <c r="AJ59" i="19" s="1"/>
  <c r="AJ60" i="19" s="1"/>
  <c r="AJ61" i="19" s="1"/>
  <c r="AJ62" i="19" s="1"/>
  <c r="AJ66" i="19" s="1"/>
  <c r="AH40" i="19"/>
  <c r="AH41" i="19" s="1"/>
  <c r="AH42" i="19" s="1"/>
  <c r="AH43" i="19" s="1"/>
  <c r="AH44" i="19" s="1"/>
  <c r="AH45" i="19" s="1"/>
  <c r="AH46" i="19" s="1"/>
  <c r="AH47" i="19" s="1"/>
  <c r="AH48" i="19" s="1"/>
  <c r="AH49" i="19" s="1"/>
  <c r="AH50" i="19" s="1"/>
  <c r="AH51" i="19" s="1"/>
  <c r="AH52" i="19" s="1"/>
  <c r="AH53" i="19" s="1"/>
  <c r="AH54" i="19" s="1"/>
  <c r="AH55" i="19" s="1"/>
  <c r="AH56" i="19" s="1"/>
  <c r="AH57" i="19" s="1"/>
  <c r="AH58" i="19" s="1"/>
  <c r="AH59" i="19" s="1"/>
  <c r="AH60" i="19" s="1"/>
  <c r="AH61" i="19" s="1"/>
  <c r="AH62" i="19" s="1"/>
  <c r="AH66" i="19" s="1"/>
  <c r="BD40" i="19"/>
  <c r="BD41" i="19" s="1"/>
  <c r="BD42" i="19" s="1"/>
  <c r="BD43" i="19" s="1"/>
  <c r="BD44" i="19" s="1"/>
  <c r="BD45" i="19" s="1"/>
  <c r="BD46" i="19" s="1"/>
  <c r="BD47" i="19" s="1"/>
  <c r="BD48" i="19" s="1"/>
  <c r="BD49" i="19" s="1"/>
  <c r="BD50" i="19" s="1"/>
  <c r="BD51" i="19" s="1"/>
  <c r="BD52" i="19" s="1"/>
  <c r="BD53" i="19" s="1"/>
  <c r="BD54" i="19" s="1"/>
  <c r="BD55" i="19" s="1"/>
  <c r="BD56" i="19" s="1"/>
  <c r="BD57" i="19" s="1"/>
  <c r="BD58" i="19" s="1"/>
  <c r="BD59" i="19" s="1"/>
  <c r="BD60" i="19" s="1"/>
  <c r="BD61" i="19" s="1"/>
  <c r="BD62" i="19" s="1"/>
  <c r="BD66" i="19" s="1"/>
  <c r="BB40" i="19"/>
  <c r="AF40" i="19"/>
  <c r="T47" i="5"/>
  <c r="U48" i="5"/>
  <c r="X59" i="5"/>
  <c r="AH60" i="5"/>
  <c r="AF60" i="5"/>
  <c r="AG61" i="5"/>
  <c r="AN58" i="19" l="1"/>
  <c r="AP58" i="19" s="1"/>
  <c r="AV58" i="19" s="1"/>
  <c r="AN41" i="19"/>
  <c r="AN56" i="19"/>
  <c r="AP56" i="19" s="1"/>
  <c r="AV56" i="19" s="1"/>
  <c r="AN51" i="19"/>
  <c r="AN40" i="19"/>
  <c r="AN55" i="19"/>
  <c r="AP55" i="19" s="1"/>
  <c r="AV55" i="19" s="1"/>
  <c r="AN42" i="21"/>
  <c r="AN62" i="20"/>
  <c r="AN43" i="19"/>
  <c r="AN57" i="19"/>
  <c r="AP57" i="19" s="1"/>
  <c r="AV57" i="19" s="1"/>
  <c r="AN44" i="19"/>
  <c r="AN45" i="19"/>
  <c r="AN49" i="19"/>
  <c r="AN38" i="19"/>
  <c r="AN53" i="19"/>
  <c r="AP53" i="19" s="1"/>
  <c r="AV53" i="19" s="1"/>
  <c r="AN46" i="19"/>
  <c r="AN47" i="19"/>
  <c r="AN48" i="19"/>
  <c r="AN39" i="19"/>
  <c r="AN60" i="20"/>
  <c r="AP60" i="20" s="1"/>
  <c r="AV60" i="20" s="1"/>
  <c r="AX60" i="20" s="1"/>
  <c r="U60" i="20" s="1"/>
  <c r="W60" i="20" s="1"/>
  <c r="Y60" i="20" s="1"/>
  <c r="AN52" i="19"/>
  <c r="AN50" i="19"/>
  <c r="AN54" i="20"/>
  <c r="AP54" i="20" s="1"/>
  <c r="AV54" i="20" s="1"/>
  <c r="AX54" i="20" s="1"/>
  <c r="U54" i="20" s="1"/>
  <c r="W54" i="20" s="1"/>
  <c r="Y54" i="20" s="1"/>
  <c r="AN42" i="19"/>
  <c r="AN61" i="20"/>
  <c r="AP61" i="20" s="1"/>
  <c r="AV61" i="20" s="1"/>
  <c r="AX61" i="20" s="1"/>
  <c r="U61" i="20" s="1"/>
  <c r="W61" i="20" s="1"/>
  <c r="Y61" i="20" s="1"/>
  <c r="AN59" i="20"/>
  <c r="AP59" i="20" s="1"/>
  <c r="AV59" i="20" s="1"/>
  <c r="AX59" i="20" s="1"/>
  <c r="U59" i="20" s="1"/>
  <c r="W59" i="20" s="1"/>
  <c r="Y59" i="20" s="1"/>
  <c r="AN44" i="20"/>
  <c r="AP44" i="20" s="1"/>
  <c r="AV44" i="20" s="1"/>
  <c r="AX44" i="20" s="1"/>
  <c r="U44" i="20" s="1"/>
  <c r="W44" i="20" s="1"/>
  <c r="Y44" i="20" s="1"/>
  <c r="AN50" i="20"/>
  <c r="AP50" i="20" s="1"/>
  <c r="AV50" i="20" s="1"/>
  <c r="AX50" i="20" s="1"/>
  <c r="U50" i="20" s="1"/>
  <c r="W50" i="20" s="1"/>
  <c r="Y50" i="20" s="1"/>
  <c r="AN60" i="19"/>
  <c r="AP60" i="19" s="1"/>
  <c r="AV60" i="19" s="1"/>
  <c r="AN56" i="20"/>
  <c r="AP56" i="20" s="1"/>
  <c r="AV56" i="20" s="1"/>
  <c r="AX56" i="20" s="1"/>
  <c r="U56" i="20" s="1"/>
  <c r="W56" i="20" s="1"/>
  <c r="Y56" i="20" s="1"/>
  <c r="AN37" i="21"/>
  <c r="AP37" i="21" s="1"/>
  <c r="AV37" i="21" s="1"/>
  <c r="AN39" i="21"/>
  <c r="AP39" i="21" s="1"/>
  <c r="AV39" i="21" s="1"/>
  <c r="AX39" i="21" s="1"/>
  <c r="U39" i="21" s="1"/>
  <c r="W39" i="21" s="1"/>
  <c r="Y39" i="21" s="1"/>
  <c r="AN54" i="19"/>
  <c r="AP54" i="19" s="1"/>
  <c r="AV54" i="19" s="1"/>
  <c r="AN59" i="19"/>
  <c r="AP59" i="19" s="1"/>
  <c r="AV59" i="19" s="1"/>
  <c r="AN51" i="20"/>
  <c r="AP51" i="20" s="1"/>
  <c r="AV51" i="20" s="1"/>
  <c r="AX51" i="20" s="1"/>
  <c r="U51" i="20" s="1"/>
  <c r="W51" i="20" s="1"/>
  <c r="Y51" i="20" s="1"/>
  <c r="AN57" i="20"/>
  <c r="AP57" i="20" s="1"/>
  <c r="AV57" i="20" s="1"/>
  <c r="AX57" i="20" s="1"/>
  <c r="U57" i="20" s="1"/>
  <c r="W57" i="20" s="1"/>
  <c r="Y57" i="20" s="1"/>
  <c r="AN43" i="20"/>
  <c r="AP43" i="20" s="1"/>
  <c r="AV43" i="20" s="1"/>
  <c r="AX43" i="20" s="1"/>
  <c r="AN55" i="20"/>
  <c r="AP55" i="20" s="1"/>
  <c r="AV55" i="20" s="1"/>
  <c r="AX55" i="20" s="1"/>
  <c r="U55" i="20" s="1"/>
  <c r="W55" i="20" s="1"/>
  <c r="Y55" i="20" s="1"/>
  <c r="AN52" i="20"/>
  <c r="AP52" i="20" s="1"/>
  <c r="AV52" i="20" s="1"/>
  <c r="AX52" i="20" s="1"/>
  <c r="U52" i="20" s="1"/>
  <c r="W52" i="20" s="1"/>
  <c r="Y52" i="20" s="1"/>
  <c r="AN38" i="21"/>
  <c r="AP38" i="21" s="1"/>
  <c r="AV38" i="21" s="1"/>
  <c r="AX38" i="21" s="1"/>
  <c r="U38" i="21" s="1"/>
  <c r="W38" i="21" s="1"/>
  <c r="Y38" i="21" s="1"/>
  <c r="AN48" i="20"/>
  <c r="AP48" i="20" s="1"/>
  <c r="AV48" i="20" s="1"/>
  <c r="AX48" i="20" s="1"/>
  <c r="U48" i="20" s="1"/>
  <c r="W48" i="20" s="1"/>
  <c r="Y48" i="20" s="1"/>
  <c r="AN46" i="20"/>
  <c r="AP46" i="20" s="1"/>
  <c r="AV46" i="20" s="1"/>
  <c r="AX46" i="20" s="1"/>
  <c r="U46" i="20" s="1"/>
  <c r="W46" i="20" s="1"/>
  <c r="Y46" i="20" s="1"/>
  <c r="AN41" i="21"/>
  <c r="AP41" i="21" s="1"/>
  <c r="AV41" i="21" s="1"/>
  <c r="AX41" i="21" s="1"/>
  <c r="U41" i="21" s="1"/>
  <c r="W41" i="21" s="1"/>
  <c r="Y41" i="21" s="1"/>
  <c r="AN47" i="20"/>
  <c r="AP47" i="20" s="1"/>
  <c r="AV47" i="20" s="1"/>
  <c r="AX47" i="20" s="1"/>
  <c r="U47" i="20" s="1"/>
  <c r="W47" i="20" s="1"/>
  <c r="Y47" i="20" s="1"/>
  <c r="AN49" i="20"/>
  <c r="AP49" i="20" s="1"/>
  <c r="AV49" i="20" s="1"/>
  <c r="AX49" i="20" s="1"/>
  <c r="U49" i="20" s="1"/>
  <c r="W49" i="20" s="1"/>
  <c r="Y49" i="20" s="1"/>
  <c r="AN53" i="20"/>
  <c r="AP53" i="20" s="1"/>
  <c r="AV53" i="20" s="1"/>
  <c r="AX53" i="20" s="1"/>
  <c r="U53" i="20" s="1"/>
  <c r="W53" i="20" s="1"/>
  <c r="Y53" i="20" s="1"/>
  <c r="AN40" i="21"/>
  <c r="AP40" i="21" s="1"/>
  <c r="AV40" i="21" s="1"/>
  <c r="AX40" i="21" s="1"/>
  <c r="U40" i="21" s="1"/>
  <c r="W40" i="21" s="1"/>
  <c r="Y40" i="21" s="1"/>
  <c r="AN45" i="20"/>
  <c r="AP45" i="20" s="1"/>
  <c r="AV45" i="20" s="1"/>
  <c r="AX45" i="20" s="1"/>
  <c r="U45" i="20" s="1"/>
  <c r="W45" i="20" s="1"/>
  <c r="Y45" i="20" s="1"/>
  <c r="AN61" i="19"/>
  <c r="AP61" i="19" s="1"/>
  <c r="AV61" i="19" s="1"/>
  <c r="AN58" i="20"/>
  <c r="AP58" i="20" s="1"/>
  <c r="AV58" i="20" s="1"/>
  <c r="AX58" i="20" s="1"/>
  <c r="U58" i="20" s="1"/>
  <c r="W58" i="20" s="1"/>
  <c r="Y58" i="20" s="1"/>
  <c r="AN62" i="19"/>
  <c r="Y36" i="21"/>
  <c r="AF41" i="19"/>
  <c r="AL40" i="19"/>
  <c r="BB41" i="19"/>
  <c r="BF40" i="19"/>
  <c r="X60" i="5"/>
  <c r="U49" i="5"/>
  <c r="T48" i="5"/>
  <c r="AG62" i="5"/>
  <c r="AF61" i="5"/>
  <c r="AH61" i="5"/>
  <c r="X61" i="5"/>
  <c r="AX37" i="21" l="1"/>
  <c r="AP42" i="21"/>
  <c r="AN47" i="21"/>
  <c r="AP62" i="20"/>
  <c r="AN66" i="20"/>
  <c r="AP62" i="19"/>
  <c r="AV62" i="19" s="1"/>
  <c r="AN66" i="19"/>
  <c r="U43" i="20"/>
  <c r="AT40" i="19"/>
  <c r="AL41" i="19"/>
  <c r="AF42" i="19"/>
  <c r="BF41" i="19"/>
  <c r="BB42" i="19"/>
  <c r="T49" i="5"/>
  <c r="U50" i="5"/>
  <c r="AH62" i="5"/>
  <c r="AF62" i="5"/>
  <c r="AG63" i="5"/>
  <c r="AV42" i="21" l="1"/>
  <c r="AP47" i="21"/>
  <c r="W43" i="20"/>
  <c r="AV62" i="20"/>
  <c r="AP66" i="20"/>
  <c r="U37" i="21"/>
  <c r="AT41" i="19"/>
  <c r="BB43" i="19"/>
  <c r="BF42" i="19"/>
  <c r="AL42" i="19"/>
  <c r="AF43" i="19"/>
  <c r="AG64" i="5"/>
  <c r="AF63" i="5"/>
  <c r="AH63" i="5"/>
  <c r="U51" i="5"/>
  <c r="T50" i="5"/>
  <c r="X62" i="5"/>
  <c r="W37" i="21" l="1"/>
  <c r="Y43" i="20"/>
  <c r="AV66" i="20"/>
  <c r="AX62" i="20"/>
  <c r="AX42" i="21"/>
  <c r="AV47" i="21"/>
  <c r="AL43" i="19"/>
  <c r="AF44" i="19"/>
  <c r="AT42" i="19"/>
  <c r="BF43" i="19"/>
  <c r="BB44" i="19"/>
  <c r="T51" i="5"/>
  <c r="U52" i="5"/>
  <c r="X63" i="5"/>
  <c r="AH64" i="5"/>
  <c r="AG65" i="5"/>
  <c r="AF64" i="5"/>
  <c r="U42" i="21" l="1"/>
  <c r="AX47" i="21"/>
  <c r="U62" i="20"/>
  <c r="AX66" i="20"/>
  <c r="Y37" i="21"/>
  <c r="AF45" i="19"/>
  <c r="AL44" i="19"/>
  <c r="BF44" i="19"/>
  <c r="BB45" i="19"/>
  <c r="AT43" i="19"/>
  <c r="AG66" i="5"/>
  <c r="AF65" i="5"/>
  <c r="X65" i="5"/>
  <c r="AH65" i="5"/>
  <c r="U53" i="5"/>
  <c r="T52" i="5"/>
  <c r="X64" i="5"/>
  <c r="W62" i="20" l="1"/>
  <c r="U66" i="20"/>
  <c r="W16" i="18" s="1"/>
  <c r="W42" i="21"/>
  <c r="U47" i="21"/>
  <c r="U16" i="18" s="1"/>
  <c r="AL45" i="19"/>
  <c r="AF46" i="19"/>
  <c r="AT44" i="19"/>
  <c r="BF45" i="19"/>
  <c r="BB46" i="19"/>
  <c r="U54" i="5"/>
  <c r="T53" i="5"/>
  <c r="AH66" i="5"/>
  <c r="X66" i="5"/>
  <c r="AG67" i="5"/>
  <c r="AF66" i="5"/>
  <c r="Y42" i="21" l="1"/>
  <c r="Y47" i="21" s="1"/>
  <c r="U20" i="18" s="1"/>
  <c r="W47" i="21"/>
  <c r="U18" i="18" s="1"/>
  <c r="Y62" i="20"/>
  <c r="Y66" i="20" s="1"/>
  <c r="W20" i="18" s="1"/>
  <c r="W66" i="20"/>
  <c r="W18" i="18" s="1"/>
  <c r="AT45" i="19"/>
  <c r="AF47" i="19"/>
  <c r="AL46" i="19"/>
  <c r="BB47" i="19"/>
  <c r="BF46" i="19"/>
  <c r="AG68" i="5"/>
  <c r="AF67" i="5"/>
  <c r="AH67" i="5"/>
  <c r="U55" i="5"/>
  <c r="T54" i="5"/>
  <c r="S43" i="23" l="1"/>
  <c r="U43" i="23" s="1"/>
  <c r="H42" i="23"/>
  <c r="J42" i="23" s="1"/>
  <c r="S40" i="23"/>
  <c r="U40" i="23" s="1"/>
  <c r="AT46" i="19"/>
  <c r="BB48" i="19"/>
  <c r="BF47" i="19"/>
  <c r="AF48" i="19"/>
  <c r="AL47" i="19"/>
  <c r="T55" i="5"/>
  <c r="U56" i="5"/>
  <c r="X67" i="5"/>
  <c r="AH68" i="5"/>
  <c r="AF68" i="5"/>
  <c r="AG69" i="5"/>
  <c r="AT47" i="19" l="1"/>
  <c r="AL48" i="19"/>
  <c r="AF49" i="19"/>
  <c r="BF48" i="19"/>
  <c r="BB49" i="19"/>
  <c r="AG70" i="5"/>
  <c r="AF69" i="5"/>
  <c r="AH69" i="5"/>
  <c r="X69" i="5"/>
  <c r="U57" i="5"/>
  <c r="T56" i="5"/>
  <c r="X68" i="5"/>
  <c r="AL49" i="19" l="1"/>
  <c r="AF50" i="19"/>
  <c r="BF49" i="19"/>
  <c r="BB50" i="19"/>
  <c r="AT48" i="19"/>
  <c r="AH70" i="5"/>
  <c r="AF70" i="5"/>
  <c r="AG71" i="5"/>
  <c r="T57" i="5"/>
  <c r="U58" i="5"/>
  <c r="BF50" i="19" l="1"/>
  <c r="BB51" i="19"/>
  <c r="AF51" i="19"/>
  <c r="AL50" i="19"/>
  <c r="AT49" i="19"/>
  <c r="U59" i="5"/>
  <c r="T58" i="5"/>
  <c r="X70" i="5"/>
  <c r="AG72" i="5"/>
  <c r="AF71" i="5"/>
  <c r="AH71" i="5"/>
  <c r="X71" i="5"/>
  <c r="AT50" i="19" l="1"/>
  <c r="AF52" i="19"/>
  <c r="AF53" i="19" s="1"/>
  <c r="AL51" i="19"/>
  <c r="BB52" i="19"/>
  <c r="BB53" i="19" s="1"/>
  <c r="BF51" i="19"/>
  <c r="T59" i="5"/>
  <c r="U60" i="5"/>
  <c r="AH72" i="5"/>
  <c r="AG73" i="5"/>
  <c r="AF72" i="5"/>
  <c r="BF53" i="19" l="1"/>
  <c r="BB54" i="19"/>
  <c r="AL53" i="19"/>
  <c r="AT53" i="19" s="1"/>
  <c r="AX53" i="19" s="1"/>
  <c r="U53" i="19" s="1"/>
  <c r="W53" i="19" s="1"/>
  <c r="Y53" i="19" s="1"/>
  <c r="AF54" i="19"/>
  <c r="AT51" i="19"/>
  <c r="AL52" i="19"/>
  <c r="BF52" i="19"/>
  <c r="X72" i="5"/>
  <c r="U61" i="5"/>
  <c r="T60" i="5"/>
  <c r="AG74" i="5"/>
  <c r="AF73" i="5"/>
  <c r="X73" i="5"/>
  <c r="AH73" i="5"/>
  <c r="AF55" i="19" l="1"/>
  <c r="AL54" i="19"/>
  <c r="BF54" i="19"/>
  <c r="BB55" i="19"/>
  <c r="AT52" i="19"/>
  <c r="AG75" i="5"/>
  <c r="AF74" i="5"/>
  <c r="X74" i="5"/>
  <c r="AH74" i="5"/>
  <c r="U62" i="5"/>
  <c r="T61" i="5"/>
  <c r="AT54" i="19" l="1"/>
  <c r="AX54" i="19" s="1"/>
  <c r="U54" i="19" s="1"/>
  <c r="W54" i="19" s="1"/>
  <c r="Y54" i="19" s="1"/>
  <c r="BF55" i="19"/>
  <c r="BB56" i="19"/>
  <c r="AF56" i="19"/>
  <c r="AL55" i="19"/>
  <c r="AF75" i="5"/>
  <c r="X75" i="5"/>
  <c r="AG76" i="5"/>
  <c r="AH75" i="5"/>
  <c r="U63" i="5"/>
  <c r="T62" i="5"/>
  <c r="AT55" i="19" l="1"/>
  <c r="AX55" i="19" s="1"/>
  <c r="U55" i="19" s="1"/>
  <c r="W55" i="19" s="1"/>
  <c r="Y55" i="19" s="1"/>
  <c r="BB57" i="19"/>
  <c r="BF56" i="19"/>
  <c r="AL56" i="19"/>
  <c r="AF57" i="19"/>
  <c r="T63" i="5"/>
  <c r="U64" i="5"/>
  <c r="AF76" i="5"/>
  <c r="AG77" i="5"/>
  <c r="AH76" i="5"/>
  <c r="AT56" i="19" l="1"/>
  <c r="AX56" i="19" s="1"/>
  <c r="U56" i="19" s="1"/>
  <c r="W56" i="19" s="1"/>
  <c r="Y56" i="19" s="1"/>
  <c r="AL57" i="19"/>
  <c r="AF58" i="19"/>
  <c r="BB58" i="19"/>
  <c r="BF57" i="19"/>
  <c r="X76" i="5"/>
  <c r="AH77" i="5"/>
  <c r="X77" i="5"/>
  <c r="AF77" i="5"/>
  <c r="AG78" i="5"/>
  <c r="U65" i="5"/>
  <c r="T64" i="5"/>
  <c r="BF58" i="19" l="1"/>
  <c r="BB59" i="19"/>
  <c r="AF59" i="19"/>
  <c r="AL58" i="19"/>
  <c r="AT58" i="19" s="1"/>
  <c r="AX58" i="19" s="1"/>
  <c r="U58" i="19" s="1"/>
  <c r="W58" i="19" s="1"/>
  <c r="Y58" i="19" s="1"/>
  <c r="AT57" i="19"/>
  <c r="AX57" i="19" s="1"/>
  <c r="U57" i="19" s="1"/>
  <c r="W57" i="19" s="1"/>
  <c r="Y57" i="19" s="1"/>
  <c r="T65" i="5"/>
  <c r="U66" i="5"/>
  <c r="AG79" i="5"/>
  <c r="AF78" i="5"/>
  <c r="AH78" i="5"/>
  <c r="X78" i="5"/>
  <c r="AF60" i="19" l="1"/>
  <c r="AL59" i="19"/>
  <c r="BF59" i="19"/>
  <c r="BB60" i="19"/>
  <c r="U67" i="5"/>
  <c r="T66" i="5"/>
  <c r="AF79" i="5"/>
  <c r="AG80" i="5"/>
  <c r="AH79" i="5"/>
  <c r="X79" i="5"/>
  <c r="BB61" i="19" l="1"/>
  <c r="BF60" i="19"/>
  <c r="AT59" i="19"/>
  <c r="AX59" i="19" s="1"/>
  <c r="U59" i="19" s="1"/>
  <c r="W59" i="19" s="1"/>
  <c r="Y59" i="19" s="1"/>
  <c r="AL60" i="19"/>
  <c r="AT60" i="19" s="1"/>
  <c r="AX60" i="19" s="1"/>
  <c r="U60" i="19" s="1"/>
  <c r="W60" i="19" s="1"/>
  <c r="Y60" i="19" s="1"/>
  <c r="AF61" i="19"/>
  <c r="AF80" i="5"/>
  <c r="AG81" i="5"/>
  <c r="AH80" i="5"/>
  <c r="X80" i="5"/>
  <c r="T67" i="5"/>
  <c r="U68" i="5"/>
  <c r="AL61" i="19" l="1"/>
  <c r="AF62" i="19"/>
  <c r="BF61" i="19"/>
  <c r="BB62" i="19"/>
  <c r="U69" i="5"/>
  <c r="T68" i="5"/>
  <c r="AH81" i="5"/>
  <c r="X81" i="5"/>
  <c r="AG82" i="5"/>
  <c r="AF81" i="5"/>
  <c r="BF62" i="19" l="1"/>
  <c r="BF66" i="19" s="1"/>
  <c r="BB66" i="19"/>
  <c r="AL62" i="19"/>
  <c r="AF66" i="19"/>
  <c r="AT61" i="19"/>
  <c r="AX61" i="19" s="1"/>
  <c r="U61" i="19" s="1"/>
  <c r="W61" i="19" s="1"/>
  <c r="Y61" i="19" s="1"/>
  <c r="AG83" i="5"/>
  <c r="AF82" i="5"/>
  <c r="AH82" i="5"/>
  <c r="U70" i="5"/>
  <c r="T69" i="5"/>
  <c r="AT62" i="19" l="1"/>
  <c r="AL66" i="19"/>
  <c r="U71" i="5"/>
  <c r="T70" i="5"/>
  <c r="X82" i="5"/>
  <c r="AG84" i="5"/>
  <c r="AH83" i="5"/>
  <c r="AF83" i="5"/>
  <c r="AX62" i="19" l="1"/>
  <c r="U62" i="19" s="1"/>
  <c r="W62" i="19" s="1"/>
  <c r="Y62" i="19" s="1"/>
  <c r="AT66" i="19"/>
  <c r="AH84" i="5"/>
  <c r="AF84" i="5"/>
  <c r="AG85" i="5"/>
  <c r="X83" i="5"/>
  <c r="T71" i="5"/>
  <c r="U72" i="5"/>
  <c r="U73" i="5" l="1"/>
  <c r="T72" i="5"/>
  <c r="AH85" i="5"/>
  <c r="X85" i="5"/>
  <c r="AF85" i="5"/>
  <c r="AG86" i="5"/>
  <c r="X84" i="5"/>
  <c r="AG87" i="5" l="1"/>
  <c r="AF86" i="5"/>
  <c r="AH86" i="5"/>
  <c r="X86" i="5"/>
  <c r="T73" i="5"/>
  <c r="U74" i="5"/>
  <c r="AH87" i="5" l="1"/>
  <c r="X87" i="5"/>
  <c r="AF87" i="5"/>
  <c r="AG88" i="5"/>
  <c r="T74" i="5"/>
  <c r="U75" i="5"/>
  <c r="U76" i="5" l="1"/>
  <c r="T75" i="5"/>
  <c r="AG89" i="5"/>
  <c r="AH88" i="5"/>
  <c r="AF88" i="5"/>
  <c r="X88" i="5"/>
  <c r="T76" i="5" l="1"/>
  <c r="U77" i="5"/>
  <c r="AH89" i="5"/>
  <c r="AG90" i="5"/>
  <c r="AF89" i="5"/>
  <c r="AG91" i="5" l="1"/>
  <c r="AF90" i="5"/>
  <c r="X90" i="5"/>
  <c r="AH90" i="5"/>
  <c r="X89" i="5"/>
  <c r="T77" i="5"/>
  <c r="U78" i="5"/>
  <c r="U79" i="5" l="1"/>
  <c r="T78" i="5"/>
  <c r="AF91" i="5"/>
  <c r="X91" i="5"/>
  <c r="AG92" i="5"/>
  <c r="AH91" i="5"/>
  <c r="X92" i="5" l="1"/>
  <c r="AG93" i="5"/>
  <c r="AH92" i="5"/>
  <c r="AF92" i="5"/>
  <c r="U80" i="5"/>
  <c r="T79" i="5"/>
  <c r="U81" i="5" l="1"/>
  <c r="T80" i="5"/>
  <c r="AH93" i="5"/>
  <c r="X93" i="5"/>
  <c r="AF93" i="5"/>
  <c r="AG94" i="5"/>
  <c r="AG95" i="5" l="1"/>
  <c r="AF94" i="5"/>
  <c r="AH94" i="5"/>
  <c r="T81" i="5"/>
  <c r="U82" i="5"/>
  <c r="T82" i="5" l="1"/>
  <c r="U83" i="5"/>
  <c r="X94" i="5"/>
  <c r="AG96" i="5"/>
  <c r="AH95" i="5"/>
  <c r="AF95" i="5"/>
  <c r="U84" i="5" l="1"/>
  <c r="T83" i="5"/>
  <c r="X95" i="5"/>
  <c r="AF96" i="5"/>
  <c r="AG97" i="5"/>
  <c r="AH96" i="5"/>
  <c r="X96" i="5"/>
  <c r="AH97" i="5" l="1"/>
  <c r="AG98" i="5"/>
  <c r="AF97" i="5"/>
  <c r="T84" i="5"/>
  <c r="U85" i="5"/>
  <c r="U86" i="5" l="1"/>
  <c r="T85" i="5"/>
  <c r="AG99" i="5"/>
  <c r="AF98" i="5"/>
  <c r="AH98" i="5"/>
  <c r="X98" i="5"/>
  <c r="X97" i="5"/>
  <c r="AG100" i="5" l="1"/>
  <c r="AH99" i="5"/>
  <c r="AF99" i="5"/>
  <c r="U87" i="5"/>
  <c r="T86" i="5"/>
  <c r="AG101" i="5" l="1"/>
  <c r="AF100" i="5"/>
  <c r="AH100" i="5"/>
  <c r="X99" i="5"/>
  <c r="U88" i="5"/>
  <c r="T87" i="5"/>
  <c r="T88" i="5" l="1"/>
  <c r="U89" i="5"/>
  <c r="AH101" i="5"/>
  <c r="X101" i="5"/>
  <c r="AF101" i="5"/>
  <c r="AG102" i="5"/>
  <c r="X100" i="5"/>
  <c r="AG103" i="5" l="1"/>
  <c r="AF102" i="5"/>
  <c r="AH102" i="5"/>
  <c r="U90" i="5"/>
  <c r="T89" i="5"/>
  <c r="T90" i="5" l="1"/>
  <c r="U91" i="5"/>
  <c r="X102" i="5"/>
  <c r="AG104" i="5"/>
  <c r="AF103" i="5"/>
  <c r="AH103" i="5"/>
  <c r="X103" i="5" l="1"/>
  <c r="AG105" i="5"/>
  <c r="AH104" i="5"/>
  <c r="AF104" i="5"/>
  <c r="X104" i="5"/>
  <c r="U92" i="5"/>
  <c r="T91" i="5"/>
  <c r="U93" i="5" l="1"/>
  <c r="T92" i="5"/>
  <c r="AH105" i="5"/>
  <c r="X105" i="5"/>
  <c r="AG106" i="5"/>
  <c r="AF105" i="5"/>
  <c r="AG107" i="5" l="1"/>
  <c r="AF106" i="5"/>
  <c r="X106" i="5"/>
  <c r="AH106" i="5"/>
  <c r="T93" i="5"/>
  <c r="U94" i="5"/>
  <c r="U95" i="5" l="1"/>
  <c r="T94" i="5"/>
  <c r="AF107" i="5"/>
  <c r="X107" i="5"/>
  <c r="AG108" i="5"/>
  <c r="AH107" i="5"/>
  <c r="AF108" i="5" l="1"/>
  <c r="AH108" i="5"/>
  <c r="AG109" i="5"/>
  <c r="U96" i="5"/>
  <c r="T95" i="5"/>
  <c r="U97" i="5" l="1"/>
  <c r="T96" i="5"/>
  <c r="AH109" i="5"/>
  <c r="X109" i="5"/>
  <c r="AF109" i="5"/>
  <c r="AG110" i="5"/>
  <c r="X108" i="5"/>
  <c r="U98" i="5" l="1"/>
  <c r="T97" i="5"/>
  <c r="AG111" i="5"/>
  <c r="AF110" i="5"/>
  <c r="AH110" i="5"/>
  <c r="X110" i="5"/>
  <c r="AF111" i="5" l="1"/>
  <c r="AH111" i="5"/>
  <c r="AG112" i="5"/>
  <c r="T98" i="5"/>
  <c r="U99" i="5"/>
  <c r="AF112" i="5" l="1"/>
  <c r="AG113" i="5"/>
  <c r="AH112" i="5"/>
  <c r="X112" i="5"/>
  <c r="X111" i="5"/>
  <c r="U100" i="5"/>
  <c r="T99" i="5"/>
  <c r="AH113" i="5" l="1"/>
  <c r="AG114" i="5"/>
  <c r="AF113" i="5"/>
  <c r="U101" i="5"/>
  <c r="T100" i="5"/>
  <c r="AG115" i="5" l="1"/>
  <c r="AF114" i="5"/>
  <c r="AH114" i="5"/>
  <c r="X114" i="5"/>
  <c r="U102" i="5"/>
  <c r="T101" i="5"/>
  <c r="X113" i="5"/>
  <c r="AG116" i="5" l="1"/>
  <c r="AF115" i="5"/>
  <c r="AH115" i="5"/>
  <c r="U103" i="5"/>
  <c r="T102" i="5"/>
  <c r="X115" i="5" l="1"/>
  <c r="U104" i="5"/>
  <c r="T103" i="5"/>
  <c r="AH116" i="5"/>
  <c r="X116" i="5"/>
  <c r="AG117" i="5"/>
  <c r="AF116" i="5"/>
  <c r="AG118" i="5" l="1"/>
  <c r="AF117" i="5"/>
  <c r="AH117" i="5"/>
  <c r="T104" i="5"/>
  <c r="U105" i="5"/>
  <c r="T105" i="5" l="1"/>
  <c r="U106" i="5"/>
  <c r="X117" i="5"/>
  <c r="AG119" i="5"/>
  <c r="AF118" i="5"/>
  <c r="X118" i="5"/>
  <c r="AH118" i="5"/>
  <c r="AG120" i="5" l="1"/>
  <c r="AF119" i="5"/>
  <c r="AH119" i="5"/>
  <c r="T106" i="5"/>
  <c r="U107" i="5"/>
  <c r="AH120" i="5" l="1"/>
  <c r="AG121" i="5"/>
  <c r="AF120" i="5"/>
  <c r="X119" i="5"/>
  <c r="U108" i="5"/>
  <c r="T107" i="5"/>
  <c r="T108" i="5" l="1"/>
  <c r="U109" i="5"/>
  <c r="X120" i="5"/>
  <c r="AG122" i="5"/>
  <c r="AF121" i="5"/>
  <c r="AH121" i="5"/>
  <c r="X121" i="5"/>
  <c r="AG123" i="5" l="1"/>
  <c r="AF122" i="5"/>
  <c r="AH122" i="5"/>
  <c r="X122" i="5"/>
  <c r="T109" i="5"/>
  <c r="U110" i="5"/>
  <c r="AG124" i="5" l="1"/>
  <c r="AF123" i="5"/>
  <c r="X123" i="5"/>
  <c r="AH123" i="5"/>
  <c r="U111" i="5"/>
  <c r="T110" i="5"/>
  <c r="U112" i="5" l="1"/>
  <c r="T111" i="5"/>
  <c r="AH124" i="5"/>
  <c r="X124" i="5"/>
  <c r="AG125" i="5"/>
  <c r="AF124" i="5"/>
  <c r="AG126" i="5" l="1"/>
  <c r="AF125" i="5"/>
  <c r="AH125" i="5"/>
  <c r="U113" i="5"/>
  <c r="T112" i="5"/>
  <c r="T113" i="5" l="1"/>
  <c r="U114" i="5"/>
  <c r="X125" i="5"/>
  <c r="AG127" i="5"/>
  <c r="AF126" i="5"/>
  <c r="AH126" i="5"/>
  <c r="X126" i="5"/>
  <c r="T114" i="5" l="1"/>
  <c r="U115" i="5"/>
  <c r="AG128" i="5"/>
  <c r="AF127" i="5"/>
  <c r="AH127" i="5"/>
  <c r="U116" i="5" l="1"/>
  <c r="T115" i="5"/>
  <c r="AH128" i="5"/>
  <c r="X128" i="5"/>
  <c r="AG129" i="5"/>
  <c r="AF128" i="5"/>
  <c r="X127" i="5"/>
  <c r="AG130" i="5" l="1"/>
  <c r="AF129" i="5"/>
  <c r="AH129" i="5"/>
  <c r="U117" i="5"/>
  <c r="T116" i="5"/>
  <c r="U118" i="5" l="1"/>
  <c r="T117" i="5"/>
  <c r="X129" i="5"/>
  <c r="AG131" i="5"/>
  <c r="AF130" i="5"/>
  <c r="X130" i="5"/>
  <c r="AH130" i="5"/>
  <c r="AG132" i="5" l="1"/>
  <c r="AF131" i="5"/>
  <c r="AH131" i="5"/>
  <c r="U119" i="5"/>
  <c r="T118" i="5"/>
  <c r="X131" i="5" l="1"/>
  <c r="U120" i="5"/>
  <c r="T119" i="5"/>
  <c r="AH132" i="5"/>
  <c r="X132" i="5"/>
  <c r="AG133" i="5"/>
  <c r="AF132" i="5"/>
  <c r="AG134" i="5" l="1"/>
  <c r="AF133" i="5"/>
  <c r="AH133" i="5"/>
  <c r="U121" i="5"/>
  <c r="T120" i="5"/>
  <c r="U122" i="5" l="1"/>
  <c r="T121" i="5"/>
  <c r="X133" i="5"/>
  <c r="AG135" i="5"/>
  <c r="AF134" i="5"/>
  <c r="AH134" i="5"/>
  <c r="U123" i="5" l="1"/>
  <c r="T122" i="5"/>
  <c r="AG136" i="5"/>
  <c r="AF135" i="5"/>
  <c r="X135" i="5"/>
  <c r="AH135" i="5"/>
  <c r="X134" i="5"/>
  <c r="U124" i="5" l="1"/>
  <c r="T123" i="5"/>
  <c r="AH136" i="5"/>
  <c r="X136" i="5"/>
  <c r="AG137" i="5"/>
  <c r="AF136" i="5"/>
  <c r="AG138" i="5" l="1"/>
  <c r="AF137" i="5"/>
  <c r="AH137" i="5"/>
  <c r="U125" i="5"/>
  <c r="T124" i="5"/>
  <c r="U126" i="5" l="1"/>
  <c r="T125" i="5"/>
  <c r="X137" i="5"/>
  <c r="AG139" i="5"/>
  <c r="AF138" i="5"/>
  <c r="AH138" i="5"/>
  <c r="X138" i="5"/>
  <c r="AG140" i="5" l="1"/>
  <c r="AF139" i="5"/>
  <c r="X139" i="5"/>
  <c r="AH139" i="5"/>
  <c r="U127" i="5"/>
  <c r="T126" i="5"/>
  <c r="U128" i="5" l="1"/>
  <c r="T127" i="5"/>
  <c r="AH140" i="5"/>
  <c r="X140" i="5"/>
  <c r="AG141" i="5"/>
  <c r="AF140" i="5"/>
  <c r="AG142" i="5" l="1"/>
  <c r="AF141" i="5"/>
  <c r="AH141" i="5"/>
  <c r="U129" i="5"/>
  <c r="T128" i="5"/>
  <c r="U130" i="5" l="1"/>
  <c r="T129" i="5"/>
  <c r="X141" i="5"/>
  <c r="AG143" i="5"/>
  <c r="AF142" i="5"/>
  <c r="AH142" i="5"/>
  <c r="X142" i="5"/>
  <c r="U131" i="5" l="1"/>
  <c r="T130" i="5"/>
  <c r="AG144" i="5"/>
  <c r="AF143" i="5"/>
  <c r="AH143" i="5"/>
  <c r="AH144" i="5" l="1"/>
  <c r="AG145" i="5"/>
  <c r="AF144" i="5"/>
  <c r="X143" i="5"/>
  <c r="U132" i="5"/>
  <c r="T131" i="5"/>
  <c r="U133" i="5" l="1"/>
  <c r="T132" i="5"/>
  <c r="AG146" i="5"/>
  <c r="AF145" i="5"/>
  <c r="AH145" i="5"/>
  <c r="X145" i="5"/>
  <c r="X144" i="5"/>
  <c r="AG147" i="5" l="1"/>
  <c r="AF146" i="5"/>
  <c r="X146" i="5"/>
  <c r="AH146" i="5"/>
  <c r="U134" i="5"/>
  <c r="T133" i="5"/>
  <c r="AG148" i="5" l="1"/>
  <c r="AF147" i="5"/>
  <c r="AH147" i="5"/>
  <c r="U135" i="5"/>
  <c r="T134" i="5"/>
  <c r="X147" i="5" l="1"/>
  <c r="U136" i="5"/>
  <c r="T135" i="5"/>
  <c r="AH148" i="5"/>
  <c r="X148" i="5"/>
  <c r="AG149" i="5"/>
  <c r="AF148" i="5"/>
  <c r="AG150" i="5" l="1"/>
  <c r="AF149" i="5"/>
  <c r="AH149" i="5"/>
  <c r="U137" i="5"/>
  <c r="T136" i="5"/>
  <c r="U138" i="5" l="1"/>
  <c r="T137" i="5"/>
  <c r="X149" i="5"/>
  <c r="AG151" i="5"/>
  <c r="AF150" i="5"/>
  <c r="AH150" i="5"/>
  <c r="U139" i="5" l="1"/>
  <c r="T138" i="5"/>
  <c r="AG152" i="5"/>
  <c r="AF151" i="5"/>
  <c r="X151" i="5"/>
  <c r="AH151" i="5"/>
  <c r="X150" i="5"/>
  <c r="AH152" i="5" l="1"/>
  <c r="AG153" i="5"/>
  <c r="AF152" i="5"/>
  <c r="U140" i="5"/>
  <c r="T139" i="5"/>
  <c r="U141" i="5" l="1"/>
  <c r="T140" i="5"/>
  <c r="X152" i="5"/>
  <c r="AG154" i="5"/>
  <c r="AF153" i="5"/>
  <c r="AH153" i="5"/>
  <c r="X153" i="5"/>
  <c r="AG155" i="5" l="1"/>
  <c r="AF154" i="5"/>
  <c r="AH154" i="5"/>
  <c r="U142" i="5"/>
  <c r="T141" i="5"/>
  <c r="U143" i="5" l="1"/>
  <c r="T142" i="5"/>
  <c r="X154" i="5"/>
  <c r="AG156" i="5"/>
  <c r="AF155" i="5"/>
  <c r="AH155" i="5"/>
  <c r="U144" i="5" l="1"/>
  <c r="T143" i="5"/>
  <c r="AH156" i="5"/>
  <c r="X156" i="5"/>
  <c r="AG157" i="5"/>
  <c r="AF156" i="5"/>
  <c r="X155" i="5"/>
  <c r="AG158" i="5" l="1"/>
  <c r="AF157" i="5"/>
  <c r="AH157" i="5"/>
  <c r="U145" i="5"/>
  <c r="T144" i="5"/>
  <c r="U146" i="5" l="1"/>
  <c r="T145" i="5"/>
  <c r="X157" i="5"/>
  <c r="AG159" i="5"/>
  <c r="AH158" i="5"/>
  <c r="AF158" i="5"/>
  <c r="X158" i="5" l="1"/>
  <c r="AF159" i="5"/>
  <c r="AG160" i="5"/>
  <c r="AH159" i="5"/>
  <c r="U147" i="5"/>
  <c r="T146" i="5"/>
  <c r="AH160" i="5" l="1"/>
  <c r="X160" i="5"/>
  <c r="AF160" i="5"/>
  <c r="AG161" i="5"/>
  <c r="U148" i="5"/>
  <c r="T147" i="5"/>
  <c r="X159" i="5"/>
  <c r="AG162" i="5" l="1"/>
  <c r="AF161" i="5"/>
  <c r="AH161" i="5"/>
  <c r="U149" i="5"/>
  <c r="T148" i="5"/>
  <c r="U150" i="5" l="1"/>
  <c r="T149" i="5"/>
  <c r="X161" i="5"/>
  <c r="AG163" i="5"/>
  <c r="AH162" i="5"/>
  <c r="AF162" i="5"/>
  <c r="U151" i="5" l="1"/>
  <c r="T150" i="5"/>
  <c r="X162" i="5"/>
  <c r="AG164" i="5"/>
  <c r="AH163" i="5"/>
  <c r="AF163" i="5"/>
  <c r="X163" i="5" l="1"/>
  <c r="AH164" i="5"/>
  <c r="X164" i="5"/>
  <c r="AG165" i="5"/>
  <c r="AF164" i="5"/>
  <c r="U152" i="5"/>
  <c r="T151" i="5"/>
  <c r="AG166" i="5" l="1"/>
  <c r="AF165" i="5"/>
  <c r="X165" i="5"/>
  <c r="AH165" i="5"/>
  <c r="U153" i="5"/>
  <c r="T152" i="5"/>
  <c r="U154" i="5" l="1"/>
  <c r="T153" i="5"/>
  <c r="AF166" i="5"/>
  <c r="X166" i="5"/>
  <c r="AH166" i="5"/>
  <c r="AG167" i="5"/>
  <c r="AG168" i="5" l="1"/>
  <c r="AH167" i="5"/>
  <c r="AF167" i="5"/>
  <c r="U155" i="5"/>
  <c r="T154" i="5"/>
  <c r="U156" i="5" l="1"/>
  <c r="T155" i="5"/>
  <c r="AH168" i="5"/>
  <c r="X168" i="5"/>
  <c r="AG169" i="5"/>
  <c r="AF168" i="5"/>
  <c r="X167" i="5"/>
  <c r="AG170" i="5" l="1"/>
  <c r="AF169" i="5"/>
  <c r="X169" i="5"/>
  <c r="AH169" i="5"/>
  <c r="T156" i="5"/>
  <c r="U157" i="5"/>
  <c r="T157" i="5" l="1"/>
  <c r="U158" i="5"/>
  <c r="AF170" i="5"/>
  <c r="AH170" i="5"/>
  <c r="AG171" i="5"/>
  <c r="AF171" i="5" l="1"/>
  <c r="AG172" i="5"/>
  <c r="AH171" i="5"/>
  <c r="U159" i="5"/>
  <c r="T158" i="5"/>
  <c r="X170" i="5"/>
  <c r="AH172" i="5" l="1"/>
  <c r="AG173" i="5"/>
  <c r="AF172" i="5"/>
  <c r="X171" i="5"/>
  <c r="U160" i="5"/>
  <c r="T159" i="5"/>
  <c r="X172" i="5" l="1"/>
  <c r="AG174" i="5"/>
  <c r="AF173" i="5"/>
  <c r="AH173" i="5"/>
  <c r="U161" i="5"/>
  <c r="T160" i="5"/>
  <c r="X173" i="5" l="1"/>
  <c r="AG175" i="5"/>
  <c r="AH174" i="5"/>
  <c r="AF174" i="5"/>
  <c r="U162" i="5"/>
  <c r="T161" i="5"/>
  <c r="U163" i="5" l="1"/>
  <c r="T162" i="5"/>
  <c r="X174" i="5"/>
  <c r="AF175" i="5"/>
  <c r="AG176" i="5"/>
  <c r="AH175" i="5"/>
  <c r="T163" i="5" l="1"/>
  <c r="U164" i="5"/>
  <c r="X175" i="5"/>
  <c r="AH176" i="5"/>
  <c r="AF176" i="5"/>
  <c r="AG177" i="5"/>
  <c r="AG178" i="5" l="1"/>
  <c r="AF177" i="5"/>
  <c r="AH177" i="5"/>
  <c r="X177" i="5"/>
  <c r="U165" i="5"/>
  <c r="T164" i="5"/>
  <c r="X176" i="5"/>
  <c r="AG179" i="5" l="1"/>
  <c r="AH178" i="5"/>
  <c r="AF178" i="5"/>
  <c r="X178" i="5"/>
  <c r="U166" i="5"/>
  <c r="T165" i="5"/>
  <c r="U167" i="5" l="1"/>
  <c r="T166" i="5"/>
  <c r="AG180" i="5"/>
  <c r="AH179" i="5"/>
  <c r="AF179" i="5"/>
  <c r="X179" i="5" l="1"/>
  <c r="AH180" i="5"/>
  <c r="X180" i="5"/>
  <c r="AG181" i="5"/>
  <c r="AF180" i="5"/>
  <c r="T167" i="5"/>
  <c r="U168" i="5"/>
  <c r="T168" i="5" l="1"/>
  <c r="U169" i="5"/>
  <c r="AG182" i="5"/>
  <c r="AF181" i="5"/>
  <c r="X181" i="5"/>
  <c r="AH181" i="5"/>
  <c r="T169" i="5" l="1"/>
  <c r="U170" i="5"/>
  <c r="AF182" i="5"/>
  <c r="X182" i="5"/>
  <c r="AG183" i="5"/>
  <c r="AH182" i="5"/>
  <c r="U171" i="5" l="1"/>
  <c r="T170" i="5"/>
  <c r="AG184" i="5"/>
  <c r="AH183" i="5"/>
  <c r="AF183" i="5"/>
  <c r="AH184" i="5" l="1"/>
  <c r="AG185" i="5"/>
  <c r="AF184" i="5"/>
  <c r="X183" i="5"/>
  <c r="U172" i="5"/>
  <c r="T171" i="5"/>
  <c r="T172" i="5" l="1"/>
  <c r="U173" i="5"/>
  <c r="X184" i="5"/>
  <c r="AG186" i="5"/>
  <c r="AF185" i="5"/>
  <c r="AH185" i="5"/>
  <c r="AF186" i="5" l="1"/>
  <c r="X186" i="5"/>
  <c r="AH186" i="5"/>
  <c r="AG187" i="5"/>
  <c r="X185" i="5"/>
  <c r="T173" i="5"/>
  <c r="U174" i="5"/>
  <c r="U175" i="5" l="1"/>
  <c r="T174" i="5"/>
  <c r="AF187" i="5"/>
  <c r="X187" i="5"/>
  <c r="AH187" i="5"/>
  <c r="AG188" i="5"/>
  <c r="AH188" i="5" l="1"/>
  <c r="AF188" i="5"/>
  <c r="AG189" i="5"/>
  <c r="U176" i="5"/>
  <c r="T175" i="5"/>
  <c r="U177" i="5" l="1"/>
  <c r="T176" i="5"/>
  <c r="X188" i="5"/>
  <c r="AG190" i="5"/>
  <c r="AF189" i="5"/>
  <c r="AH189" i="5"/>
  <c r="X189" i="5"/>
  <c r="AG191" i="5" l="1"/>
  <c r="AH190" i="5"/>
  <c r="AF190" i="5"/>
  <c r="U178" i="5"/>
  <c r="T177" i="5"/>
  <c r="U179" i="5" l="1"/>
  <c r="T178" i="5"/>
  <c r="X190" i="5"/>
  <c r="AF191" i="5"/>
  <c r="AG192" i="5"/>
  <c r="AH191" i="5"/>
  <c r="T179" i="5" l="1"/>
  <c r="U180" i="5"/>
  <c r="X191" i="5"/>
  <c r="AH192" i="5"/>
  <c r="AF192" i="5"/>
  <c r="AG193" i="5"/>
  <c r="AG194" i="5" l="1"/>
  <c r="AF193" i="5"/>
  <c r="AH193" i="5"/>
  <c r="X193" i="5"/>
  <c r="U181" i="5"/>
  <c r="T180" i="5"/>
  <c r="X192" i="5"/>
  <c r="AG195" i="5" l="1"/>
  <c r="AH194" i="5"/>
  <c r="AF194" i="5"/>
  <c r="X194" i="5"/>
  <c r="U182" i="5"/>
  <c r="T181" i="5"/>
  <c r="U183" i="5" l="1"/>
  <c r="T182" i="5"/>
  <c r="AG196" i="5"/>
  <c r="AH195" i="5"/>
  <c r="AF195" i="5"/>
  <c r="X195" i="5" l="1"/>
  <c r="AH196" i="5"/>
  <c r="X196" i="5"/>
  <c r="AF196" i="5"/>
  <c r="AG197" i="5"/>
  <c r="T183" i="5"/>
  <c r="U184" i="5"/>
  <c r="T184" i="5" l="1"/>
  <c r="U185" i="5"/>
  <c r="AG198" i="5"/>
  <c r="AF197" i="5"/>
  <c r="AH197" i="5"/>
  <c r="X197" i="5" l="1"/>
  <c r="AH198" i="5"/>
  <c r="X198" i="5"/>
  <c r="AF198" i="5"/>
  <c r="AG199" i="5"/>
  <c r="T185" i="5"/>
  <c r="U186" i="5"/>
  <c r="U187" i="5" l="1"/>
  <c r="T186" i="5"/>
  <c r="AG200" i="5"/>
  <c r="AF199" i="5"/>
  <c r="AH199" i="5"/>
  <c r="X199" i="5"/>
  <c r="AH200" i="5" l="1"/>
  <c r="AG201" i="5"/>
  <c r="AF200" i="5"/>
  <c r="U188" i="5"/>
  <c r="T187" i="5"/>
  <c r="AG202" i="5" l="1"/>
  <c r="AF201" i="5"/>
  <c r="X201" i="5"/>
  <c r="AH201" i="5"/>
  <c r="T188" i="5"/>
  <c r="U189" i="5"/>
  <c r="X200" i="5"/>
  <c r="T189" i="5" l="1"/>
  <c r="U190" i="5"/>
  <c r="AH202" i="5"/>
  <c r="X202" i="5"/>
  <c r="AF202" i="5"/>
  <c r="AG203" i="5"/>
  <c r="U191" i="5" l="1"/>
  <c r="T190" i="5"/>
  <c r="AG204" i="5"/>
  <c r="AF203" i="5"/>
  <c r="AH203" i="5"/>
  <c r="X203" i="5"/>
  <c r="AH204" i="5" l="1"/>
  <c r="AF204" i="5"/>
  <c r="AG205" i="5"/>
  <c r="U192" i="5"/>
  <c r="T191" i="5"/>
  <c r="U193" i="5" l="1"/>
  <c r="T192" i="5"/>
  <c r="X204" i="5"/>
  <c r="AG206" i="5"/>
  <c r="AF205" i="5"/>
  <c r="AH205" i="5"/>
  <c r="X205" i="5"/>
  <c r="U194" i="5" l="1"/>
  <c r="T193" i="5"/>
  <c r="AH206" i="5"/>
  <c r="X206" i="5"/>
  <c r="AF206" i="5"/>
  <c r="AG207" i="5"/>
  <c r="AG208" i="5" l="1"/>
  <c r="AF207" i="5"/>
  <c r="AH207" i="5"/>
  <c r="X207" i="5"/>
  <c r="U195" i="5"/>
  <c r="T194" i="5"/>
  <c r="T195" i="5" l="1"/>
  <c r="U196" i="5"/>
  <c r="AH208" i="5"/>
  <c r="X208" i="5"/>
  <c r="AG209" i="5"/>
  <c r="AF208" i="5"/>
  <c r="AG210" i="5" l="1"/>
  <c r="AF209" i="5"/>
  <c r="X209" i="5"/>
  <c r="AH209" i="5"/>
  <c r="U197" i="5"/>
  <c r="T196" i="5"/>
  <c r="U198" i="5" l="1"/>
  <c r="T197" i="5"/>
  <c r="AH210" i="5"/>
  <c r="AF210" i="5"/>
  <c r="AG211" i="5"/>
  <c r="U199" i="5" l="1"/>
  <c r="T198" i="5"/>
  <c r="X210" i="5"/>
  <c r="AG212" i="5"/>
  <c r="AF211" i="5"/>
  <c r="AH211" i="5"/>
  <c r="X211" i="5"/>
  <c r="AH212" i="5" l="1"/>
  <c r="X212" i="5"/>
  <c r="AF212" i="5"/>
  <c r="AG213" i="5"/>
  <c r="T199" i="5"/>
  <c r="U200" i="5"/>
  <c r="AG214" i="5" l="1"/>
  <c r="AF213" i="5"/>
  <c r="AH213" i="5"/>
  <c r="U201" i="5"/>
  <c r="T200" i="5"/>
  <c r="T201" i="5" l="1"/>
  <c r="U202" i="5"/>
  <c r="X213" i="5"/>
  <c r="AH214" i="5"/>
  <c r="AF214" i="5"/>
  <c r="AG215" i="5"/>
  <c r="AG216" i="5" l="1"/>
  <c r="AF215" i="5"/>
  <c r="AH215" i="5"/>
  <c r="X215" i="5"/>
  <c r="U203" i="5"/>
  <c r="T202" i="5"/>
  <c r="X214" i="5"/>
  <c r="AH216" i="5" l="1"/>
  <c r="AG217" i="5"/>
  <c r="AF216" i="5"/>
  <c r="T203" i="5"/>
  <c r="U204" i="5"/>
  <c r="U205" i="5" l="1"/>
  <c r="T204" i="5"/>
  <c r="X216" i="5"/>
  <c r="AG218" i="5"/>
  <c r="AF217" i="5"/>
  <c r="AH217" i="5"/>
  <c r="U206" i="5" l="1"/>
  <c r="T205" i="5"/>
  <c r="AH218" i="5"/>
  <c r="X218" i="5"/>
  <c r="AF218" i="5"/>
  <c r="AG219" i="5"/>
  <c r="X217" i="5"/>
  <c r="AG220" i="5" l="1"/>
  <c r="AF219" i="5"/>
  <c r="AH219" i="5"/>
  <c r="X219" i="5"/>
  <c r="U207" i="5"/>
  <c r="T206" i="5"/>
  <c r="AH220" i="5" l="1"/>
  <c r="AF220" i="5"/>
  <c r="AG221" i="5"/>
  <c r="T207" i="5"/>
  <c r="U208" i="5"/>
  <c r="X220" i="5" l="1"/>
  <c r="U209" i="5"/>
  <c r="T208" i="5"/>
  <c r="AG222" i="5"/>
  <c r="AF221" i="5"/>
  <c r="AH221" i="5"/>
  <c r="X221" i="5"/>
  <c r="AH222" i="5" l="1"/>
  <c r="AF222" i="5"/>
  <c r="AG223" i="5"/>
  <c r="T209" i="5"/>
  <c r="U210" i="5"/>
  <c r="AG224" i="5" l="1"/>
  <c r="AF223" i="5"/>
  <c r="AH223" i="5"/>
  <c r="U211" i="5"/>
  <c r="T210" i="5"/>
  <c r="X222" i="5"/>
  <c r="T211" i="5" l="1"/>
  <c r="U212" i="5"/>
  <c r="X223" i="5"/>
  <c r="AH224" i="5"/>
  <c r="X224" i="5"/>
  <c r="AG225" i="5"/>
  <c r="AF224" i="5"/>
  <c r="AG226" i="5" l="1"/>
  <c r="AF225" i="5"/>
  <c r="X225" i="5"/>
  <c r="AH225" i="5"/>
  <c r="U213" i="5"/>
  <c r="T212" i="5"/>
  <c r="U214" i="5" l="1"/>
  <c r="T213" i="5"/>
  <c r="AH226" i="5"/>
  <c r="AF226" i="5"/>
  <c r="AG227" i="5"/>
  <c r="U215" i="5" l="1"/>
  <c r="T214" i="5"/>
  <c r="X226" i="5"/>
  <c r="AG228" i="5"/>
  <c r="AF227" i="5"/>
  <c r="AH227" i="5"/>
  <c r="X227" i="5"/>
  <c r="X228" i="5" l="1"/>
  <c r="AH228" i="5"/>
  <c r="AF228" i="5"/>
  <c r="AG229" i="5"/>
  <c r="T215" i="5"/>
  <c r="U216" i="5"/>
  <c r="AH229" i="5" l="1"/>
  <c r="AF229" i="5"/>
  <c r="AG230" i="5"/>
  <c r="U217" i="5"/>
  <c r="T216" i="5"/>
  <c r="T217" i="5" l="1"/>
  <c r="U218" i="5"/>
  <c r="X229" i="5"/>
  <c r="AG231" i="5"/>
  <c r="AF230" i="5"/>
  <c r="AH230" i="5"/>
  <c r="X230" i="5"/>
  <c r="AH231" i="5" l="1"/>
  <c r="AF231" i="5"/>
  <c r="AG232" i="5"/>
  <c r="U219" i="5"/>
  <c r="T218" i="5"/>
  <c r="X231" i="5" l="1"/>
  <c r="AG233" i="5"/>
  <c r="AH232" i="5"/>
  <c r="AF232" i="5"/>
  <c r="X232" i="5"/>
  <c r="T219" i="5"/>
  <c r="U220" i="5"/>
  <c r="U221" i="5" l="1"/>
  <c r="T220" i="5"/>
  <c r="AH233" i="5"/>
  <c r="X233" i="5"/>
  <c r="AG234" i="5"/>
  <c r="AF233" i="5"/>
  <c r="AG235" i="5" l="1"/>
  <c r="AF234" i="5"/>
  <c r="X234" i="5"/>
  <c r="AH234" i="5"/>
  <c r="U222" i="5"/>
  <c r="T221" i="5"/>
  <c r="U223" i="5" l="1"/>
  <c r="T222" i="5"/>
  <c r="AF235" i="5"/>
  <c r="X235" i="5"/>
  <c r="AG236" i="5"/>
  <c r="AH235" i="5"/>
  <c r="AG237" i="5" l="1"/>
  <c r="AH236" i="5"/>
  <c r="AF236" i="5"/>
  <c r="T223" i="5"/>
  <c r="U224" i="5"/>
  <c r="AH237" i="5" l="1"/>
  <c r="AF237" i="5"/>
  <c r="AG238" i="5"/>
  <c r="U225" i="5"/>
  <c r="T224" i="5"/>
  <c r="X236" i="5"/>
  <c r="AG239" i="5" l="1"/>
  <c r="AF238" i="5"/>
  <c r="X238" i="5"/>
  <c r="AH238" i="5"/>
  <c r="T225" i="5"/>
  <c r="U226" i="5"/>
  <c r="X237" i="5"/>
  <c r="U227" i="5" l="1"/>
  <c r="T226" i="5"/>
  <c r="AG240" i="5"/>
  <c r="AH239" i="5"/>
  <c r="AF239" i="5"/>
  <c r="X239" i="5" l="1"/>
  <c r="AF240" i="5"/>
  <c r="AG241" i="5"/>
  <c r="AH240" i="5"/>
  <c r="T227" i="5"/>
  <c r="U228" i="5"/>
  <c r="X240" i="5" l="1"/>
  <c r="T228" i="5"/>
  <c r="U229" i="5"/>
  <c r="AH241" i="5"/>
  <c r="AG242" i="5"/>
  <c r="AF241" i="5"/>
  <c r="U230" i="5" l="1"/>
  <c r="T229" i="5"/>
  <c r="AG243" i="5"/>
  <c r="AF242" i="5"/>
  <c r="AH242" i="5"/>
  <c r="X241" i="5"/>
  <c r="X242" i="5" l="1"/>
  <c r="AG244" i="5"/>
  <c r="AH243" i="5"/>
  <c r="AF243" i="5"/>
  <c r="U231" i="5"/>
  <c r="T230" i="5"/>
  <c r="U232" i="5" l="1"/>
  <c r="T231" i="5"/>
  <c r="AG245" i="5"/>
  <c r="AH244" i="5"/>
  <c r="AF244" i="5"/>
  <c r="X243" i="5"/>
  <c r="AH245" i="5" l="1"/>
  <c r="AF245" i="5"/>
  <c r="AG246" i="5"/>
  <c r="X244" i="5"/>
  <c r="T232" i="5"/>
  <c r="U233" i="5"/>
  <c r="U234" i="5" l="1"/>
  <c r="T233" i="5"/>
  <c r="X245" i="5"/>
  <c r="AG247" i="5"/>
  <c r="AF246" i="5"/>
  <c r="AH246" i="5"/>
  <c r="X246" i="5"/>
  <c r="T234" i="5" l="1"/>
  <c r="U235" i="5"/>
  <c r="AG248" i="5"/>
  <c r="AF247" i="5"/>
  <c r="AH247" i="5"/>
  <c r="X247" i="5"/>
  <c r="U236" i="5" l="1"/>
  <c r="T235" i="5"/>
  <c r="AG249" i="5"/>
  <c r="AH248" i="5"/>
  <c r="AF248" i="5"/>
  <c r="X248" i="5"/>
  <c r="AH249" i="5" l="1"/>
  <c r="AG250" i="5"/>
  <c r="AF249" i="5"/>
  <c r="U237" i="5"/>
  <c r="T236" i="5"/>
  <c r="AG251" i="5" l="1"/>
  <c r="AF250" i="5"/>
  <c r="X250" i="5"/>
  <c r="AH250" i="5"/>
  <c r="T237" i="5"/>
  <c r="U238" i="5"/>
  <c r="X249" i="5"/>
  <c r="U239" i="5" l="1"/>
  <c r="T238" i="5"/>
  <c r="AF251" i="5"/>
  <c r="X251" i="5"/>
  <c r="AG252" i="5"/>
  <c r="AH251" i="5"/>
  <c r="X252" i="5" l="1"/>
  <c r="AF252" i="5"/>
  <c r="AG253" i="5"/>
  <c r="AH252" i="5"/>
  <c r="U240" i="5"/>
  <c r="T239" i="5"/>
  <c r="U241" i="5" l="1"/>
  <c r="T240" i="5"/>
  <c r="X253" i="5"/>
  <c r="AH253" i="5"/>
  <c r="AF253" i="5"/>
  <c r="AG254" i="5"/>
  <c r="AH254" i="5" l="1"/>
  <c r="AF254" i="5"/>
  <c r="AG255" i="5"/>
  <c r="U242" i="5"/>
  <c r="T241" i="5"/>
  <c r="T242" i="5" l="1"/>
  <c r="U243" i="5"/>
  <c r="X254" i="5"/>
  <c r="AG256" i="5"/>
  <c r="AF255" i="5"/>
  <c r="AH255" i="5"/>
  <c r="X255" i="5"/>
  <c r="AH256" i="5" l="1"/>
  <c r="X256" i="5"/>
  <c r="AG257" i="5"/>
  <c r="AF256" i="5"/>
  <c r="U244" i="5"/>
  <c r="T243" i="5"/>
  <c r="AF257" i="5" l="1"/>
  <c r="AG258" i="5"/>
  <c r="X257" i="5"/>
  <c r="AH257" i="5"/>
  <c r="U245" i="5"/>
  <c r="T244" i="5"/>
  <c r="U246" i="5" l="1"/>
  <c r="T245" i="5"/>
  <c r="AH258" i="5"/>
  <c r="X258" i="5"/>
  <c r="AF258" i="5"/>
  <c r="AG259" i="5"/>
  <c r="AG260" i="5" l="1"/>
  <c r="AF259" i="5"/>
  <c r="AH259" i="5"/>
  <c r="X259" i="5"/>
  <c r="U247" i="5"/>
  <c r="T246" i="5"/>
  <c r="U248" i="5" l="1"/>
  <c r="T247" i="5"/>
  <c r="AG261" i="5"/>
  <c r="AH260" i="5"/>
  <c r="AF260" i="5"/>
  <c r="X260" i="5" l="1"/>
  <c r="AH261" i="5"/>
  <c r="AG262" i="5"/>
  <c r="AF261" i="5"/>
  <c r="T248" i="5"/>
  <c r="U249" i="5"/>
  <c r="T249" i="5" l="1"/>
  <c r="U250" i="5"/>
  <c r="AH262" i="5"/>
  <c r="X262" i="5"/>
  <c r="AF262" i="5"/>
  <c r="AG263" i="5"/>
  <c r="X261" i="5"/>
  <c r="AG264" i="5" l="1"/>
  <c r="AF263" i="5"/>
  <c r="AH263" i="5"/>
  <c r="T250" i="5"/>
  <c r="U251" i="5"/>
  <c r="U252" i="5" l="1"/>
  <c r="T251" i="5"/>
  <c r="X263" i="5"/>
  <c r="AF264" i="5"/>
  <c r="AH264" i="5"/>
  <c r="AG265" i="5"/>
  <c r="AG266" i="5" l="1"/>
  <c r="AH265" i="5"/>
  <c r="AF265" i="5"/>
  <c r="X265" i="5"/>
  <c r="X264" i="5"/>
  <c r="T252" i="5"/>
  <c r="U253" i="5"/>
  <c r="T253" i="5" l="1"/>
  <c r="U254" i="5"/>
  <c r="AH266" i="5"/>
  <c r="AG267" i="5"/>
  <c r="AF266" i="5"/>
  <c r="T254" i="5" l="1"/>
  <c r="U255" i="5"/>
  <c r="X266" i="5"/>
  <c r="AG268" i="5"/>
  <c r="AF267" i="5"/>
  <c r="X267" i="5"/>
  <c r="AH267" i="5"/>
  <c r="AF268" i="5" l="1"/>
  <c r="AG269" i="5"/>
  <c r="AH268" i="5"/>
  <c r="T255" i="5"/>
  <c r="U256" i="5"/>
  <c r="X268" i="5" l="1"/>
  <c r="AF269" i="5"/>
  <c r="X269" i="5"/>
  <c r="AG270" i="5"/>
  <c r="AH269" i="5"/>
  <c r="U257" i="5"/>
  <c r="T256" i="5"/>
  <c r="U258" i="5" l="1"/>
  <c r="T257" i="5"/>
  <c r="AH270" i="5"/>
  <c r="X270" i="5"/>
  <c r="AF270" i="5"/>
  <c r="AG271" i="5"/>
  <c r="U259" i="5" l="1"/>
  <c r="T258" i="5"/>
  <c r="AG272" i="5"/>
  <c r="AF271" i="5"/>
  <c r="AH271" i="5"/>
  <c r="X271" i="5"/>
  <c r="AG273" i="5" l="1"/>
  <c r="AH272" i="5"/>
  <c r="X272" i="5"/>
  <c r="AF272" i="5"/>
  <c r="T259" i="5"/>
  <c r="U260" i="5"/>
  <c r="U261" i="5" l="1"/>
  <c r="T260" i="5"/>
  <c r="AF273" i="5"/>
  <c r="AH273" i="5"/>
  <c r="AG274" i="5"/>
  <c r="AH274" i="5" l="1"/>
  <c r="AF274" i="5"/>
  <c r="AG275" i="5"/>
  <c r="X273" i="5"/>
  <c r="U262" i="5"/>
  <c r="T261" i="5"/>
  <c r="U263" i="5" l="1"/>
  <c r="T262" i="5"/>
  <c r="AG276" i="5"/>
  <c r="AF275" i="5"/>
  <c r="AH275" i="5"/>
  <c r="X275" i="5"/>
  <c r="X274" i="5"/>
  <c r="AG277" i="5" l="1"/>
  <c r="AH276" i="5"/>
  <c r="X276" i="5"/>
  <c r="AF276" i="5"/>
  <c r="U264" i="5"/>
  <c r="T263" i="5"/>
  <c r="U265" i="5" l="1"/>
  <c r="T264" i="5"/>
  <c r="AG278" i="5"/>
  <c r="AH277" i="5"/>
  <c r="AF277" i="5"/>
  <c r="AH278" i="5" l="1"/>
  <c r="AG279" i="5"/>
  <c r="AF278" i="5"/>
  <c r="X277" i="5"/>
  <c r="T265" i="5"/>
  <c r="U266" i="5"/>
  <c r="U267" i="5" l="1"/>
  <c r="T266" i="5"/>
  <c r="AG280" i="5"/>
  <c r="AF279" i="5"/>
  <c r="AH279" i="5"/>
  <c r="X278" i="5"/>
  <c r="AF280" i="5" l="1"/>
  <c r="AG281" i="5"/>
  <c r="AH280" i="5"/>
  <c r="X279" i="5"/>
  <c r="U268" i="5"/>
  <c r="T267" i="5"/>
  <c r="U269" i="5" l="1"/>
  <c r="T268" i="5"/>
  <c r="AG282" i="5"/>
  <c r="AH281" i="5"/>
  <c r="AF281" i="5"/>
  <c r="X280" i="5"/>
  <c r="X281" i="5" l="1"/>
  <c r="AH282" i="5"/>
  <c r="X282" i="5"/>
  <c r="AG283" i="5"/>
  <c r="AF282" i="5"/>
  <c r="U270" i="5"/>
  <c r="T269" i="5"/>
  <c r="AG284" i="5" l="1"/>
  <c r="AF283" i="5"/>
  <c r="X283" i="5"/>
  <c r="AH283" i="5"/>
  <c r="T270" i="5"/>
  <c r="U271" i="5"/>
  <c r="T271" i="5" l="1"/>
  <c r="U272" i="5"/>
  <c r="AG285" i="5"/>
  <c r="AF284" i="5"/>
  <c r="AH284" i="5"/>
  <c r="AG286" i="5" l="1"/>
  <c r="AF285" i="5"/>
  <c r="AH285" i="5"/>
  <c r="X284" i="5"/>
  <c r="U273" i="5"/>
  <c r="T272" i="5"/>
  <c r="U274" i="5" l="1"/>
  <c r="T273" i="5"/>
  <c r="X285" i="5"/>
  <c r="AG287" i="5"/>
  <c r="AH286" i="5"/>
  <c r="AF286" i="5"/>
  <c r="X286" i="5"/>
  <c r="AH287" i="5" l="1"/>
  <c r="AF287" i="5"/>
  <c r="AG288" i="5"/>
  <c r="X287" i="5"/>
  <c r="U275" i="5"/>
  <c r="T274" i="5"/>
  <c r="AH288" i="5" l="1"/>
  <c r="AF288" i="5"/>
  <c r="AG289" i="5"/>
  <c r="U276" i="5"/>
  <c r="T275" i="5"/>
  <c r="AG290" i="5" l="1"/>
  <c r="AF289" i="5"/>
  <c r="X289" i="5"/>
  <c r="AH289" i="5"/>
  <c r="U277" i="5"/>
  <c r="T276" i="5"/>
  <c r="X288" i="5"/>
  <c r="T277" i="5" l="1"/>
  <c r="U278" i="5"/>
  <c r="AG291" i="5"/>
  <c r="AF290" i="5"/>
  <c r="AH290" i="5"/>
  <c r="AG292" i="5" l="1"/>
  <c r="AH291" i="5"/>
  <c r="AF291" i="5"/>
  <c r="X290" i="5"/>
  <c r="U279" i="5"/>
  <c r="T278" i="5"/>
  <c r="U280" i="5" l="1"/>
  <c r="T279" i="5"/>
  <c r="X291" i="5"/>
  <c r="AH292" i="5"/>
  <c r="AG293" i="5"/>
  <c r="AF292" i="5"/>
  <c r="AG294" i="5" l="1"/>
  <c r="AF293" i="5"/>
  <c r="X293" i="5"/>
  <c r="AH293" i="5"/>
  <c r="X292" i="5"/>
  <c r="U281" i="5"/>
  <c r="T280" i="5"/>
  <c r="T281" i="5" l="1"/>
  <c r="U282" i="5"/>
  <c r="AF294" i="5"/>
  <c r="AH294" i="5"/>
  <c r="AG295" i="5"/>
  <c r="X294" i="5" l="1"/>
  <c r="X295" i="5"/>
  <c r="AH295" i="5"/>
  <c r="AG296" i="5"/>
  <c r="AF295" i="5"/>
  <c r="T282" i="5"/>
  <c r="U283" i="5"/>
  <c r="U284" i="5" l="1"/>
  <c r="T283" i="5"/>
  <c r="AH296" i="5"/>
  <c r="X296" i="5"/>
  <c r="AF296" i="5"/>
  <c r="AG297" i="5"/>
  <c r="AG298" i="5" l="1"/>
  <c r="AF297" i="5"/>
  <c r="AH297" i="5"/>
  <c r="U285" i="5"/>
  <c r="T284" i="5"/>
  <c r="T285" i="5" l="1"/>
  <c r="U286" i="5"/>
  <c r="X297" i="5"/>
  <c r="AH298" i="5"/>
  <c r="X298" i="5"/>
  <c r="AF298" i="5"/>
  <c r="AG299" i="5"/>
  <c r="AG300" i="5" l="1"/>
  <c r="AF299" i="5"/>
  <c r="AH299" i="5"/>
  <c r="U287" i="5"/>
  <c r="T286" i="5"/>
  <c r="T287" i="5" l="1"/>
  <c r="U288" i="5"/>
  <c r="X299" i="5"/>
  <c r="AH300" i="5"/>
  <c r="X300" i="5"/>
  <c r="AG301" i="5"/>
  <c r="AF300" i="5"/>
  <c r="AG302" i="5" l="1"/>
  <c r="AF301" i="5"/>
  <c r="X301" i="5"/>
  <c r="AH301" i="5"/>
  <c r="U289" i="5"/>
  <c r="T288" i="5"/>
  <c r="U290" i="5" l="1"/>
  <c r="T289" i="5"/>
  <c r="AF302" i="5"/>
  <c r="X302" i="5"/>
  <c r="AG303" i="5"/>
  <c r="AH302" i="5"/>
  <c r="AG304" i="5" l="1"/>
  <c r="AH303" i="5"/>
  <c r="AF303" i="5"/>
  <c r="U291" i="5"/>
  <c r="T290" i="5"/>
  <c r="T291" i="5" l="1"/>
  <c r="U292" i="5"/>
  <c r="AH304" i="5"/>
  <c r="X304" i="5"/>
  <c r="AF304" i="5"/>
  <c r="AG305" i="5"/>
  <c r="X303" i="5"/>
  <c r="T292" i="5" l="1"/>
  <c r="U293" i="5"/>
  <c r="AG306" i="5"/>
  <c r="AF305" i="5"/>
  <c r="AH305" i="5"/>
  <c r="X305" i="5"/>
  <c r="T293" i="5" l="1"/>
  <c r="U294" i="5"/>
  <c r="AG307" i="5"/>
  <c r="AF306" i="5"/>
  <c r="AH306" i="5"/>
  <c r="X306" i="5"/>
  <c r="U295" i="5" l="1"/>
  <c r="T294" i="5"/>
  <c r="AF307" i="5"/>
  <c r="AG308" i="5"/>
  <c r="AH307" i="5"/>
  <c r="X307" i="5" l="1"/>
  <c r="AH308" i="5"/>
  <c r="X308" i="5"/>
  <c r="AG309" i="5"/>
  <c r="AF308" i="5"/>
  <c r="U296" i="5"/>
  <c r="T295" i="5"/>
  <c r="AG310" i="5" l="1"/>
  <c r="AF309" i="5"/>
  <c r="AH309" i="5"/>
  <c r="X309" i="5"/>
  <c r="T296" i="5"/>
  <c r="U297" i="5"/>
  <c r="T297" i="5" l="1"/>
  <c r="U298" i="5"/>
  <c r="AG311" i="5"/>
  <c r="AH310" i="5"/>
  <c r="AF310" i="5"/>
  <c r="X310" i="5"/>
  <c r="AF311" i="5" l="1"/>
  <c r="AG312" i="5"/>
  <c r="AH311" i="5"/>
  <c r="U299" i="5"/>
  <c r="T298" i="5"/>
  <c r="AH312" i="5" l="1"/>
  <c r="AF312" i="5"/>
  <c r="AG313" i="5"/>
  <c r="U300" i="5"/>
  <c r="T299" i="5"/>
  <c r="X311" i="5"/>
  <c r="AG314" i="5" l="1"/>
  <c r="AF313" i="5"/>
  <c r="AH313" i="5"/>
  <c r="T300" i="5"/>
  <c r="U301" i="5"/>
  <c r="X312" i="5"/>
  <c r="T301" i="5" l="1"/>
  <c r="U302" i="5"/>
  <c r="X313" i="5"/>
  <c r="AF314" i="5"/>
  <c r="AG315" i="5"/>
  <c r="AH314" i="5"/>
  <c r="X314" i="5" l="1"/>
  <c r="U303" i="5"/>
  <c r="T302" i="5"/>
  <c r="AG316" i="5"/>
  <c r="AH315" i="5"/>
  <c r="AF315" i="5"/>
  <c r="X315" i="5"/>
  <c r="U304" i="5" l="1"/>
  <c r="T303" i="5"/>
  <c r="AH316" i="5"/>
  <c r="X316" i="5"/>
  <c r="AG317" i="5"/>
  <c r="AF316" i="5"/>
  <c r="AG318" i="5" l="1"/>
  <c r="AF317" i="5"/>
  <c r="X317" i="5"/>
  <c r="AH317" i="5"/>
  <c r="T304" i="5"/>
  <c r="U305" i="5"/>
  <c r="U306" i="5" l="1"/>
  <c r="T305" i="5"/>
  <c r="AF318" i="5"/>
  <c r="X318" i="5"/>
  <c r="AG319" i="5"/>
  <c r="AH318" i="5"/>
  <c r="AH319" i="5" l="1"/>
  <c r="AF319" i="5"/>
  <c r="AG320" i="5"/>
  <c r="U307" i="5"/>
  <c r="T306" i="5"/>
  <c r="U308" i="5" l="1"/>
  <c r="T307" i="5"/>
  <c r="AH320" i="5"/>
  <c r="X320" i="5"/>
  <c r="AF320" i="5"/>
  <c r="AG321" i="5"/>
  <c r="X319" i="5"/>
  <c r="AG322" i="5" l="1"/>
  <c r="AF321" i="5"/>
  <c r="AH321" i="5"/>
  <c r="X321" i="5"/>
  <c r="T308" i="5"/>
  <c r="U309" i="5"/>
  <c r="T309" i="5" l="1"/>
  <c r="U310" i="5"/>
  <c r="AH322" i="5"/>
  <c r="AF322" i="5"/>
  <c r="AG323" i="5"/>
  <c r="U311" i="5" l="1"/>
  <c r="T310" i="5"/>
  <c r="AF323" i="5"/>
  <c r="AG324" i="5"/>
  <c r="AH323" i="5"/>
  <c r="X322" i="5"/>
  <c r="X323" i="5" l="1"/>
  <c r="AH324" i="5"/>
  <c r="X324" i="5"/>
  <c r="AG325" i="5"/>
  <c r="AF324" i="5"/>
  <c r="T311" i="5"/>
  <c r="U312" i="5"/>
  <c r="U313" i="5" l="1"/>
  <c r="T312" i="5"/>
  <c r="AG326" i="5"/>
  <c r="AF325" i="5"/>
  <c r="AH325" i="5"/>
  <c r="AH326" i="5" l="1"/>
  <c r="AF326" i="5"/>
  <c r="AG327" i="5"/>
  <c r="U314" i="5"/>
  <c r="T313" i="5"/>
  <c r="X325" i="5"/>
  <c r="AG328" i="5" l="1"/>
  <c r="AF327" i="5"/>
  <c r="AH327" i="5"/>
  <c r="X327" i="5"/>
  <c r="U315" i="5"/>
  <c r="T314" i="5"/>
  <c r="X326" i="5"/>
  <c r="AH328" i="5" l="1"/>
  <c r="AG329" i="5"/>
  <c r="AF328" i="5"/>
  <c r="T315" i="5"/>
  <c r="U316" i="5"/>
  <c r="AG330" i="5" l="1"/>
  <c r="AF329" i="5"/>
  <c r="X329" i="5"/>
  <c r="AH329" i="5"/>
  <c r="X328" i="5"/>
  <c r="T316" i="5"/>
  <c r="U317" i="5"/>
  <c r="AH330" i="5" l="1"/>
  <c r="AF330" i="5"/>
  <c r="AG331" i="5"/>
  <c r="T317" i="5"/>
  <c r="U318" i="5"/>
  <c r="X330" i="5" l="1"/>
  <c r="U319" i="5"/>
  <c r="T318" i="5"/>
  <c r="AG332" i="5"/>
  <c r="AF331" i="5"/>
  <c r="AH331" i="5"/>
  <c r="X331" i="5"/>
  <c r="AG333" i="5" l="1"/>
  <c r="AF332" i="5"/>
  <c r="AH332" i="5"/>
  <c r="T319" i="5"/>
  <c r="U320" i="5"/>
  <c r="X332" i="5" l="1"/>
  <c r="T320" i="5"/>
  <c r="U321" i="5"/>
  <c r="AG334" i="5"/>
  <c r="AH333" i="5"/>
  <c r="AF333" i="5"/>
  <c r="X333" i="5"/>
  <c r="U322" i="5" l="1"/>
  <c r="T321" i="5"/>
  <c r="AH334" i="5"/>
  <c r="X334" i="5"/>
  <c r="AG335" i="5"/>
  <c r="AF334" i="5"/>
  <c r="AG336" i="5" l="1"/>
  <c r="AF335" i="5"/>
  <c r="X335" i="5"/>
  <c r="AH335" i="5"/>
  <c r="U323" i="5"/>
  <c r="T322" i="5"/>
  <c r="U324" i="5" l="1"/>
  <c r="T323" i="5"/>
  <c r="AF336" i="5"/>
  <c r="X336" i="5"/>
  <c r="AG337" i="5"/>
  <c r="AH336" i="5"/>
  <c r="AH337" i="5" l="1"/>
  <c r="AG338" i="5"/>
  <c r="AF337" i="5"/>
  <c r="U325" i="5"/>
  <c r="T324" i="5"/>
  <c r="U326" i="5" l="1"/>
  <c r="T325" i="5"/>
  <c r="AH338" i="5"/>
  <c r="X338" i="5"/>
  <c r="AF338" i="5"/>
  <c r="AG339" i="5"/>
  <c r="X337" i="5"/>
  <c r="AG340" i="5" l="1"/>
  <c r="AF339" i="5"/>
  <c r="X339" i="5"/>
  <c r="AH339" i="5"/>
  <c r="U327" i="5"/>
  <c r="T326" i="5"/>
  <c r="T327" i="5" l="1"/>
  <c r="U328" i="5"/>
  <c r="AH340" i="5"/>
  <c r="X340" i="5"/>
  <c r="AF340" i="5"/>
  <c r="AG341" i="5"/>
  <c r="AF341" i="5" l="1"/>
  <c r="AG342" i="5"/>
  <c r="AH341" i="5"/>
  <c r="X341" i="5"/>
  <c r="U329" i="5"/>
  <c r="T328" i="5"/>
  <c r="U330" i="5" l="1"/>
  <c r="T329" i="5"/>
  <c r="AH342" i="5"/>
  <c r="X342" i="5"/>
  <c r="AG343" i="5"/>
  <c r="AF342" i="5"/>
  <c r="AG344" i="5" l="1"/>
  <c r="AF343" i="5"/>
  <c r="AH343" i="5"/>
  <c r="U331" i="5"/>
  <c r="T330" i="5"/>
  <c r="U332" i="5" l="1"/>
  <c r="T331" i="5"/>
  <c r="X343" i="5"/>
  <c r="AG345" i="5"/>
  <c r="AH344" i="5"/>
  <c r="AF344" i="5"/>
  <c r="U333" i="5" l="1"/>
  <c r="T332" i="5"/>
  <c r="X344" i="5"/>
  <c r="AG346" i="5"/>
  <c r="AF345" i="5"/>
  <c r="AH345" i="5"/>
  <c r="AG347" i="5" l="1"/>
  <c r="AF346" i="5"/>
  <c r="AH346" i="5"/>
  <c r="X345" i="5"/>
  <c r="T333" i="5"/>
  <c r="U334" i="5"/>
  <c r="X346" i="5" l="1"/>
  <c r="U335" i="5"/>
  <c r="T334" i="5"/>
  <c r="AG348" i="5"/>
  <c r="AF347" i="5"/>
  <c r="AH347" i="5"/>
  <c r="X347" i="5"/>
  <c r="T335" i="5" l="1"/>
  <c r="U336" i="5"/>
  <c r="AG349" i="5"/>
  <c r="AH348" i="5"/>
  <c r="X348" i="5"/>
  <c r="AF348" i="5"/>
  <c r="AH349" i="5" l="1"/>
  <c r="AG350" i="5"/>
  <c r="AF349" i="5"/>
  <c r="U337" i="5"/>
  <c r="T336" i="5"/>
  <c r="AG351" i="5" l="1"/>
  <c r="AF350" i="5"/>
  <c r="X350" i="5"/>
  <c r="AH350" i="5"/>
  <c r="U338" i="5"/>
  <c r="T337" i="5"/>
  <c r="X349" i="5"/>
  <c r="AF351" i="5" l="1"/>
  <c r="AH351" i="5"/>
  <c r="AG352" i="5"/>
  <c r="T338" i="5"/>
  <c r="U339" i="5"/>
  <c r="U340" i="5" l="1"/>
  <c r="T339" i="5"/>
  <c r="X351" i="5"/>
  <c r="X352" i="5"/>
  <c r="AH352" i="5"/>
  <c r="AF352" i="5"/>
  <c r="AG353" i="5"/>
  <c r="U341" i="5" l="1"/>
  <c r="T340" i="5"/>
  <c r="AH353" i="5"/>
  <c r="X353" i="5"/>
  <c r="AF353" i="5"/>
  <c r="AG354" i="5"/>
  <c r="AG355" i="5" l="1"/>
  <c r="AF354" i="5"/>
  <c r="AH354" i="5"/>
  <c r="X354" i="5"/>
  <c r="U342" i="5"/>
  <c r="T341" i="5"/>
  <c r="AH355" i="5" l="1"/>
  <c r="X355" i="5"/>
  <c r="AG356" i="5"/>
  <c r="AF355" i="5"/>
  <c r="T342" i="5"/>
  <c r="U343" i="5"/>
  <c r="AF356" i="5" l="1"/>
  <c r="AG357" i="5"/>
  <c r="X356" i="5"/>
  <c r="AH356" i="5"/>
  <c r="T343" i="5"/>
  <c r="U344" i="5"/>
  <c r="U345" i="5" l="1"/>
  <c r="T344" i="5"/>
  <c r="AH357" i="5"/>
  <c r="X357" i="5"/>
  <c r="AG358" i="5"/>
  <c r="AF357" i="5"/>
  <c r="AG359" i="5" l="1"/>
  <c r="AF358" i="5"/>
  <c r="AH358" i="5"/>
  <c r="X358" i="5"/>
  <c r="T345" i="5"/>
  <c r="U346" i="5"/>
  <c r="U347" i="5" l="1"/>
  <c r="T346" i="5"/>
  <c r="AG360" i="5"/>
  <c r="AH359" i="5"/>
  <c r="AF359" i="5"/>
  <c r="X359" i="5"/>
  <c r="U348" i="5" l="1"/>
  <c r="T347" i="5"/>
  <c r="AH360" i="5"/>
  <c r="AG361" i="5"/>
  <c r="X360" i="5"/>
  <c r="AF360" i="5"/>
  <c r="AH361" i="5" l="1"/>
  <c r="AF361" i="5"/>
  <c r="AG362" i="5"/>
  <c r="T348" i="5"/>
  <c r="U349" i="5"/>
  <c r="AG363" i="5" l="1"/>
  <c r="AF362" i="5"/>
  <c r="X362" i="5"/>
  <c r="AH362" i="5"/>
  <c r="T349" i="5"/>
  <c r="U350" i="5"/>
  <c r="X361" i="5"/>
  <c r="T350" i="5" l="1"/>
  <c r="U351" i="5"/>
  <c r="AF363" i="5"/>
  <c r="X363" i="5"/>
  <c r="AH363" i="5"/>
  <c r="AG364" i="5"/>
  <c r="AG365" i="5" l="1"/>
  <c r="AH364" i="5"/>
  <c r="AF364" i="5"/>
  <c r="U352" i="5"/>
  <c r="T351" i="5"/>
  <c r="U353" i="5" l="1"/>
  <c r="T352" i="5"/>
  <c r="X364" i="5"/>
  <c r="AH365" i="5"/>
  <c r="X365" i="5"/>
  <c r="AG366" i="5"/>
  <c r="AF365" i="5"/>
  <c r="T353" i="5" l="1"/>
  <c r="U354" i="5"/>
  <c r="AG367" i="5"/>
  <c r="AF366" i="5"/>
  <c r="AH366" i="5"/>
  <c r="X366" i="5"/>
  <c r="T354" i="5" l="1"/>
  <c r="U355" i="5"/>
  <c r="AH367" i="5"/>
  <c r="X367" i="5"/>
  <c r="AF367" i="5"/>
  <c r="AG368" i="5"/>
  <c r="AG369" i="5" l="1"/>
  <c r="AF368" i="5"/>
  <c r="AH368" i="5"/>
  <c r="X368" i="5"/>
  <c r="U356" i="5"/>
  <c r="T355" i="5"/>
  <c r="AH369" i="5" l="1"/>
  <c r="AG370" i="5"/>
  <c r="AF369" i="5"/>
  <c r="U357" i="5"/>
  <c r="T356" i="5"/>
  <c r="AG371" i="5" l="1"/>
  <c r="AF370" i="5"/>
  <c r="X370" i="5"/>
  <c r="AH370" i="5"/>
  <c r="U358" i="5"/>
  <c r="T357" i="5"/>
  <c r="X369" i="5"/>
  <c r="AH371" i="5" l="1"/>
  <c r="AG372" i="5"/>
  <c r="AF371" i="5"/>
  <c r="T358" i="5"/>
  <c r="U359" i="5"/>
  <c r="X371" i="5" l="1"/>
  <c r="AG373" i="5"/>
  <c r="AF372" i="5"/>
  <c r="AH372" i="5"/>
  <c r="U360" i="5"/>
  <c r="T359" i="5"/>
  <c r="U361" i="5" l="1"/>
  <c r="T360" i="5"/>
  <c r="X372" i="5"/>
  <c r="AH373" i="5"/>
  <c r="X373" i="5"/>
  <c r="AG374" i="5"/>
  <c r="AF373" i="5"/>
  <c r="U362" i="5" l="1"/>
  <c r="T361" i="5"/>
  <c r="AG375" i="5"/>
  <c r="AF374" i="5"/>
  <c r="AH374" i="5"/>
  <c r="AH375" i="5" l="1"/>
  <c r="AF375" i="5"/>
  <c r="AG376" i="5"/>
  <c r="X374" i="5"/>
  <c r="U363" i="5"/>
  <c r="T362" i="5"/>
  <c r="AG377" i="5" l="1"/>
  <c r="AF376" i="5"/>
  <c r="AH376" i="5"/>
  <c r="X376" i="5"/>
  <c r="U364" i="5"/>
  <c r="T363" i="5"/>
  <c r="X375" i="5"/>
  <c r="AH377" i="5" l="1"/>
  <c r="AG378" i="5"/>
  <c r="AF377" i="5"/>
  <c r="T364" i="5"/>
  <c r="U365" i="5"/>
  <c r="U366" i="5" l="1"/>
  <c r="T365" i="5"/>
  <c r="X377" i="5"/>
  <c r="AG379" i="5"/>
  <c r="AF378" i="5"/>
  <c r="AH378" i="5"/>
  <c r="AH379" i="5" l="1"/>
  <c r="AG380" i="5"/>
  <c r="AF379" i="5"/>
  <c r="X378" i="5"/>
  <c r="U367" i="5"/>
  <c r="T366" i="5"/>
  <c r="U368" i="5" l="1"/>
  <c r="T367" i="5"/>
  <c r="AG381" i="5"/>
  <c r="AF380" i="5"/>
  <c r="AH380" i="5"/>
  <c r="X379" i="5"/>
  <c r="U369" i="5" l="1"/>
  <c r="T368" i="5"/>
  <c r="X380" i="5"/>
  <c r="AH381" i="5"/>
  <c r="X381" i="5"/>
  <c r="AF381" i="5"/>
  <c r="AG382" i="5"/>
  <c r="AG383" i="5" l="1"/>
  <c r="AF382" i="5"/>
  <c r="AH382" i="5"/>
  <c r="X382" i="5"/>
  <c r="U370" i="5"/>
  <c r="T369" i="5"/>
  <c r="T370" i="5" l="1"/>
  <c r="U371" i="5"/>
  <c r="AH383" i="5"/>
  <c r="AF383" i="5"/>
  <c r="X383" i="5" l="1"/>
  <c r="U372" i="5"/>
  <c r="T371" i="5"/>
  <c r="T372" i="5" l="1"/>
  <c r="U373" i="5"/>
  <c r="U374" i="5" l="1"/>
  <c r="T373" i="5"/>
  <c r="U375" i="5" l="1"/>
  <c r="T374" i="5"/>
  <c r="U376" i="5" l="1"/>
  <c r="T375" i="5"/>
  <c r="T376" i="5" l="1"/>
  <c r="U377" i="5"/>
  <c r="U378" i="5" l="1"/>
  <c r="T377" i="5"/>
  <c r="U379" i="5" l="1"/>
  <c r="T378" i="5"/>
  <c r="U380" i="5" l="1"/>
  <c r="T379" i="5"/>
  <c r="T380" i="5" l="1"/>
  <c r="U381" i="5"/>
  <c r="U382" i="5" l="1"/>
  <c r="T381" i="5"/>
  <c r="T382" i="5" l="1"/>
  <c r="U383" i="5"/>
  <c r="T383" i="5" s="1"/>
  <c r="I17" i="5" l="1" a="1"/>
  <c r="I17" i="5" s="1"/>
  <c r="AP28" i="24" s="1"/>
  <c r="AV28" i="24" s="1"/>
  <c r="AX28" i="24" s="1"/>
  <c r="U28" i="24" s="1"/>
  <c r="F17" i="5" a="1"/>
  <c r="F17" i="5" s="1"/>
  <c r="F45" i="5" a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E45" i="5" a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I45" i="5" a="1"/>
  <c r="I45" i="5" s="1"/>
  <c r="AV56" i="24" s="1"/>
  <c r="AX56" i="24" s="1"/>
  <c r="U56" i="24" s="1"/>
  <c r="D45" i="5" a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E16" i="5" a="1"/>
  <c r="E16" i="5" s="1"/>
  <c r="E15" i="5" a="1"/>
  <c r="E15" i="5" s="1"/>
  <c r="E14" i="5" s="1"/>
  <c r="E13" i="5" s="1"/>
  <c r="E12" i="5" s="1"/>
  <c r="E17" i="5" a="1"/>
  <c r="E17" i="5" s="1"/>
  <c r="E19" i="5" a="1"/>
  <c r="E19" i="5" s="1"/>
  <c r="E18" i="5" a="1"/>
  <c r="E18" i="5" s="1"/>
  <c r="I18" i="5" a="1"/>
  <c r="I18" i="5" s="1"/>
  <c r="AP29" i="24" s="1"/>
  <c r="AV29" i="24" s="1"/>
  <c r="AX29" i="24" s="1"/>
  <c r="U29" i="24" s="1"/>
  <c r="D19" i="5" a="1"/>
  <c r="D19" i="5" s="1"/>
  <c r="I16" i="5" a="1"/>
  <c r="I16" i="5" s="1"/>
  <c r="F18" i="5" a="1"/>
  <c r="F18" i="5" s="1"/>
  <c r="F15" i="5" a="1"/>
  <c r="F15" i="5" s="1"/>
  <c r="F14" i="5" s="1"/>
  <c r="F13" i="5" s="1"/>
  <c r="F12" i="5" s="1"/>
  <c r="I19" i="5" a="1"/>
  <c r="I19" i="5" s="1"/>
  <c r="AP30" i="24" s="1"/>
  <c r="AV30" i="24" s="1"/>
  <c r="AX30" i="24" s="1"/>
  <c r="U30" i="24" s="1"/>
  <c r="D18" i="5" a="1"/>
  <c r="D18" i="5" s="1"/>
  <c r="F19" i="5" a="1"/>
  <c r="F19" i="5" s="1"/>
  <c r="F21" i="5" a="1"/>
  <c r="F21" i="5" s="1"/>
  <c r="D21" i="5" a="1"/>
  <c r="D21" i="5" s="1"/>
  <c r="D20" i="5" a="1"/>
  <c r="D20" i="5" s="1"/>
  <c r="F20" i="5" a="1"/>
  <c r="F20" i="5" s="1"/>
  <c r="F22" i="5" a="1"/>
  <c r="F22" i="5" s="1"/>
  <c r="I22" i="5" a="1"/>
  <c r="I22" i="5" s="1"/>
  <c r="AP33" i="24" s="1"/>
  <c r="AV33" i="24" s="1"/>
  <c r="AX33" i="24" s="1"/>
  <c r="U33" i="24" s="1"/>
  <c r="I20" i="5" a="1"/>
  <c r="I20" i="5" s="1"/>
  <c r="AP31" i="24" s="1"/>
  <c r="AV31" i="24" s="1"/>
  <c r="AX31" i="24" s="1"/>
  <c r="U31" i="24" s="1"/>
  <c r="E21" i="5" a="1"/>
  <c r="E21" i="5" s="1"/>
  <c r="E22" i="5" a="1"/>
  <c r="E22" i="5" s="1"/>
  <c r="E20" i="5" a="1"/>
  <c r="E20" i="5" s="1"/>
  <c r="I21" i="5" a="1"/>
  <c r="I21" i="5" s="1"/>
  <c r="AP32" i="24" s="1"/>
  <c r="AV32" i="24" s="1"/>
  <c r="AX32" i="24" s="1"/>
  <c r="U32" i="24" s="1"/>
  <c r="D22" i="5" a="1"/>
  <c r="D22" i="5" s="1"/>
  <c r="F23" i="5" a="1"/>
  <c r="F23" i="5" s="1"/>
  <c r="D23" i="5" a="1"/>
  <c r="D23" i="5" s="1"/>
  <c r="E26" i="5" a="1"/>
  <c r="E26" i="5" s="1"/>
  <c r="F24" i="5" a="1"/>
  <c r="F24" i="5" s="1"/>
  <c r="I23" i="5" a="1"/>
  <c r="I23" i="5" s="1"/>
  <c r="AP34" i="24" s="1"/>
  <c r="AV34" i="24" s="1"/>
  <c r="AX34" i="24" s="1"/>
  <c r="U34" i="24" s="1"/>
  <c r="E25" i="5" a="1"/>
  <c r="E25" i="5" s="1"/>
  <c r="I26" i="5" a="1"/>
  <c r="I26" i="5" s="1"/>
  <c r="AV37" i="24" s="1"/>
  <c r="AX37" i="24" s="1"/>
  <c r="U37" i="24" s="1"/>
  <c r="E23" i="5" a="1"/>
  <c r="E23" i="5" s="1"/>
  <c r="F27" i="5" a="1"/>
  <c r="F27" i="5" s="1"/>
  <c r="D25" i="5" a="1"/>
  <c r="D25" i="5" s="1"/>
  <c r="D27" i="5" a="1"/>
  <c r="D27" i="5" s="1"/>
  <c r="I25" i="5" a="1"/>
  <c r="I25" i="5" s="1"/>
  <c r="AP36" i="24" s="1"/>
  <c r="AV36" i="24" s="1"/>
  <c r="AX36" i="24" s="1"/>
  <c r="U36" i="24" s="1"/>
  <c r="D24" i="5" a="1"/>
  <c r="D24" i="5" s="1"/>
  <c r="F25" i="5" a="1"/>
  <c r="F25" i="5" s="1"/>
  <c r="D26" i="5" a="1"/>
  <c r="D26" i="5" s="1"/>
  <c r="E24" i="5" a="1"/>
  <c r="E24" i="5" s="1"/>
  <c r="AP35" i="24"/>
  <c r="AV35" i="24" s="1"/>
  <c r="AX35" i="24" s="1"/>
  <c r="U35" i="24" s="1"/>
  <c r="I27" i="5" a="1"/>
  <c r="I27" i="5" s="1"/>
  <c r="AP38" i="24" s="1"/>
  <c r="AV38" i="24" s="1"/>
  <c r="AX38" i="24" s="1"/>
  <c r="U38" i="24" s="1"/>
  <c r="D29" i="5" a="1"/>
  <c r="D29" i="5" s="1"/>
  <c r="F29" i="5" a="1"/>
  <c r="F29" i="5" s="1"/>
  <c r="D28" i="5" a="1"/>
  <c r="D28" i="5" s="1"/>
  <c r="F28" i="5" a="1"/>
  <c r="F28" i="5" s="1"/>
  <c r="I29" i="5" a="1"/>
  <c r="I29" i="5" s="1"/>
  <c r="AV40" i="24" s="1"/>
  <c r="AX40" i="24" s="1"/>
  <c r="U40" i="24" s="1"/>
  <c r="E27" i="5" a="1"/>
  <c r="E27" i="5" s="1"/>
  <c r="I28" i="5" a="1"/>
  <c r="I28" i="5" s="1"/>
  <c r="F26" i="5" a="1"/>
  <c r="F26" i="5" s="1"/>
  <c r="D30" i="5" a="1"/>
  <c r="D30" i="5" s="1"/>
  <c r="E30" i="5" a="1"/>
  <c r="E30" i="5" s="1"/>
  <c r="I30" i="5" a="1"/>
  <c r="I30" i="5" s="1"/>
  <c r="AV41" i="24" s="1"/>
  <c r="AX41" i="24" s="1"/>
  <c r="U41" i="24" s="1"/>
  <c r="F30" i="5" a="1"/>
  <c r="F30" i="5" s="1"/>
  <c r="E28" i="5" a="1"/>
  <c r="E28" i="5" s="1"/>
  <c r="F32" i="5" a="1"/>
  <c r="F32" i="5" s="1"/>
  <c r="E29" i="5" a="1"/>
  <c r="E29" i="5" s="1"/>
  <c r="D31" i="5" a="1"/>
  <c r="D31" i="5" s="1"/>
  <c r="E31" i="5" a="1"/>
  <c r="E31" i="5" s="1"/>
  <c r="I32" i="5" a="1"/>
  <c r="I32" i="5" s="1"/>
  <c r="AV43" i="24" s="1"/>
  <c r="AX43" i="24" s="1"/>
  <c r="U43" i="24" s="1"/>
  <c r="D32" i="5" a="1"/>
  <c r="D32" i="5" s="1"/>
  <c r="F31" i="5" a="1"/>
  <c r="F31" i="5" s="1"/>
  <c r="E32" i="5" a="1"/>
  <c r="E32" i="5" s="1"/>
  <c r="I31" i="5" a="1"/>
  <c r="I31" i="5" s="1"/>
  <c r="AV42" i="24" s="1"/>
  <c r="AX42" i="24" s="1"/>
  <c r="U42" i="24" s="1"/>
  <c r="F33" i="5" a="1"/>
  <c r="F33" i="5" s="1"/>
  <c r="D33" i="5" a="1"/>
  <c r="D33" i="5" s="1"/>
  <c r="E36" i="5" a="1"/>
  <c r="E36" i="5" s="1"/>
  <c r="E33" i="5" a="1"/>
  <c r="E33" i="5" s="1"/>
  <c r="E35" i="5" a="1"/>
  <c r="E35" i="5" s="1"/>
  <c r="F34" i="5" a="1"/>
  <c r="F34" i="5" s="1"/>
  <c r="I34" i="5" a="1"/>
  <c r="I34" i="5" s="1"/>
  <c r="AV45" i="24" s="1"/>
  <c r="AX45" i="24" s="1"/>
  <c r="U45" i="24" s="1"/>
  <c r="D34" i="5" a="1"/>
  <c r="D34" i="5" s="1"/>
  <c r="D35" i="5" a="1"/>
  <c r="D35" i="5" s="1"/>
  <c r="I33" i="5" a="1"/>
  <c r="I33" i="5" s="1"/>
  <c r="AV44" i="24" s="1"/>
  <c r="AX44" i="24" s="1"/>
  <c r="U44" i="24" s="1"/>
  <c r="F38" i="5" a="1"/>
  <c r="F38" i="5" s="1"/>
  <c r="I39" i="5" a="1"/>
  <c r="I39" i="5" s="1"/>
  <c r="AV50" i="24" s="1"/>
  <c r="AX50" i="24" s="1"/>
  <c r="U50" i="24" s="1"/>
  <c r="F35" i="5" a="1"/>
  <c r="F35" i="5" s="1"/>
  <c r="I36" i="5" a="1"/>
  <c r="I36" i="5" s="1"/>
  <c r="AV47" i="24" s="1"/>
  <c r="AX47" i="24" s="1"/>
  <c r="U47" i="24" s="1"/>
  <c r="D36" i="5" a="1"/>
  <c r="D36" i="5" s="1"/>
  <c r="I35" i="5" a="1"/>
  <c r="I35" i="5" s="1"/>
  <c r="AV46" i="24" s="1"/>
  <c r="AX46" i="24" s="1"/>
  <c r="U46" i="24" s="1"/>
  <c r="F36" i="5" a="1"/>
  <c r="F36" i="5" s="1"/>
  <c r="I40" i="5" a="1"/>
  <c r="I40" i="5" s="1"/>
  <c r="AV51" i="24" s="1"/>
  <c r="AX51" i="24" s="1"/>
  <c r="U51" i="24" s="1"/>
  <c r="F37" i="5" a="1"/>
  <c r="F37" i="5" s="1"/>
  <c r="E37" i="5" a="1"/>
  <c r="E37" i="5" s="1"/>
  <c r="E38" i="5" a="1"/>
  <c r="E38" i="5" s="1"/>
  <c r="I37" i="5" a="1"/>
  <c r="I37" i="5" s="1"/>
  <c r="AV48" i="24" s="1"/>
  <c r="AX48" i="24" s="1"/>
  <c r="U48" i="24" s="1"/>
  <c r="D37" i="5" a="1"/>
  <c r="D37" i="5" s="1"/>
  <c r="F39" i="5" a="1"/>
  <c r="F39" i="5" s="1"/>
  <c r="I38" i="5" a="1"/>
  <c r="I38" i="5" s="1"/>
  <c r="AV49" i="24" s="1"/>
  <c r="AX49" i="24" s="1"/>
  <c r="U49" i="24" s="1"/>
  <c r="D39" i="5" a="1"/>
  <c r="D39" i="5" s="1"/>
  <c r="E39" i="5" a="1"/>
  <c r="E39" i="5" s="1"/>
  <c r="D41" i="5" a="1"/>
  <c r="D41" i="5" s="1"/>
  <c r="D40" i="5" a="1"/>
  <c r="D40" i="5" s="1"/>
  <c r="F40" i="5" a="1"/>
  <c r="F40" i="5" s="1"/>
  <c r="F42" i="5" a="1"/>
  <c r="F42" i="5" s="1"/>
  <c r="D42" i="5" a="1"/>
  <c r="D42" i="5" s="1"/>
  <c r="E43" i="5" a="1"/>
  <c r="E43" i="5" s="1"/>
  <c r="I41" i="5" a="1"/>
  <c r="I41" i="5" s="1"/>
  <c r="AV52" i="24" s="1"/>
  <c r="AX52" i="24" s="1"/>
  <c r="U52" i="24" s="1"/>
  <c r="F43" i="5" a="1"/>
  <c r="F43" i="5" s="1"/>
  <c r="E41" i="5" a="1"/>
  <c r="E41" i="5" s="1"/>
  <c r="E40" i="5" a="1"/>
  <c r="E40" i="5" s="1"/>
  <c r="F41" i="5" a="1"/>
  <c r="F41" i="5" s="1"/>
  <c r="I42" i="5" a="1"/>
  <c r="I42" i="5" s="1"/>
  <c r="AV53" i="24" s="1"/>
  <c r="AX53" i="24" s="1"/>
  <c r="U53" i="24" s="1"/>
  <c r="I43" i="5" a="1"/>
  <c r="I43" i="5" s="1"/>
  <c r="AV54" i="24" s="1"/>
  <c r="AX54" i="24" s="1"/>
  <c r="U54" i="24" s="1"/>
  <c r="D43" i="5" a="1"/>
  <c r="D43" i="5" s="1"/>
  <c r="D44" i="5" a="1"/>
  <c r="D44" i="5" s="1"/>
  <c r="E42" i="5" a="1"/>
  <c r="E42" i="5" s="1"/>
  <c r="E44" i="5" a="1"/>
  <c r="E44" i="5" s="1"/>
  <c r="I44" i="5" a="1"/>
  <c r="I44" i="5" s="1"/>
  <c r="AV55" i="24" s="1"/>
  <c r="AX55" i="24" s="1"/>
  <c r="U55" i="24" s="1"/>
  <c r="F44" i="5" a="1"/>
  <c r="F44" i="5" s="1"/>
  <c r="D17" i="5" a="1"/>
  <c r="D17" i="5" s="1"/>
  <c r="F16" i="5" a="1"/>
  <c r="F16" i="5" s="1"/>
  <c r="D16" i="5" a="1"/>
  <c r="D16" i="5" s="1"/>
  <c r="D15" i="5" a="1"/>
  <c r="D15" i="5" s="1"/>
  <c r="D14" i="5" s="1"/>
  <c r="D13" i="5" s="1"/>
  <c r="D12" i="5" s="1"/>
  <c r="W35" i="24" l="1"/>
  <c r="Y35" i="24" s="1"/>
  <c r="W36" i="24"/>
  <c r="Y36" i="24" s="1"/>
  <c r="W34" i="24"/>
  <c r="Y34" i="24" s="1"/>
  <c r="W37" i="24"/>
  <c r="Y37" i="24" s="1"/>
  <c r="W32" i="24"/>
  <c r="Y32" i="24" s="1"/>
  <c r="W31" i="24"/>
  <c r="Y31" i="24" s="1"/>
  <c r="W29" i="24"/>
  <c r="Y29" i="24" s="1"/>
  <c r="W38" i="24"/>
  <c r="Y38" i="24" s="1"/>
  <c r="W33" i="24"/>
  <c r="Y33" i="24" s="1"/>
  <c r="W30" i="24"/>
  <c r="Y30" i="24" s="1"/>
  <c r="W28" i="24"/>
  <c r="Y28" i="24" s="1"/>
  <c r="W53" i="24"/>
  <c r="Y53" i="24" s="1"/>
  <c r="W46" i="24"/>
  <c r="Y46" i="24" s="1"/>
  <c r="W50" i="24"/>
  <c r="Y50" i="24" s="1"/>
  <c r="W41" i="24"/>
  <c r="Y41" i="24" s="1"/>
  <c r="W52" i="24"/>
  <c r="Y52" i="24" s="1"/>
  <c r="W48" i="24"/>
  <c r="Y48" i="24" s="1"/>
  <c r="W45" i="24"/>
  <c r="Y45" i="24" s="1"/>
  <c r="W42" i="24"/>
  <c r="Y42" i="24" s="1"/>
  <c r="W43" i="24"/>
  <c r="Y43" i="24" s="1"/>
  <c r="W49" i="24"/>
  <c r="Y49" i="24" s="1"/>
  <c r="W47" i="24"/>
  <c r="Y47" i="24" s="1"/>
  <c r="W40" i="24"/>
  <c r="Y40" i="24" s="1"/>
  <c r="W55" i="24"/>
  <c r="Y55" i="24" s="1"/>
  <c r="W51" i="24"/>
  <c r="Y51" i="24" s="1"/>
  <c r="W44" i="24"/>
  <c r="Y44" i="24" s="1"/>
  <c r="W54" i="24"/>
  <c r="Y54" i="24" s="1"/>
  <c r="W56" i="24"/>
  <c r="Y56" i="24" s="1"/>
  <c r="AP71" i="24"/>
  <c r="AP30" i="9"/>
  <c r="AV30" i="9" s="1"/>
  <c r="AX30" i="9" s="1"/>
  <c r="U30" i="9" s="1"/>
  <c r="W30" i="9" s="1"/>
  <c r="Y30" i="9" s="1"/>
  <c r="AN29" i="7"/>
  <c r="AP29" i="7" s="1"/>
  <c r="AV29" i="7" s="1"/>
  <c r="AX29" i="7" s="1"/>
  <c r="U29" i="7" s="1"/>
  <c r="W29" i="7" s="1"/>
  <c r="Y29" i="7" s="1"/>
  <c r="AN28" i="6"/>
  <c r="AP28" i="6" s="1"/>
  <c r="AN28" i="8"/>
  <c r="AN38" i="6"/>
  <c r="AP38" i="6" s="1"/>
  <c r="AV38" i="6" s="1"/>
  <c r="AX38" i="6" s="1"/>
  <c r="U38" i="6" s="1"/>
  <c r="W38" i="6" s="1"/>
  <c r="Y38" i="6" s="1"/>
  <c r="AN38" i="8"/>
  <c r="AP38" i="8" s="1"/>
  <c r="AV38" i="8" s="1"/>
  <c r="AX38" i="8" s="1"/>
  <c r="U38" i="8" s="1"/>
  <c r="W38" i="8" s="1"/>
  <c r="Y38" i="8" s="1"/>
  <c r="AN39" i="7"/>
  <c r="AP39" i="7" s="1"/>
  <c r="AV39" i="7" s="1"/>
  <c r="AX39" i="7" s="1"/>
  <c r="U39" i="7" s="1"/>
  <c r="W39" i="7" s="1"/>
  <c r="Y39" i="7" s="1"/>
  <c r="AP40" i="9"/>
  <c r="AV40" i="9" s="1"/>
  <c r="AX40" i="9" s="1"/>
  <c r="U40" i="9" s="1"/>
  <c r="W40" i="9" s="1"/>
  <c r="Y40" i="9" s="1"/>
  <c r="AN33" i="8"/>
  <c r="AP33" i="8" s="1"/>
  <c r="AV33" i="8" s="1"/>
  <c r="AX33" i="8" s="1"/>
  <c r="U33" i="8" s="1"/>
  <c r="W33" i="8" s="1"/>
  <c r="Y33" i="8" s="1"/>
  <c r="AN33" i="6"/>
  <c r="AP33" i="6" s="1"/>
  <c r="AV33" i="6" s="1"/>
  <c r="AX33" i="6" s="1"/>
  <c r="U33" i="6" s="1"/>
  <c r="W33" i="6" s="1"/>
  <c r="Y33" i="6" s="1"/>
  <c r="AN34" i="7"/>
  <c r="AP34" i="7" s="1"/>
  <c r="AV34" i="7" s="1"/>
  <c r="AX34" i="7" s="1"/>
  <c r="U34" i="7" s="1"/>
  <c r="W34" i="7" s="1"/>
  <c r="Y34" i="7" s="1"/>
  <c r="AP35" i="9"/>
  <c r="AV35" i="9" s="1"/>
  <c r="AX35" i="9" s="1"/>
  <c r="U35" i="9" s="1"/>
  <c r="W35" i="9" s="1"/>
  <c r="Y35" i="9" s="1"/>
  <c r="AN28" i="7"/>
  <c r="AP29" i="9"/>
  <c r="AV29" i="9" s="1"/>
  <c r="AX29" i="9" s="1"/>
  <c r="U29" i="9" s="1"/>
  <c r="W29" i="9" s="1"/>
  <c r="Y29" i="9" s="1"/>
  <c r="AP28" i="9"/>
  <c r="AN46" i="8"/>
  <c r="AP46" i="8" s="1"/>
  <c r="AV46" i="8" s="1"/>
  <c r="AX46" i="8" s="1"/>
  <c r="U46" i="8" s="1"/>
  <c r="W46" i="8" s="1"/>
  <c r="Y46" i="8" s="1"/>
  <c r="AN46" i="6"/>
  <c r="AP46" i="6" s="1"/>
  <c r="AV46" i="6" s="1"/>
  <c r="AX46" i="6" s="1"/>
  <c r="U46" i="6" s="1"/>
  <c r="W46" i="6" s="1"/>
  <c r="Y46" i="6" s="1"/>
  <c r="AN47" i="7"/>
  <c r="AP47" i="7" s="1"/>
  <c r="AV47" i="7" s="1"/>
  <c r="AX47" i="7" s="1"/>
  <c r="U47" i="7" s="1"/>
  <c r="W47" i="7" s="1"/>
  <c r="Y47" i="7" s="1"/>
  <c r="AP48" i="9"/>
  <c r="AV48" i="9" s="1"/>
  <c r="AX48" i="9" s="1"/>
  <c r="U48" i="9" s="1"/>
  <c r="W48" i="9" s="1"/>
  <c r="Y48" i="9" s="1"/>
  <c r="AN39" i="6"/>
  <c r="AP39" i="6" s="1"/>
  <c r="AV39" i="6" s="1"/>
  <c r="AX39" i="6" s="1"/>
  <c r="U39" i="6" s="1"/>
  <c r="W39" i="6" s="1"/>
  <c r="Y39" i="6" s="1"/>
  <c r="AN39" i="8"/>
  <c r="AP39" i="8" s="1"/>
  <c r="AV39" i="8" s="1"/>
  <c r="AX39" i="8" s="1"/>
  <c r="U39" i="8" s="1"/>
  <c r="W39" i="8" s="1"/>
  <c r="Y39" i="8" s="1"/>
  <c r="AN40" i="7"/>
  <c r="AP40" i="7" s="1"/>
  <c r="AV40" i="7" s="1"/>
  <c r="AX40" i="7" s="1"/>
  <c r="U40" i="7" s="1"/>
  <c r="W40" i="7" s="1"/>
  <c r="Y40" i="7" s="1"/>
  <c r="AP41" i="9"/>
  <c r="AV41" i="9" s="1"/>
  <c r="AX41" i="9" s="1"/>
  <c r="U41" i="9" s="1"/>
  <c r="W41" i="9" s="1"/>
  <c r="Y41" i="9" s="1"/>
  <c r="AN35" i="6"/>
  <c r="AP35" i="6" s="1"/>
  <c r="AV35" i="6" s="1"/>
  <c r="AX35" i="6" s="1"/>
  <c r="U35" i="6" s="1"/>
  <c r="W35" i="6" s="1"/>
  <c r="Y35" i="6" s="1"/>
  <c r="AN35" i="8"/>
  <c r="AP35" i="8" s="1"/>
  <c r="AV35" i="8" s="1"/>
  <c r="AX35" i="8" s="1"/>
  <c r="U35" i="8" s="1"/>
  <c r="W35" i="8" s="1"/>
  <c r="Y35" i="8" s="1"/>
  <c r="AN36" i="7"/>
  <c r="AP36" i="7" s="1"/>
  <c r="AV36" i="7" s="1"/>
  <c r="AX36" i="7" s="1"/>
  <c r="U36" i="7" s="1"/>
  <c r="W36" i="7" s="1"/>
  <c r="Y36" i="7" s="1"/>
  <c r="AP37" i="9"/>
  <c r="AV37" i="9" s="1"/>
  <c r="AX37" i="9" s="1"/>
  <c r="U37" i="9" s="1"/>
  <c r="W37" i="9" s="1"/>
  <c r="Y37" i="9" s="1"/>
  <c r="AN34" i="6"/>
  <c r="AP34" i="6" s="1"/>
  <c r="AV34" i="6" s="1"/>
  <c r="AX34" i="6" s="1"/>
  <c r="U34" i="6" s="1"/>
  <c r="W34" i="6" s="1"/>
  <c r="Y34" i="6" s="1"/>
  <c r="AN34" i="8"/>
  <c r="AP34" i="8" s="1"/>
  <c r="AV34" i="8" s="1"/>
  <c r="AX34" i="8" s="1"/>
  <c r="U34" i="8" s="1"/>
  <c r="W34" i="8" s="1"/>
  <c r="Y34" i="8" s="1"/>
  <c r="AN35" i="7"/>
  <c r="AP35" i="7" s="1"/>
  <c r="AV35" i="7" s="1"/>
  <c r="AX35" i="7" s="1"/>
  <c r="U35" i="7" s="1"/>
  <c r="W35" i="7" s="1"/>
  <c r="Y35" i="7" s="1"/>
  <c r="AP36" i="9"/>
  <c r="AV36" i="9" s="1"/>
  <c r="AX36" i="9" s="1"/>
  <c r="U36" i="9" s="1"/>
  <c r="W36" i="9" s="1"/>
  <c r="Y36" i="9" s="1"/>
  <c r="AN30" i="6"/>
  <c r="AP30" i="6" s="1"/>
  <c r="AV30" i="6" s="1"/>
  <c r="AX30" i="6" s="1"/>
  <c r="U30" i="6" s="1"/>
  <c r="W30" i="6" s="1"/>
  <c r="Y30" i="6" s="1"/>
  <c r="AN30" i="8"/>
  <c r="AP30" i="8" s="1"/>
  <c r="AV30" i="8" s="1"/>
  <c r="AX30" i="8" s="1"/>
  <c r="U30" i="8" s="1"/>
  <c r="W30" i="8" s="1"/>
  <c r="Y30" i="8" s="1"/>
  <c r="AN31" i="7"/>
  <c r="AP31" i="7" s="1"/>
  <c r="AV31" i="7" s="1"/>
  <c r="AX31" i="7" s="1"/>
  <c r="U31" i="7" s="1"/>
  <c r="W31" i="7" s="1"/>
  <c r="Y31" i="7" s="1"/>
  <c r="AP32" i="9"/>
  <c r="AV32" i="9" s="1"/>
  <c r="AX32" i="9" s="1"/>
  <c r="U32" i="9" s="1"/>
  <c r="W32" i="9" s="1"/>
  <c r="Y32" i="9" s="1"/>
  <c r="AN52" i="8"/>
  <c r="AP52" i="8" s="1"/>
  <c r="AV52" i="8" s="1"/>
  <c r="AN52" i="6"/>
  <c r="AP52" i="6" s="1"/>
  <c r="AV52" i="6" s="1"/>
  <c r="AN48" i="6"/>
  <c r="AP48" i="6" s="1"/>
  <c r="AV48" i="6" s="1"/>
  <c r="AX48" i="6" s="1"/>
  <c r="U48" i="6" s="1"/>
  <c r="W48" i="6" s="1"/>
  <c r="Y48" i="6" s="1"/>
  <c r="AN48" i="8"/>
  <c r="AP48" i="8" s="1"/>
  <c r="AV48" i="8" s="1"/>
  <c r="AX48" i="8" s="1"/>
  <c r="U48" i="8" s="1"/>
  <c r="W48" i="8" s="1"/>
  <c r="Y48" i="8" s="1"/>
  <c r="AN49" i="7"/>
  <c r="AP49" i="7" s="1"/>
  <c r="AV49" i="7" s="1"/>
  <c r="AX49" i="7" s="1"/>
  <c r="U49" i="7" s="1"/>
  <c r="W49" i="7" s="1"/>
  <c r="Y49" i="7" s="1"/>
  <c r="AP50" i="9"/>
  <c r="AV50" i="9" s="1"/>
  <c r="AX50" i="9" s="1"/>
  <c r="U50" i="9" s="1"/>
  <c r="W50" i="9" s="1"/>
  <c r="Y50" i="9" s="1"/>
  <c r="AN45" i="6"/>
  <c r="AP45" i="6" s="1"/>
  <c r="AV45" i="6" s="1"/>
  <c r="AX45" i="6" s="1"/>
  <c r="U45" i="6" s="1"/>
  <c r="W45" i="6" s="1"/>
  <c r="Y45" i="6" s="1"/>
  <c r="AN45" i="8"/>
  <c r="AP45" i="8" s="1"/>
  <c r="AV45" i="8" s="1"/>
  <c r="AX45" i="8" s="1"/>
  <c r="U45" i="8" s="1"/>
  <c r="W45" i="8" s="1"/>
  <c r="Y45" i="8" s="1"/>
  <c r="AN46" i="7"/>
  <c r="AP46" i="7" s="1"/>
  <c r="AV46" i="7" s="1"/>
  <c r="AX46" i="7" s="1"/>
  <c r="U46" i="7" s="1"/>
  <c r="W46" i="7" s="1"/>
  <c r="Y46" i="7" s="1"/>
  <c r="AP47" i="9"/>
  <c r="AV47" i="9" s="1"/>
  <c r="AX47" i="9" s="1"/>
  <c r="U47" i="9" s="1"/>
  <c r="W47" i="9" s="1"/>
  <c r="Y47" i="9" s="1"/>
  <c r="AN42" i="6"/>
  <c r="AP42" i="6" s="1"/>
  <c r="AV42" i="6" s="1"/>
  <c r="AX42" i="6" s="1"/>
  <c r="U42" i="6" s="1"/>
  <c r="W42" i="6" s="1"/>
  <c r="Y42" i="6" s="1"/>
  <c r="AN42" i="8"/>
  <c r="AP42" i="8" s="1"/>
  <c r="AV42" i="8" s="1"/>
  <c r="AX42" i="8" s="1"/>
  <c r="U42" i="8" s="1"/>
  <c r="W42" i="8" s="1"/>
  <c r="Y42" i="8" s="1"/>
  <c r="AN43" i="7"/>
  <c r="AP43" i="7" s="1"/>
  <c r="AV43" i="7" s="1"/>
  <c r="AX43" i="7" s="1"/>
  <c r="U43" i="7" s="1"/>
  <c r="W43" i="7" s="1"/>
  <c r="Y43" i="7" s="1"/>
  <c r="AP44" i="9"/>
  <c r="AV44" i="9" s="1"/>
  <c r="AX44" i="9" s="1"/>
  <c r="U44" i="9" s="1"/>
  <c r="W44" i="9" s="1"/>
  <c r="Y44" i="9" s="1"/>
  <c r="AN43" i="6"/>
  <c r="AP43" i="6" s="1"/>
  <c r="AV43" i="6" s="1"/>
  <c r="AX43" i="6" s="1"/>
  <c r="U43" i="6" s="1"/>
  <c r="W43" i="6" s="1"/>
  <c r="Y43" i="6" s="1"/>
  <c r="AN43" i="8"/>
  <c r="AP43" i="8" s="1"/>
  <c r="AV43" i="8" s="1"/>
  <c r="AX43" i="8" s="1"/>
  <c r="U43" i="8" s="1"/>
  <c r="W43" i="8" s="1"/>
  <c r="Y43" i="8" s="1"/>
  <c r="AN44" i="7"/>
  <c r="AP44" i="7" s="1"/>
  <c r="AV44" i="7" s="1"/>
  <c r="AX44" i="7" s="1"/>
  <c r="U44" i="7" s="1"/>
  <c r="W44" i="7" s="1"/>
  <c r="Y44" i="7" s="1"/>
  <c r="AP45" i="9"/>
  <c r="AV45" i="9" s="1"/>
  <c r="AX45" i="9" s="1"/>
  <c r="U45" i="9" s="1"/>
  <c r="W45" i="9" s="1"/>
  <c r="Y45" i="9" s="1"/>
  <c r="AN36" i="8"/>
  <c r="AP36" i="8" s="1"/>
  <c r="AV36" i="8" s="1"/>
  <c r="AX36" i="8" s="1"/>
  <c r="U36" i="8" s="1"/>
  <c r="W36" i="8" s="1"/>
  <c r="Y36" i="8" s="1"/>
  <c r="AN36" i="6"/>
  <c r="AP36" i="6" s="1"/>
  <c r="AV36" i="6" s="1"/>
  <c r="AX36" i="6" s="1"/>
  <c r="U36" i="6" s="1"/>
  <c r="W36" i="6" s="1"/>
  <c r="Y36" i="6" s="1"/>
  <c r="AN37" i="7"/>
  <c r="AP37" i="7" s="1"/>
  <c r="AV37" i="7" s="1"/>
  <c r="AX37" i="7" s="1"/>
  <c r="U37" i="7" s="1"/>
  <c r="W37" i="7" s="1"/>
  <c r="Y37" i="7" s="1"/>
  <c r="AP38" i="9"/>
  <c r="AV38" i="9" s="1"/>
  <c r="AX38" i="9" s="1"/>
  <c r="U38" i="9" s="1"/>
  <c r="W38" i="9" s="1"/>
  <c r="Y38" i="9" s="1"/>
  <c r="AN29" i="8"/>
  <c r="AP29" i="8" s="1"/>
  <c r="AV29" i="8" s="1"/>
  <c r="AX29" i="8" s="1"/>
  <c r="U29" i="8" s="1"/>
  <c r="W29" i="8" s="1"/>
  <c r="Y29" i="8" s="1"/>
  <c r="AN29" i="6"/>
  <c r="AP29" i="6" s="1"/>
  <c r="AV29" i="6" s="1"/>
  <c r="AX29" i="6" s="1"/>
  <c r="U29" i="6" s="1"/>
  <c r="W29" i="6" s="1"/>
  <c r="Y29" i="6" s="1"/>
  <c r="AN30" i="7"/>
  <c r="AP30" i="7" s="1"/>
  <c r="AV30" i="7" s="1"/>
  <c r="AX30" i="7" s="1"/>
  <c r="U30" i="7" s="1"/>
  <c r="W30" i="7" s="1"/>
  <c r="Y30" i="7" s="1"/>
  <c r="AP31" i="9"/>
  <c r="AV31" i="9" s="1"/>
  <c r="AX31" i="9" s="1"/>
  <c r="U31" i="9" s="1"/>
  <c r="W31" i="9" s="1"/>
  <c r="Y31" i="9" s="1"/>
  <c r="AN50" i="8"/>
  <c r="AP50" i="8" s="1"/>
  <c r="AV50" i="8" s="1"/>
  <c r="AX50" i="8" s="1"/>
  <c r="U50" i="8" s="1"/>
  <c r="W50" i="8" s="1"/>
  <c r="Y50" i="8" s="1"/>
  <c r="AN50" i="6"/>
  <c r="AP50" i="6" s="1"/>
  <c r="AV50" i="6" s="1"/>
  <c r="AX50" i="6" s="1"/>
  <c r="U50" i="6" s="1"/>
  <c r="W50" i="6" s="1"/>
  <c r="Y50" i="6" s="1"/>
  <c r="AN51" i="7"/>
  <c r="AP51" i="7" s="1"/>
  <c r="AV51" i="7" s="1"/>
  <c r="AX51" i="7" s="1"/>
  <c r="U51" i="7" s="1"/>
  <c r="W51" i="7" s="1"/>
  <c r="Y51" i="7" s="1"/>
  <c r="AP52" i="9"/>
  <c r="AV52" i="9" s="1"/>
  <c r="AN41" i="8"/>
  <c r="AP41" i="8" s="1"/>
  <c r="AV41" i="8" s="1"/>
  <c r="AX41" i="8" s="1"/>
  <c r="U41" i="8" s="1"/>
  <c r="W41" i="8" s="1"/>
  <c r="Y41" i="8" s="1"/>
  <c r="AN41" i="6"/>
  <c r="AP41" i="6" s="1"/>
  <c r="AV41" i="6" s="1"/>
  <c r="AX41" i="6" s="1"/>
  <c r="U41" i="6" s="1"/>
  <c r="W41" i="6" s="1"/>
  <c r="Y41" i="6" s="1"/>
  <c r="AN42" i="7"/>
  <c r="AP42" i="7" s="1"/>
  <c r="AV42" i="7" s="1"/>
  <c r="AX42" i="7" s="1"/>
  <c r="U42" i="7" s="1"/>
  <c r="W42" i="7" s="1"/>
  <c r="Y42" i="7" s="1"/>
  <c r="AP43" i="9"/>
  <c r="AV43" i="9" s="1"/>
  <c r="AX43" i="9" s="1"/>
  <c r="U43" i="9" s="1"/>
  <c r="W43" i="9" s="1"/>
  <c r="Y43" i="9" s="1"/>
  <c r="AN49" i="8"/>
  <c r="AP49" i="8" s="1"/>
  <c r="AV49" i="8" s="1"/>
  <c r="AX49" i="8" s="1"/>
  <c r="U49" i="8" s="1"/>
  <c r="W49" i="8" s="1"/>
  <c r="Y49" i="8" s="1"/>
  <c r="AN49" i="6"/>
  <c r="AP49" i="6" s="1"/>
  <c r="AV49" i="6" s="1"/>
  <c r="AX49" i="6" s="1"/>
  <c r="U49" i="6" s="1"/>
  <c r="W49" i="6" s="1"/>
  <c r="Y49" i="6" s="1"/>
  <c r="AN50" i="7"/>
  <c r="AP50" i="7" s="1"/>
  <c r="AV50" i="7" s="1"/>
  <c r="AX50" i="7" s="1"/>
  <c r="U50" i="7" s="1"/>
  <c r="W50" i="7" s="1"/>
  <c r="Y50" i="7" s="1"/>
  <c r="AP51" i="9"/>
  <c r="AV51" i="9" s="1"/>
  <c r="AX51" i="9" s="1"/>
  <c r="U51" i="9" s="1"/>
  <c r="W51" i="9" s="1"/>
  <c r="Y51" i="9" s="1"/>
  <c r="AN51" i="6"/>
  <c r="AP51" i="6" s="1"/>
  <c r="AV51" i="6" s="1"/>
  <c r="AX51" i="6" s="1"/>
  <c r="U51" i="6" s="1"/>
  <c r="W51" i="6" s="1"/>
  <c r="Y51" i="6" s="1"/>
  <c r="AN51" i="8"/>
  <c r="AP51" i="8" s="1"/>
  <c r="AV51" i="8" s="1"/>
  <c r="AX51" i="8" s="1"/>
  <c r="U51" i="8" s="1"/>
  <c r="W51" i="8" s="1"/>
  <c r="Y51" i="8" s="1"/>
  <c r="AN52" i="7"/>
  <c r="AP52" i="7" s="1"/>
  <c r="AV52" i="7" s="1"/>
  <c r="AN47" i="6"/>
  <c r="AP47" i="6" s="1"/>
  <c r="AV47" i="6" s="1"/>
  <c r="AX47" i="6" s="1"/>
  <c r="U47" i="6" s="1"/>
  <c r="W47" i="6" s="1"/>
  <c r="Y47" i="6" s="1"/>
  <c r="AN47" i="8"/>
  <c r="AP47" i="8" s="1"/>
  <c r="AV47" i="8" s="1"/>
  <c r="AX47" i="8" s="1"/>
  <c r="U47" i="8" s="1"/>
  <c r="W47" i="8" s="1"/>
  <c r="Y47" i="8" s="1"/>
  <c r="AN48" i="7"/>
  <c r="AP48" i="7" s="1"/>
  <c r="AV48" i="7" s="1"/>
  <c r="AX48" i="7" s="1"/>
  <c r="U48" i="7" s="1"/>
  <c r="W48" i="7" s="1"/>
  <c r="Y48" i="7" s="1"/>
  <c r="AP49" i="9"/>
  <c r="AV49" i="9" s="1"/>
  <c r="AX49" i="9" s="1"/>
  <c r="U49" i="9" s="1"/>
  <c r="W49" i="9" s="1"/>
  <c r="Y49" i="9" s="1"/>
  <c r="AN44" i="6"/>
  <c r="AP44" i="6" s="1"/>
  <c r="AV44" i="6" s="1"/>
  <c r="AX44" i="6" s="1"/>
  <c r="U44" i="6" s="1"/>
  <c r="W44" i="6" s="1"/>
  <c r="Y44" i="6" s="1"/>
  <c r="AN44" i="8"/>
  <c r="AP44" i="8" s="1"/>
  <c r="AV44" i="8" s="1"/>
  <c r="AX44" i="8" s="1"/>
  <c r="U44" i="8" s="1"/>
  <c r="W44" i="8" s="1"/>
  <c r="Y44" i="8" s="1"/>
  <c r="AN45" i="7"/>
  <c r="AP45" i="7" s="1"/>
  <c r="AV45" i="7" s="1"/>
  <c r="AX45" i="7" s="1"/>
  <c r="U45" i="7" s="1"/>
  <c r="W45" i="7" s="1"/>
  <c r="Y45" i="7" s="1"/>
  <c r="AP46" i="9"/>
  <c r="AV46" i="9" s="1"/>
  <c r="AX46" i="9" s="1"/>
  <c r="U46" i="9" s="1"/>
  <c r="W46" i="9" s="1"/>
  <c r="Y46" i="9" s="1"/>
  <c r="AN40" i="6"/>
  <c r="AP40" i="6" s="1"/>
  <c r="AV40" i="6" s="1"/>
  <c r="AX40" i="6" s="1"/>
  <c r="U40" i="6" s="1"/>
  <c r="W40" i="6" s="1"/>
  <c r="Y40" i="6" s="1"/>
  <c r="AN40" i="8"/>
  <c r="AP40" i="8" s="1"/>
  <c r="AV40" i="8" s="1"/>
  <c r="AX40" i="8" s="1"/>
  <c r="U40" i="8" s="1"/>
  <c r="W40" i="8" s="1"/>
  <c r="Y40" i="8" s="1"/>
  <c r="AN41" i="7"/>
  <c r="AP41" i="7" s="1"/>
  <c r="AV41" i="7" s="1"/>
  <c r="AX41" i="7" s="1"/>
  <c r="U41" i="7" s="1"/>
  <c r="W41" i="7" s="1"/>
  <c r="Y41" i="7" s="1"/>
  <c r="AP42" i="9"/>
  <c r="AV42" i="9" s="1"/>
  <c r="AX42" i="9" s="1"/>
  <c r="U42" i="9" s="1"/>
  <c r="W42" i="9" s="1"/>
  <c r="Y42" i="9" s="1"/>
  <c r="AN37" i="8"/>
  <c r="AP37" i="8" s="1"/>
  <c r="AV37" i="8" s="1"/>
  <c r="AX37" i="8" s="1"/>
  <c r="U37" i="8" s="1"/>
  <c r="W37" i="8" s="1"/>
  <c r="Y37" i="8" s="1"/>
  <c r="AN37" i="6"/>
  <c r="AP37" i="6" s="1"/>
  <c r="AV37" i="6" s="1"/>
  <c r="AX37" i="6" s="1"/>
  <c r="U37" i="6" s="1"/>
  <c r="W37" i="6" s="1"/>
  <c r="Y37" i="6" s="1"/>
  <c r="AN38" i="7"/>
  <c r="AP38" i="7" s="1"/>
  <c r="AV38" i="7" s="1"/>
  <c r="AX38" i="7" s="1"/>
  <c r="U38" i="7" s="1"/>
  <c r="W38" i="7" s="1"/>
  <c r="Y38" i="7" s="1"/>
  <c r="AP39" i="9"/>
  <c r="AV39" i="9" s="1"/>
  <c r="AX39" i="9" s="1"/>
  <c r="U39" i="9" s="1"/>
  <c r="W39" i="9" s="1"/>
  <c r="Y39" i="9" s="1"/>
  <c r="AN32" i="6"/>
  <c r="AP32" i="6" s="1"/>
  <c r="AV32" i="6" s="1"/>
  <c r="AX32" i="6" s="1"/>
  <c r="U32" i="6" s="1"/>
  <c r="W32" i="6" s="1"/>
  <c r="Y32" i="6" s="1"/>
  <c r="AN32" i="8"/>
  <c r="AP32" i="8" s="1"/>
  <c r="AV32" i="8" s="1"/>
  <c r="AX32" i="8" s="1"/>
  <c r="U32" i="8" s="1"/>
  <c r="W32" i="8" s="1"/>
  <c r="Y32" i="8" s="1"/>
  <c r="AN33" i="7"/>
  <c r="AP33" i="7" s="1"/>
  <c r="AV33" i="7" s="1"/>
  <c r="AX33" i="7" s="1"/>
  <c r="U33" i="7" s="1"/>
  <c r="W33" i="7" s="1"/>
  <c r="Y33" i="7" s="1"/>
  <c r="AP34" i="9"/>
  <c r="AV34" i="9" s="1"/>
  <c r="AX34" i="9" s="1"/>
  <c r="U34" i="9" s="1"/>
  <c r="W34" i="9" s="1"/>
  <c r="Y34" i="9" s="1"/>
  <c r="AN31" i="6"/>
  <c r="AP31" i="6" s="1"/>
  <c r="AV31" i="6" s="1"/>
  <c r="AX31" i="6" s="1"/>
  <c r="U31" i="6" s="1"/>
  <c r="W31" i="6" s="1"/>
  <c r="Y31" i="6" s="1"/>
  <c r="AN31" i="8"/>
  <c r="AP31" i="8" s="1"/>
  <c r="AV31" i="8" s="1"/>
  <c r="AX31" i="8" s="1"/>
  <c r="U31" i="8" s="1"/>
  <c r="W31" i="8" s="1"/>
  <c r="Y31" i="8" s="1"/>
  <c r="AN32" i="7"/>
  <c r="AP32" i="7" s="1"/>
  <c r="AV32" i="7" s="1"/>
  <c r="AX32" i="7" s="1"/>
  <c r="U32" i="7" s="1"/>
  <c r="W32" i="7" s="1"/>
  <c r="Y32" i="7" s="1"/>
  <c r="AP33" i="9"/>
  <c r="AV33" i="9" s="1"/>
  <c r="AX33" i="9" s="1"/>
  <c r="U33" i="9" s="1"/>
  <c r="W33" i="9" s="1"/>
  <c r="Y33" i="9" s="1"/>
  <c r="AP28" i="8"/>
  <c r="AP43" i="19"/>
  <c r="AV43" i="19" s="1"/>
  <c r="AX43" i="19" s="1"/>
  <c r="U43" i="19" s="1"/>
  <c r="W43" i="19" s="1"/>
  <c r="Y43" i="19" s="1"/>
  <c r="AP32" i="19"/>
  <c r="AV32" i="19" s="1"/>
  <c r="AX32" i="19" s="1"/>
  <c r="U32" i="19" s="1"/>
  <c r="W32" i="19" s="1"/>
  <c r="Y32" i="19" s="1"/>
  <c r="AP31" i="19"/>
  <c r="AV31" i="19" s="1"/>
  <c r="AX31" i="19" s="1"/>
  <c r="U31" i="19" s="1"/>
  <c r="W31" i="19" s="1"/>
  <c r="Y31" i="19" s="1"/>
  <c r="I14" i="5"/>
  <c r="I13" i="5" s="1"/>
  <c r="AP44" i="19"/>
  <c r="AV44" i="19" s="1"/>
  <c r="AX44" i="19" s="1"/>
  <c r="U44" i="19" s="1"/>
  <c r="W44" i="19" s="1"/>
  <c r="Y44" i="19" s="1"/>
  <c r="AP50" i="19"/>
  <c r="AV50" i="19" s="1"/>
  <c r="AX50" i="19" s="1"/>
  <c r="U50" i="19" s="1"/>
  <c r="W50" i="19" s="1"/>
  <c r="Y50" i="19" s="1"/>
  <c r="AP47" i="19"/>
  <c r="AV47" i="19" s="1"/>
  <c r="AX47" i="19" s="1"/>
  <c r="U47" i="19" s="1"/>
  <c r="W47" i="19" s="1"/>
  <c r="Y47" i="19" s="1"/>
  <c r="AP48" i="19"/>
  <c r="AV48" i="19" s="1"/>
  <c r="AX48" i="19" s="1"/>
  <c r="U48" i="19" s="1"/>
  <c r="W48" i="19" s="1"/>
  <c r="Y48" i="19" s="1"/>
  <c r="AP41" i="19"/>
  <c r="AV41" i="19" s="1"/>
  <c r="AX41" i="19" s="1"/>
  <c r="U41" i="19" s="1"/>
  <c r="W41" i="19" s="1"/>
  <c r="Y41" i="19" s="1"/>
  <c r="AP34" i="19"/>
  <c r="AV34" i="19" s="1"/>
  <c r="AX34" i="19" s="1"/>
  <c r="U34" i="19" s="1"/>
  <c r="W34" i="19" s="1"/>
  <c r="Y34" i="19" s="1"/>
  <c r="AP51" i="19"/>
  <c r="AV51" i="19" s="1"/>
  <c r="AX51" i="19" s="1"/>
  <c r="U51" i="19" s="1"/>
  <c r="W51" i="19" s="1"/>
  <c r="Y51" i="19" s="1"/>
  <c r="AP46" i="19"/>
  <c r="AV46" i="19" s="1"/>
  <c r="AX46" i="19" s="1"/>
  <c r="U46" i="19" s="1"/>
  <c r="W46" i="19" s="1"/>
  <c r="Y46" i="19" s="1"/>
  <c r="AP39" i="19"/>
  <c r="AV39" i="19" s="1"/>
  <c r="AX39" i="19" s="1"/>
  <c r="U39" i="19" s="1"/>
  <c r="W39" i="19" s="1"/>
  <c r="Y39" i="19" s="1"/>
  <c r="AP35" i="19"/>
  <c r="AV35" i="19" s="1"/>
  <c r="AX35" i="19" s="1"/>
  <c r="U35" i="19" s="1"/>
  <c r="W35" i="19" s="1"/>
  <c r="Y35" i="19" s="1"/>
  <c r="I46" i="5"/>
  <c r="AV57" i="24" s="1"/>
  <c r="AX57" i="24" s="1"/>
  <c r="U57" i="24" s="1"/>
  <c r="AP52" i="19"/>
  <c r="AV52" i="19" s="1"/>
  <c r="AX52" i="19" s="1"/>
  <c r="U52" i="19" s="1"/>
  <c r="W52" i="19" s="1"/>
  <c r="Y52" i="19" s="1"/>
  <c r="AP49" i="19"/>
  <c r="AV49" i="19" s="1"/>
  <c r="AX49" i="19" s="1"/>
  <c r="U49" i="19" s="1"/>
  <c r="W49" i="19" s="1"/>
  <c r="Y49" i="19" s="1"/>
  <c r="AP45" i="19"/>
  <c r="AV45" i="19" s="1"/>
  <c r="AX45" i="19" s="1"/>
  <c r="U45" i="19" s="1"/>
  <c r="W45" i="19" s="1"/>
  <c r="Y45" i="19" s="1"/>
  <c r="AP42" i="19"/>
  <c r="AV42" i="19" s="1"/>
  <c r="AX42" i="19" s="1"/>
  <c r="U42" i="19" s="1"/>
  <c r="W42" i="19" s="1"/>
  <c r="Y42" i="19" s="1"/>
  <c r="AP36" i="19"/>
  <c r="AV36" i="19" s="1"/>
  <c r="AX36" i="19" s="1"/>
  <c r="U36" i="19" s="1"/>
  <c r="W36" i="19" s="1"/>
  <c r="Y36" i="19" s="1"/>
  <c r="W57" i="24" l="1"/>
  <c r="Y57" i="24" s="1"/>
  <c r="U39" i="24"/>
  <c r="AN54" i="8"/>
  <c r="AV28" i="8"/>
  <c r="AX28" i="8" s="1"/>
  <c r="AP54" i="8"/>
  <c r="AX52" i="9"/>
  <c r="U52" i="9" s="1"/>
  <c r="W52" i="9" s="1"/>
  <c r="Y52" i="9" s="1"/>
  <c r="AN54" i="6"/>
  <c r="AN54" i="9"/>
  <c r="AX52" i="7"/>
  <c r="U52" i="7" s="1"/>
  <c r="W52" i="7" s="1"/>
  <c r="Y52" i="7" s="1"/>
  <c r="AV28" i="6"/>
  <c r="AX28" i="6" s="1"/>
  <c r="AP54" i="6"/>
  <c r="AV28" i="9"/>
  <c r="AX28" i="9" s="1"/>
  <c r="AP54" i="9"/>
  <c r="AX52" i="6"/>
  <c r="U52" i="6" s="1"/>
  <c r="W52" i="6" s="1"/>
  <c r="Y52" i="6" s="1"/>
  <c r="AX52" i="8"/>
  <c r="U52" i="8" s="1"/>
  <c r="W52" i="8" s="1"/>
  <c r="Y52" i="8" s="1"/>
  <c r="AP28" i="7"/>
  <c r="AN54" i="7"/>
  <c r="I47" i="5"/>
  <c r="AP30" i="19"/>
  <c r="AV30" i="19" s="1"/>
  <c r="AX30" i="19" s="1"/>
  <c r="U30" i="19" s="1"/>
  <c r="W30" i="19" s="1"/>
  <c r="Y30" i="19" s="1"/>
  <c r="D17" i="4"/>
  <c r="W39" i="24" l="1"/>
  <c r="Y39" i="24" s="1"/>
  <c r="AV54" i="8"/>
  <c r="AV54" i="6"/>
  <c r="I48" i="5"/>
  <c r="U28" i="9"/>
  <c r="AX54" i="9"/>
  <c r="AV54" i="9"/>
  <c r="AV28" i="7"/>
  <c r="AP54" i="7"/>
  <c r="U28" i="6"/>
  <c r="W28" i="6" s="1"/>
  <c r="W54" i="6" s="1"/>
  <c r="AX54" i="6"/>
  <c r="U28" i="8"/>
  <c r="AX54" i="8"/>
  <c r="AP29" i="19"/>
  <c r="AV29" i="19" s="1"/>
  <c r="AX29" i="19" s="1"/>
  <c r="U29" i="19" s="1"/>
  <c r="W29" i="19" s="1"/>
  <c r="Y29" i="19" s="1"/>
  <c r="AP37" i="19"/>
  <c r="AV37" i="19" s="1"/>
  <c r="AX37" i="19" s="1"/>
  <c r="U37" i="19" s="1"/>
  <c r="W37" i="19" s="1"/>
  <c r="Y37" i="19" s="1"/>
  <c r="AP38" i="19"/>
  <c r="AV38" i="19" s="1"/>
  <c r="AX38" i="19" s="1"/>
  <c r="U38" i="19" s="1"/>
  <c r="W38" i="19" s="1"/>
  <c r="Y38" i="19" s="1"/>
  <c r="AP40" i="19"/>
  <c r="AV40" i="19" s="1"/>
  <c r="AX40" i="19" s="1"/>
  <c r="U40" i="19" s="1"/>
  <c r="W40" i="19" s="1"/>
  <c r="Y40" i="19" s="1"/>
  <c r="AV59" i="24" l="1"/>
  <c r="AX59" i="24" s="1"/>
  <c r="U59" i="24" s="1"/>
  <c r="I49" i="5"/>
  <c r="W28" i="8"/>
  <c r="U54" i="8"/>
  <c r="K16" i="18" s="1"/>
  <c r="AX28" i="7"/>
  <c r="AV54" i="7"/>
  <c r="U54" i="6"/>
  <c r="W28" i="9"/>
  <c r="U54" i="9"/>
  <c r="M16" i="18" s="1"/>
  <c r="AP28" i="19"/>
  <c r="AP66" i="19" s="1"/>
  <c r="W59" i="24" l="1"/>
  <c r="Y59" i="24" s="1"/>
  <c r="I50" i="5"/>
  <c r="AV58" i="24"/>
  <c r="Y28" i="9"/>
  <c r="W54" i="9"/>
  <c r="M18" i="18" s="1"/>
  <c r="U28" i="7"/>
  <c r="AX54" i="7"/>
  <c r="Y28" i="6"/>
  <c r="Y28" i="8"/>
  <c r="W54" i="8"/>
  <c r="AV28" i="19"/>
  <c r="AV66" i="19" s="1"/>
  <c r="I51" i="5" l="1"/>
  <c r="AV61" i="24"/>
  <c r="AX61" i="24" s="1"/>
  <c r="U61" i="24" s="1"/>
  <c r="AX58" i="24"/>
  <c r="Y54" i="8"/>
  <c r="K20" i="18" s="1"/>
  <c r="K18" i="18"/>
  <c r="W28" i="7"/>
  <c r="U54" i="7"/>
  <c r="I16" i="18" s="1"/>
  <c r="Y54" i="6"/>
  <c r="Y54" i="9"/>
  <c r="M20" i="18" s="1"/>
  <c r="AX28" i="19"/>
  <c r="AX66" i="19" s="1"/>
  <c r="W61" i="24" l="1"/>
  <c r="Y61" i="24" s="1"/>
  <c r="I52" i="5"/>
  <c r="AV62" i="24"/>
  <c r="AX62" i="24" s="1"/>
  <c r="U62" i="24" s="1"/>
  <c r="AV60" i="24"/>
  <c r="U58" i="24"/>
  <c r="Y28" i="7"/>
  <c r="W54" i="7"/>
  <c r="J14" i="23"/>
  <c r="U14" i="23"/>
  <c r="U16" i="23"/>
  <c r="J12" i="22"/>
  <c r="H16" i="23"/>
  <c r="J16" i="23" s="1"/>
  <c r="U28" i="19"/>
  <c r="U66" i="19" s="1"/>
  <c r="W62" i="24" l="1"/>
  <c r="Y62" i="24" s="1"/>
  <c r="W58" i="24"/>
  <c r="AX60" i="24"/>
  <c r="I53" i="5"/>
  <c r="I18" i="18"/>
  <c r="Y54" i="7"/>
  <c r="I20" i="18" s="1"/>
  <c r="W28" i="19"/>
  <c r="W66" i="19" s="1"/>
  <c r="Q16" i="18"/>
  <c r="I54" i="5" l="1"/>
  <c r="AV64" i="24"/>
  <c r="AX64" i="24" s="1"/>
  <c r="U64" i="24" s="1"/>
  <c r="U60" i="24"/>
  <c r="Y58" i="24"/>
  <c r="H12" i="22"/>
  <c r="H15" i="23"/>
  <c r="J15" i="23" s="1"/>
  <c r="U15" i="23"/>
  <c r="Y28" i="19"/>
  <c r="Q18" i="18"/>
  <c r="W60" i="24" l="1"/>
  <c r="W64" i="24"/>
  <c r="Y64" i="24" s="1"/>
  <c r="AV63" i="24"/>
  <c r="Y66" i="19"/>
  <c r="Q20" i="18" s="1"/>
  <c r="O58" i="14"/>
  <c r="C58" i="14"/>
  <c r="Q58" i="14"/>
  <c r="M58" i="14"/>
  <c r="BD58" i="14"/>
  <c r="AJ58" i="14"/>
  <c r="K58" i="14"/>
  <c r="AH58" i="14"/>
  <c r="AR58" i="14"/>
  <c r="AN58" i="14"/>
  <c r="AP58" i="14"/>
  <c r="BB58" i="14"/>
  <c r="AF58" i="14"/>
  <c r="E17" i="4"/>
  <c r="Y60" i="24" l="1"/>
  <c r="I56" i="5"/>
  <c r="AV66" i="24"/>
  <c r="AX66" i="24" s="1"/>
  <c r="U66" i="24" s="1"/>
  <c r="AX63" i="24"/>
  <c r="S41" i="23"/>
  <c r="U41" i="23" s="1"/>
  <c r="H40" i="23"/>
  <c r="J40" i="23" s="1"/>
  <c r="AF11" i="14"/>
  <c r="W66" i="24" l="1"/>
  <c r="Y66" i="24" s="1"/>
  <c r="U63" i="24"/>
  <c r="AV65" i="24"/>
  <c r="I57" i="5"/>
  <c r="BD11" i="14"/>
  <c r="W63" i="24" l="1"/>
  <c r="AX65" i="24"/>
  <c r="I58" i="5"/>
  <c r="AV68" i="24"/>
  <c r="AX68" i="24" s="1"/>
  <c r="U68" i="24" s="1"/>
  <c r="BF28" i="14"/>
  <c r="BF29" i="14"/>
  <c r="BF30" i="14"/>
  <c r="BF31" i="14"/>
  <c r="BF32" i="14"/>
  <c r="BF33" i="14"/>
  <c r="BF34" i="14"/>
  <c r="BF35" i="14"/>
  <c r="BF36" i="14"/>
  <c r="BF37" i="14"/>
  <c r="BF38" i="14"/>
  <c r="BF39" i="14"/>
  <c r="BF40" i="14"/>
  <c r="BF41" i="14"/>
  <c r="BF42" i="14"/>
  <c r="BF43" i="14"/>
  <c r="BF44" i="14"/>
  <c r="BF45" i="14"/>
  <c r="BF46" i="14"/>
  <c r="BF47" i="14"/>
  <c r="BF48" i="14"/>
  <c r="BF49" i="14"/>
  <c r="BF50" i="14"/>
  <c r="BF51" i="14"/>
  <c r="BF52" i="14"/>
  <c r="BF53" i="14"/>
  <c r="BF54" i="14"/>
  <c r="BF55" i="14"/>
  <c r="BF56" i="14"/>
  <c r="W68" i="24" l="1"/>
  <c r="Y68" i="24" s="1"/>
  <c r="Y63" i="24"/>
  <c r="AV67" i="24"/>
  <c r="I59" i="5"/>
  <c r="I60" i="5" s="1"/>
  <c r="U65" i="24"/>
  <c r="BF58" i="14"/>
  <c r="W65" i="24" l="1"/>
  <c r="AX67" i="24"/>
  <c r="I28" i="14"/>
  <c r="I29" i="14" s="1"/>
  <c r="H17" i="4"/>
  <c r="U67" i="24" l="1"/>
  <c r="AV69" i="24"/>
  <c r="AV71" i="24" s="1"/>
  <c r="Y65" i="24"/>
  <c r="I30" i="14"/>
  <c r="W67" i="24" l="1"/>
  <c r="AX69" i="24"/>
  <c r="AX71" i="24" s="1"/>
  <c r="I31" i="14"/>
  <c r="Y67" i="24" l="1"/>
  <c r="U69" i="24"/>
  <c r="I32" i="14"/>
  <c r="W69" i="24" l="1"/>
  <c r="W71" i="24" s="1"/>
  <c r="Y71" i="24" s="1"/>
  <c r="G20" i="18" s="1"/>
  <c r="U71" i="24"/>
  <c r="G16" i="18" s="1"/>
  <c r="G18" i="18" s="1"/>
  <c r="I33" i="14"/>
  <c r="D23" i="22" l="1"/>
  <c r="L25" i="22" s="1"/>
  <c r="L14" i="22"/>
  <c r="J13" i="23"/>
  <c r="U13" i="23"/>
  <c r="Y69" i="24"/>
  <c r="I34" i="14"/>
  <c r="U21" i="23" l="1"/>
  <c r="U19" i="23"/>
  <c r="U20" i="23"/>
  <c r="U18" i="23"/>
  <c r="H21" i="23"/>
  <c r="J21" i="23" s="1"/>
  <c r="H17" i="23"/>
  <c r="J17" i="23" s="1"/>
  <c r="H18" i="23"/>
  <c r="J18" i="23" s="1"/>
  <c r="U17" i="23"/>
  <c r="H20" i="23"/>
  <c r="J20" i="23" s="1"/>
  <c r="H19" i="23"/>
  <c r="J19" i="23" s="1"/>
  <c r="I35" i="14"/>
  <c r="J25" i="23" l="1"/>
  <c r="U23" i="23"/>
  <c r="I36" i="14"/>
  <c r="I37" i="14" l="1"/>
  <c r="I38" i="14" l="1"/>
  <c r="I39" i="14" l="1"/>
  <c r="I40" i="14" l="1"/>
  <c r="I41" i="14" l="1"/>
  <c r="I42" i="14" l="1"/>
  <c r="I43" i="14" l="1"/>
  <c r="I44" i="14" l="1"/>
  <c r="I45" i="14" l="1"/>
  <c r="I46" i="14" l="1"/>
  <c r="I47" i="14" l="1"/>
  <c r="I48" i="14" l="1"/>
  <c r="I49" i="14" l="1"/>
  <c r="I50" i="14" l="1"/>
  <c r="I51" i="14" l="1"/>
  <c r="G53" i="14" l="1"/>
  <c r="AD53" i="14" s="1"/>
  <c r="G40" i="14"/>
  <c r="G54" i="14"/>
  <c r="AD54" i="14" s="1"/>
  <c r="G46" i="14"/>
  <c r="G47" i="14"/>
  <c r="G32" i="14"/>
  <c r="G29" i="14"/>
  <c r="G37" i="14"/>
  <c r="G50" i="14"/>
  <c r="G55" i="14"/>
  <c r="AD55" i="14" s="1"/>
  <c r="G41" i="14"/>
  <c r="G36" i="14"/>
  <c r="AD28" i="14"/>
  <c r="G33" i="14"/>
  <c r="G42" i="14"/>
  <c r="G56" i="14"/>
  <c r="AD56" i="14" s="1"/>
  <c r="G48" i="14"/>
  <c r="G51" i="14"/>
  <c r="AD51" i="14" s="1"/>
  <c r="G30" i="14"/>
  <c r="G38" i="14"/>
  <c r="G45" i="14"/>
  <c r="G35" i="14"/>
  <c r="G49" i="14"/>
  <c r="G52" i="14"/>
  <c r="AD52" i="14" s="1"/>
  <c r="G44" i="14"/>
  <c r="G43" i="14"/>
  <c r="G34" i="14"/>
  <c r="G31" i="14"/>
  <c r="G39" i="14"/>
  <c r="S28" i="14"/>
  <c r="I52" i="14"/>
  <c r="S51" i="14"/>
  <c r="AV52" i="14" l="1"/>
  <c r="AL52" i="14"/>
  <c r="AT52" i="14" s="1"/>
  <c r="AD38" i="14"/>
  <c r="S38" i="14"/>
  <c r="AD36" i="14"/>
  <c r="S36" i="14"/>
  <c r="AD46" i="14"/>
  <c r="S46" i="14"/>
  <c r="S52" i="14"/>
  <c r="I53" i="14"/>
  <c r="AD34" i="14"/>
  <c r="S34" i="14"/>
  <c r="AD49" i="14"/>
  <c r="S49" i="14"/>
  <c r="AD30" i="14"/>
  <c r="S30" i="14"/>
  <c r="AD41" i="14"/>
  <c r="S41" i="14"/>
  <c r="AD29" i="14"/>
  <c r="S29" i="14"/>
  <c r="AV54" i="14"/>
  <c r="AL54" i="14"/>
  <c r="AT54" i="14" s="1"/>
  <c r="G58" i="14"/>
  <c r="AD43" i="14"/>
  <c r="S43" i="14"/>
  <c r="AD35" i="14"/>
  <c r="S35" i="14"/>
  <c r="AV51" i="14"/>
  <c r="AL51" i="14"/>
  <c r="AT51" i="14" s="1"/>
  <c r="AD33" i="14"/>
  <c r="S33" i="14"/>
  <c r="AV55" i="14"/>
  <c r="AL55" i="14"/>
  <c r="AT55" i="14" s="1"/>
  <c r="AD32" i="14"/>
  <c r="S32" i="14"/>
  <c r="AD40" i="14"/>
  <c r="S40" i="14"/>
  <c r="AD31" i="14"/>
  <c r="S31" i="14"/>
  <c r="AV56" i="14"/>
  <c r="AL56" i="14"/>
  <c r="AT56" i="14" s="1"/>
  <c r="AD37" i="14"/>
  <c r="S37" i="14"/>
  <c r="AD42" i="14"/>
  <c r="S42" i="14"/>
  <c r="AD39" i="14"/>
  <c r="S39" i="14"/>
  <c r="AD44" i="14"/>
  <c r="S44" i="14"/>
  <c r="AD45" i="14"/>
  <c r="S45" i="14"/>
  <c r="AD48" i="14"/>
  <c r="S48" i="14"/>
  <c r="AV28" i="14"/>
  <c r="AL28" i="14"/>
  <c r="AD50" i="14"/>
  <c r="S50" i="14"/>
  <c r="AD47" i="14"/>
  <c r="S47" i="14"/>
  <c r="AV53" i="14"/>
  <c r="AL53" i="14"/>
  <c r="AT53" i="14" s="1"/>
  <c r="AX54" i="14" l="1"/>
  <c r="U54" i="14" s="1"/>
  <c r="AX52" i="14"/>
  <c r="U52" i="14" s="1"/>
  <c r="W52" i="14" s="1"/>
  <c r="Y52" i="14" s="1"/>
  <c r="AX53" i="14"/>
  <c r="U53" i="14" s="1"/>
  <c r="AX56" i="14"/>
  <c r="U56" i="14" s="1"/>
  <c r="AX55" i="14"/>
  <c r="U55" i="14" s="1"/>
  <c r="AX51" i="14"/>
  <c r="U51" i="14" s="1"/>
  <c r="W51" i="14" s="1"/>
  <c r="Y51" i="14" s="1"/>
  <c r="AT28" i="14"/>
  <c r="AV48" i="14"/>
  <c r="AL48" i="14"/>
  <c r="AT48" i="14" s="1"/>
  <c r="AV44" i="14"/>
  <c r="AL44" i="14"/>
  <c r="AT44" i="14" s="1"/>
  <c r="AV45" i="14"/>
  <c r="AL45" i="14"/>
  <c r="AT45" i="14" s="1"/>
  <c r="AV39" i="14"/>
  <c r="AL39" i="14"/>
  <c r="AT39" i="14" s="1"/>
  <c r="AV50" i="14"/>
  <c r="AL50" i="14"/>
  <c r="AT50" i="14" s="1"/>
  <c r="AV40" i="14"/>
  <c r="AL40" i="14"/>
  <c r="AT40" i="14" s="1"/>
  <c r="AV43" i="14"/>
  <c r="AL43" i="14"/>
  <c r="AT43" i="14" s="1"/>
  <c r="AV41" i="14"/>
  <c r="AL41" i="14"/>
  <c r="AT41" i="14" s="1"/>
  <c r="AV49" i="14"/>
  <c r="AL49" i="14"/>
  <c r="AT49" i="14" s="1"/>
  <c r="AV46" i="14"/>
  <c r="AL46" i="14"/>
  <c r="AT46" i="14" s="1"/>
  <c r="AV38" i="14"/>
  <c r="AL38" i="14"/>
  <c r="AT38" i="14" s="1"/>
  <c r="I54" i="14"/>
  <c r="S53" i="14"/>
  <c r="AV47" i="14"/>
  <c r="AL47" i="14"/>
  <c r="AT47" i="14" s="1"/>
  <c r="AD58" i="14"/>
  <c r="AF12" i="14" s="1"/>
  <c r="AV42" i="14"/>
  <c r="AL42" i="14"/>
  <c r="AT42" i="14" s="1"/>
  <c r="AV37" i="14"/>
  <c r="AL37" i="14"/>
  <c r="AT37" i="14" s="1"/>
  <c r="AV31" i="14"/>
  <c r="AL31" i="14"/>
  <c r="AT31" i="14" s="1"/>
  <c r="AV32" i="14"/>
  <c r="AL32" i="14"/>
  <c r="AT32" i="14" s="1"/>
  <c r="AV33" i="14"/>
  <c r="AL33" i="14"/>
  <c r="AT33" i="14" s="1"/>
  <c r="AV35" i="14"/>
  <c r="AL35" i="14"/>
  <c r="AT35" i="14" s="1"/>
  <c r="AV29" i="14"/>
  <c r="AL29" i="14"/>
  <c r="AT29" i="14" s="1"/>
  <c r="AV30" i="14"/>
  <c r="AL30" i="14"/>
  <c r="AT30" i="14" s="1"/>
  <c r="AV34" i="14"/>
  <c r="AL34" i="14"/>
  <c r="AT34" i="14" s="1"/>
  <c r="AV36" i="14"/>
  <c r="AL36" i="14"/>
  <c r="AT36" i="14" s="1"/>
  <c r="AX38" i="14" l="1"/>
  <c r="U38" i="14" s="1"/>
  <c r="W38" i="14" s="1"/>
  <c r="Y38" i="14" s="1"/>
  <c r="AX49" i="14"/>
  <c r="U49" i="14" s="1"/>
  <c r="W49" i="14" s="1"/>
  <c r="Y49" i="14" s="1"/>
  <c r="AX50" i="14"/>
  <c r="U50" i="14" s="1"/>
  <c r="W50" i="14" s="1"/>
  <c r="Y50" i="14" s="1"/>
  <c r="AX45" i="14"/>
  <c r="U45" i="14" s="1"/>
  <c r="W45" i="14" s="1"/>
  <c r="Y45" i="14" s="1"/>
  <c r="AX44" i="14"/>
  <c r="U44" i="14" s="1"/>
  <c r="W44" i="14" s="1"/>
  <c r="Y44" i="14" s="1"/>
  <c r="AV58" i="14"/>
  <c r="AX30" i="14"/>
  <c r="U30" i="14" s="1"/>
  <c r="W30" i="14" s="1"/>
  <c r="Y30" i="14" s="1"/>
  <c r="AX35" i="14"/>
  <c r="U35" i="14" s="1"/>
  <c r="W35" i="14" s="1"/>
  <c r="Y35" i="14" s="1"/>
  <c r="AX32" i="14"/>
  <c r="U32" i="14" s="1"/>
  <c r="W32" i="14" s="1"/>
  <c r="Y32" i="14" s="1"/>
  <c r="AX31" i="14"/>
  <c r="U31" i="14" s="1"/>
  <c r="W31" i="14" s="1"/>
  <c r="Y31" i="14" s="1"/>
  <c r="AX42" i="14"/>
  <c r="U42" i="14" s="1"/>
  <c r="W42" i="14" s="1"/>
  <c r="Y42" i="14" s="1"/>
  <c r="AX43" i="14"/>
  <c r="U43" i="14" s="1"/>
  <c r="W43" i="14" s="1"/>
  <c r="Y43" i="14" s="1"/>
  <c r="I55" i="14"/>
  <c r="S54" i="14"/>
  <c r="W54" i="14" s="1"/>
  <c r="Y54" i="14" s="1"/>
  <c r="AL58" i="14"/>
  <c r="AX34" i="14"/>
  <c r="U34" i="14" s="1"/>
  <c r="W34" i="14" s="1"/>
  <c r="Y34" i="14" s="1"/>
  <c r="AX29" i="14"/>
  <c r="U29" i="14" s="1"/>
  <c r="W29" i="14" s="1"/>
  <c r="Y29" i="14" s="1"/>
  <c r="AX47" i="14"/>
  <c r="U47" i="14" s="1"/>
  <c r="W47" i="14" s="1"/>
  <c r="Y47" i="14" s="1"/>
  <c r="AX40" i="14"/>
  <c r="U40" i="14" s="1"/>
  <c r="W40" i="14" s="1"/>
  <c r="Y40" i="14" s="1"/>
  <c r="AX39" i="14"/>
  <c r="U39" i="14" s="1"/>
  <c r="W39" i="14" s="1"/>
  <c r="Y39" i="14" s="1"/>
  <c r="W53" i="14"/>
  <c r="Y53" i="14" s="1"/>
  <c r="AX28" i="14"/>
  <c r="AT58" i="14"/>
  <c r="AX36" i="14"/>
  <c r="U36" i="14" s="1"/>
  <c r="W36" i="14" s="1"/>
  <c r="Y36" i="14" s="1"/>
  <c r="AX33" i="14"/>
  <c r="U33" i="14" s="1"/>
  <c r="W33" i="14" s="1"/>
  <c r="Y33" i="14" s="1"/>
  <c r="AX37" i="14"/>
  <c r="U37" i="14" s="1"/>
  <c r="W37" i="14" s="1"/>
  <c r="Y37" i="14" s="1"/>
  <c r="AX46" i="14"/>
  <c r="U46" i="14" s="1"/>
  <c r="W46" i="14" s="1"/>
  <c r="Y46" i="14" s="1"/>
  <c r="AX41" i="14"/>
  <c r="U41" i="14" s="1"/>
  <c r="W41" i="14" s="1"/>
  <c r="Y41" i="14" s="1"/>
  <c r="AX48" i="14"/>
  <c r="U48" i="14" s="1"/>
  <c r="W48" i="14" s="1"/>
  <c r="Y48" i="14" s="1"/>
  <c r="U28" i="14" l="1"/>
  <c r="AX58" i="14"/>
  <c r="I56" i="14"/>
  <c r="S55" i="14"/>
  <c r="W55" i="14" s="1"/>
  <c r="Y55" i="14" s="1"/>
  <c r="S56" i="14" l="1"/>
  <c r="I58" i="14"/>
  <c r="U58" i="14"/>
  <c r="S16" i="18" s="1"/>
  <c r="W28" i="14"/>
  <c r="Y28" i="14" l="1"/>
  <c r="W56" i="14"/>
  <c r="Y56" i="14" s="1"/>
  <c r="S58" i="14"/>
  <c r="S14" i="18" s="1"/>
  <c r="Y58" i="14" l="1"/>
  <c r="S20" i="18" s="1"/>
  <c r="H41" i="23" s="1"/>
  <c r="J41" i="23" s="1"/>
  <c r="W58" i="14"/>
  <c r="S18" i="18" s="1"/>
  <c r="J50" i="23" l="1"/>
  <c r="S42" i="23"/>
  <c r="U42" i="23" l="1"/>
  <c r="U51" i="23" s="1"/>
  <c r="P47" i="23"/>
</calcChain>
</file>

<file path=xl/sharedStrings.xml><?xml version="1.0" encoding="utf-8"?>
<sst xmlns="http://schemas.openxmlformats.org/spreadsheetml/2006/main" count="1683" uniqueCount="317">
  <si>
    <t>PACIFICORP</t>
  </si>
  <si>
    <t>EVALUATION OF RENEWABLE RESOURCE COST</t>
  </si>
  <si>
    <t>WORKPAPER INDEX</t>
  </si>
  <si>
    <t>SUMMARY</t>
  </si>
  <si>
    <t>TOTAL RESOURCE COST TO WASHINGTON REVENUE REQUIREMENT</t>
  </si>
  <si>
    <t>LEVELIZED RESOURCE COST SUMMARY</t>
  </si>
  <si>
    <t>INPUT DATA</t>
  </si>
  <si>
    <t>OWNED RESOURCE ATTRIBUTES</t>
  </si>
  <si>
    <t>FORWARD PRICE CURVE</t>
  </si>
  <si>
    <t>RESOURCE COST CALCULATIONS</t>
  </si>
  <si>
    <t>MARENGO RESOURCE COST ANALYSIS</t>
  </si>
  <si>
    <t>MARENGO II RESOURCE COST ANALYSIS</t>
  </si>
  <si>
    <t>DOLLARS PER REC / MWH</t>
  </si>
  <si>
    <t>TOTAL DOLLARS</t>
  </si>
  <si>
    <t>WIND</t>
  </si>
  <si>
    <t>Goodnoe Hills</t>
  </si>
  <si>
    <t>Leaning Juniper</t>
  </si>
  <si>
    <t>|</t>
  </si>
  <si>
    <t>Marengo I</t>
  </si>
  <si>
    <t>Marengo II</t>
  </si>
  <si>
    <t>Top of the World</t>
  </si>
  <si>
    <t>Note 1</t>
  </si>
  <si>
    <t>Note 2</t>
  </si>
  <si>
    <t>Subtotal Wind Resource Cost</t>
  </si>
  <si>
    <t>Prospect 2 (Upgrade 1999)</t>
  </si>
  <si>
    <t>Lemolo 1 (Upgrade 2003)</t>
  </si>
  <si>
    <t>Lemolo 2 (Upgrade 2009)</t>
  </si>
  <si>
    <t>Subtotal Hydro Resource Cost</t>
  </si>
  <si>
    <t>TOTAL RESOURCE COST</t>
  </si>
  <si>
    <t>WASHINGTON REVENUE REQUIREMENT</t>
  </si>
  <si>
    <t>EVALUATION OF RENEWABLE RESOURCES COST SUMMARY</t>
  </si>
  <si>
    <t>Nominal Levelized Cost Over Renewable Resource Life</t>
  </si>
  <si>
    <t>Marengo</t>
  </si>
  <si>
    <t>Renewable Resource Cost ($000)</t>
  </si>
  <si>
    <t>Least-cost Substitute Resource Cost ($000)</t>
  </si>
  <si>
    <t>_</t>
  </si>
  <si>
    <t>Cost Differential ($000)</t>
  </si>
  <si>
    <t>Cost Differential ($/MWh)</t>
  </si>
  <si>
    <t>RESOURCE</t>
  </si>
  <si>
    <t>NAMEPLATE CAPACITY (MW)</t>
  </si>
  <si>
    <t>CAPACITY FACTOR</t>
  </si>
  <si>
    <t>IN-SERVICE</t>
  </si>
  <si>
    <t>LIFE/TERM YEARS</t>
  </si>
  <si>
    <t>CAPITAL $/KW-YR (IN-SRVCE YEAR)</t>
  </si>
  <si>
    <t>O&amp;M COST ($/MWh)</t>
  </si>
  <si>
    <t>TRANS COST ($/KW-YR)</t>
  </si>
  <si>
    <t>-</t>
  </si>
  <si>
    <t>Plant Details</t>
  </si>
  <si>
    <t>Capital Costs</t>
  </si>
  <si>
    <t>Fixed Costs</t>
  </si>
  <si>
    <t xml:space="preserve">   Variable Costs</t>
  </si>
  <si>
    <t xml:space="preserve">Fixed O&amp;M </t>
  </si>
  <si>
    <t>Description</t>
  </si>
  <si>
    <t>Capacity Factor</t>
  </si>
  <si>
    <t>Availability 
Factor</t>
  </si>
  <si>
    <t>In-Service Year</t>
  </si>
  <si>
    <t>Average Capacity (MW)</t>
  </si>
  <si>
    <t>Annual Heat Rate (BTU/kWh)</t>
  </si>
  <si>
    <t>Calculated (MWh/yr)</t>
  </si>
  <si>
    <t>Total Capital Cost 
($/kW)</t>
  </si>
  <si>
    <t>Payment Factor</t>
  </si>
  <si>
    <t>O&amp;M 
($/kW-Yr)</t>
  </si>
  <si>
    <t>Other 
($/kW-Yr)</t>
  </si>
  <si>
    <t>Total FOM + other fixed
($/kW-Yr)</t>
  </si>
  <si>
    <t>Variable O&amp;M input 
($/MWh)</t>
  </si>
  <si>
    <t>West Side</t>
  </si>
  <si>
    <t>CCCT (Wet "F" 2x1) *</t>
  </si>
  <si>
    <t>CCCT Duct Firing (Wet "F" 2x1)</t>
  </si>
  <si>
    <t>Yearly MWh weighted average</t>
  </si>
  <si>
    <t>SCCT Frame (2 Frame "F")</t>
  </si>
  <si>
    <t>Source: Tables 5.1-Table 5.4 2007 IRP Vol 1</t>
  </si>
  <si>
    <t>2007 IRP Vol 2 appendix A page 16</t>
  </si>
  <si>
    <t>Extrapolated</t>
  </si>
  <si>
    <t>Gas Price Forecasts</t>
  </si>
  <si>
    <t>Forecast</t>
  </si>
  <si>
    <t>As described in the Market Fundamental Forecast section, natural gas prices for the first six</t>
  </si>
  <si>
    <t>years are from the market on August 31, 2006 and for the next year are a blend of market prices</t>
  </si>
  <si>
    <t>and the gas prices used in MIDAS or PIRA. Starting in year seven, PIRA’s natural gas price</t>
  </si>
  <si>
    <t>forecast is used exclusively.</t>
  </si>
  <si>
    <t>Natural gas price assumptions in MIDAS are based on PIRA Energy’s July 25, 2006 short-term</t>
  </si>
  <si>
    <t>Annual Forward Price Curve</t>
  </si>
  <si>
    <t>Monthly Forward Price Curve</t>
  </si>
  <si>
    <t>forecast, the August 3, 2006 probabilistic weighted long-term gas forecast, and the August 22,</t>
  </si>
  <si>
    <t>2006 long-term gas basis differentials. PIRA gas price projections are used in MIDAS through</t>
  </si>
  <si>
    <t>MidC</t>
  </si>
  <si>
    <t xml:space="preserve">2007 IRP Base Case Fuel Prices </t>
  </si>
  <si>
    <t xml:space="preserve">Fuel Price for Non-Eligible Resource </t>
  </si>
  <si>
    <t>2020. All prices are adjusted to be consistent with PacifiCorp's official inflation curve issued in</t>
  </si>
  <si>
    <t>Year</t>
  </si>
  <si>
    <t>HLH</t>
  </si>
  <si>
    <t>LLH</t>
  </si>
  <si>
    <t>Flat</t>
  </si>
  <si>
    <t>Cost</t>
  </si>
  <si>
    <t>Period</t>
  </si>
  <si>
    <t>HLH Hours</t>
  </si>
  <si>
    <t>LLH Hours</t>
  </si>
  <si>
    <t>HLH Ratio</t>
  </si>
  <si>
    <t>LLH Ratio</t>
  </si>
  <si>
    <t>2007 IRP Base Case Fuel Prices</t>
  </si>
  <si>
    <t>IRP West Gas</t>
  </si>
  <si>
    <t>June 2006. Gas prices beyond 2020 are escalated using PacifiCorp’s inflation curve, which was</t>
  </si>
  <si>
    <t>updated on June 6, 2006.</t>
  </si>
  <si>
    <t>IRP west side natural gas prices are an average of prices at the Sumas, Stanfield and Opal delivery</t>
  </si>
  <si>
    <t>points. Natural gas prices on the east side are based on the Opal delivery point prices. Figure</t>
  </si>
  <si>
    <t>A.2 shows the natural gas price forecasts used in the 2007 IRP.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</si>
  <si>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: Integration cost of $5.10 per MWh is from 2007 IRP Appendix J, Page 195. </t>
    </r>
  </si>
  <si>
    <t xml:space="preserve">    Includes cost associated with incremental Operational Reserve requirements and system balancing costs</t>
  </si>
  <si>
    <t>ELIGIBLE RESOURCE</t>
  </si>
  <si>
    <t>NON ELIGIBLE RESOURCE (CCCT)</t>
  </si>
  <si>
    <t>NON ELIGIBLE RESOURCE (SCCT)</t>
  </si>
  <si>
    <t>RESOURCE NAME</t>
  </si>
  <si>
    <t>NAMEPLATE (MW)</t>
  </si>
  <si>
    <t>FOM ($/KW-YR)</t>
  </si>
  <si>
    <t>FOM YEAR$</t>
  </si>
  <si>
    <t>CAPACITY CONTRIBUTION</t>
  </si>
  <si>
    <t>VOM ($/MWH)</t>
  </si>
  <si>
    <t>HEAT RATE (BTU/kWh)</t>
  </si>
  <si>
    <t>CAPITAL $/KW ($ 2006)</t>
  </si>
  <si>
    <t>2007 $</t>
  </si>
  <si>
    <t>CAPITAL COST $/kW-Yr</t>
  </si>
  <si>
    <t>CAPITAL RECOVERY FACTOR</t>
  </si>
  <si>
    <t>O&amp;M COST $/MWH</t>
  </si>
  <si>
    <t>EXPECTED CF</t>
  </si>
  <si>
    <t>TRANSMISSION COST</t>
  </si>
  <si>
    <t>DISCOUNT RATE</t>
  </si>
  <si>
    <t>per Table 7.29 of 2007 IRP Main document</t>
  </si>
  <si>
    <t>ELIGIBLE RESOURCE COST</t>
  </si>
  <si>
    <t>GENERATION</t>
  </si>
  <si>
    <t>CAPITAL COST</t>
  </si>
  <si>
    <t xml:space="preserve"> O&amp;M COST</t>
  </si>
  <si>
    <t>INTEGRATION COST</t>
  </si>
  <si>
    <t>PRODUCTION TAX CREDIT</t>
  </si>
  <si>
    <t>TOTAL NON_ELIGIBLE RESOURCE COST</t>
  </si>
  <si>
    <t>TOTAL INCREMENTAL COST</t>
  </si>
  <si>
    <t>CAPITAL</t>
  </si>
  <si>
    <t>FIXED O&amp;M</t>
  </si>
  <si>
    <t>VARIABLE O&amp;M</t>
  </si>
  <si>
    <t>CAPITAL COSTS</t>
  </si>
  <si>
    <t>FUEL COST</t>
  </si>
  <si>
    <t>NON ELIGIBLE RESOURCE CAPACITY COST</t>
  </si>
  <si>
    <t>NON ELIGIBLE RESOURCE ENERGY COST</t>
  </si>
  <si>
    <t>TOTAL NON ELIGIBLE RESOURCE COST</t>
  </si>
  <si>
    <t>YEAR</t>
  </si>
  <si>
    <t>INFLATION FORECAST</t>
  </si>
  <si>
    <t>(MWH)</t>
  </si>
  <si>
    <t>($/KW-YR)</t>
  </si>
  <si>
    <t>($/MWh)</t>
  </si>
  <si>
    <t>($/MWH)</t>
  </si>
  <si>
    <t>($ 000)</t>
  </si>
  <si>
    <t>($/MMBTU)</t>
  </si>
  <si>
    <t>2008 $</t>
  </si>
  <si>
    <t>2006 $</t>
  </si>
  <si>
    <t>2.1 - OWNED RESOURCE ATTRIBUTES</t>
  </si>
  <si>
    <t>2.2 - FORWARD PRICE CURVE</t>
  </si>
  <si>
    <t>3.1 - GOODNOE HILLS RESOURCE COST ANALYSIS</t>
  </si>
  <si>
    <t>3.2 - MARENGO RESOURCE COST ANALYSIS</t>
  </si>
  <si>
    <t>3.3 - MARENGO II RESOURCE COST ANALYSIS</t>
  </si>
  <si>
    <t>3.4 - LEANING JUNIPER RESOURCE COST ANALYSIS</t>
  </si>
  <si>
    <t>SO2, NOx, Hg EMISSION COST</t>
  </si>
  <si>
    <r>
      <t>SO</t>
    </r>
    <r>
      <rPr>
        <vertAlign val="subscript"/>
        <sz val="8"/>
        <rFont val="Times New Roman"/>
        <family val="1"/>
      </rPr>
      <t>2</t>
    </r>
    <r>
      <rPr>
        <sz val="10"/>
        <rFont val="Times New Roman"/>
        <family val="1"/>
      </rPr>
      <t>, NOx, HG Emission Cost ($/MWh)</t>
    </r>
  </si>
  <si>
    <t xml:space="preserve">WASHINGTON JUNE, 1 2016 RENEWABLES REPORT </t>
  </si>
  <si>
    <t>LEMOLO 1 RESOURCE COST ANALYSIS</t>
  </si>
  <si>
    <t>LEMOLO 2 RESOURCE COST ANALYSIS</t>
  </si>
  <si>
    <t>Lemolo 1</t>
  </si>
  <si>
    <t>Lemolo 2</t>
  </si>
  <si>
    <t>Lemolo 1 Upgrade</t>
  </si>
  <si>
    <t>ENVIRONMENTAL ($/MWH)</t>
  </si>
  <si>
    <t>Lemolo 2 Upgrade</t>
  </si>
  <si>
    <t>Emissions</t>
  </si>
  <si>
    <t>Gas Transport Cost ($/MWh)</t>
  </si>
  <si>
    <t>SO2 
lbs/MMBtu</t>
  </si>
  <si>
    <t>NOx 
lbs/ MMBtu</t>
  </si>
  <si>
    <t>Hg 
lbs/TBtu</t>
  </si>
  <si>
    <t>CO2 
lbs/MMBtu</t>
  </si>
  <si>
    <t>CCCT (Wet "F" 2x1)</t>
  </si>
  <si>
    <t>2007 IRP Proxy Resource</t>
  </si>
  <si>
    <t>SO2, NOx, HG Emission Cost ($/MWh)</t>
  </si>
  <si>
    <t>2003 IRP Proxy Resource</t>
  </si>
  <si>
    <t>CCCT 2x1</t>
  </si>
  <si>
    <t>CCCT Duct Firing 2x1</t>
  </si>
  <si>
    <t>SCCT Frame</t>
  </si>
  <si>
    <t>$/ton</t>
  </si>
  <si>
    <t>$/MWh</t>
  </si>
  <si>
    <t>levelized in CY 2002 $</t>
  </si>
  <si>
    <t>2004 IRP Proxy Resource</t>
  </si>
  <si>
    <t>Fiscal Year Mid C Utah</t>
  </si>
  <si>
    <t>2003 IRP Appendic C</t>
  </si>
  <si>
    <t>Mid C</t>
  </si>
  <si>
    <t>Utah</t>
  </si>
  <si>
    <t>INFLATION</t>
  </si>
  <si>
    <t>Where price forecasts were not established by external sources, the simulations were performed</t>
  </si>
  <si>
    <t>with an inflation rate of 2.5%, consistent with the PacifiCorp Business Planning assumptions.</t>
  </si>
  <si>
    <t>2003 IRP</t>
  </si>
  <si>
    <t>$/MMBtu)</t>
  </si>
  <si>
    <t>Table c.12</t>
  </si>
  <si>
    <t>Stanfield</t>
  </si>
  <si>
    <t>Sumas</t>
  </si>
  <si>
    <t>2004 IRP</t>
  </si>
  <si>
    <t>Table C.1 – Inflation Table</t>
  </si>
  <si>
    <t>Calendar Year Annual Rate</t>
  </si>
  <si>
    <t>2004-2010</t>
  </si>
  <si>
    <t>2011-2020</t>
  </si>
  <si>
    <t>2020-2030</t>
  </si>
  <si>
    <t>2004 IRP Base Case Fuel Prices</t>
  </si>
  <si>
    <t>2008 IRP Base Case Fuel Prices</t>
  </si>
  <si>
    <t>2008 IRP</t>
  </si>
  <si>
    <t>August 01, 2002 dated OFPC</t>
  </si>
  <si>
    <t>June 2008 dated OFPC</t>
  </si>
  <si>
    <t>June 30, 2004 dated OFPC curve</t>
  </si>
  <si>
    <r>
      <t xml:space="preserve">2007 IRP Integration Cost </t>
    </r>
    <r>
      <rPr>
        <vertAlign val="superscript"/>
        <sz val="8"/>
        <color theme="1"/>
        <rFont val="Arial"/>
        <family val="2"/>
      </rPr>
      <t>1</t>
    </r>
  </si>
  <si>
    <t>West Gas Price</t>
  </si>
  <si>
    <t>Inflation Forecast</t>
  </si>
  <si>
    <t>2007 IRP</t>
  </si>
  <si>
    <t>CAPITAL $/KW ($ 2008)</t>
  </si>
  <si>
    <t>2010 $</t>
  </si>
  <si>
    <t>FUEL COST (incl Gas Transport)</t>
  </si>
  <si>
    <t>Progress 2 Upgrade</t>
  </si>
  <si>
    <t>1999 $</t>
  </si>
  <si>
    <t>CAPITAL $/KW ($ 2002)</t>
  </si>
  <si>
    <t>Prospect 2</t>
  </si>
  <si>
    <t>Lemolo 1 Hydro Upgrade</t>
  </si>
  <si>
    <t>Lemolo 2 Hydro Upgrade</t>
  </si>
  <si>
    <t>2003 $</t>
  </si>
  <si>
    <t>2005 $</t>
  </si>
  <si>
    <t>JC Boyle</t>
  </si>
  <si>
    <t>CAPITAL $/KW ($ 2004)</t>
  </si>
  <si>
    <t>JC Boyle (Upgrade 2005)</t>
  </si>
  <si>
    <t>JC BOYLE RESOURCE COST ANALYSIS</t>
  </si>
  <si>
    <t>PROESPECT 2 RESOURCE COST ANALYSIS</t>
  </si>
  <si>
    <t>JC BOYLE Upgrade</t>
  </si>
  <si>
    <t>3.7 - JC BOYLE UPGRADE RESOURCE COST ANALYSIS</t>
  </si>
  <si>
    <t>3.6 - LEMOLO 2 UPGRADE RESOURCE COST ANALYSIS</t>
  </si>
  <si>
    <t>3.5 - LEMOLO 1 UPGRADE RESOURCE COST ANALYSIS</t>
  </si>
  <si>
    <t>3.8- PROSPECT 2 UPGRADE RESOURCE COST ANALYSIS</t>
  </si>
  <si>
    <t>Total</t>
  </si>
  <si>
    <t>Cost Per MWh</t>
  </si>
  <si>
    <t>Weighted Average Cost</t>
  </si>
  <si>
    <t>WCA Resource</t>
  </si>
  <si>
    <t>3.9 - WEIGHTED AVERAGE COST FOR NON-WCA GENERATION</t>
  </si>
  <si>
    <t>Dunlap I</t>
  </si>
  <si>
    <t>Glenrock I</t>
  </si>
  <si>
    <t>INCREMENTAL HYDRO</t>
  </si>
  <si>
    <t>Bennett Creek Windfarm - REC Only</t>
  </si>
  <si>
    <t>Hot Springs Wind Farm - REC Only</t>
  </si>
  <si>
    <t>Note 1:  REC contract price</t>
  </si>
  <si>
    <t>WCA WIND WEIGHTED AVERAGE COST ANALYSIS</t>
  </si>
  <si>
    <t>Greenfield CCCT 2x1</t>
  </si>
  <si>
    <t>Source: Tables C.18, C.19, C20, 2003 IRP Appendix C</t>
  </si>
  <si>
    <t>Greenfield CCCT Duct Firing 2x1</t>
  </si>
  <si>
    <t>Source: 2004 IRP, Appendix C, Tables C.27, C28</t>
  </si>
  <si>
    <t>East Side</t>
  </si>
  <si>
    <t>Note 2: Weighted average cost of wind resources within the Washington Control Area</t>
  </si>
  <si>
    <t>Seven Mile Hill I</t>
  </si>
  <si>
    <t>SOLAR</t>
  </si>
  <si>
    <t>Pavant</t>
  </si>
  <si>
    <t>Enterprise</t>
  </si>
  <si>
    <t>Note1</t>
  </si>
  <si>
    <t>Subtotal Solar Resource Cost</t>
  </si>
  <si>
    <t>*RECs Generated for Calendar Year</t>
  </si>
  <si>
    <t>Adams Solar</t>
  </si>
  <si>
    <t>Bear Creek Solar</t>
  </si>
  <si>
    <t>Bly Solar</t>
  </si>
  <si>
    <t>Elbe Solar</t>
  </si>
  <si>
    <t>Campbell Hill</t>
  </si>
  <si>
    <t>2019 IRP Proxy Resource</t>
  </si>
  <si>
    <t>CCCT Dry "G/H", 1x1</t>
  </si>
  <si>
    <t>CCCT Dry "G/H", DF, 1x1</t>
  </si>
  <si>
    <t>SCCT Frame "F" x1 - West Side Option (1500')</t>
  </si>
  <si>
    <t>Repower</t>
  </si>
  <si>
    <t>3.1 - GOODNOE HILLS RESOURCE COST ANALYSIS WITH REPOWERING</t>
  </si>
  <si>
    <t xml:space="preserve">WASHINGTON JUNE, 1 2020 RENEWABLES REPORT </t>
  </si>
  <si>
    <t>CALENDAR YEAR 2019 - TOTAL RESOURCE COST TO WASHINGTON REVENUE REQUIREMENT</t>
  </si>
  <si>
    <t>CALENDAR YEAR 2020 - TOTAL RESOURCE COST TO WASHINGTON REVENUE REQUIREMENT</t>
  </si>
  <si>
    <t>Goodnoe Hills - Repower</t>
  </si>
  <si>
    <t>Leaning Juniper - Repower</t>
  </si>
  <si>
    <t>Total Life</t>
  </si>
  <si>
    <t>2017 IRP Update</t>
  </si>
  <si>
    <t>CAPITAL $/KW (2016)</t>
  </si>
  <si>
    <t>CAPITAL $/KW ($ 2016)</t>
  </si>
  <si>
    <t>2017 IRP Base Case Fuel Prices</t>
  </si>
  <si>
    <t>2017 IRP Update Base Case Fule Prices</t>
  </si>
  <si>
    <t>44 year Nominal Levelized at 6.570%</t>
  </si>
  <si>
    <t xml:space="preserve">Source: 2017 IRP Volume I, Chapter 6,  Table 6.1 and 6.2 </t>
  </si>
  <si>
    <t>REPOWERED ATTRIBUTES</t>
  </si>
  <si>
    <t>Proxy Resource (Willamette Valley) 2019 IRP</t>
  </si>
  <si>
    <t>Proxy Resource (Willamette Valley) 2017 IRP Update</t>
  </si>
  <si>
    <t>2017 IRP Update Proxy Resource</t>
  </si>
  <si>
    <t xml:space="preserve">Source: 2019 IRP Volume I, Chapter 6,  Table 6.1 and 6.2 </t>
  </si>
  <si>
    <t>3.1a</t>
  </si>
  <si>
    <t>GOODNOE HILLS RESOURCE COST ANALYSIS - ORIGINAL</t>
  </si>
  <si>
    <t>3.1b</t>
  </si>
  <si>
    <t>GOODNOE HILLS RESOURCE COST ANALYSIS - REPOWERED</t>
  </si>
  <si>
    <t>3.4a</t>
  </si>
  <si>
    <t>LEANING JUNIPER RESOURCE COST ANALYSIS - ORIGINAL</t>
  </si>
  <si>
    <t>3.4b</t>
  </si>
  <si>
    <t>LEANING JUNIPER RESOURCE COST ANALYSIS-REPOWERED</t>
  </si>
  <si>
    <t>October 12, 2016 dated OFPC</t>
  </si>
  <si>
    <t>2018$</t>
  </si>
  <si>
    <t>2019 IRP Update</t>
  </si>
  <si>
    <t>CAPITAL $/KW (2018)</t>
  </si>
  <si>
    <t>CAPITAL $/KW ($ 2018)</t>
  </si>
  <si>
    <t>CCCT Dry "J/HA.02", 1x1</t>
  </si>
  <si>
    <t>CCCT Dry "J/HA.02", DF, 1x1</t>
  </si>
  <si>
    <t>2019 IRP Base Case Fuel Prices</t>
  </si>
  <si>
    <t>2019 IRP</t>
  </si>
  <si>
    <t>2019 IRP Base Case Fule Prices</t>
  </si>
  <si>
    <t>2019 RECs / MWH</t>
  </si>
  <si>
    <t>2020 RECs / MWH</t>
  </si>
  <si>
    <t>Goodnoe Hills - Original</t>
  </si>
  <si>
    <t>Leaning Juniper - Original</t>
  </si>
  <si>
    <t xml:space="preserve"> |</t>
  </si>
  <si>
    <t>2019 RECs*</t>
  </si>
  <si>
    <t>2020 RECs</t>
  </si>
  <si>
    <t>Weighted Average REC Cost for Non-WCA Generation - Pre-Repower</t>
  </si>
  <si>
    <t>Weighted Average REC Cost for Non-WCA Generation - Post-Repower</t>
  </si>
  <si>
    <t>Granite Mountain East</t>
  </si>
  <si>
    <t>Granite Mountain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</si>
</sst>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7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-* #,##0\ &quot;F&quot;_-;\-* #,##0\ &quot;F&quot;_-;_-* &quot;-&quot;\ &quot;F&quot;_-;_-@_-"/>
    <numFmt numFmtId="166" formatCode="&quot;$&quot;###0;[Red]\(&quot;$&quot;###0\)"/>
    <numFmt numFmtId="167" formatCode="&quot;$&quot;#,##0\ ;\(&quot;$&quot;#,##0\)"/>
    <numFmt numFmtId="168" formatCode="mmmm\ d\,\ yyyy"/>
    <numFmt numFmtId="169" formatCode="0.0"/>
    <numFmt numFmtId="170" formatCode="#,##0.000;[Red]\-#,##0.000"/>
    <numFmt numFmtId="171" formatCode="_(* #,##0_);[Red]_(* \(#,##0\);_(* &quot;-&quot;_);_(@_)"/>
    <numFmt numFmtId="172" formatCode="#,##0.0_);\(#,##0.0\);\-\ ;"/>
    <numFmt numFmtId="173" formatCode="#,##0.0000"/>
    <numFmt numFmtId="174" formatCode="General_)"/>
    <numFmt numFmtId="175" formatCode="_(&quot;$&quot;\ #,##0.00_);_(&quot;$&quot;\ \(#,##0.00\);_(&quot;$&quot;* &quot;-&quot;??_);_(@_)"/>
    <numFmt numFmtId="176" formatCode="_(&quot;$&quot;\ #,##0_);_(&quot;$&quot;\ \(#,##0\);_(&quot;$&quot;* &quot;-&quot;??_);_(@_)"/>
    <numFmt numFmtId="177" formatCode="_(* #,##0.00_);_(* \(#,##0.00\);_(* &quot;-&quot;_);_(@_)"/>
    <numFmt numFmtId="178" formatCode="0.0000"/>
    <numFmt numFmtId="179" formatCode="_(* #,##0_);_(* \(#,##0\);_(* &quot;-&quot;??_);_(@_)"/>
    <numFmt numFmtId="180" formatCode="&quot;$&quot;#,##0"/>
    <numFmt numFmtId="181" formatCode="&quot;$&quot;#,##0.00"/>
    <numFmt numFmtId="182" formatCode="_(&quot;$&quot;* #,##0.00_);_(&quot;$&quot;* \(#,##0.00\);_(* &quot;-&quot;??_);_(@_)"/>
    <numFmt numFmtId="183" formatCode="_(&quot;$&quot;* #,##0_);_(&quot;$&quot;* \(#,##0\);_(&quot;$&quot;* &quot;-&quot;??_);_(@_)"/>
    <numFmt numFmtId="184" formatCode="_(* #,##0.000_);_(* \(#,##0.000\);_(* &quot;-&quot;??_);_(@_)"/>
    <numFmt numFmtId="185" formatCode="0.0%"/>
    <numFmt numFmtId="186" formatCode="_(* #,##0.0_);_(* \(#,##0.0\);_(* &quot;-&quot;??_);_(@_)"/>
    <numFmt numFmtId="187" formatCode="0&quot;$&quot;"/>
    <numFmt numFmtId="188" formatCode="_(* #,##0.0000_);_(* \(#,##0.0000\);_(* &quot;-&quot;??_);_(@_)"/>
    <numFmt numFmtId="189" formatCode="_(&quot;$&quot;\ #,##0.00;_(&quot;$&quot;\ \(#,##0.00\);_(&quot;$&quot;\ &quot;-&quot;??_);_(@_)"/>
    <numFmt numFmtId="190" formatCode="_(&quot;$&quot;\ #,##0;_(&quot;$&quot;\ \(#,##0\);_(&quot;$&quot;\ &quot;-&quot;??_);_(@_)"/>
    <numFmt numFmtId="191" formatCode="_(&quot;$&quot;\ #,##0_);_(&quot;$&quot;\ \(#,##0\);_(&quot;$&quot;\ &quot;-&quot;_);_(@_)"/>
    <numFmt numFmtId="192" formatCode="#,##0.0"/>
    <numFmt numFmtId="193" formatCode="0.000"/>
    <numFmt numFmtId="194" formatCode="mmm\ yyyy&quot;   &quot;"/>
    <numFmt numFmtId="195" formatCode="0.000%"/>
    <numFmt numFmtId="196" formatCode="0.00_)"/>
    <numFmt numFmtId="197" formatCode="0.000000"/>
    <numFmt numFmtId="198" formatCode="_-* #,##0_-;\-* #,##0_-;_-* &quot;-&quot;_-;_-@_-"/>
    <numFmt numFmtId="199" formatCode="_-* #,##0.00_-;\-* #,##0.00_-;_-* &quot;-&quot;??_-;_-@_-"/>
    <numFmt numFmtId="200" formatCode="_-&quot;$&quot;* #,##0_-;\-&quot;$&quot;* #,##0_-;_-&quot;$&quot;* &quot;-&quot;_-;_-@_-"/>
    <numFmt numFmtId="201" formatCode="_-&quot;$&quot;* #,##0.00_-;\-&quot;$&quot;* #,##0.00_-;_-&quot;$&quot;* &quot;-&quot;??_-;_-@_-"/>
    <numFmt numFmtId="202" formatCode="_*\ #,##0;_(* \(#,##0\);_(* &quot;-&quot;\);_(@_)"/>
    <numFmt numFmtId="203" formatCode="_(&quot;$&quot;\ #,##0_);_(&quot;$&quot;\ \(#,##0\);_(&quot;$&quot;\ &quot;-&quot;??_);_(@_)"/>
    <numFmt numFmtId="204" formatCode="_*\ #,##0.0;_(* \(#,##0.0\);_(* &quot;-&quot;\);_(@_)"/>
  </numFmts>
  <fonts count="93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0"/>
      <color indexed="8"/>
      <name val="Helv"/>
    </font>
    <font>
      <sz val="12"/>
      <name val="Times New Roman"/>
      <family val="1"/>
    </font>
    <font>
      <sz val="10"/>
      <color indexed="24"/>
      <name val="Courier New"/>
      <family val="3"/>
    </font>
    <font>
      <sz val="10"/>
      <name val="Helv"/>
    </font>
    <font>
      <sz val="8"/>
      <name val="Helv"/>
    </font>
    <font>
      <b/>
      <sz val="16"/>
      <name val="Times New Roman"/>
      <family val="1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sz val="8"/>
      <name val="Times New Roman"/>
      <family val="1"/>
    </font>
    <font>
      <b/>
      <sz val="8"/>
      <name val="Arial"/>
      <family val="2"/>
    </font>
    <font>
      <sz val="11"/>
      <color indexed="8"/>
      <name val="TimesNewRomanPS"/>
    </font>
    <font>
      <sz val="10"/>
      <name val="Geneva"/>
      <family val="2"/>
    </font>
    <font>
      <sz val="10"/>
      <color indexed="11"/>
      <name val="Geneva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Arial MT"/>
    </font>
    <font>
      <sz val="10"/>
      <name val="LinePrinter"/>
    </font>
    <font>
      <sz val="10"/>
      <color indexed="8"/>
      <name val="Arial"/>
      <family val="2"/>
    </font>
    <font>
      <sz val="8"/>
      <color indexed="12"/>
      <name val="Arial"/>
      <family val="2"/>
    </font>
    <font>
      <sz val="6"/>
      <color rgb="FF2C62A4"/>
      <name val="Arial"/>
      <family val="2"/>
    </font>
    <font>
      <u/>
      <sz val="8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0000FF"/>
      <name val="Times New Roman"/>
      <family val="1"/>
    </font>
    <font>
      <sz val="9"/>
      <color rgb="FF0000FF"/>
      <name val="Times New Roman"/>
      <family val="1"/>
    </font>
    <font>
      <sz val="9"/>
      <name val="Times New Roman"/>
      <family val="1"/>
    </font>
    <font>
      <b/>
      <sz val="8"/>
      <color indexed="8"/>
      <name val="Arial"/>
      <family val="2"/>
    </font>
    <font>
      <vertAlign val="superscript"/>
      <sz val="8"/>
      <color theme="1"/>
      <name val="Arial"/>
      <family val="2"/>
    </font>
    <font>
      <i/>
      <sz val="8"/>
      <color theme="1"/>
      <name val="Arial"/>
      <family val="2"/>
    </font>
    <font>
      <sz val="8"/>
      <name val="Arial monospaced for SAP"/>
      <family val="3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Arial"/>
      <family val="2"/>
    </font>
    <font>
      <sz val="6"/>
      <name val="Calibri"/>
      <family val="2"/>
      <scheme val="minor"/>
    </font>
    <font>
      <sz val="8"/>
      <color rgb="FF00B0F0"/>
      <name val="Arial"/>
      <family val="2"/>
    </font>
    <font>
      <sz val="9"/>
      <color rgb="FF0070C0"/>
      <name val="Calibri"/>
      <family val="2"/>
      <scheme val="minor"/>
    </font>
    <font>
      <sz val="7"/>
      <color rgb="FF2C62A4"/>
      <name val="Arial"/>
      <family val="2"/>
    </font>
    <font>
      <vertAlign val="subscript"/>
      <sz val="8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i/>
      <sz val="9"/>
      <name val="Calibri"/>
      <family val="2"/>
      <scheme val="minor"/>
    </font>
    <font>
      <b/>
      <sz val="6"/>
      <color rgb="FF2C62A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Tms Rmn"/>
    </font>
    <font>
      <b/>
      <sz val="11"/>
      <color indexed="9"/>
      <name val="Calibri"/>
      <family val="2"/>
    </font>
    <font>
      <sz val="12"/>
      <color theme="1"/>
      <name val="Times New Roman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i/>
      <sz val="10"/>
      <name val="Arial"/>
      <family val="2"/>
    </font>
    <font>
      <b/>
      <u/>
      <sz val="10"/>
      <color indexed="39"/>
      <name val="Arial"/>
      <family val="2"/>
    </font>
    <font>
      <b/>
      <sz val="14"/>
      <name val="Helv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sz val="24"/>
      <color indexed="13"/>
      <name val="Helv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name val="Calibri"/>
      <family val="2"/>
      <scheme val="minor"/>
    </font>
    <font>
      <i/>
      <sz val="9"/>
      <name val="Calibri"/>
      <family val="2"/>
    </font>
    <font>
      <sz val="9"/>
      <name val="Calibri"/>
      <family val="2"/>
    </font>
    <font>
      <b/>
      <sz val="8"/>
      <color rgb="FF000000"/>
      <name val="Arial"/>
      <family val="2"/>
    </font>
    <font>
      <sz val="8"/>
      <name val="Calibri"/>
      <family val="2"/>
    </font>
    <font>
      <b/>
      <sz val="8"/>
      <name val="Calibri"/>
      <family val="2"/>
    </font>
    <font>
      <b/>
      <sz val="9"/>
      <name val="Calibri"/>
      <family val="2"/>
    </font>
    <font>
      <sz val="6"/>
      <name val="Calibri"/>
      <family val="2"/>
    </font>
    <font>
      <sz val="8"/>
      <color rgb="FFFF000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8"/>
      </patternFill>
    </fill>
    <fill>
      <patternFill patternType="solid">
        <fgColor indexed="17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</patternFill>
    </fill>
    <fill>
      <patternFill patternType="gray125">
        <fgColor indexed="21"/>
      </patternFill>
    </fill>
    <fill>
      <patternFill patternType="solid">
        <fgColor indexed="19"/>
      </patternFill>
    </fill>
    <fill>
      <patternFill patternType="mediumGray">
        <fgColor indexed="21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lightGray"/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D8DBE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8"/>
      </patternFill>
    </fill>
    <fill>
      <patternFill patternType="solid">
        <fgColor indexed="1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theme="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16">
    <xf numFmtId="0" fontId="0" fillId="0" borderId="0"/>
    <xf numFmtId="0" fontId="6" fillId="3" borderId="9" applyNumberFormat="0" applyBorder="0" applyAlignment="0" applyProtection="0"/>
    <xf numFmtId="164" fontId="6" fillId="3" borderId="9" applyNumberFormat="0" applyBorder="0" applyAlignment="0" applyProtection="0"/>
    <xf numFmtId="0" fontId="7" fillId="4" borderId="0" applyNumberFormat="0" applyBorder="0" applyAlignment="0" applyProtection="0"/>
    <xf numFmtId="164" fontId="7" fillId="4" borderId="0" applyNumberFormat="0" applyBorder="0" applyAlignment="0" applyProtection="0"/>
    <xf numFmtId="0" fontId="8" fillId="0" borderId="0"/>
    <xf numFmtId="164" fontId="8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" fontId="10" fillId="0" borderId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3" fillId="0" borderId="0"/>
    <xf numFmtId="164" fontId="13" fillId="0" borderId="0"/>
    <xf numFmtId="0" fontId="13" fillId="0" borderId="0"/>
    <xf numFmtId="164" fontId="13" fillId="0" borderId="0"/>
    <xf numFmtId="37" fontId="9" fillId="0" borderId="0" applyFill="0" applyBorder="0" applyAlignment="0" applyProtection="0"/>
    <xf numFmtId="0" fontId="13" fillId="0" borderId="0"/>
    <xf numFmtId="164" fontId="13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4" fillId="0" borderId="0" applyFont="0" applyFill="0" applyBorder="0" applyProtection="0">
      <alignment horizontal="right"/>
    </xf>
    <xf numFmtId="5" fontId="13" fillId="0" borderId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164" fontId="13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8" fontId="9" fillId="0" borderId="0" applyFill="0" applyBorder="0" applyAlignment="0" applyProtection="0"/>
    <xf numFmtId="2" fontId="12" fillId="0" borderId="0" applyFont="0" applyFill="0" applyBorder="0" applyAlignment="0" applyProtection="0"/>
    <xf numFmtId="38" fontId="5" fillId="5" borderId="0" applyNumberFormat="0" applyBorder="0" applyAlignment="0" applyProtection="0"/>
    <xf numFmtId="0" fontId="15" fillId="0" borderId="0"/>
    <xf numFmtId="164" fontId="15" fillId="0" borderId="0"/>
    <xf numFmtId="0" fontId="16" fillId="0" borderId="10" applyNumberFormat="0" applyAlignment="0" applyProtection="0">
      <alignment horizontal="left" vertical="center"/>
    </xf>
    <xf numFmtId="164" fontId="16" fillId="0" borderId="10" applyNumberFormat="0" applyAlignment="0" applyProtection="0">
      <alignment horizontal="left" vertical="center"/>
    </xf>
    <xf numFmtId="0" fontId="16" fillId="0" borderId="11">
      <alignment horizontal="left" vertical="center"/>
    </xf>
    <xf numFmtId="164" fontId="16" fillId="0" borderId="11">
      <alignment horizontal="left" vertical="center"/>
    </xf>
    <xf numFmtId="0" fontId="17" fillId="0" borderId="0" applyNumberFormat="0" applyFill="0" applyBorder="0" applyAlignment="0" applyProtection="0"/>
    <xf numFmtId="10" fontId="5" fillId="6" borderId="9" applyNumberFormat="0" applyBorder="0" applyAlignment="0" applyProtection="0"/>
    <xf numFmtId="0" fontId="18" fillId="7" borderId="0"/>
    <xf numFmtId="164" fontId="18" fillId="7" borderId="0"/>
    <xf numFmtId="0" fontId="18" fillId="8" borderId="0"/>
    <xf numFmtId="164" fontId="18" fillId="8" borderId="0"/>
    <xf numFmtId="0" fontId="7" fillId="9" borderId="5" applyBorder="0"/>
    <xf numFmtId="0" fontId="9" fillId="10" borderId="4" applyNumberFormat="0" applyFont="0" applyBorder="0" applyAlignment="0" applyProtection="0"/>
    <xf numFmtId="164" fontId="9" fillId="10" borderId="4" applyNumberFormat="0" applyFont="0" applyBorder="0" applyAlignment="0" applyProtection="0"/>
    <xf numFmtId="169" fontId="19" fillId="0" borderId="0" applyNumberFormat="0" applyFill="0" applyBorder="0" applyAlignment="0" applyProtection="0"/>
    <xf numFmtId="37" fontId="20" fillId="0" borderId="0" applyNumberFormat="0" applyFill="0" applyBorder="0"/>
    <xf numFmtId="0" fontId="5" fillId="0" borderId="12" applyNumberFormat="0" applyBorder="0" applyAlignment="0"/>
    <xf numFmtId="164" fontId="5" fillId="0" borderId="12" applyNumberFormat="0" applyBorder="0" applyAlignment="0"/>
    <xf numFmtId="17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/>
    <xf numFmtId="164" fontId="9" fillId="0" borderId="0"/>
    <xf numFmtId="171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9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9" fillId="0" borderId="0"/>
    <xf numFmtId="164" fontId="2" fillId="0" borderId="0"/>
    <xf numFmtId="164" fontId="2" fillId="0" borderId="0"/>
    <xf numFmtId="0" fontId="9" fillId="0" borderId="0"/>
    <xf numFmtId="0" fontId="9" fillId="0" borderId="0"/>
    <xf numFmtId="0" fontId="9" fillId="0" borderId="0"/>
    <xf numFmtId="37" fontId="13" fillId="0" borderId="0"/>
    <xf numFmtId="0" fontId="21" fillId="0" borderId="0"/>
    <xf numFmtId="172" fontId="11" fillId="0" borderId="0" applyFont="0" applyFill="0" applyBorder="0" applyProtection="0"/>
    <xf numFmtId="12" fontId="16" fillId="11" borderId="13">
      <alignment horizontal="left"/>
    </xf>
    <xf numFmtId="0" fontId="13" fillId="0" borderId="0"/>
    <xf numFmtId="164" fontId="13" fillId="0" borderId="0"/>
    <xf numFmtId="0" fontId="13" fillId="0" borderId="0"/>
    <xf numFmtId="164" fontId="13" fillId="0" borderId="0"/>
    <xf numFmtId="10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24" fillId="0" borderId="13">
      <alignment horizontal="center"/>
    </xf>
    <xf numFmtId="3" fontId="23" fillId="0" borderId="0" applyFont="0" applyFill="0" applyBorder="0" applyAlignment="0" applyProtection="0"/>
    <xf numFmtId="0" fontId="23" fillId="12" borderId="0" applyNumberFormat="0" applyFont="0" applyBorder="0" applyAlignment="0" applyProtection="0"/>
    <xf numFmtId="37" fontId="25" fillId="13" borderId="0" applyNumberFormat="0" applyFont="0" applyBorder="0" applyAlignment="0" applyProtection="0"/>
    <xf numFmtId="173" fontId="9" fillId="0" borderId="14">
      <alignment horizontal="justify" vertical="top" wrapText="1"/>
    </xf>
    <xf numFmtId="0" fontId="9" fillId="0" borderId="0">
      <alignment horizontal="left" wrapText="1"/>
    </xf>
    <xf numFmtId="164" fontId="9" fillId="0" borderId="0">
      <alignment horizontal="left" wrapText="1"/>
    </xf>
    <xf numFmtId="0" fontId="7" fillId="0" borderId="9">
      <alignment horizontal="center" vertical="center" wrapText="1"/>
    </xf>
    <xf numFmtId="164" fontId="7" fillId="0" borderId="9">
      <alignment horizontal="center" vertical="center" wrapText="1"/>
    </xf>
    <xf numFmtId="0" fontId="13" fillId="0" borderId="15"/>
    <xf numFmtId="164" fontId="13" fillId="0" borderId="15"/>
    <xf numFmtId="174" fontId="26" fillId="0" borderId="0">
      <alignment horizontal="left"/>
    </xf>
    <xf numFmtId="0" fontId="13" fillId="0" borderId="16"/>
    <xf numFmtId="164" fontId="13" fillId="0" borderId="16"/>
    <xf numFmtId="38" fontId="27" fillId="0" borderId="17" applyFill="0" applyBorder="0" applyAlignment="0" applyProtection="0">
      <protection locked="0"/>
    </xf>
    <xf numFmtId="37" fontId="5" fillId="14" borderId="0" applyNumberFormat="0" applyBorder="0" applyAlignment="0" applyProtection="0"/>
    <xf numFmtId="37" fontId="5" fillId="0" borderId="0"/>
    <xf numFmtId="3" fontId="28" fillId="15" borderId="18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6" fillId="40" borderId="42" applyNumberFormat="0" applyAlignment="0" applyProtection="0"/>
    <xf numFmtId="0" fontId="56" fillId="40" borderId="42" applyNumberFormat="0" applyAlignment="0" applyProtection="0"/>
    <xf numFmtId="0" fontId="57" fillId="0" borderId="0"/>
    <xf numFmtId="0" fontId="58" fillId="41" borderId="43" applyNumberFormat="0" applyAlignment="0" applyProtection="0"/>
    <xf numFmtId="0" fontId="58" fillId="41" borderId="43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0" fontId="13" fillId="0" borderId="0"/>
    <xf numFmtId="3" fontId="9" fillId="0" borderId="0" applyFont="0" applyFill="0" applyBorder="0" applyAlignment="0" applyProtection="0"/>
    <xf numFmtId="0" fontId="13" fillId="0" borderId="0"/>
    <xf numFmtId="0" fontId="13" fillId="0" borderId="0"/>
    <xf numFmtId="5" fontId="9" fillId="0" borderId="0" applyFont="0" applyFill="0" applyBorder="0" applyAlignment="0" applyProtection="0"/>
    <xf numFmtId="0" fontId="60" fillId="0" borderId="0"/>
    <xf numFmtId="0" fontId="60" fillId="0" borderId="44"/>
    <xf numFmtId="0" fontId="13" fillId="0" borderId="0"/>
    <xf numFmtId="14" fontId="9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2" fontId="9" fillId="0" borderId="0" applyFont="0" applyFill="0" applyBorder="0" applyAlignment="0" applyProtection="0"/>
    <xf numFmtId="0" fontId="13" fillId="0" borderId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3" fillId="0" borderId="45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46" applyNumberFormat="0" applyFill="0" applyAlignment="0" applyProtection="0"/>
    <xf numFmtId="0" fontId="65" fillId="0" borderId="47" applyNumberFormat="0" applyFill="0" applyAlignment="0" applyProtection="0"/>
    <xf numFmtId="0" fontId="65" fillId="0" borderId="47" applyNumberFormat="0" applyFill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95" fontId="9" fillId="0" borderId="0">
      <protection locked="0"/>
    </xf>
    <xf numFmtId="195" fontId="9" fillId="0" borderId="0">
      <protection locked="0"/>
    </xf>
    <xf numFmtId="0" fontId="66" fillId="27" borderId="42" applyNumberFormat="0" applyAlignment="0" applyProtection="0"/>
    <xf numFmtId="0" fontId="66" fillId="27" borderId="42" applyNumberFormat="0" applyAlignment="0" applyProtection="0"/>
    <xf numFmtId="0" fontId="66" fillId="27" borderId="42" applyNumberFormat="0" applyAlignment="0" applyProtection="0"/>
    <xf numFmtId="0" fontId="66" fillId="27" borderId="42" applyNumberFormat="0" applyAlignment="0" applyProtection="0"/>
    <xf numFmtId="0" fontId="66" fillId="27" borderId="42" applyNumberFormat="0" applyAlignment="0" applyProtection="0"/>
    <xf numFmtId="38" fontId="67" fillId="0" borderId="0">
      <alignment horizontal="left" wrapText="1"/>
    </xf>
    <xf numFmtId="38" fontId="68" fillId="0" borderId="0">
      <alignment horizontal="left" wrapText="1"/>
    </xf>
    <xf numFmtId="0" fontId="69" fillId="42" borderId="44"/>
    <xf numFmtId="0" fontId="70" fillId="0" borderId="48" applyNumberFormat="0" applyFill="0" applyAlignment="0" applyProtection="0"/>
    <xf numFmtId="0" fontId="70" fillId="0" borderId="48" applyNumberFormat="0" applyFill="0" applyAlignment="0" applyProtection="0"/>
    <xf numFmtId="0" fontId="71" fillId="43" borderId="0" applyNumberFormat="0" applyBorder="0" applyAlignment="0" applyProtection="0"/>
    <xf numFmtId="0" fontId="71" fillId="43" borderId="0" applyNumberFormat="0" applyBorder="0" applyAlignment="0" applyProtection="0"/>
    <xf numFmtId="196" fontId="7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9" fillId="0" borderId="0"/>
    <xf numFmtId="0" fontId="5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5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44" borderId="49" applyNumberFormat="0" applyFont="0" applyAlignment="0" applyProtection="0"/>
    <xf numFmtId="0" fontId="9" fillId="44" borderId="49" applyNumberFormat="0" applyFont="0" applyAlignment="0" applyProtection="0"/>
    <xf numFmtId="0" fontId="1" fillId="19" borderId="41" applyNumberFormat="0" applyFont="0" applyAlignment="0" applyProtection="0"/>
    <xf numFmtId="0" fontId="73" fillId="40" borderId="50" applyNumberFormat="0" applyAlignment="0" applyProtection="0"/>
    <xf numFmtId="0" fontId="73" fillId="40" borderId="50" applyNumberFormat="0" applyAlignment="0" applyProtection="0"/>
    <xf numFmtId="40" fontId="27" fillId="18" borderId="0">
      <alignment horizontal="right"/>
    </xf>
    <xf numFmtId="0" fontId="50" fillId="18" borderId="0">
      <alignment horizontal="left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2" fillId="0" borderId="0"/>
    <xf numFmtId="0" fontId="60" fillId="0" borderId="0"/>
    <xf numFmtId="4" fontId="50" fillId="43" borderId="51" applyNumberFormat="0" applyProtection="0">
      <alignment vertical="center"/>
    </xf>
    <xf numFmtId="4" fontId="74" fillId="14" borderId="51" applyNumberFormat="0" applyProtection="0">
      <alignment vertical="center"/>
    </xf>
    <xf numFmtId="4" fontId="50" fillId="14" borderId="51" applyNumberFormat="0" applyProtection="0">
      <alignment horizontal="left" vertical="center" indent="1"/>
    </xf>
    <xf numFmtId="0" fontId="50" fillId="14" borderId="51" applyNumberFormat="0" applyProtection="0">
      <alignment horizontal="left" vertical="top" indent="1"/>
    </xf>
    <xf numFmtId="4" fontId="50" fillId="45" borderId="0" applyNumberFormat="0" applyProtection="0">
      <alignment horizontal="left" vertical="center" indent="1"/>
    </xf>
    <xf numFmtId="4" fontId="27" fillId="23" borderId="51" applyNumberFormat="0" applyProtection="0">
      <alignment horizontal="right" vertical="center"/>
    </xf>
    <xf numFmtId="4" fontId="27" fillId="29" borderId="51" applyNumberFormat="0" applyProtection="0">
      <alignment horizontal="right" vertical="center"/>
    </xf>
    <xf numFmtId="4" fontId="27" fillId="37" borderId="51" applyNumberFormat="0" applyProtection="0">
      <alignment horizontal="right" vertical="center"/>
    </xf>
    <xf numFmtId="4" fontId="27" fillId="31" borderId="51" applyNumberFormat="0" applyProtection="0">
      <alignment horizontal="right" vertical="center"/>
    </xf>
    <xf numFmtId="4" fontId="27" fillId="35" borderId="51" applyNumberFormat="0" applyProtection="0">
      <alignment horizontal="right" vertical="center"/>
    </xf>
    <xf numFmtId="4" fontId="27" fillId="39" borderId="51" applyNumberFormat="0" applyProtection="0">
      <alignment horizontal="right" vertical="center"/>
    </xf>
    <xf numFmtId="4" fontId="27" fillId="38" borderId="51" applyNumberFormat="0" applyProtection="0">
      <alignment horizontal="right" vertical="center"/>
    </xf>
    <xf numFmtId="4" fontId="27" fillId="46" borderId="51" applyNumberFormat="0" applyProtection="0">
      <alignment horizontal="right" vertical="center"/>
    </xf>
    <xf numFmtId="4" fontId="27" fillId="30" borderId="51" applyNumberFormat="0" applyProtection="0">
      <alignment horizontal="right" vertical="center"/>
    </xf>
    <xf numFmtId="4" fontId="50" fillId="47" borderId="52" applyNumberFormat="0" applyProtection="0">
      <alignment horizontal="left" vertical="center" indent="1"/>
    </xf>
    <xf numFmtId="4" fontId="27" fillId="48" borderId="0" applyNumberFormat="0" applyProtection="0">
      <alignment horizontal="left" vertical="center" indent="1"/>
    </xf>
    <xf numFmtId="4" fontId="75" fillId="49" borderId="0" applyNumberFormat="0" applyProtection="0">
      <alignment horizontal="left" vertical="center" indent="1"/>
    </xf>
    <xf numFmtId="4" fontId="27" fillId="50" borderId="51" applyNumberFormat="0" applyProtection="0">
      <alignment horizontal="right" vertical="center"/>
    </xf>
    <xf numFmtId="4" fontId="27" fillId="48" borderId="0" applyNumberFormat="0" applyProtection="0">
      <alignment horizontal="left" vertical="center" indent="1"/>
    </xf>
    <xf numFmtId="4" fontId="27" fillId="45" borderId="0" applyNumberFormat="0" applyProtection="0">
      <alignment horizontal="left" vertical="center" indent="1"/>
    </xf>
    <xf numFmtId="0" fontId="9" fillId="49" borderId="51" applyNumberFormat="0" applyProtection="0">
      <alignment horizontal="left" vertical="center" indent="1"/>
    </xf>
    <xf numFmtId="0" fontId="9" fillId="49" borderId="51" applyNumberFormat="0" applyProtection="0">
      <alignment horizontal="left" vertical="top" indent="1"/>
    </xf>
    <xf numFmtId="0" fontId="9" fillId="45" borderId="51" applyNumberFormat="0" applyProtection="0">
      <alignment horizontal="left" vertical="center" indent="1"/>
    </xf>
    <xf numFmtId="0" fontId="9" fillId="45" borderId="51" applyNumberFormat="0" applyProtection="0">
      <alignment horizontal="left" vertical="top" indent="1"/>
    </xf>
    <xf numFmtId="0" fontId="9" fillId="51" borderId="51" applyNumberFormat="0" applyProtection="0">
      <alignment horizontal="left" vertical="center" indent="1"/>
    </xf>
    <xf numFmtId="0" fontId="9" fillId="51" borderId="51" applyNumberFormat="0" applyProtection="0">
      <alignment horizontal="left" vertical="top" indent="1"/>
    </xf>
    <xf numFmtId="0" fontId="9" fillId="52" borderId="51" applyNumberFormat="0" applyProtection="0">
      <alignment horizontal="left" vertical="center" indent="1"/>
    </xf>
    <xf numFmtId="0" fontId="9" fillId="52" borderId="51" applyNumberFormat="0" applyProtection="0">
      <alignment horizontal="left" vertical="top" indent="1"/>
    </xf>
    <xf numFmtId="4" fontId="27" fillId="6" borderId="51" applyNumberFormat="0" applyProtection="0">
      <alignment vertical="center"/>
    </xf>
    <xf numFmtId="4" fontId="76" fillId="6" borderId="51" applyNumberFormat="0" applyProtection="0">
      <alignment vertical="center"/>
    </xf>
    <xf numFmtId="4" fontId="27" fillId="6" borderId="51" applyNumberFormat="0" applyProtection="0">
      <alignment horizontal="left" vertical="center" indent="1"/>
    </xf>
    <xf numFmtId="0" fontId="27" fillId="6" borderId="51" applyNumberFormat="0" applyProtection="0">
      <alignment horizontal="left" vertical="top" indent="1"/>
    </xf>
    <xf numFmtId="4" fontId="27" fillId="0" borderId="51" applyNumberFormat="0" applyProtection="0">
      <alignment horizontal="right" vertical="center"/>
    </xf>
    <xf numFmtId="4" fontId="76" fillId="48" borderId="51" applyNumberFormat="0" applyProtection="0">
      <alignment horizontal="right" vertical="center"/>
    </xf>
    <xf numFmtId="4" fontId="27" fillId="0" borderId="51" applyNumberFormat="0" applyProtection="0">
      <alignment horizontal="left" vertical="center" indent="1"/>
    </xf>
    <xf numFmtId="0" fontId="27" fillId="45" borderId="51" applyNumberFormat="0" applyProtection="0">
      <alignment horizontal="left" vertical="top"/>
    </xf>
    <xf numFmtId="4" fontId="77" fillId="0" borderId="0" applyNumberFormat="0" applyProtection="0">
      <alignment horizontal="left" vertical="center"/>
    </xf>
    <xf numFmtId="4" fontId="78" fillId="48" borderId="51" applyNumberFormat="0" applyProtection="0">
      <alignment horizontal="right" vertical="center"/>
    </xf>
    <xf numFmtId="0" fontId="79" fillId="53" borderId="53"/>
    <xf numFmtId="197" fontId="9" fillId="0" borderId="0">
      <alignment horizontal="left" wrapText="1"/>
    </xf>
    <xf numFmtId="0" fontId="60" fillId="0" borderId="44"/>
    <xf numFmtId="38" fontId="9" fillId="0" borderId="0">
      <alignment horizontal="left" wrapText="1"/>
    </xf>
    <xf numFmtId="0" fontId="80" fillId="54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54" applyNumberFormat="0" applyFill="0" applyAlignment="0" applyProtection="0"/>
    <xf numFmtId="0" fontId="82" fillId="0" borderId="54" applyNumberFormat="0" applyFill="0" applyAlignment="0" applyProtection="0"/>
    <xf numFmtId="0" fontId="69" fillId="0" borderId="55"/>
    <xf numFmtId="0" fontId="69" fillId="0" borderId="44"/>
    <xf numFmtId="198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</cellStyleXfs>
  <cellXfs count="650">
    <xf numFmtId="0" fontId="0" fillId="0" borderId="0" xfId="0"/>
    <xf numFmtId="0" fontId="4" fillId="2" borderId="0" xfId="0" applyFont="1" applyFill="1" applyBorder="1"/>
    <xf numFmtId="0" fontId="0" fillId="2" borderId="0" xfId="0" applyFill="1" applyBorder="1"/>
    <xf numFmtId="0" fontId="0" fillId="0" borderId="4" xfId="0" applyFill="1" applyBorder="1"/>
    <xf numFmtId="0" fontId="0" fillId="0" borderId="0" xfId="0" applyFill="1" applyBorder="1"/>
    <xf numFmtId="0" fontId="5" fillId="2" borderId="0" xfId="0" applyFont="1" applyFill="1" applyBorder="1"/>
    <xf numFmtId="0" fontId="4" fillId="0" borderId="0" xfId="0" applyFont="1"/>
    <xf numFmtId="0" fontId="0" fillId="0" borderId="0" xfId="0" applyFont="1" applyFill="1" applyBorder="1"/>
    <xf numFmtId="0" fontId="4" fillId="16" borderId="19" xfId="0" applyFont="1" applyFill="1" applyBorder="1" applyAlignment="1">
      <alignment horizontal="centerContinuous" vertical="center" wrapText="1"/>
    </xf>
    <xf numFmtId="0" fontId="0" fillId="16" borderId="11" xfId="0" applyFont="1" applyFill="1" applyBorder="1" applyAlignment="1">
      <alignment horizontal="centerContinuous" vertical="center" wrapText="1"/>
    </xf>
    <xf numFmtId="0" fontId="0" fillId="16" borderId="20" xfId="0" applyFont="1" applyFill="1" applyBorder="1" applyAlignment="1">
      <alignment horizontal="centerContinuous" vertical="center" wrapText="1"/>
    </xf>
    <xf numFmtId="0" fontId="0" fillId="2" borderId="4" xfId="0" applyFont="1" applyFill="1" applyBorder="1"/>
    <xf numFmtId="0" fontId="0" fillId="2" borderId="0" xfId="0" applyFont="1" applyFill="1" applyBorder="1"/>
    <xf numFmtId="0" fontId="0" fillId="2" borderId="5" xfId="0" applyFont="1" applyFill="1" applyBorder="1"/>
    <xf numFmtId="0" fontId="5" fillId="2" borderId="7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0" fillId="2" borderId="7" xfId="0" applyFont="1" applyFill="1" applyBorder="1" applyAlignment="1">
      <alignment horizontal="centerContinuous" wrapText="1"/>
    </xf>
    <xf numFmtId="0" fontId="29" fillId="2" borderId="0" xfId="0" applyFont="1" applyFill="1" applyBorder="1" applyAlignment="1">
      <alignment horizontal="right"/>
    </xf>
    <xf numFmtId="0" fontId="29" fillId="2" borderId="0" xfId="0" applyFont="1" applyFill="1" applyBorder="1" applyAlignment="1">
      <alignment horizontal="center"/>
    </xf>
    <xf numFmtId="0" fontId="0" fillId="0" borderId="21" xfId="0" applyFont="1" applyFill="1" applyBorder="1"/>
    <xf numFmtId="0" fontId="0" fillId="0" borderId="22" xfId="0" applyFont="1" applyFill="1" applyBorder="1"/>
    <xf numFmtId="0" fontId="0" fillId="0" borderId="23" xfId="0" applyFont="1" applyFill="1" applyBorder="1"/>
    <xf numFmtId="0" fontId="0" fillId="2" borderId="0" xfId="0" applyFont="1" applyFill="1" applyBorder="1" applyAlignment="1">
      <alignment horizontal="left" indent="1"/>
    </xf>
    <xf numFmtId="41" fontId="0" fillId="0" borderId="0" xfId="0" applyNumberFormat="1" applyFont="1" applyFill="1" applyBorder="1"/>
    <xf numFmtId="0" fontId="29" fillId="0" borderId="23" xfId="0" applyFont="1" applyFill="1" applyBorder="1" applyAlignment="1">
      <alignment horizontal="right"/>
    </xf>
    <xf numFmtId="41" fontId="0" fillId="2" borderId="0" xfId="0" applyNumberFormat="1" applyFont="1" applyFill="1" applyBorder="1"/>
    <xf numFmtId="0" fontId="0" fillId="0" borderId="25" xfId="0" applyFont="1" applyFill="1" applyBorder="1"/>
    <xf numFmtId="0" fontId="29" fillId="0" borderId="25" xfId="0" applyFont="1" applyFill="1" applyBorder="1" applyAlignment="1">
      <alignment horizontal="right"/>
    </xf>
    <xf numFmtId="41" fontId="0" fillId="0" borderId="24" xfId="0" applyNumberFormat="1" applyFont="1" applyFill="1" applyBorder="1"/>
    <xf numFmtId="0" fontId="29" fillId="0" borderId="28" xfId="0" applyFont="1" applyFill="1" applyBorder="1" applyAlignment="1">
      <alignment horizontal="right"/>
    </xf>
    <xf numFmtId="10" fontId="0" fillId="2" borderId="0" xfId="157" applyNumberFormat="1" applyFont="1" applyFill="1" applyBorder="1" applyAlignment="1">
      <alignment horizontal="center"/>
    </xf>
    <xf numFmtId="177" fontId="0" fillId="2" borderId="0" xfId="0" applyNumberFormat="1" applyFont="1" applyFill="1" applyBorder="1"/>
    <xf numFmtId="177" fontId="0" fillId="0" borderId="23" xfId="0" applyNumberFormat="1" applyFont="1" applyFill="1" applyBorder="1"/>
    <xf numFmtId="177" fontId="0" fillId="2" borderId="7" xfId="0" applyNumberFormat="1" applyFont="1" applyFill="1" applyBorder="1"/>
    <xf numFmtId="177" fontId="0" fillId="0" borderId="26" xfId="0" applyNumberFormat="1" applyFont="1" applyFill="1" applyBorder="1"/>
    <xf numFmtId="177" fontId="0" fillId="0" borderId="27" xfId="0" applyNumberFormat="1" applyFont="1" applyFill="1" applyBorder="1"/>
    <xf numFmtId="41" fontId="4" fillId="2" borderId="0" xfId="0" applyNumberFormat="1" applyFont="1" applyFill="1" applyBorder="1"/>
    <xf numFmtId="177" fontId="4" fillId="2" borderId="0" xfId="0" applyNumberFormat="1" applyFont="1" applyFill="1" applyBorder="1"/>
    <xf numFmtId="177" fontId="4" fillId="0" borderId="23" xfId="0" applyNumberFormat="1" applyFont="1" applyFill="1" applyBorder="1"/>
    <xf numFmtId="177" fontId="0" fillId="0" borderId="0" xfId="0" applyNumberFormat="1" applyFont="1" applyFill="1" applyBorder="1"/>
    <xf numFmtId="177" fontId="0" fillId="0" borderId="21" xfId="0" applyNumberFormat="1" applyFont="1" applyFill="1" applyBorder="1"/>
    <xf numFmtId="0" fontId="0" fillId="2" borderId="29" xfId="0" applyFont="1" applyFill="1" applyBorder="1"/>
    <xf numFmtId="0" fontId="0" fillId="2" borderId="31" xfId="0" applyFont="1" applyFill="1" applyBorder="1"/>
    <xf numFmtId="177" fontId="0" fillId="0" borderId="28" xfId="0" applyNumberFormat="1" applyFont="1" applyFill="1" applyBorder="1"/>
    <xf numFmtId="177" fontId="0" fillId="0" borderId="7" xfId="0" applyNumberFormat="1" applyFont="1" applyFill="1" applyBorder="1"/>
    <xf numFmtId="0" fontId="0" fillId="2" borderId="6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0" fontId="0" fillId="0" borderId="0" xfId="0" applyFont="1"/>
    <xf numFmtId="0" fontId="0" fillId="2" borderId="7" xfId="0" applyFont="1" applyFill="1" applyBorder="1" applyAlignment="1">
      <alignment horizontal="centerContinuous"/>
    </xf>
    <xf numFmtId="0" fontId="5" fillId="2" borderId="7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fill"/>
    </xf>
    <xf numFmtId="0" fontId="0" fillId="2" borderId="0" xfId="0" applyNumberFormat="1" applyFont="1" applyFill="1" applyBorder="1" applyAlignment="1">
      <alignment horizontal="center"/>
    </xf>
    <xf numFmtId="0" fontId="30" fillId="2" borderId="0" xfId="0" applyFont="1" applyFill="1" applyBorder="1"/>
    <xf numFmtId="177" fontId="0" fillId="2" borderId="0" xfId="0" applyNumberFormat="1" applyFont="1" applyFill="1" applyBorder="1" applyAlignment="1">
      <alignment horizontal="center"/>
    </xf>
    <xf numFmtId="179" fontId="4" fillId="0" borderId="0" xfId="0" applyNumberFormat="1" applyFont="1"/>
    <xf numFmtId="179" fontId="0" fillId="0" borderId="0" xfId="158" applyNumberFormat="1" applyFont="1"/>
    <xf numFmtId="0" fontId="0" fillId="0" borderId="0" xfId="0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fill"/>
    </xf>
    <xf numFmtId="0" fontId="5" fillId="2" borderId="5" xfId="0" applyFont="1" applyFill="1" applyBorder="1" applyAlignment="1">
      <alignment horizontal="fill"/>
    </xf>
    <xf numFmtId="2" fontId="0" fillId="2" borderId="0" xfId="0" applyNumberFormat="1" applyFont="1" applyFill="1" applyBorder="1" applyAlignment="1">
      <alignment horizontal="center"/>
    </xf>
    <xf numFmtId="180" fontId="0" fillId="2" borderId="0" xfId="0" applyNumberFormat="1" applyFont="1" applyFill="1" applyBorder="1" applyAlignment="1">
      <alignment horizontal="center"/>
    </xf>
    <xf numFmtId="181" fontId="0" fillId="2" borderId="0" xfId="0" applyNumberFormat="1" applyFont="1" applyFill="1" applyBorder="1" applyAlignment="1">
      <alignment horizontal="center"/>
    </xf>
    <xf numFmtId="181" fontId="0" fillId="2" borderId="5" xfId="0" applyNumberFormat="1" applyFont="1" applyFill="1" applyBorder="1" applyAlignment="1">
      <alignment horizontal="center"/>
    </xf>
    <xf numFmtId="0" fontId="9" fillId="0" borderId="0" xfId="89"/>
    <xf numFmtId="0" fontId="7" fillId="0" borderId="0" xfId="89" applyFont="1"/>
    <xf numFmtId="0" fontId="9" fillId="0" borderId="0" xfId="89" applyBorder="1"/>
    <xf numFmtId="0" fontId="31" fillId="0" borderId="1" xfId="124" applyFont="1" applyFill="1" applyBorder="1" applyAlignment="1">
      <alignment horizontal="centerContinuous"/>
    </xf>
    <xf numFmtId="0" fontId="32" fillId="0" borderId="2" xfId="124" applyFont="1" applyFill="1" applyBorder="1" applyAlignment="1">
      <alignment horizontal="centerContinuous"/>
    </xf>
    <xf numFmtId="0" fontId="31" fillId="0" borderId="2" xfId="124" applyFont="1" applyFill="1" applyBorder="1" applyAlignment="1">
      <alignment horizontal="centerContinuous"/>
    </xf>
    <xf numFmtId="179" fontId="31" fillId="0" borderId="2" xfId="124" applyNumberFormat="1" applyFont="1" applyFill="1" applyBorder="1" applyAlignment="1">
      <alignment horizontal="centerContinuous"/>
    </xf>
    <xf numFmtId="0" fontId="32" fillId="0" borderId="9" xfId="124" applyFont="1" applyFill="1" applyBorder="1" applyAlignment="1">
      <alignment horizontal="centerContinuous"/>
    </xf>
    <xf numFmtId="0" fontId="31" fillId="0" borderId="9" xfId="124" applyFont="1" applyFill="1" applyBorder="1" applyAlignment="1">
      <alignment horizontal="centerContinuous"/>
    </xf>
    <xf numFmtId="182" fontId="32" fillId="0" borderId="9" xfId="124" applyNumberFormat="1" applyFont="1" applyFill="1" applyBorder="1" applyAlignment="1">
      <alignment horizontal="centerContinuous"/>
    </xf>
    <xf numFmtId="182" fontId="31" fillId="0" borderId="11" xfId="124" applyNumberFormat="1" applyFont="1" applyFill="1" applyBorder="1" applyAlignment="1">
      <alignment horizontal="centerContinuous"/>
    </xf>
    <xf numFmtId="182" fontId="31" fillId="0" borderId="20" xfId="124" applyNumberFormat="1" applyFont="1" applyFill="1" applyBorder="1" applyAlignment="1">
      <alignment horizontal="centerContinuous"/>
    </xf>
    <xf numFmtId="43" fontId="32" fillId="0" borderId="9" xfId="124" applyNumberFormat="1" applyFont="1" applyFill="1" applyBorder="1" applyAlignment="1">
      <alignment horizontal="left" vertical="top"/>
    </xf>
    <xf numFmtId="43" fontId="32" fillId="0" borderId="20" xfId="124" applyNumberFormat="1" applyFont="1" applyFill="1" applyBorder="1" applyAlignment="1">
      <alignment horizontal="centerContinuous"/>
    </xf>
    <xf numFmtId="43" fontId="31" fillId="0" borderId="0" xfId="124" applyNumberFormat="1" applyFont="1" applyFill="1" applyBorder="1" applyAlignment="1">
      <alignment horizontal="centerContinuous"/>
    </xf>
    <xf numFmtId="0" fontId="31" fillId="0" borderId="6" xfId="124" applyFont="1" applyFill="1" applyBorder="1" applyAlignment="1">
      <alignment horizontal="center"/>
    </xf>
    <xf numFmtId="0" fontId="31" fillId="0" borderId="7" xfId="89" applyFont="1" applyBorder="1"/>
    <xf numFmtId="179" fontId="31" fillId="0" borderId="7" xfId="124" applyNumberFormat="1" applyFont="1" applyFill="1" applyBorder="1" applyAlignment="1">
      <alignment horizontal="center"/>
    </xf>
    <xf numFmtId="183" fontId="31" fillId="0" borderId="3" xfId="124" applyNumberFormat="1" applyFont="1" applyFill="1" applyBorder="1" applyAlignment="1">
      <alignment horizontal="center"/>
    </xf>
    <xf numFmtId="0" fontId="31" fillId="0" borderId="32" xfId="124" applyFont="1" applyFill="1" applyBorder="1" applyAlignment="1">
      <alignment horizontal="center"/>
    </xf>
    <xf numFmtId="182" fontId="31" fillId="0" borderId="4" xfId="124" applyNumberFormat="1" applyFont="1" applyFill="1" applyBorder="1" applyAlignment="1">
      <alignment horizontal="centerContinuous"/>
    </xf>
    <xf numFmtId="182" fontId="31" fillId="0" borderId="0" xfId="124" applyNumberFormat="1" applyFont="1" applyFill="1" applyBorder="1" applyAlignment="1">
      <alignment horizontal="centerContinuous"/>
    </xf>
    <xf numFmtId="182" fontId="31" fillId="0" borderId="5" xfId="124" applyNumberFormat="1" applyFont="1" applyFill="1" applyBorder="1" applyAlignment="1">
      <alignment horizontal="centerContinuous"/>
    </xf>
    <xf numFmtId="43" fontId="31" fillId="0" borderId="17" xfId="124" applyNumberFormat="1" applyFont="1" applyFill="1" applyBorder="1" applyAlignment="1"/>
    <xf numFmtId="184" fontId="32" fillId="0" borderId="17" xfId="124" applyNumberFormat="1" applyFont="1" applyFill="1" applyBorder="1" applyAlignment="1">
      <alignment horizontal="centerContinuous"/>
    </xf>
    <xf numFmtId="0" fontId="31" fillId="0" borderId="4" xfId="124" applyFont="1" applyFill="1" applyBorder="1" applyAlignment="1">
      <alignment horizontal="left"/>
    </xf>
    <xf numFmtId="0" fontId="31" fillId="0" borderId="17" xfId="124" applyFont="1" applyFill="1" applyBorder="1" applyAlignment="1">
      <alignment horizontal="center" wrapText="1"/>
    </xf>
    <xf numFmtId="183" fontId="31" fillId="0" borderId="32" xfId="124" applyNumberFormat="1" applyFont="1" applyFill="1" applyBorder="1" applyAlignment="1">
      <alignment horizontal="center" wrapText="1"/>
    </xf>
    <xf numFmtId="0" fontId="31" fillId="0" borderId="32" xfId="124" applyFont="1" applyFill="1" applyBorder="1" applyAlignment="1">
      <alignment horizontal="center" wrapText="1"/>
    </xf>
    <xf numFmtId="182" fontId="31" fillId="0" borderId="32" xfId="124" applyNumberFormat="1" applyFont="1" applyFill="1" applyBorder="1" applyAlignment="1">
      <alignment horizontal="center" wrapText="1"/>
    </xf>
    <xf numFmtId="182" fontId="31" fillId="0" borderId="32" xfId="124" applyNumberFormat="1" applyFont="1" applyFill="1" applyBorder="1" applyAlignment="1">
      <alignment horizontal="centerContinuous" wrapText="1"/>
    </xf>
    <xf numFmtId="43" fontId="31" fillId="0" borderId="32" xfId="124" applyNumberFormat="1" applyFont="1" applyFill="1" applyBorder="1" applyAlignment="1">
      <alignment horizontal="center" wrapText="1"/>
    </xf>
    <xf numFmtId="0" fontId="31" fillId="0" borderId="0" xfId="89" applyFont="1" applyFill="1"/>
    <xf numFmtId="0" fontId="33" fillId="0" borderId="19" xfId="89" applyFont="1" applyFill="1" applyBorder="1"/>
    <xf numFmtId="185" fontId="31" fillId="0" borderId="19" xfId="124" applyNumberFormat="1" applyFont="1" applyFill="1" applyBorder="1" applyAlignment="1">
      <alignment horizontal="center"/>
    </xf>
    <xf numFmtId="185" fontId="31" fillId="0" borderId="11" xfId="124" applyNumberFormat="1" applyFont="1" applyFill="1" applyBorder="1" applyAlignment="1">
      <alignment horizontal="center"/>
    </xf>
    <xf numFmtId="0" fontId="34" fillId="0" borderId="11" xfId="124" applyNumberFormat="1" applyFont="1" applyFill="1" applyBorder="1" applyAlignment="1">
      <alignment horizontal="center"/>
    </xf>
    <xf numFmtId="186" fontId="31" fillId="0" borderId="11" xfId="17" applyNumberFormat="1" applyFont="1" applyFill="1" applyBorder="1"/>
    <xf numFmtId="179" fontId="35" fillId="0" borderId="11" xfId="124" applyNumberFormat="1" applyFont="1" applyFill="1" applyBorder="1" applyAlignment="1">
      <alignment horizontal="center"/>
    </xf>
    <xf numFmtId="0" fontId="31" fillId="0" borderId="11" xfId="89" applyFont="1" applyFill="1" applyBorder="1"/>
    <xf numFmtId="187" fontId="31" fillId="0" borderId="11" xfId="89" applyNumberFormat="1" applyFont="1" applyFill="1" applyBorder="1" applyAlignment="1">
      <alignment horizontal="center"/>
    </xf>
    <xf numFmtId="10" fontId="31" fillId="0" borderId="11" xfId="124" applyNumberFormat="1" applyFont="1" applyFill="1" applyBorder="1"/>
    <xf numFmtId="182" fontId="31" fillId="0" borderId="11" xfId="124" applyNumberFormat="1" applyFont="1" applyFill="1" applyBorder="1" applyAlignment="1">
      <alignment horizontal="right"/>
    </xf>
    <xf numFmtId="184" fontId="35" fillId="0" borderId="20" xfId="124" applyNumberFormat="1" applyFont="1" applyFill="1" applyBorder="1" applyAlignment="1">
      <alignment horizontal="center"/>
    </xf>
    <xf numFmtId="0" fontId="31" fillId="0" borderId="0" xfId="89" applyFont="1" applyFill="1" applyBorder="1"/>
    <xf numFmtId="0" fontId="31" fillId="0" borderId="0" xfId="89" applyFont="1"/>
    <xf numFmtId="0" fontId="32" fillId="0" borderId="19" xfId="124" applyFont="1" applyFill="1" applyBorder="1" applyAlignment="1"/>
    <xf numFmtId="0" fontId="31" fillId="0" borderId="19" xfId="89" applyFont="1" applyBorder="1"/>
    <xf numFmtId="0" fontId="31" fillId="0" borderId="11" xfId="89" applyFont="1" applyBorder="1" applyAlignment="1">
      <alignment horizontal="center"/>
    </xf>
    <xf numFmtId="0" fontId="31" fillId="0" borderId="11" xfId="89" applyFont="1" applyBorder="1"/>
    <xf numFmtId="43" fontId="31" fillId="0" borderId="11" xfId="17" applyFont="1" applyBorder="1"/>
    <xf numFmtId="0" fontId="32" fillId="0" borderId="11" xfId="89" applyFont="1" applyBorder="1" applyAlignment="1">
      <alignment horizontal="center"/>
    </xf>
    <xf numFmtId="187" fontId="31" fillId="17" borderId="9" xfId="89" applyNumberFormat="1" applyFont="1" applyFill="1" applyBorder="1" applyAlignment="1">
      <alignment horizontal="center"/>
    </xf>
    <xf numFmtId="188" fontId="31" fillId="0" borderId="20" xfId="17" applyNumberFormat="1" applyFont="1" applyBorder="1"/>
    <xf numFmtId="0" fontId="31" fillId="0" borderId="0" xfId="89" applyFont="1" applyBorder="1"/>
    <xf numFmtId="0" fontId="31" fillId="0" borderId="4" xfId="89" applyFont="1" applyBorder="1"/>
    <xf numFmtId="185" fontId="31" fillId="17" borderId="14" xfId="124" applyNumberFormat="1" applyFont="1" applyFill="1" applyBorder="1" applyAlignment="1">
      <alignment horizontal="center"/>
    </xf>
    <xf numFmtId="0" fontId="31" fillId="0" borderId="14" xfId="89" applyFont="1" applyBorder="1"/>
    <xf numFmtId="1" fontId="31" fillId="17" borderId="14" xfId="124" applyNumberFormat="1" applyFont="1" applyFill="1" applyBorder="1" applyAlignment="1"/>
    <xf numFmtId="186" fontId="31" fillId="17" borderId="14" xfId="17" applyNumberFormat="1" applyFont="1" applyFill="1" applyBorder="1" applyAlignment="1"/>
    <xf numFmtId="179" fontId="31" fillId="0" borderId="14" xfId="17" applyNumberFormat="1" applyFont="1" applyBorder="1"/>
    <xf numFmtId="10" fontId="31" fillId="17" borderId="14" xfId="124" applyNumberFormat="1" applyFont="1" applyFill="1" applyBorder="1" applyAlignment="1"/>
    <xf numFmtId="2" fontId="31" fillId="17" borderId="14" xfId="124" applyNumberFormat="1" applyFont="1" applyFill="1" applyBorder="1" applyAlignment="1"/>
    <xf numFmtId="43" fontId="31" fillId="0" borderId="14" xfId="17" applyFont="1" applyFill="1" applyBorder="1" applyAlignment="1">
      <alignment horizontal="right"/>
    </xf>
    <xf numFmtId="43" fontId="31" fillId="17" borderId="14" xfId="17" applyFont="1" applyFill="1" applyBorder="1" applyAlignment="1"/>
    <xf numFmtId="185" fontId="31" fillId="17" borderId="9" xfId="124" applyNumberFormat="1" applyFont="1" applyFill="1" applyBorder="1" applyAlignment="1">
      <alignment horizontal="center"/>
    </xf>
    <xf numFmtId="0" fontId="31" fillId="0" borderId="9" xfId="89" applyFont="1" applyBorder="1"/>
    <xf numFmtId="1" fontId="31" fillId="17" borderId="9" xfId="124" applyNumberFormat="1" applyFont="1" applyFill="1" applyBorder="1" applyAlignment="1"/>
    <xf numFmtId="186" fontId="31" fillId="17" borderId="32" xfId="17" applyNumberFormat="1" applyFont="1" applyFill="1" applyBorder="1" applyAlignment="1"/>
    <xf numFmtId="179" fontId="31" fillId="0" borderId="9" xfId="17" applyNumberFormat="1" applyFont="1" applyBorder="1"/>
    <xf numFmtId="10" fontId="31" fillId="17" borderId="9" xfId="124" applyNumberFormat="1" applyFont="1" applyFill="1" applyBorder="1" applyAlignment="1"/>
    <xf numFmtId="2" fontId="31" fillId="17" borderId="9" xfId="124" applyNumberFormat="1" applyFont="1" applyFill="1" applyBorder="1" applyAlignment="1"/>
    <xf numFmtId="43" fontId="31" fillId="0" borderId="9" xfId="17" applyFont="1" applyFill="1" applyBorder="1" applyAlignment="1">
      <alignment horizontal="right"/>
    </xf>
    <xf numFmtId="43" fontId="31" fillId="17" borderId="9" xfId="17" applyFont="1" applyFill="1" applyBorder="1" applyAlignment="1"/>
    <xf numFmtId="0" fontId="31" fillId="0" borderId="6" xfId="89" applyFont="1" applyBorder="1"/>
    <xf numFmtId="185" fontId="31" fillId="0" borderId="9" xfId="124" applyNumberFormat="1" applyFont="1" applyFill="1" applyBorder="1" applyAlignment="1">
      <alignment horizontal="center"/>
    </xf>
    <xf numFmtId="1" fontId="31" fillId="0" borderId="9" xfId="89" applyNumberFormat="1" applyFont="1" applyBorder="1"/>
    <xf numFmtId="186" fontId="31" fillId="0" borderId="9" xfId="17" applyNumberFormat="1" applyFont="1" applyFill="1" applyBorder="1" applyAlignment="1">
      <alignment horizontal="right"/>
    </xf>
    <xf numFmtId="179" fontId="31" fillId="0" borderId="9" xfId="17" applyNumberFormat="1" applyFont="1" applyFill="1" applyBorder="1" applyAlignment="1">
      <alignment horizontal="right"/>
    </xf>
    <xf numFmtId="10" fontId="31" fillId="0" borderId="9" xfId="124" applyNumberFormat="1" applyFont="1" applyFill="1" applyBorder="1"/>
    <xf numFmtId="0" fontId="31" fillId="0" borderId="33" xfId="89" applyFont="1" applyBorder="1"/>
    <xf numFmtId="1" fontId="0" fillId="0" borderId="0" xfId="0" applyNumberFormat="1" applyFont="1"/>
    <xf numFmtId="0" fontId="0" fillId="2" borderId="0" xfId="0" applyFill="1" applyBorder="1" applyAlignment="1">
      <alignment horizontal="center"/>
    </xf>
    <xf numFmtId="43" fontId="39" fillId="0" borderId="0" xfId="0" applyNumberFormat="1" applyFont="1" applyFill="1" applyBorder="1"/>
    <xf numFmtId="2" fontId="0" fillId="0" borderId="0" xfId="0" applyNumberFormat="1" applyFill="1" applyBorder="1"/>
    <xf numFmtId="0" fontId="40" fillId="0" borderId="4" xfId="0" applyFont="1" applyFill="1" applyBorder="1"/>
    <xf numFmtId="0" fontId="40" fillId="0" borderId="0" xfId="0" applyFont="1" applyFill="1" applyBorder="1"/>
    <xf numFmtId="0" fontId="41" fillId="0" borderId="0" xfId="0" applyFont="1" applyFill="1" applyBorder="1"/>
    <xf numFmtId="0" fontId="42" fillId="0" borderId="0" xfId="0" applyFont="1" applyFill="1" applyBorder="1"/>
    <xf numFmtId="0" fontId="42" fillId="0" borderId="5" xfId="0" applyFont="1" applyFill="1" applyBorder="1"/>
    <xf numFmtId="0" fontId="40" fillId="0" borderId="5" xfId="0" applyFont="1" applyFill="1" applyBorder="1"/>
    <xf numFmtId="0" fontId="40" fillId="0" borderId="4" xfId="0" applyFont="1" applyFill="1" applyBorder="1" applyAlignment="1">
      <alignment vertical="top"/>
    </xf>
    <xf numFmtId="0" fontId="40" fillId="0" borderId="0" xfId="0" applyFont="1" applyFill="1" applyBorder="1" applyAlignment="1">
      <alignment vertical="top"/>
    </xf>
    <xf numFmtId="0" fontId="41" fillId="0" borderId="0" xfId="0" applyFont="1" applyFill="1" applyBorder="1" applyAlignment="1">
      <alignment vertical="top"/>
    </xf>
    <xf numFmtId="0" fontId="40" fillId="0" borderId="0" xfId="0" applyFont="1" applyFill="1" applyBorder="1" applyAlignment="1">
      <alignment horizontal="right" vertical="top"/>
    </xf>
    <xf numFmtId="0" fontId="44" fillId="0" borderId="0" xfId="0" applyFont="1" applyFill="1" applyBorder="1" applyAlignment="1">
      <alignment horizontal="right" vertical="top"/>
    </xf>
    <xf numFmtId="0" fontId="44" fillId="0" borderId="0" xfId="0" applyFont="1" applyFill="1" applyBorder="1" applyAlignment="1">
      <alignment vertical="top"/>
    </xf>
    <xf numFmtId="0" fontId="44" fillId="0" borderId="5" xfId="0" applyFont="1" applyFill="1" applyBorder="1" applyAlignment="1">
      <alignment vertical="top"/>
    </xf>
    <xf numFmtId="189" fontId="40" fillId="0" borderId="0" xfId="156" applyNumberFormat="1" applyFont="1" applyFill="1" applyBorder="1" applyAlignment="1">
      <alignment vertical="top"/>
    </xf>
    <xf numFmtId="0" fontId="41" fillId="0" borderId="5" xfId="0" applyFont="1" applyFill="1" applyBorder="1" applyAlignment="1">
      <alignment vertical="top"/>
    </xf>
    <xf numFmtId="185" fontId="40" fillId="0" borderId="0" xfId="0" applyNumberFormat="1" applyFont="1" applyFill="1" applyBorder="1" applyAlignment="1">
      <alignment vertical="top"/>
    </xf>
    <xf numFmtId="0" fontId="41" fillId="0" borderId="5" xfId="0" applyFont="1" applyFill="1" applyBorder="1"/>
    <xf numFmtId="9" fontId="40" fillId="0" borderId="0" xfId="0" applyNumberFormat="1" applyFont="1" applyFill="1" applyBorder="1" applyAlignment="1">
      <alignment vertical="top"/>
    </xf>
    <xf numFmtId="3" fontId="40" fillId="0" borderId="0" xfId="0" applyNumberFormat="1" applyFont="1" applyFill="1" applyBorder="1"/>
    <xf numFmtId="190" fontId="40" fillId="0" borderId="0" xfId="156" applyNumberFormat="1" applyFont="1" applyFill="1" applyBorder="1" applyAlignment="1">
      <alignment vertical="top"/>
    </xf>
    <xf numFmtId="0" fontId="0" fillId="0" borderId="0" xfId="0" applyFill="1"/>
    <xf numFmtId="10" fontId="40" fillId="0" borderId="0" xfId="0" applyNumberFormat="1" applyFont="1" applyFill="1" applyBorder="1" applyAlignment="1">
      <alignment vertical="top"/>
    </xf>
    <xf numFmtId="185" fontId="40" fillId="0" borderId="0" xfId="0" applyNumberFormat="1" applyFont="1" applyFill="1" applyBorder="1"/>
    <xf numFmtId="0" fontId="40" fillId="0" borderId="6" xfId="0" applyFont="1" applyFill="1" applyBorder="1" applyAlignment="1">
      <alignment vertical="top"/>
    </xf>
    <xf numFmtId="0" fontId="40" fillId="0" borderId="7" xfId="0" applyFont="1" applyFill="1" applyBorder="1" applyAlignment="1">
      <alignment vertical="top"/>
    </xf>
    <xf numFmtId="0" fontId="41" fillId="0" borderId="8" xfId="0" applyFont="1" applyFill="1" applyBorder="1" applyAlignment="1">
      <alignment vertical="top"/>
    </xf>
    <xf numFmtId="0" fontId="40" fillId="0" borderId="8" xfId="0" applyFont="1" applyFill="1" applyBorder="1" applyAlignment="1">
      <alignment vertical="top"/>
    </xf>
    <xf numFmtId="0" fontId="41" fillId="0" borderId="4" xfId="0" applyFont="1" applyFill="1" applyBorder="1"/>
    <xf numFmtId="0" fontId="41" fillId="0" borderId="0" xfId="0" applyFont="1" applyFill="1" applyBorder="1" applyAlignment="1">
      <alignment horizontal="centerContinuous" wrapText="1"/>
    </xf>
    <xf numFmtId="0" fontId="41" fillId="0" borderId="0" xfId="0" applyFont="1" applyFill="1" applyBorder="1" applyAlignment="1">
      <alignment horizontal="centerContinuous"/>
    </xf>
    <xf numFmtId="0" fontId="41" fillId="0" borderId="5" xfId="0" applyFont="1" applyFill="1" applyBorder="1" applyAlignment="1">
      <alignment horizontal="centerContinuous" wrapText="1"/>
    </xf>
    <xf numFmtId="0" fontId="41" fillId="0" borderId="4" xfId="0" applyFont="1" applyFill="1" applyBorder="1" applyAlignment="1">
      <alignment horizontal="center"/>
    </xf>
    <xf numFmtId="0" fontId="41" fillId="0" borderId="5" xfId="0" applyFont="1" applyFill="1" applyBorder="1" applyAlignment="1">
      <alignment horizontal="centerContinuous"/>
    </xf>
    <xf numFmtId="0" fontId="41" fillId="0" borderId="4" xfId="0" applyFont="1" applyFill="1" applyBorder="1" applyAlignment="1">
      <alignment horizontal="fill"/>
    </xf>
    <xf numFmtId="0" fontId="41" fillId="0" borderId="0" xfId="0" applyFont="1" applyFill="1" applyBorder="1" applyAlignment="1">
      <alignment horizontal="fill"/>
    </xf>
    <xf numFmtId="0" fontId="41" fillId="0" borderId="5" xfId="0" applyFont="1" applyFill="1" applyBorder="1" applyAlignment="1">
      <alignment horizontal="fill"/>
    </xf>
    <xf numFmtId="41" fontId="40" fillId="0" borderId="0" xfId="0" applyNumberFormat="1" applyFont="1" applyFill="1" applyBorder="1"/>
    <xf numFmtId="4" fontId="46" fillId="0" borderId="0" xfId="0" applyNumberFormat="1" applyFont="1" applyFill="1" applyBorder="1"/>
    <xf numFmtId="3" fontId="41" fillId="0" borderId="0" xfId="0" applyNumberFormat="1" applyFont="1" applyFill="1" applyBorder="1"/>
    <xf numFmtId="4" fontId="41" fillId="0" borderId="0" xfId="0" applyNumberFormat="1" applyFont="1" applyFill="1" applyBorder="1"/>
    <xf numFmtId="3" fontId="41" fillId="0" borderId="5" xfId="0" applyNumberFormat="1" applyFont="1" applyFill="1" applyBorder="1"/>
    <xf numFmtId="44" fontId="46" fillId="0" borderId="5" xfId="0" applyNumberFormat="1" applyFont="1" applyFill="1" applyBorder="1"/>
    <xf numFmtId="44" fontId="41" fillId="0" borderId="5" xfId="0" applyNumberFormat="1" applyFont="1" applyFill="1" applyBorder="1"/>
    <xf numFmtId="0" fontId="47" fillId="2" borderId="0" xfId="0" applyFont="1" applyFill="1" applyBorder="1" applyAlignment="1">
      <alignment horizontal="left"/>
    </xf>
    <xf numFmtId="176" fontId="0" fillId="2" borderId="0" xfId="160" applyNumberFormat="1" applyFont="1" applyFill="1" applyBorder="1"/>
    <xf numFmtId="10" fontId="0" fillId="2" borderId="0" xfId="161" applyNumberFormat="1" applyFont="1" applyFill="1" applyBorder="1" applyAlignment="1">
      <alignment horizontal="center"/>
    </xf>
    <xf numFmtId="177" fontId="0" fillId="2" borderId="0" xfId="161" applyNumberFormat="1" applyFont="1" applyFill="1" applyBorder="1" applyAlignment="1">
      <alignment horizontal="center"/>
    </xf>
    <xf numFmtId="177" fontId="0" fillId="0" borderId="0" xfId="161" applyNumberFormat="1" applyFont="1" applyFill="1" applyBorder="1" applyAlignment="1">
      <alignment horizontal="center"/>
    </xf>
    <xf numFmtId="177" fontId="0" fillId="2" borderId="7" xfId="161" applyNumberFormat="1" applyFont="1" applyFill="1" applyBorder="1" applyAlignment="1">
      <alignment horizontal="right"/>
    </xf>
    <xf numFmtId="177" fontId="4" fillId="2" borderId="0" xfId="161" applyNumberFormat="1" applyFont="1" applyFill="1" applyBorder="1" applyAlignment="1">
      <alignment horizontal="center"/>
    </xf>
    <xf numFmtId="176" fontId="4" fillId="2" borderId="0" xfId="160" applyNumberFormat="1" applyFont="1" applyFill="1" applyBorder="1" applyAlignment="1">
      <alignment horizontal="right"/>
    </xf>
    <xf numFmtId="177" fontId="0" fillId="2" borderId="0" xfId="161" applyNumberFormat="1" applyFont="1" applyFill="1" applyBorder="1" applyAlignment="1">
      <alignment horizontal="right"/>
    </xf>
    <xf numFmtId="191" fontId="4" fillId="2" borderId="0" xfId="160" applyNumberFormat="1" applyFont="1" applyFill="1" applyBorder="1" applyAlignment="1">
      <alignment horizontal="right"/>
    </xf>
    <xf numFmtId="177" fontId="4" fillId="0" borderId="0" xfId="0" applyNumberFormat="1" applyFont="1" applyFill="1" applyBorder="1"/>
    <xf numFmtId="41" fontId="0" fillId="2" borderId="0" xfId="161" applyNumberFormat="1" applyFont="1" applyFill="1" applyBorder="1" applyAlignment="1">
      <alignment horizontal="center"/>
    </xf>
    <xf numFmtId="189" fontId="40" fillId="0" borderId="0" xfId="160" applyNumberFormat="1" applyFont="1" applyFill="1" applyBorder="1" applyAlignment="1">
      <alignment vertical="top"/>
    </xf>
    <xf numFmtId="190" fontId="40" fillId="0" borderId="0" xfId="160" applyNumberFormat="1" applyFont="1" applyFill="1" applyBorder="1" applyAlignment="1">
      <alignment vertical="top"/>
    </xf>
    <xf numFmtId="10" fontId="43" fillId="0" borderId="7" xfId="161" applyNumberFormat="1" applyFont="1" applyFill="1" applyBorder="1"/>
    <xf numFmtId="177" fontId="0" fillId="0" borderId="0" xfId="0" applyNumberFormat="1" applyFill="1" applyBorder="1"/>
    <xf numFmtId="10" fontId="0" fillId="0" borderId="0" xfId="0" applyNumberFormat="1" applyFill="1" applyBorder="1"/>
    <xf numFmtId="0" fontId="7" fillId="0" borderId="0" xfId="89" applyFont="1" applyFill="1"/>
    <xf numFmtId="0" fontId="9" fillId="0" borderId="0" xfId="89" applyFont="1" applyFill="1"/>
    <xf numFmtId="0" fontId="31" fillId="0" borderId="17" xfId="89" applyFont="1" applyFill="1" applyBorder="1"/>
    <xf numFmtId="0" fontId="31" fillId="0" borderId="32" xfId="89" applyFont="1" applyFill="1" applyBorder="1"/>
    <xf numFmtId="179" fontId="31" fillId="0" borderId="32" xfId="124" applyNumberFormat="1" applyFont="1" applyFill="1" applyBorder="1" applyAlignment="1">
      <alignment horizontal="center"/>
    </xf>
    <xf numFmtId="0" fontId="31" fillId="0" borderId="17" xfId="124" applyFont="1" applyFill="1" applyBorder="1" applyAlignment="1">
      <alignment horizontal="center"/>
    </xf>
    <xf numFmtId="183" fontId="31" fillId="0" borderId="17" xfId="124" applyNumberFormat="1" applyFont="1" applyFill="1" applyBorder="1" applyAlignment="1">
      <alignment horizontal="center"/>
    </xf>
    <xf numFmtId="182" fontId="31" fillId="0" borderId="19" xfId="124" applyNumberFormat="1" applyFont="1" applyFill="1" applyBorder="1" applyAlignment="1">
      <alignment horizontal="centerContinuous"/>
    </xf>
    <xf numFmtId="43" fontId="31" fillId="0" borderId="32" xfId="124" applyNumberFormat="1" applyFont="1" applyFill="1" applyBorder="1" applyAlignment="1"/>
    <xf numFmtId="44" fontId="31" fillId="0" borderId="9" xfId="31" applyFont="1" applyFill="1" applyBorder="1"/>
    <xf numFmtId="184" fontId="32" fillId="0" borderId="19" xfId="124" applyNumberFormat="1" applyFont="1" applyFill="1" applyBorder="1" applyAlignment="1">
      <alignment horizontal="centerContinuous"/>
    </xf>
    <xf numFmtId="184" fontId="32" fillId="0" borderId="11" xfId="124" applyNumberFormat="1" applyFont="1" applyFill="1" applyBorder="1" applyAlignment="1">
      <alignment horizontal="centerContinuous"/>
    </xf>
    <xf numFmtId="184" fontId="32" fillId="0" borderId="34" xfId="124" applyNumberFormat="1" applyFont="1" applyFill="1" applyBorder="1" applyAlignment="1">
      <alignment horizontal="centerContinuous"/>
    </xf>
    <xf numFmtId="0" fontId="31" fillId="0" borderId="5" xfId="124" applyFont="1" applyFill="1" applyBorder="1" applyAlignment="1">
      <alignment horizontal="center" wrapText="1"/>
    </xf>
    <xf numFmtId="183" fontId="31" fillId="0" borderId="17" xfId="124" applyNumberFormat="1" applyFont="1" applyFill="1" applyBorder="1" applyAlignment="1">
      <alignment horizontal="center" wrapText="1"/>
    </xf>
    <xf numFmtId="182" fontId="31" fillId="0" borderId="17" xfId="124" applyNumberFormat="1" applyFont="1" applyFill="1" applyBorder="1" applyAlignment="1">
      <alignment horizontal="center" wrapText="1"/>
    </xf>
    <xf numFmtId="182" fontId="31" fillId="0" borderId="17" xfId="124" applyNumberFormat="1" applyFont="1" applyFill="1" applyBorder="1" applyAlignment="1">
      <alignment horizontal="centerContinuous" wrapText="1"/>
    </xf>
    <xf numFmtId="43" fontId="31" fillId="0" borderId="17" xfId="124" applyNumberFormat="1" applyFont="1" applyFill="1" applyBorder="1" applyAlignment="1">
      <alignment horizontal="center" wrapText="1"/>
    </xf>
    <xf numFmtId="0" fontId="31" fillId="0" borderId="35" xfId="124" applyFont="1" applyFill="1" applyBorder="1" applyAlignment="1">
      <alignment horizontal="center" wrapText="1"/>
    </xf>
    <xf numFmtId="0" fontId="35" fillId="0" borderId="11" xfId="124" applyNumberFormat="1" applyFont="1" applyFill="1" applyBorder="1" applyAlignment="1">
      <alignment horizontal="center"/>
    </xf>
    <xf numFmtId="184" fontId="35" fillId="0" borderId="11" xfId="124" applyNumberFormat="1" applyFont="1" applyFill="1" applyBorder="1" applyAlignment="1">
      <alignment horizontal="center"/>
    </xf>
    <xf numFmtId="184" fontId="35" fillId="0" borderId="34" xfId="124" applyNumberFormat="1" applyFont="1" applyFill="1" applyBorder="1" applyAlignment="1">
      <alignment horizontal="center"/>
    </xf>
    <xf numFmtId="0" fontId="31" fillId="0" borderId="11" xfId="89" applyFont="1" applyFill="1" applyBorder="1" applyAlignment="1">
      <alignment horizontal="center"/>
    </xf>
    <xf numFmtId="43" fontId="31" fillId="0" borderId="11" xfId="17" applyFont="1" applyFill="1" applyBorder="1"/>
    <xf numFmtId="0" fontId="32" fillId="0" borderId="11" xfId="89" applyFont="1" applyFill="1" applyBorder="1" applyAlignment="1">
      <alignment horizontal="center"/>
    </xf>
    <xf numFmtId="187" fontId="31" fillId="0" borderId="9" xfId="89" applyNumberFormat="1" applyFont="1" applyFill="1" applyBorder="1" applyAlignment="1">
      <alignment horizontal="center"/>
    </xf>
    <xf numFmtId="188" fontId="31" fillId="0" borderId="11" xfId="17" applyNumberFormat="1" applyFont="1" applyFill="1" applyBorder="1"/>
    <xf numFmtId="43" fontId="31" fillId="0" borderId="34" xfId="17" applyFont="1" applyFill="1" applyBorder="1"/>
    <xf numFmtId="185" fontId="31" fillId="0" borderId="14" xfId="124" applyNumberFormat="1" applyFont="1" applyFill="1" applyBorder="1" applyAlignment="1">
      <alignment horizontal="center"/>
    </xf>
    <xf numFmtId="0" fontId="31" fillId="0" borderId="14" xfId="89" applyFont="1" applyFill="1" applyBorder="1"/>
    <xf numFmtId="2" fontId="31" fillId="0" borderId="14" xfId="124" applyNumberFormat="1" applyFont="1" applyFill="1" applyBorder="1" applyAlignment="1"/>
    <xf numFmtId="186" fontId="31" fillId="0" borderId="14" xfId="17" applyNumberFormat="1" applyFont="1" applyFill="1" applyBorder="1" applyAlignment="1"/>
    <xf numFmtId="179" fontId="31" fillId="0" borderId="14" xfId="17" applyNumberFormat="1" applyFont="1" applyFill="1" applyBorder="1"/>
    <xf numFmtId="1" fontId="31" fillId="0" borderId="14" xfId="124" applyNumberFormat="1" applyFont="1" applyFill="1" applyBorder="1" applyAlignment="1"/>
    <xf numFmtId="10" fontId="31" fillId="0" borderId="14" xfId="124" applyNumberFormat="1" applyFont="1" applyFill="1" applyBorder="1" applyAlignment="1"/>
    <xf numFmtId="43" fontId="31" fillId="0" borderId="14" xfId="17" applyFont="1" applyFill="1" applyBorder="1" applyAlignment="1"/>
    <xf numFmtId="188" fontId="31" fillId="0" borderId="14" xfId="17" applyNumberFormat="1" applyFont="1" applyFill="1" applyBorder="1" applyAlignment="1"/>
    <xf numFmtId="43" fontId="31" fillId="0" borderId="37" xfId="17" applyFont="1" applyFill="1" applyBorder="1" applyAlignment="1"/>
    <xf numFmtId="0" fontId="31" fillId="0" borderId="9" xfId="89" applyFont="1" applyFill="1" applyBorder="1"/>
    <xf numFmtId="2" fontId="31" fillId="0" borderId="9" xfId="124" applyNumberFormat="1" applyFont="1" applyFill="1" applyBorder="1" applyAlignment="1"/>
    <xf numFmtId="186" fontId="31" fillId="0" borderId="32" xfId="17" applyNumberFormat="1" applyFont="1" applyFill="1" applyBorder="1" applyAlignment="1"/>
    <xf numFmtId="179" fontId="31" fillId="0" borderId="9" xfId="17" applyNumberFormat="1" applyFont="1" applyFill="1" applyBorder="1"/>
    <xf numFmtId="1" fontId="31" fillId="0" borderId="9" xfId="124" applyNumberFormat="1" applyFont="1" applyFill="1" applyBorder="1" applyAlignment="1"/>
    <xf numFmtId="10" fontId="31" fillId="0" borderId="9" xfId="124" applyNumberFormat="1" applyFont="1" applyFill="1" applyBorder="1" applyAlignment="1"/>
    <xf numFmtId="43" fontId="31" fillId="0" borderId="9" xfId="17" applyFont="1" applyFill="1" applyBorder="1" applyAlignment="1"/>
    <xf numFmtId="188" fontId="31" fillId="0" borderId="9" xfId="17" applyNumberFormat="1" applyFont="1" applyFill="1" applyBorder="1" applyAlignment="1"/>
    <xf numFmtId="43" fontId="31" fillId="0" borderId="38" xfId="17" applyFont="1" applyFill="1" applyBorder="1" applyAlignment="1"/>
    <xf numFmtId="188" fontId="31" fillId="0" borderId="39" xfId="17" applyNumberFormat="1" applyFont="1" applyFill="1" applyBorder="1" applyAlignment="1">
      <alignment horizontal="right"/>
    </xf>
    <xf numFmtId="43" fontId="31" fillId="0" borderId="39" xfId="17" applyNumberFormat="1" applyFont="1" applyFill="1" applyBorder="1" applyAlignment="1">
      <alignment horizontal="right"/>
    </xf>
    <xf numFmtId="43" fontId="31" fillId="0" borderId="40" xfId="17" applyNumberFormat="1" applyFont="1" applyFill="1" applyBorder="1" applyAlignment="1">
      <alignment horizontal="right"/>
    </xf>
    <xf numFmtId="186" fontId="49" fillId="0" borderId="0" xfId="159" applyNumberFormat="1" applyFont="1" applyFill="1" applyBorder="1" applyAlignment="1">
      <alignment horizontal="center"/>
    </xf>
    <xf numFmtId="10" fontId="0" fillId="0" borderId="0" xfId="161" applyNumberFormat="1" applyFont="1" applyFill="1" applyBorder="1"/>
    <xf numFmtId="41" fontId="0" fillId="0" borderId="29" xfId="0" applyNumberFormat="1" applyFont="1" applyFill="1" applyBorder="1"/>
    <xf numFmtId="179" fontId="0" fillId="0" borderId="0" xfId="159" applyNumberFormat="1" applyFont="1"/>
    <xf numFmtId="178" fontId="0" fillId="0" borderId="0" xfId="0" applyNumberFormat="1" applyFont="1"/>
    <xf numFmtId="193" fontId="0" fillId="0" borderId="0" xfId="0" applyNumberFormat="1" applyFont="1"/>
    <xf numFmtId="0" fontId="0" fillId="0" borderId="0" xfId="0" applyFont="1" applyBorder="1"/>
    <xf numFmtId="184" fontId="32" fillId="0" borderId="0" xfId="124" applyNumberFormat="1" applyFont="1" applyFill="1" applyBorder="1" applyAlignment="1">
      <alignment horizontal="centerContinuous"/>
    </xf>
    <xf numFmtId="0" fontId="31" fillId="0" borderId="0" xfId="124" applyFont="1" applyFill="1" applyBorder="1" applyAlignment="1">
      <alignment horizontal="center" wrapText="1"/>
    </xf>
    <xf numFmtId="188" fontId="31" fillId="0" borderId="0" xfId="17" applyNumberFormat="1" applyFont="1" applyFill="1" applyBorder="1"/>
    <xf numFmtId="43" fontId="31" fillId="0" borderId="0" xfId="17" applyFont="1" applyFill="1" applyBorder="1"/>
    <xf numFmtId="188" fontId="31" fillId="0" borderId="0" xfId="17" applyNumberFormat="1" applyFont="1" applyFill="1" applyBorder="1" applyAlignment="1"/>
    <xf numFmtId="184" fontId="31" fillId="0" borderId="0" xfId="17" applyNumberFormat="1" applyFont="1" applyFill="1" applyBorder="1" applyAlignment="1"/>
    <xf numFmtId="43" fontId="31" fillId="0" borderId="0" xfId="17" applyFont="1" applyFill="1" applyBorder="1" applyAlignment="1"/>
    <xf numFmtId="179" fontId="0" fillId="0" borderId="0" xfId="159" applyNumberFormat="1" applyFont="1" applyBorder="1"/>
    <xf numFmtId="2" fontId="0" fillId="0" borderId="0" xfId="0" applyNumberFormat="1" applyFill="1" applyBorder="1" applyAlignment="1">
      <alignment horizontal="right" wrapText="1"/>
    </xf>
    <xf numFmtId="43" fontId="31" fillId="0" borderId="32" xfId="17" applyFont="1" applyFill="1" applyBorder="1" applyAlignment="1">
      <alignment horizontal="right"/>
    </xf>
    <xf numFmtId="0" fontId="31" fillId="0" borderId="6" xfId="89" applyFont="1" applyFill="1" applyBorder="1"/>
    <xf numFmtId="0" fontId="31" fillId="0" borderId="33" xfId="89" applyFont="1" applyFill="1" applyBorder="1"/>
    <xf numFmtId="4" fontId="51" fillId="0" borderId="0" xfId="0" applyNumberFormat="1" applyFont="1" applyFill="1" applyBorder="1"/>
    <xf numFmtId="2" fontId="38" fillId="0" borderId="0" xfId="0" applyNumberFormat="1" applyFont="1" applyFill="1" applyBorder="1" applyAlignment="1">
      <alignment horizontal="right"/>
    </xf>
    <xf numFmtId="2" fontId="38" fillId="0" borderId="0" xfId="0" applyNumberFormat="1" applyFont="1" applyFill="1" applyBorder="1" applyAlignment="1">
      <alignment horizontal="right" wrapText="1"/>
    </xf>
    <xf numFmtId="0" fontId="36" fillId="0" borderId="0" xfId="0" applyFont="1" applyFill="1"/>
    <xf numFmtId="41" fontId="0" fillId="0" borderId="23" xfId="0" applyNumberFormat="1" applyFont="1" applyFill="1" applyBorder="1"/>
    <xf numFmtId="41" fontId="0" fillId="0" borderId="27" xfId="0" applyNumberFormat="1" applyFont="1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3" xfId="0" applyFill="1" applyBorder="1"/>
    <xf numFmtId="0" fontId="4" fillId="0" borderId="0" xfId="0" applyFont="1" applyFill="1" applyBorder="1"/>
    <xf numFmtId="0" fontId="0" fillId="0" borderId="5" xfId="0" applyFill="1" applyBorder="1"/>
    <xf numFmtId="0" fontId="0" fillId="0" borderId="0" xfId="0" applyFill="1" applyBorder="1" applyAlignment="1">
      <alignment horizontal="right"/>
    </xf>
    <xf numFmtId="0" fontId="0" fillId="0" borderId="0" xfId="0" quotePrefix="1" applyFill="1" applyBorder="1" applyAlignment="1">
      <alignment horizontal="right"/>
    </xf>
    <xf numFmtId="0" fontId="5" fillId="0" borderId="0" xfId="0" applyFont="1" applyFill="1" applyBorder="1"/>
    <xf numFmtId="0" fontId="0" fillId="0" borderId="6" xfId="0" applyFill="1" applyBorder="1"/>
    <xf numFmtId="0" fontId="0" fillId="0" borderId="7" xfId="0" applyFill="1" applyBorder="1" applyAlignment="1">
      <alignment horizontal="right"/>
    </xf>
    <xf numFmtId="0" fontId="5" fillId="0" borderId="7" xfId="0" applyFont="1" applyFill="1" applyBorder="1"/>
    <xf numFmtId="0" fontId="0" fillId="0" borderId="8" xfId="0" applyFill="1" applyBorder="1"/>
    <xf numFmtId="0" fontId="9" fillId="0" borderId="0" xfId="89" applyFont="1" applyFill="1" applyBorder="1"/>
    <xf numFmtId="0" fontId="4" fillId="0" borderId="19" xfId="0" applyFont="1" applyFill="1" applyBorder="1" applyAlignment="1">
      <alignment horizontal="centerContinuous" vertical="center" wrapText="1"/>
    </xf>
    <xf numFmtId="0" fontId="4" fillId="0" borderId="11" xfId="0" applyFont="1" applyFill="1" applyBorder="1" applyAlignment="1">
      <alignment horizontal="centerContinuous" vertical="center" wrapText="1"/>
    </xf>
    <xf numFmtId="0" fontId="0" fillId="0" borderId="11" xfId="0" applyFill="1" applyBorder="1"/>
    <xf numFmtId="0" fontId="4" fillId="0" borderId="20" xfId="0" applyFont="1" applyFill="1" applyBorder="1" applyAlignment="1">
      <alignment horizontal="centerContinuous" vertical="center" wrapText="1"/>
    </xf>
    <xf numFmtId="0" fontId="4" fillId="0" borderId="19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left" vertical="center"/>
    </xf>
    <xf numFmtId="0" fontId="36" fillId="0" borderId="1" xfId="0" applyFont="1" applyFill="1" applyBorder="1"/>
    <xf numFmtId="0" fontId="36" fillId="0" borderId="2" xfId="0" applyFont="1" applyFill="1" applyBorder="1"/>
    <xf numFmtId="0" fontId="36" fillId="0" borderId="3" xfId="0" applyFont="1" applyFill="1" applyBorder="1"/>
    <xf numFmtId="0" fontId="4" fillId="0" borderId="0" xfId="0" applyFont="1" applyFill="1"/>
    <xf numFmtId="0" fontId="36" fillId="0" borderId="4" xfId="0" applyFont="1" applyFill="1" applyBorder="1"/>
    <xf numFmtId="0" fontId="36" fillId="0" borderId="0" xfId="0" applyFont="1" applyFill="1" applyBorder="1"/>
    <xf numFmtId="0" fontId="43" fillId="0" borderId="0" xfId="0" applyFont="1" applyFill="1" applyBorder="1"/>
    <xf numFmtId="0" fontId="36" fillId="0" borderId="5" xfId="0" applyFont="1" applyFill="1" applyBorder="1"/>
    <xf numFmtId="179" fontId="0" fillId="0" borderId="0" xfId="158" applyNumberFormat="1" applyFont="1" applyFill="1"/>
    <xf numFmtId="10" fontId="43" fillId="0" borderId="0" xfId="157" applyNumberFormat="1" applyFont="1" applyFill="1" applyBorder="1"/>
    <xf numFmtId="43" fontId="43" fillId="0" borderId="0" xfId="158" applyNumberFormat="1" applyFont="1" applyFill="1" applyBorder="1"/>
    <xf numFmtId="0" fontId="36" fillId="0" borderId="6" xfId="0" applyFont="1" applyFill="1" applyBorder="1"/>
    <xf numFmtId="0" fontId="36" fillId="0" borderId="7" xfId="0" applyFont="1" applyFill="1" applyBorder="1"/>
    <xf numFmtId="10" fontId="43" fillId="0" borderId="7" xfId="157" applyNumberFormat="1" applyFont="1" applyFill="1" applyBorder="1"/>
    <xf numFmtId="0" fontId="36" fillId="0" borderId="8" xfId="0" applyFont="1" applyFill="1" applyBorder="1"/>
    <xf numFmtId="0" fontId="0" fillId="0" borderId="11" xfId="0" applyFill="1" applyBorder="1" applyAlignment="1">
      <alignment horizontal="centerContinuous" vertical="center" wrapText="1"/>
    </xf>
    <xf numFmtId="0" fontId="0" fillId="0" borderId="20" xfId="0" applyFill="1" applyBorder="1" applyAlignment="1">
      <alignment horizontal="centerContinuous" vertical="center" wrapText="1"/>
    </xf>
    <xf numFmtId="0" fontId="0" fillId="0" borderId="0" xfId="0" applyFill="1" applyBorder="1" applyAlignment="1">
      <alignment horizontal="centerContinuous"/>
    </xf>
    <xf numFmtId="0" fontId="0" fillId="0" borderId="0" xfId="0" applyFill="1" applyBorder="1" applyAlignment="1">
      <alignment horizontal="centerContinuous" wrapText="1"/>
    </xf>
    <xf numFmtId="0" fontId="0" fillId="0" borderId="0" xfId="0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fill"/>
    </xf>
    <xf numFmtId="0" fontId="0" fillId="0" borderId="0" xfId="0" applyFill="1" applyBorder="1" applyAlignment="1"/>
    <xf numFmtId="10" fontId="0" fillId="0" borderId="0" xfId="0" applyNumberFormat="1" applyFont="1" applyFill="1" applyBorder="1"/>
    <xf numFmtId="177" fontId="45" fillId="0" borderId="0" xfId="0" applyNumberFormat="1" applyFont="1" applyFill="1" applyBorder="1"/>
    <xf numFmtId="0" fontId="45" fillId="0" borderId="0" xfId="0" applyFont="1" applyFill="1" applyBorder="1"/>
    <xf numFmtId="177" fontId="0" fillId="0" borderId="0" xfId="0" applyNumberFormat="1" applyFont="1" applyFill="1" applyBorder="1" applyAlignment="1">
      <alignment horizontal="centerContinuous"/>
    </xf>
    <xf numFmtId="43" fontId="0" fillId="0" borderId="0" xfId="0" applyNumberFormat="1" applyFont="1" applyFill="1" applyBorder="1"/>
    <xf numFmtId="44" fontId="0" fillId="0" borderId="0" xfId="0" applyNumberFormat="1" applyFont="1" applyFill="1" applyBorder="1"/>
    <xf numFmtId="44" fontId="0" fillId="0" borderId="0" xfId="0" applyNumberFormat="1" applyFill="1" applyBorder="1"/>
    <xf numFmtId="3" fontId="0" fillId="0" borderId="0" xfId="0" applyNumberFormat="1" applyFill="1" applyBorder="1"/>
    <xf numFmtId="0" fontId="0" fillId="0" borderId="0" xfId="0" applyFont="1" applyFill="1" applyBorder="1" applyAlignment="1">
      <alignment horizontal="fill"/>
    </xf>
    <xf numFmtId="4" fontId="0" fillId="0" borderId="0" xfId="0" applyNumberFormat="1" applyFill="1" applyBorder="1"/>
    <xf numFmtId="3" fontId="0" fillId="0" borderId="5" xfId="0" applyNumberFormat="1" applyFill="1" applyBorder="1"/>
    <xf numFmtId="0" fontId="4" fillId="0" borderId="0" xfId="0" applyFont="1" applyFill="1" applyBorder="1" applyAlignment="1">
      <alignment horizontal="left" indent="5"/>
    </xf>
    <xf numFmtId="41" fontId="0" fillId="0" borderId="0" xfId="0" applyNumberFormat="1" applyFill="1" applyBorder="1"/>
    <xf numFmtId="43" fontId="0" fillId="0" borderId="0" xfId="0" applyNumberFormat="1" applyFill="1" applyBorder="1"/>
    <xf numFmtId="0" fontId="0" fillId="0" borderId="7" xfId="0" applyFill="1" applyBorder="1"/>
    <xf numFmtId="10" fontId="0" fillId="0" borderId="7" xfId="0" applyNumberFormat="1" applyFill="1" applyBorder="1"/>
    <xf numFmtId="10" fontId="0" fillId="0" borderId="0" xfId="0" applyNumberFormat="1" applyFill="1"/>
    <xf numFmtId="41" fontId="0" fillId="0" borderId="0" xfId="0" applyNumberFormat="1" applyFill="1"/>
    <xf numFmtId="44" fontId="5" fillId="0" borderId="0" xfId="0" applyNumberFormat="1" applyFont="1" applyFill="1" applyBorder="1"/>
    <xf numFmtId="2" fontId="43" fillId="0" borderId="0" xfId="0" applyNumberFormat="1" applyFont="1" applyFill="1" applyBorder="1"/>
    <xf numFmtId="192" fontId="40" fillId="0" borderId="0" xfId="0" applyNumberFormat="1" applyFont="1" applyFill="1" applyBorder="1"/>
    <xf numFmtId="10" fontId="43" fillId="0" borderId="0" xfId="161" applyNumberFormat="1" applyFont="1" applyFill="1" applyBorder="1"/>
    <xf numFmtId="43" fontId="43" fillId="0" borderId="0" xfId="159" applyNumberFormat="1" applyFont="1" applyFill="1" applyBorder="1"/>
    <xf numFmtId="43" fontId="0" fillId="0" borderId="0" xfId="0" applyNumberFormat="1" applyFill="1"/>
    <xf numFmtId="177" fontId="5" fillId="0" borderId="0" xfId="0" applyNumberFormat="1" applyFont="1" applyFill="1" applyBorder="1"/>
    <xf numFmtId="8" fontId="0" fillId="0" borderId="0" xfId="0" applyNumberFormat="1" applyFont="1" applyFill="1" applyBorder="1"/>
    <xf numFmtId="194" fontId="5" fillId="0" borderId="0" xfId="159" applyNumberFormat="1" applyFont="1" applyFill="1" applyBorder="1" applyAlignment="1">
      <alignment horizontal="right"/>
    </xf>
    <xf numFmtId="177" fontId="38" fillId="0" borderId="0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20" borderId="8" xfId="0" applyFill="1" applyBorder="1" applyAlignment="1">
      <alignment horizontal="center"/>
    </xf>
    <xf numFmtId="0" fontId="0" fillId="20" borderId="7" xfId="0" applyFill="1" applyBorder="1" applyAlignment="1">
      <alignment horizontal="center"/>
    </xf>
    <xf numFmtId="0" fontId="0" fillId="20" borderId="6" xfId="0" applyFill="1" applyBorder="1" applyAlignment="1">
      <alignment horizontal="center"/>
    </xf>
    <xf numFmtId="175" fontId="0" fillId="20" borderId="5" xfId="0" applyNumberFormat="1" applyFill="1" applyBorder="1" applyAlignment="1">
      <alignment horizontal="center"/>
    </xf>
    <xf numFmtId="3" fontId="0" fillId="20" borderId="0" xfId="0" applyNumberFormat="1" applyFont="1" applyFill="1" applyBorder="1" applyAlignment="1">
      <alignment horizontal="center"/>
    </xf>
    <xf numFmtId="0" fontId="0" fillId="20" borderId="0" xfId="0" applyFill="1" applyBorder="1" applyAlignment="1">
      <alignment horizontal="center" vertical="center" wrapText="1"/>
    </xf>
    <xf numFmtId="0" fontId="0" fillId="20" borderId="4" xfId="0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20" borderId="5" xfId="0" applyFill="1" applyBorder="1" applyAlignment="1">
      <alignment horizontal="center"/>
    </xf>
    <xf numFmtId="175" fontId="0" fillId="20" borderId="0" xfId="160" applyNumberFormat="1" applyFont="1" applyFill="1" applyBorder="1" applyAlignment="1">
      <alignment horizontal="center"/>
    </xf>
    <xf numFmtId="0" fontId="0" fillId="20" borderId="0" xfId="0" applyFill="1" applyBorder="1" applyAlignment="1">
      <alignment horizontal="center" vertical="center"/>
    </xf>
    <xf numFmtId="0" fontId="0" fillId="20" borderId="4" xfId="0" applyFill="1" applyBorder="1" applyAlignment="1">
      <alignment horizontal="center" vertical="center"/>
    </xf>
    <xf numFmtId="0" fontId="0" fillId="20" borderId="0" xfId="0" applyFill="1" applyBorder="1" applyAlignment="1">
      <alignment horizontal="center"/>
    </xf>
    <xf numFmtId="0" fontId="29" fillId="20" borderId="0" xfId="0" applyFont="1" applyFill="1" applyBorder="1" applyAlignment="1">
      <alignment horizontal="center"/>
    </xf>
    <xf numFmtId="0" fontId="0" fillId="20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wrapText="1"/>
    </xf>
    <xf numFmtId="175" fontId="0" fillId="2" borderId="0" xfId="160" applyNumberFormat="1" applyFont="1" applyFill="1" applyBorder="1" applyAlignment="1">
      <alignment horizontal="left"/>
    </xf>
    <xf numFmtId="175" fontId="0" fillId="0" borderId="24" xfId="160" applyNumberFormat="1" applyFont="1" applyFill="1" applyBorder="1" applyAlignment="1">
      <alignment horizontal="left"/>
    </xf>
    <xf numFmtId="41" fontId="0" fillId="0" borderId="25" xfId="0" applyNumberFormat="1" applyFont="1" applyFill="1" applyBorder="1"/>
    <xf numFmtId="175" fontId="0" fillId="0" borderId="26" xfId="160" applyNumberFormat="1" applyFont="1" applyFill="1" applyBorder="1" applyAlignment="1">
      <alignment horizontal="left"/>
    </xf>
    <xf numFmtId="0" fontId="0" fillId="0" borderId="30" xfId="0" applyFont="1" applyFill="1" applyBorder="1"/>
    <xf numFmtId="0" fontId="0" fillId="0" borderId="56" xfId="0" applyFont="1" applyFill="1" applyBorder="1"/>
    <xf numFmtId="0" fontId="0" fillId="0" borderId="21" xfId="0" applyFont="1" applyFill="1" applyBorder="1" applyAlignment="1">
      <alignment horizontal="left"/>
    </xf>
    <xf numFmtId="176" fontId="0" fillId="0" borderId="0" xfId="0" applyNumberFormat="1" applyFont="1" applyFill="1" applyBorder="1"/>
    <xf numFmtId="41" fontId="0" fillId="0" borderId="26" xfId="0" applyNumberFormat="1" applyFont="1" applyFill="1" applyBorder="1"/>
    <xf numFmtId="41" fontId="4" fillId="0" borderId="2" xfId="0" applyNumberFormat="1" applyFont="1" applyFill="1" applyBorder="1"/>
    <xf numFmtId="177" fontId="4" fillId="2" borderId="21" xfId="161" applyNumberFormat="1" applyFont="1" applyFill="1" applyBorder="1" applyAlignment="1">
      <alignment horizontal="left"/>
    </xf>
    <xf numFmtId="0" fontId="0" fillId="2" borderId="22" xfId="0" applyFont="1" applyFill="1" applyBorder="1"/>
    <xf numFmtId="177" fontId="0" fillId="2" borderId="21" xfId="161" applyNumberFormat="1" applyFont="1" applyFill="1" applyBorder="1" applyAlignment="1">
      <alignment horizontal="left"/>
    </xf>
    <xf numFmtId="176" fontId="0" fillId="2" borderId="0" xfId="161" applyNumberFormat="1" applyFont="1" applyFill="1" applyBorder="1" applyAlignment="1">
      <alignment horizontal="right"/>
    </xf>
    <xf numFmtId="0" fontId="0" fillId="0" borderId="5" xfId="0" applyFont="1" applyFill="1" applyBorder="1"/>
    <xf numFmtId="0" fontId="4" fillId="2" borderId="21" xfId="0" applyFont="1" applyFill="1" applyBorder="1"/>
    <xf numFmtId="0" fontId="4" fillId="0" borderId="21" xfId="0" applyFont="1" applyFill="1" applyBorder="1"/>
    <xf numFmtId="0" fontId="4" fillId="0" borderId="30" xfId="0" applyFont="1" applyFill="1" applyBorder="1"/>
    <xf numFmtId="0" fontId="4" fillId="0" borderId="27" xfId="0" applyFont="1" applyFill="1" applyBorder="1"/>
    <xf numFmtId="177" fontId="0" fillId="2" borderId="0" xfId="161" applyNumberFormat="1" applyFont="1" applyFill="1" applyBorder="1" applyAlignment="1">
      <alignment horizontal="left"/>
    </xf>
    <xf numFmtId="176" fontId="0" fillId="2" borderId="0" xfId="160" applyNumberFormat="1" applyFont="1" applyFill="1" applyBorder="1" applyAlignment="1">
      <alignment horizontal="right"/>
    </xf>
    <xf numFmtId="41" fontId="4" fillId="0" borderId="26" xfId="0" applyNumberFormat="1" applyFont="1" applyFill="1" applyBorder="1"/>
    <xf numFmtId="176" fontId="0" fillId="2" borderId="7" xfId="161" applyNumberFormat="1" applyFont="1" applyFill="1" applyBorder="1" applyAlignment="1">
      <alignment horizontal="right"/>
    </xf>
    <xf numFmtId="41" fontId="4" fillId="0" borderId="58" xfId="0" applyNumberFormat="1" applyFont="1" applyFill="1" applyBorder="1"/>
    <xf numFmtId="0" fontId="4" fillId="0" borderId="25" xfId="0" applyFont="1" applyFill="1" applyBorder="1"/>
    <xf numFmtId="0" fontId="4" fillId="0" borderId="25" xfId="0" applyFont="1" applyFill="1" applyBorder="1" applyAlignment="1">
      <alignment horizontal="left"/>
    </xf>
    <xf numFmtId="176" fontId="4" fillId="0" borderId="59" xfId="0" applyNumberFormat="1" applyFont="1" applyFill="1" applyBorder="1"/>
    <xf numFmtId="0" fontId="0" fillId="0" borderId="25" xfId="0" applyFont="1" applyFill="1" applyBorder="1" applyAlignment="1">
      <alignment horizontal="left"/>
    </xf>
    <xf numFmtId="177" fontId="0" fillId="0" borderId="28" xfId="161" applyNumberFormat="1" applyFont="1" applyFill="1" applyBorder="1" applyAlignment="1">
      <alignment horizontal="left"/>
    </xf>
    <xf numFmtId="10" fontId="4" fillId="2" borderId="0" xfId="161" applyNumberFormat="1" applyFont="1" applyFill="1" applyBorder="1" applyAlignment="1">
      <alignment horizontal="right"/>
    </xf>
    <xf numFmtId="41" fontId="0" fillId="0" borderId="28" xfId="0" applyNumberFormat="1" applyFont="1" applyFill="1" applyBorder="1"/>
    <xf numFmtId="175" fontId="0" fillId="0" borderId="0" xfId="160" applyNumberFormat="1" applyFont="1" applyFill="1" applyBorder="1" applyAlignment="1">
      <alignment horizontal="left"/>
    </xf>
    <xf numFmtId="0" fontId="0" fillId="2" borderId="60" xfId="0" applyFont="1" applyFill="1" applyBorder="1"/>
    <xf numFmtId="0" fontId="0" fillId="0" borderId="17" xfId="0" applyFont="1" applyFill="1" applyBorder="1"/>
    <xf numFmtId="0" fontId="0" fillId="0" borderId="62" xfId="0" applyFont="1" applyFill="1" applyBorder="1"/>
    <xf numFmtId="0" fontId="0" fillId="0" borderId="5" xfId="0" applyFont="1" applyBorder="1"/>
    <xf numFmtId="0" fontId="0" fillId="0" borderId="8" xfId="0" applyFont="1" applyBorder="1"/>
    <xf numFmtId="0" fontId="0" fillId="0" borderId="63" xfId="0" applyFont="1" applyBorder="1"/>
    <xf numFmtId="0" fontId="0" fillId="0" borderId="64" xfId="0" applyFont="1" applyBorder="1"/>
    <xf numFmtId="0" fontId="0" fillId="0" borderId="61" xfId="0" applyFont="1" applyBorder="1"/>
    <xf numFmtId="0" fontId="4" fillId="0" borderId="0" xfId="0" applyFont="1" applyFill="1" applyBorder="1" applyAlignment="1">
      <alignment horizontal="centerContinuous" vertical="center" wrapText="1"/>
    </xf>
    <xf numFmtId="0" fontId="0" fillId="0" borderId="0" xfId="0" applyFill="1" applyBorder="1" applyAlignment="1">
      <alignment horizontal="centerContinuous" vertical="center" wrapText="1"/>
    </xf>
    <xf numFmtId="0" fontId="19" fillId="0" borderId="0" xfId="0" applyFont="1" applyFill="1" applyBorder="1" applyAlignment="1">
      <alignment horizontal="centerContinuous" vertical="center" wrapText="1"/>
    </xf>
    <xf numFmtId="0" fontId="0" fillId="0" borderId="0" xfId="0" applyFill="1" applyBorder="1" applyAlignment="1">
      <alignment horizontal="center" wrapText="1"/>
    </xf>
    <xf numFmtId="0" fontId="50" fillId="0" borderId="0" xfId="0" applyFont="1" applyFill="1" applyBorder="1" applyAlignment="1">
      <alignment horizontal="center"/>
    </xf>
    <xf numFmtId="14" fontId="39" fillId="0" borderId="0" xfId="0" applyNumberFormat="1" applyFont="1" applyFill="1" applyBorder="1" applyAlignment="1">
      <alignment horizontal="center"/>
    </xf>
    <xf numFmtId="8" fontId="0" fillId="0" borderId="0" xfId="0" applyNumberFormat="1" applyFill="1" applyBorder="1"/>
    <xf numFmtId="14" fontId="0" fillId="0" borderId="0" xfId="0" applyNumberFormat="1" applyFill="1" applyBorder="1" applyAlignment="1">
      <alignment horizontal="center"/>
    </xf>
    <xf numFmtId="2" fontId="38" fillId="0" borderId="0" xfId="0" applyNumberFormat="1" applyFont="1" applyFill="1" applyBorder="1"/>
    <xf numFmtId="10" fontId="0" fillId="0" borderId="0" xfId="157" applyNumberFormat="1" applyFont="1" applyFill="1" applyBorder="1"/>
    <xf numFmtId="0" fontId="0" fillId="0" borderId="0" xfId="0" applyFill="1" applyBorder="1" applyAlignment="1">
      <alignment horizontal="left" vertical="top"/>
    </xf>
    <xf numFmtId="0" fontId="0" fillId="0" borderId="17" xfId="0" applyFill="1" applyBorder="1"/>
    <xf numFmtId="193" fontId="0" fillId="0" borderId="0" xfId="0" applyNumberFormat="1" applyFont="1" applyBorder="1"/>
    <xf numFmtId="0" fontId="31" fillId="0" borderId="3" xfId="124" applyFont="1" applyFill="1" applyBorder="1" applyAlignment="1">
      <alignment horizontal="center" wrapText="1"/>
    </xf>
    <xf numFmtId="187" fontId="31" fillId="0" borderId="20" xfId="89" applyNumberFormat="1" applyFont="1" applyFill="1" applyBorder="1" applyAlignment="1">
      <alignment horizontal="center"/>
    </xf>
    <xf numFmtId="43" fontId="31" fillId="0" borderId="8" xfId="17" applyFont="1" applyFill="1" applyBorder="1" applyAlignment="1"/>
    <xf numFmtId="43" fontId="31" fillId="0" borderId="20" xfId="17" applyFont="1" applyFill="1" applyBorder="1" applyAlignment="1"/>
    <xf numFmtId="43" fontId="31" fillId="0" borderId="3" xfId="17" applyFont="1" applyFill="1" applyBorder="1" applyAlignment="1">
      <alignment horizontal="right"/>
    </xf>
    <xf numFmtId="0" fontId="31" fillId="0" borderId="32" xfId="124" applyFont="1" applyFill="1" applyBorder="1" applyAlignment="1">
      <alignment horizontal="centerContinuous"/>
    </xf>
    <xf numFmtId="0" fontId="32" fillId="0" borderId="19" xfId="124" applyFont="1" applyFill="1" applyBorder="1" applyAlignment="1">
      <alignment horizontal="centerContinuous"/>
    </xf>
    <xf numFmtId="0" fontId="31" fillId="0" borderId="11" xfId="124" applyFont="1" applyFill="1" applyBorder="1" applyAlignment="1">
      <alignment horizontal="centerContinuous"/>
    </xf>
    <xf numFmtId="179" fontId="31" fillId="0" borderId="11" xfId="124" applyNumberFormat="1" applyFont="1" applyFill="1" applyBorder="1" applyAlignment="1">
      <alignment horizontal="centerContinuous"/>
    </xf>
    <xf numFmtId="182" fontId="31" fillId="0" borderId="2" xfId="124" applyNumberFormat="1" applyFont="1" applyFill="1" applyBorder="1" applyAlignment="1">
      <alignment horizontal="centerContinuous"/>
    </xf>
    <xf numFmtId="182" fontId="31" fillId="0" borderId="3" xfId="124" applyNumberFormat="1" applyFont="1" applyFill="1" applyBorder="1" applyAlignment="1">
      <alignment horizontal="centerContinuous"/>
    </xf>
    <xf numFmtId="0" fontId="31" fillId="0" borderId="19" xfId="89" applyFont="1" applyFill="1" applyBorder="1"/>
    <xf numFmtId="0" fontId="31" fillId="0" borderId="4" xfId="89" applyFont="1" applyFill="1" applyBorder="1"/>
    <xf numFmtId="0" fontId="32" fillId="0" borderId="6" xfId="89" applyFont="1" applyFill="1" applyBorder="1" applyAlignment="1">
      <alignment horizontal="left" indent="1"/>
    </xf>
    <xf numFmtId="0" fontId="31" fillId="0" borderId="7" xfId="89" applyFont="1" applyFill="1" applyBorder="1"/>
    <xf numFmtId="0" fontId="31" fillId="0" borderId="6" xfId="124" applyFont="1" applyFill="1" applyBorder="1" applyAlignment="1">
      <alignment horizontal="left"/>
    </xf>
    <xf numFmtId="0" fontId="31" fillId="0" borderId="5" xfId="89" applyFont="1" applyFill="1" applyBorder="1"/>
    <xf numFmtId="0" fontId="31" fillId="0" borderId="4" xfId="124" applyFont="1" applyFill="1" applyBorder="1" applyAlignment="1">
      <alignment horizontal="center"/>
    </xf>
    <xf numFmtId="0" fontId="31" fillId="0" borderId="1" xfId="124" applyFont="1" applyFill="1" applyBorder="1" applyAlignment="1">
      <alignment horizontal="left"/>
    </xf>
    <xf numFmtId="0" fontId="31" fillId="0" borderId="6" xfId="89" applyFont="1" applyBorder="1" applyAlignment="1">
      <alignment horizontal="left" indent="1"/>
    </xf>
    <xf numFmtId="0" fontId="31" fillId="0" borderId="4" xfId="89" applyFont="1" applyBorder="1" applyAlignment="1">
      <alignment horizontal="left" indent="1"/>
    </xf>
    <xf numFmtId="185" fontId="31" fillId="0" borderId="32" xfId="124" applyNumberFormat="1" applyFont="1" applyFill="1" applyBorder="1" applyAlignment="1">
      <alignment horizontal="center"/>
    </xf>
    <xf numFmtId="0" fontId="31" fillId="0" borderId="32" xfId="89" applyFont="1" applyBorder="1"/>
    <xf numFmtId="1" fontId="31" fillId="0" borderId="32" xfId="89" applyNumberFormat="1" applyFont="1" applyBorder="1"/>
    <xf numFmtId="186" fontId="31" fillId="0" borderId="32" xfId="17" applyNumberFormat="1" applyFont="1" applyFill="1" applyBorder="1" applyAlignment="1">
      <alignment horizontal="right"/>
    </xf>
    <xf numFmtId="179" fontId="31" fillId="0" borderId="32" xfId="17" applyNumberFormat="1" applyFont="1" applyFill="1" applyBorder="1" applyAlignment="1">
      <alignment horizontal="right"/>
    </xf>
    <xf numFmtId="10" fontId="31" fillId="0" borderId="32" xfId="124" applyNumberFormat="1" applyFont="1" applyFill="1" applyBorder="1"/>
    <xf numFmtId="0" fontId="31" fillId="0" borderId="36" xfId="89" applyFont="1" applyBorder="1"/>
    <xf numFmtId="186" fontId="31" fillId="17" borderId="9" xfId="17" applyNumberFormat="1" applyFont="1" applyFill="1" applyBorder="1" applyAlignment="1"/>
    <xf numFmtId="1" fontId="0" fillId="2" borderId="0" xfId="0" applyNumberFormat="1" applyFont="1" applyFill="1" applyBorder="1" applyAlignment="1">
      <alignment horizontal="center"/>
    </xf>
    <xf numFmtId="0" fontId="31" fillId="0" borderId="65" xfId="89" applyFont="1" applyBorder="1"/>
    <xf numFmtId="0" fontId="52" fillId="0" borderId="25" xfId="0" applyFont="1" applyFill="1" applyBorder="1" applyAlignment="1">
      <alignment horizontal="right"/>
    </xf>
    <xf numFmtId="0" fontId="52" fillId="0" borderId="28" xfId="0" applyFont="1" applyFill="1" applyBorder="1" applyAlignment="1">
      <alignment horizontal="right"/>
    </xf>
    <xf numFmtId="175" fontId="4" fillId="0" borderId="24" xfId="160" applyNumberFormat="1" applyFont="1" applyFill="1" applyBorder="1" applyAlignment="1">
      <alignment horizontal="left"/>
    </xf>
    <xf numFmtId="41" fontId="4" fillId="0" borderId="66" xfId="0" applyNumberFormat="1" applyFont="1" applyFill="1" applyBorder="1"/>
    <xf numFmtId="0" fontId="4" fillId="2" borderId="0" xfId="0" applyFont="1" applyFill="1" applyBorder="1" applyAlignment="1">
      <alignment horizontal="left"/>
    </xf>
    <xf numFmtId="0" fontId="0" fillId="0" borderId="4" xfId="0" applyFont="1" applyFill="1" applyBorder="1"/>
    <xf numFmtId="0" fontId="0" fillId="0" borderId="4" xfId="0" applyFont="1" applyBorder="1"/>
    <xf numFmtId="177" fontId="0" fillId="2" borderId="7" xfId="161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67" xfId="0" applyFont="1" applyBorder="1"/>
    <xf numFmtId="0" fontId="47" fillId="2" borderId="7" xfId="0" applyFont="1" applyFill="1" applyBorder="1" applyAlignment="1">
      <alignment horizontal="left"/>
    </xf>
    <xf numFmtId="41" fontId="4" fillId="0" borderId="68" xfId="0" applyNumberFormat="1" applyFont="1" applyFill="1" applyBorder="1"/>
    <xf numFmtId="0" fontId="4" fillId="0" borderId="21" xfId="0" applyFont="1" applyFill="1" applyBorder="1" applyAlignment="1">
      <alignment horizontal="left"/>
    </xf>
    <xf numFmtId="0" fontId="4" fillId="2" borderId="2" xfId="0" applyFont="1" applyFill="1" applyBorder="1"/>
    <xf numFmtId="0" fontId="4" fillId="2" borderId="57" xfId="0" applyFont="1" applyFill="1" applyBorder="1"/>
    <xf numFmtId="0" fontId="4" fillId="2" borderId="2" xfId="0" applyFont="1" applyFill="1" applyBorder="1" applyAlignment="1">
      <alignment horizontal="left" indent="1"/>
    </xf>
    <xf numFmtId="0" fontId="4" fillId="2" borderId="69" xfId="0" applyFont="1" applyFill="1" applyBorder="1"/>
    <xf numFmtId="177" fontId="0" fillId="0" borderId="22" xfId="0" applyNumberFormat="1" applyFont="1" applyFill="1" applyBorder="1"/>
    <xf numFmtId="0" fontId="29" fillId="0" borderId="21" xfId="0" applyFont="1" applyFill="1" applyBorder="1" applyAlignment="1">
      <alignment horizontal="right"/>
    </xf>
    <xf numFmtId="0" fontId="0" fillId="2" borderId="23" xfId="0" applyFont="1" applyFill="1" applyBorder="1" applyAlignment="1">
      <alignment horizontal="left" indent="1"/>
    </xf>
    <xf numFmtId="0" fontId="0" fillId="0" borderId="23" xfId="0" applyFont="1" applyBorder="1"/>
    <xf numFmtId="0" fontId="84" fillId="0" borderId="0" xfId="0" applyFont="1" applyFill="1" applyBorder="1" applyAlignment="1">
      <alignment horizontal="right" vertical="top"/>
    </xf>
    <xf numFmtId="202" fontId="41" fillId="56" borderId="0" xfId="0" applyNumberFormat="1" applyFont="1" applyFill="1" applyBorder="1" applyAlignment="1">
      <alignment vertical="top"/>
    </xf>
    <xf numFmtId="185" fontId="41" fillId="56" borderId="0" xfId="0" applyNumberFormat="1" applyFont="1" applyFill="1" applyBorder="1" applyAlignment="1">
      <alignment vertical="top"/>
    </xf>
    <xf numFmtId="0" fontId="41" fillId="56" borderId="0" xfId="0" applyFont="1" applyFill="1" applyBorder="1" applyAlignment="1">
      <alignment vertical="top"/>
    </xf>
    <xf numFmtId="41" fontId="41" fillId="56" borderId="0" xfId="0" applyNumberFormat="1" applyFont="1" applyFill="1" applyBorder="1" applyAlignment="1">
      <alignment vertical="top"/>
    </xf>
    <xf numFmtId="10" fontId="41" fillId="56" borderId="0" xfId="0" applyNumberFormat="1" applyFont="1" applyFill="1" applyBorder="1" applyAlignment="1">
      <alignment horizontal="right" vertical="top"/>
    </xf>
    <xf numFmtId="1" fontId="41" fillId="55" borderId="0" xfId="0" applyNumberFormat="1" applyFont="1" applyFill="1" applyBorder="1"/>
    <xf numFmtId="1" fontId="41" fillId="56" borderId="0" xfId="0" applyNumberFormat="1" applyFont="1" applyFill="1" applyBorder="1"/>
    <xf numFmtId="10" fontId="41" fillId="55" borderId="0" xfId="161" applyNumberFormat="1" applyFont="1" applyFill="1" applyBorder="1"/>
    <xf numFmtId="10" fontId="41" fillId="56" borderId="0" xfId="161" applyNumberFormat="1" applyFont="1" applyFill="1" applyBorder="1"/>
    <xf numFmtId="41" fontId="41" fillId="55" borderId="0" xfId="0" applyNumberFormat="1" applyFont="1" applyFill="1" applyBorder="1"/>
    <xf numFmtId="0" fontId="36" fillId="17" borderId="0" xfId="0" applyFont="1" applyFill="1"/>
    <xf numFmtId="0" fontId="36" fillId="56" borderId="0" xfId="0" applyFont="1" applyFill="1"/>
    <xf numFmtId="177" fontId="51" fillId="55" borderId="0" xfId="0" applyNumberFormat="1" applyFont="1" applyFill="1" applyBorder="1"/>
    <xf numFmtId="177" fontId="85" fillId="58" borderId="0" xfId="0" applyNumberFormat="1" applyFont="1" applyFill="1" applyBorder="1"/>
    <xf numFmtId="177" fontId="41" fillId="55" borderId="0" xfId="0" applyNumberFormat="1" applyFont="1" applyFill="1" applyBorder="1"/>
    <xf numFmtId="7" fontId="86" fillId="57" borderId="0" xfId="0" applyNumberFormat="1" applyFont="1" applyFill="1" applyBorder="1"/>
    <xf numFmtId="7" fontId="86" fillId="58" borderId="0" xfId="0" applyNumberFormat="1" applyFont="1" applyFill="1" applyBorder="1"/>
    <xf numFmtId="8" fontId="0" fillId="0" borderId="0" xfId="159" applyNumberFormat="1" applyFont="1" applyFill="1" applyBorder="1"/>
    <xf numFmtId="0" fontId="0" fillId="56" borderId="0" xfId="0" applyFill="1"/>
    <xf numFmtId="0" fontId="4" fillId="56" borderId="19" xfId="0" applyFont="1" applyFill="1" applyBorder="1" applyAlignment="1">
      <alignment horizontal="left" vertical="center"/>
    </xf>
    <xf numFmtId="0" fontId="4" fillId="56" borderId="11" xfId="0" applyFont="1" applyFill="1" applyBorder="1" applyAlignment="1">
      <alignment horizontal="left" vertical="center"/>
    </xf>
    <xf numFmtId="0" fontId="4" fillId="56" borderId="20" xfId="0" applyFont="1" applyFill="1" applyBorder="1" applyAlignment="1">
      <alignment horizontal="left" vertical="center"/>
    </xf>
    <xf numFmtId="0" fontId="0" fillId="56" borderId="0" xfId="0" applyFill="1" applyBorder="1"/>
    <xf numFmtId="3" fontId="40" fillId="56" borderId="0" xfId="0" applyNumberFormat="1" applyFont="1" applyFill="1" applyBorder="1"/>
    <xf numFmtId="189" fontId="40" fillId="56" borderId="0" xfId="156" applyNumberFormat="1" applyFont="1" applyFill="1" applyBorder="1" applyAlignment="1">
      <alignment vertical="top"/>
    </xf>
    <xf numFmtId="185" fontId="40" fillId="56" borderId="0" xfId="0" applyNumberFormat="1" applyFont="1" applyFill="1" applyBorder="1" applyAlignment="1">
      <alignment vertical="top"/>
    </xf>
    <xf numFmtId="0" fontId="40" fillId="56" borderId="0" xfId="0" applyFont="1" applyFill="1" applyBorder="1"/>
    <xf numFmtId="9" fontId="40" fillId="56" borderId="0" xfId="0" applyNumberFormat="1" applyFont="1" applyFill="1" applyBorder="1" applyAlignment="1">
      <alignment vertical="top"/>
    </xf>
    <xf numFmtId="190" fontId="40" fillId="56" borderId="0" xfId="156" applyNumberFormat="1" applyFont="1" applyFill="1" applyBorder="1" applyAlignment="1">
      <alignment vertical="top"/>
    </xf>
    <xf numFmtId="10" fontId="40" fillId="56" borderId="0" xfId="0" applyNumberFormat="1" applyFont="1" applyFill="1" applyBorder="1" applyAlignment="1">
      <alignment vertical="top"/>
    </xf>
    <xf numFmtId="185" fontId="40" fillId="56" borderId="0" xfId="0" applyNumberFormat="1" applyFont="1" applyFill="1" applyBorder="1"/>
    <xf numFmtId="0" fontId="44" fillId="56" borderId="5" xfId="0" applyFont="1" applyFill="1" applyBorder="1" applyAlignment="1">
      <alignment vertical="top"/>
    </xf>
    <xf numFmtId="1" fontId="41" fillId="55" borderId="4" xfId="0" applyNumberFormat="1" applyFont="1" applyFill="1" applyBorder="1"/>
    <xf numFmtId="1" fontId="41" fillId="56" borderId="4" xfId="0" applyNumberFormat="1" applyFont="1" applyFill="1" applyBorder="1"/>
    <xf numFmtId="0" fontId="0" fillId="56" borderId="0" xfId="0" applyFill="1" applyBorder="1" applyAlignment="1">
      <alignment horizontal="center" wrapText="1"/>
    </xf>
    <xf numFmtId="0" fontId="0" fillId="56" borderId="0" xfId="0" applyFill="1" applyBorder="1" applyAlignment="1">
      <alignment horizontal="center"/>
    </xf>
    <xf numFmtId="2" fontId="38" fillId="56" borderId="0" xfId="0" applyNumberFormat="1" applyFont="1" applyFill="1" applyBorder="1" applyAlignment="1">
      <alignment horizontal="right"/>
    </xf>
    <xf numFmtId="177" fontId="0" fillId="56" borderId="0" xfId="0" applyNumberFormat="1" applyFill="1" applyBorder="1"/>
    <xf numFmtId="10" fontId="0" fillId="56" borderId="0" xfId="0" applyNumberFormat="1" applyFill="1" applyBorder="1"/>
    <xf numFmtId="0" fontId="36" fillId="56" borderId="0" xfId="0" applyFont="1" applyFill="1" applyBorder="1"/>
    <xf numFmtId="0" fontId="4" fillId="56" borderId="0" xfId="0" applyFont="1" applyFill="1" applyBorder="1"/>
    <xf numFmtId="0" fontId="50" fillId="56" borderId="0" xfId="0" applyFont="1" applyFill="1" applyBorder="1" applyAlignment="1">
      <alignment horizontal="center"/>
    </xf>
    <xf numFmtId="194" fontId="5" fillId="56" borderId="0" xfId="159" applyNumberFormat="1" applyFont="1" applyFill="1" applyBorder="1" applyAlignment="1">
      <alignment horizontal="right"/>
    </xf>
    <xf numFmtId="3" fontId="40" fillId="17" borderId="0" xfId="0" applyNumberFormat="1" applyFont="1" applyFill="1" applyBorder="1"/>
    <xf numFmtId="203" fontId="41" fillId="56" borderId="0" xfId="160" applyNumberFormat="1" applyFont="1" applyFill="1" applyBorder="1" applyAlignment="1">
      <alignment vertical="top"/>
    </xf>
    <xf numFmtId="10" fontId="41" fillId="56" borderId="0" xfId="0" applyNumberFormat="1" applyFont="1" applyFill="1" applyBorder="1" applyAlignment="1">
      <alignment vertical="top"/>
    </xf>
    <xf numFmtId="1" fontId="41" fillId="55" borderId="4" xfId="0" applyNumberFormat="1" applyFont="1" applyFill="1" applyBorder="1" applyAlignment="1">
      <alignment horizontal="center"/>
    </xf>
    <xf numFmtId="1" fontId="41" fillId="56" borderId="4" xfId="0" applyNumberFormat="1" applyFont="1" applyFill="1" applyBorder="1" applyAlignment="1">
      <alignment horizontal="center"/>
    </xf>
    <xf numFmtId="177" fontId="41" fillId="0" borderId="0" xfId="0" applyNumberFormat="1" applyFont="1" applyFill="1" applyBorder="1"/>
    <xf numFmtId="41" fontId="41" fillId="0" borderId="0" xfId="0" applyNumberFormat="1" applyFont="1" applyFill="1" applyBorder="1"/>
    <xf numFmtId="0" fontId="87" fillId="58" borderId="19" xfId="0" applyFont="1" applyFill="1" applyBorder="1" applyAlignment="1">
      <alignment horizontal="left" vertical="center"/>
    </xf>
    <xf numFmtId="0" fontId="87" fillId="58" borderId="11" xfId="0" applyFont="1" applyFill="1" applyBorder="1" applyAlignment="1">
      <alignment horizontal="left" vertical="center"/>
    </xf>
    <xf numFmtId="0" fontId="87" fillId="58" borderId="20" xfId="0" applyFont="1" applyFill="1" applyBorder="1" applyAlignment="1">
      <alignment horizontal="left" vertical="center"/>
    </xf>
    <xf numFmtId="0" fontId="88" fillId="0" borderId="4" xfId="0" applyFont="1" applyFill="1" applyBorder="1"/>
    <xf numFmtId="0" fontId="88" fillId="0" borderId="0" xfId="0" applyFont="1" applyFill="1" applyBorder="1"/>
    <xf numFmtId="0" fontId="86" fillId="0" borderId="0" xfId="0" applyFont="1" applyFill="1" applyBorder="1"/>
    <xf numFmtId="0" fontId="89" fillId="0" borderId="0" xfId="0" applyFont="1" applyFill="1" applyBorder="1"/>
    <xf numFmtId="0" fontId="89" fillId="0" borderId="5" xfId="0" applyFont="1" applyFill="1" applyBorder="1"/>
    <xf numFmtId="0" fontId="90" fillId="58" borderId="4" xfId="0" applyFont="1" applyFill="1" applyBorder="1" applyAlignment="1">
      <alignment vertical="top"/>
    </xf>
    <xf numFmtId="0" fontId="88" fillId="58" borderId="0" xfId="0" applyFont="1" applyFill="1" applyBorder="1" applyAlignment="1">
      <alignment vertical="top"/>
    </xf>
    <xf numFmtId="0" fontId="86" fillId="58" borderId="0" xfId="0" applyFont="1" applyFill="1" applyBorder="1" applyAlignment="1">
      <alignment vertical="top"/>
    </xf>
    <xf numFmtId="0" fontId="88" fillId="58" borderId="0" xfId="0" applyFont="1" applyFill="1" applyBorder="1" applyAlignment="1">
      <alignment horizontal="right" vertical="top"/>
    </xf>
    <xf numFmtId="0" fontId="91" fillId="58" borderId="0" xfId="0" applyFont="1" applyFill="1" applyBorder="1" applyAlignment="1">
      <alignment horizontal="right" vertical="top"/>
    </xf>
    <xf numFmtId="0" fontId="91" fillId="58" borderId="0" xfId="0" applyFont="1" applyFill="1" applyBorder="1" applyAlignment="1">
      <alignment vertical="top"/>
    </xf>
    <xf numFmtId="0" fontId="0" fillId="58" borderId="0" xfId="0" applyFont="1" applyFill="1" applyBorder="1"/>
    <xf numFmtId="0" fontId="0" fillId="58" borderId="5" xfId="0" applyFont="1" applyFill="1" applyBorder="1"/>
    <xf numFmtId="0" fontId="88" fillId="0" borderId="4" xfId="0" applyFont="1" applyFill="1" applyBorder="1" applyAlignment="1">
      <alignment vertical="top"/>
    </xf>
    <xf numFmtId="0" fontId="88" fillId="0" borderId="0" xfId="0" applyFont="1" applyFill="1" applyBorder="1" applyAlignment="1">
      <alignment vertical="top"/>
    </xf>
    <xf numFmtId="3" fontId="88" fillId="58" borderId="0" xfId="0" applyNumberFormat="1" applyFont="1" applyFill="1" applyBorder="1"/>
    <xf numFmtId="0" fontId="91" fillId="0" borderId="0" xfId="0" applyFont="1" applyFill="1" applyBorder="1" applyAlignment="1">
      <alignment vertical="top"/>
    </xf>
    <xf numFmtId="0" fontId="86" fillId="0" borderId="0" xfId="0" applyFont="1" applyFill="1" applyBorder="1" applyAlignment="1">
      <alignment vertical="top"/>
    </xf>
    <xf numFmtId="189" fontId="88" fillId="58" borderId="0" xfId="156" applyNumberFormat="1" applyFont="1" applyFill="1" applyBorder="1" applyAlignment="1">
      <alignment vertical="top"/>
    </xf>
    <xf numFmtId="185" fontId="88" fillId="58" borderId="0" xfId="0" applyNumberFormat="1" applyFont="1" applyFill="1" applyBorder="1" applyAlignment="1">
      <alignment vertical="top"/>
    </xf>
    <xf numFmtId="0" fontId="88" fillId="58" borderId="0" xfId="0" applyFont="1" applyFill="1" applyBorder="1"/>
    <xf numFmtId="9" fontId="88" fillId="58" borderId="0" xfId="0" applyNumberFormat="1" applyFont="1" applyFill="1" applyBorder="1" applyAlignment="1">
      <alignment vertical="top"/>
    </xf>
    <xf numFmtId="190" fontId="88" fillId="58" borderId="0" xfId="156" applyNumberFormat="1" applyFont="1" applyFill="1" applyBorder="1" applyAlignment="1">
      <alignment vertical="top"/>
    </xf>
    <xf numFmtId="10" fontId="88" fillId="58" borderId="0" xfId="0" applyNumberFormat="1" applyFont="1" applyFill="1" applyBorder="1" applyAlignment="1">
      <alignment vertical="top"/>
    </xf>
    <xf numFmtId="185" fontId="88" fillId="58" borderId="0" xfId="0" applyNumberFormat="1" applyFont="1" applyFill="1" applyBorder="1"/>
    <xf numFmtId="0" fontId="86" fillId="0" borderId="5" xfId="0" applyFont="1" applyFill="1" applyBorder="1" applyAlignment="1">
      <alignment vertical="top"/>
    </xf>
    <xf numFmtId="0" fontId="88" fillId="0" borderId="6" xfId="0" applyFont="1" applyFill="1" applyBorder="1" applyAlignment="1">
      <alignment vertical="top"/>
    </xf>
    <xf numFmtId="0" fontId="88" fillId="0" borderId="7" xfId="0" applyFont="1" applyFill="1" applyBorder="1" applyAlignment="1">
      <alignment vertical="top"/>
    </xf>
    <xf numFmtId="0" fontId="86" fillId="0" borderId="8" xfId="0" applyFont="1" applyFill="1" applyBorder="1" applyAlignment="1">
      <alignment vertical="top"/>
    </xf>
    <xf numFmtId="0" fontId="88" fillId="0" borderId="5" xfId="0" applyFont="1" applyFill="1" applyBorder="1"/>
    <xf numFmtId="0" fontId="91" fillId="58" borderId="5" xfId="0" applyFont="1" applyFill="1" applyBorder="1" applyAlignment="1">
      <alignment vertical="top"/>
    </xf>
    <xf numFmtId="0" fontId="86" fillId="0" borderId="5" xfId="0" applyFont="1" applyFill="1" applyBorder="1"/>
    <xf numFmtId="0" fontId="91" fillId="0" borderId="5" xfId="0" applyFont="1" applyFill="1" applyBorder="1" applyAlignment="1">
      <alignment vertical="top"/>
    </xf>
    <xf numFmtId="0" fontId="88" fillId="0" borderId="8" xfId="0" applyFont="1" applyFill="1" applyBorder="1" applyAlignment="1">
      <alignment vertical="top"/>
    </xf>
    <xf numFmtId="4" fontId="41" fillId="56" borderId="9" xfId="0" applyNumberFormat="1" applyFont="1" applyFill="1" applyBorder="1"/>
    <xf numFmtId="1" fontId="40" fillId="0" borderId="0" xfId="0" applyNumberFormat="1" applyFont="1" applyFill="1" applyBorder="1"/>
    <xf numFmtId="0" fontId="7" fillId="0" borderId="0" xfId="89" applyFont="1" applyAlignment="1">
      <alignment horizontal="right"/>
    </xf>
    <xf numFmtId="185" fontId="31" fillId="0" borderId="39" xfId="124" applyNumberFormat="1" applyFont="1" applyFill="1" applyBorder="1" applyAlignment="1">
      <alignment horizontal="center"/>
    </xf>
    <xf numFmtId="0" fontId="31" fillId="0" borderId="39" xfId="89" applyFont="1" applyFill="1" applyBorder="1"/>
    <xf numFmtId="179" fontId="31" fillId="0" borderId="39" xfId="17" applyNumberFormat="1" applyFont="1" applyFill="1" applyBorder="1" applyAlignment="1">
      <alignment horizontal="right"/>
    </xf>
    <xf numFmtId="43" fontId="31" fillId="0" borderId="39" xfId="17" applyFont="1" applyFill="1" applyBorder="1" applyAlignment="1">
      <alignment horizontal="right"/>
    </xf>
    <xf numFmtId="179" fontId="31" fillId="17" borderId="14" xfId="17" applyNumberFormat="1" applyFont="1" applyFill="1" applyBorder="1" applyAlignment="1"/>
    <xf numFmtId="179" fontId="31" fillId="17" borderId="14" xfId="17" applyNumberFormat="1" applyFont="1" applyFill="1" applyBorder="1"/>
    <xf numFmtId="195" fontId="31" fillId="17" borderId="14" xfId="124" applyNumberFormat="1" applyFont="1" applyFill="1" applyBorder="1" applyAlignment="1"/>
    <xf numFmtId="43" fontId="31" fillId="17" borderId="14" xfId="17" applyFont="1" applyFill="1" applyBorder="1" applyAlignment="1">
      <alignment horizontal="right"/>
    </xf>
    <xf numFmtId="179" fontId="31" fillId="17" borderId="9" xfId="17" applyNumberFormat="1" applyFont="1" applyFill="1" applyBorder="1"/>
    <xf numFmtId="43" fontId="31" fillId="17" borderId="9" xfId="17" applyFont="1" applyFill="1" applyBorder="1" applyAlignment="1">
      <alignment horizontal="right"/>
    </xf>
    <xf numFmtId="43" fontId="31" fillId="17" borderId="39" xfId="17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center"/>
    </xf>
    <xf numFmtId="1" fontId="0" fillId="2" borderId="5" xfId="0" applyNumberFormat="1" applyFont="1" applyFill="1" applyBorder="1" applyAlignment="1">
      <alignment horizontal="center"/>
    </xf>
    <xf numFmtId="40" fontId="0" fillId="56" borderId="0" xfId="0" applyNumberFormat="1" applyFill="1" applyBorder="1"/>
    <xf numFmtId="2" fontId="0" fillId="56" borderId="0" xfId="0" applyNumberFormat="1" applyFill="1" applyBorder="1" applyAlignment="1">
      <alignment horizontal="right" wrapText="1"/>
    </xf>
    <xf numFmtId="2" fontId="38" fillId="56" borderId="0" xfId="0" applyNumberFormat="1" applyFont="1" applyFill="1" applyBorder="1" applyAlignment="1">
      <alignment horizontal="right" wrapText="1"/>
    </xf>
    <xf numFmtId="8" fontId="40" fillId="0" borderId="0" xfId="0" applyNumberFormat="1" applyFont="1" applyFill="1" applyBorder="1"/>
    <xf numFmtId="41" fontId="0" fillId="0" borderId="0" xfId="0" applyNumberFormat="1" applyFont="1"/>
    <xf numFmtId="8" fontId="41" fillId="0" borderId="0" xfId="0" applyNumberFormat="1" applyFont="1" applyFill="1" applyBorder="1"/>
    <xf numFmtId="3" fontId="41" fillId="56" borderId="9" xfId="0" applyNumberFormat="1" applyFont="1" applyFill="1" applyBorder="1"/>
    <xf numFmtId="0" fontId="5" fillId="56" borderId="7" xfId="0" applyFont="1" applyFill="1" applyBorder="1" applyAlignment="1">
      <alignment horizontal="center"/>
    </xf>
    <xf numFmtId="0" fontId="29" fillId="56" borderId="0" xfId="0" applyFont="1" applyFill="1" applyBorder="1" applyAlignment="1">
      <alignment horizontal="center"/>
    </xf>
    <xf numFmtId="0" fontId="0" fillId="56" borderId="0" xfId="0" applyFont="1" applyFill="1" applyBorder="1"/>
    <xf numFmtId="41" fontId="0" fillId="56" borderId="0" xfId="0" applyNumberFormat="1" applyFont="1" applyFill="1" applyBorder="1"/>
    <xf numFmtId="0" fontId="0" fillId="56" borderId="0" xfId="0" applyFont="1" applyFill="1" applyBorder="1" applyAlignment="1">
      <alignment horizontal="fill"/>
    </xf>
    <xf numFmtId="41" fontId="0" fillId="56" borderId="0" xfId="161" applyNumberFormat="1" applyFont="1" applyFill="1" applyBorder="1" applyAlignment="1">
      <alignment horizontal="center"/>
    </xf>
    <xf numFmtId="177" fontId="0" fillId="56" borderId="0" xfId="0" applyNumberFormat="1" applyFont="1" applyFill="1" applyBorder="1"/>
    <xf numFmtId="0" fontId="0" fillId="56" borderId="0" xfId="0" applyNumberFormat="1" applyFont="1" applyFill="1" applyBorder="1" applyAlignment="1">
      <alignment horizontal="center"/>
    </xf>
    <xf numFmtId="177" fontId="0" fillId="56" borderId="0" xfId="161" applyNumberFormat="1" applyFont="1" applyFill="1" applyBorder="1" applyAlignment="1">
      <alignment horizontal="center"/>
    </xf>
    <xf numFmtId="204" fontId="41" fillId="56" borderId="0" xfId="0" applyNumberFormat="1" applyFont="1" applyFill="1" applyBorder="1" applyAlignment="1">
      <alignment vertical="top"/>
    </xf>
    <xf numFmtId="37" fontId="41" fillId="56" borderId="0" xfId="0" applyNumberFormat="1" applyFont="1" applyFill="1" applyBorder="1"/>
    <xf numFmtId="177" fontId="41" fillId="56" borderId="0" xfId="0" applyNumberFormat="1" applyFont="1" applyFill="1" applyBorder="1"/>
    <xf numFmtId="1" fontId="31" fillId="0" borderId="14" xfId="89" applyNumberFormat="1" applyFont="1" applyFill="1" applyBorder="1"/>
    <xf numFmtId="195" fontId="31" fillId="0" borderId="14" xfId="124" applyNumberFormat="1" applyFont="1" applyFill="1" applyBorder="1" applyAlignment="1"/>
    <xf numFmtId="0" fontId="84" fillId="56" borderId="4" xfId="0" applyFont="1" applyFill="1" applyBorder="1" applyAlignment="1">
      <alignment vertical="top"/>
    </xf>
    <xf numFmtId="0" fontId="40" fillId="56" borderId="0" xfId="0" applyFont="1" applyFill="1" applyBorder="1" applyAlignment="1">
      <alignment vertical="top"/>
    </xf>
    <xf numFmtId="177" fontId="86" fillId="58" borderId="0" xfId="0" applyNumberFormat="1" applyFont="1" applyFill="1" applyBorder="1"/>
    <xf numFmtId="177" fontId="86" fillId="57" borderId="0" xfId="0" applyNumberFormat="1" applyFont="1" applyFill="1" applyBorder="1"/>
    <xf numFmtId="0" fontId="31" fillId="0" borderId="70" xfId="89" applyFont="1" applyBorder="1"/>
    <xf numFmtId="0" fontId="0" fillId="17" borderId="0" xfId="0" applyFill="1" applyBorder="1" applyAlignment="1">
      <alignment horizontal="center" wrapText="1"/>
    </xf>
    <xf numFmtId="0" fontId="0" fillId="17" borderId="0" xfId="0" applyFill="1" applyBorder="1" applyAlignment="1">
      <alignment horizontal="center"/>
    </xf>
    <xf numFmtId="2" fontId="38" fillId="17" borderId="0" xfId="0" applyNumberFormat="1" applyFont="1" applyFill="1" applyBorder="1" applyAlignment="1">
      <alignment horizontal="right"/>
    </xf>
    <xf numFmtId="177" fontId="0" fillId="17" borderId="0" xfId="0" applyNumberFormat="1" applyFill="1" applyBorder="1"/>
    <xf numFmtId="2" fontId="0" fillId="17" borderId="0" xfId="0" applyNumberFormat="1" applyFill="1" applyBorder="1" applyAlignment="1">
      <alignment horizontal="right" wrapText="1"/>
    </xf>
    <xf numFmtId="2" fontId="38" fillId="17" borderId="0" xfId="0" applyNumberFormat="1" applyFont="1" applyFill="1" applyBorder="1" applyAlignment="1">
      <alignment horizontal="right" wrapText="1"/>
    </xf>
    <xf numFmtId="10" fontId="0" fillId="17" borderId="0" xfId="0" applyNumberFormat="1" applyFill="1" applyBorder="1"/>
    <xf numFmtId="0" fontId="0" fillId="17" borderId="0" xfId="0" applyFill="1" applyBorder="1"/>
    <xf numFmtId="0" fontId="36" fillId="17" borderId="0" xfId="0" applyFont="1" applyFill="1" applyBorder="1"/>
    <xf numFmtId="0" fontId="4" fillId="17" borderId="0" xfId="0" applyFont="1" applyFill="1" applyBorder="1"/>
    <xf numFmtId="0" fontId="50" fillId="17" borderId="0" xfId="0" applyFont="1" applyFill="1" applyBorder="1" applyAlignment="1">
      <alignment horizontal="center"/>
    </xf>
    <xf numFmtId="194" fontId="5" fillId="17" borderId="0" xfId="159" applyNumberFormat="1" applyFont="1" applyFill="1" applyBorder="1" applyAlignment="1">
      <alignment horizontal="right"/>
    </xf>
    <xf numFmtId="40" fontId="0" fillId="17" borderId="0" xfId="0" applyNumberFormat="1" applyFill="1" applyBorder="1"/>
    <xf numFmtId="0" fontId="5" fillId="0" borderId="7" xfId="0" applyFont="1" applyFill="1" applyBorder="1" applyAlignment="1">
      <alignment horizontal="center"/>
    </xf>
    <xf numFmtId="41" fontId="5" fillId="0" borderId="23" xfId="0" applyNumberFormat="1" applyFont="1" applyFill="1" applyBorder="1"/>
    <xf numFmtId="41" fontId="5" fillId="0" borderId="27" xfId="0" applyNumberFormat="1" applyFont="1" applyFill="1" applyBorder="1"/>
    <xf numFmtId="41" fontId="5" fillId="0" borderId="26" xfId="0" applyNumberFormat="1" applyFont="1" applyFill="1" applyBorder="1"/>
    <xf numFmtId="41" fontId="5" fillId="0" borderId="0" xfId="0" applyNumberFormat="1" applyFont="1" applyFill="1" applyBorder="1"/>
    <xf numFmtId="3" fontId="5" fillId="20" borderId="0" xfId="0" applyNumberFormat="1" applyFont="1" applyFill="1" applyBorder="1" applyAlignment="1">
      <alignment horizontal="center"/>
    </xf>
    <xf numFmtId="176" fontId="4" fillId="0" borderId="0" xfId="160" applyNumberFormat="1" applyFont="1" applyFill="1" applyBorder="1" applyAlignment="1">
      <alignment horizontal="right"/>
    </xf>
    <xf numFmtId="176" fontId="4" fillId="0" borderId="21" xfId="160" applyNumberFormat="1" applyFont="1" applyFill="1" applyBorder="1" applyAlignment="1">
      <alignment horizontal="right"/>
    </xf>
    <xf numFmtId="3" fontId="92" fillId="20" borderId="0" xfId="0" applyNumberFormat="1" applyFont="1" applyFill="1" applyBorder="1" applyAlignment="1">
      <alignment horizontal="center"/>
    </xf>
    <xf numFmtId="0" fontId="0" fillId="21" borderId="19" xfId="0" applyFill="1" applyBorder="1" applyAlignment="1">
      <alignment horizontal="center"/>
    </xf>
    <xf numFmtId="0" fontId="0" fillId="21" borderId="11" xfId="0" applyFill="1" applyBorder="1" applyAlignment="1">
      <alignment horizontal="center"/>
    </xf>
    <xf numFmtId="0" fontId="0" fillId="21" borderId="20" xfId="0" applyFill="1" applyBorder="1" applyAlignment="1">
      <alignment horizontal="center"/>
    </xf>
    <xf numFmtId="176" fontId="4" fillId="0" borderId="2" xfId="160" applyNumberFormat="1" applyFont="1" applyFill="1" applyBorder="1" applyAlignment="1">
      <alignment horizontal="right"/>
    </xf>
    <xf numFmtId="176" fontId="0" fillId="59" borderId="0" xfId="160" applyNumberFormat="1" applyFont="1" applyFill="1" applyBorder="1" applyAlignment="1">
      <alignment horizontal="right"/>
    </xf>
    <xf numFmtId="176" fontId="4" fillId="59" borderId="59" xfId="0" applyNumberFormat="1" applyFont="1" applyFill="1" applyBorder="1"/>
  </cellXfs>
  <cellStyles count="416">
    <cellStyle name="20% - Accent1 2" xfId="162"/>
    <cellStyle name="20% - Accent1 3" xfId="163"/>
    <cellStyle name="20% - Accent2 2" xfId="164"/>
    <cellStyle name="20% - Accent2 3" xfId="165"/>
    <cellStyle name="20% - Accent3 2" xfId="166"/>
    <cellStyle name="20% - Accent3 3" xfId="167"/>
    <cellStyle name="20% - Accent4 2" xfId="168"/>
    <cellStyle name="20% - Accent4 3" xfId="169"/>
    <cellStyle name="20% - Accent5 2" xfId="170"/>
    <cellStyle name="20% - Accent5 3" xfId="171"/>
    <cellStyle name="20% - Accent6 2" xfId="172"/>
    <cellStyle name="20% - Accent6 3" xfId="173"/>
    <cellStyle name="40% - Accent1 2" xfId="174"/>
    <cellStyle name="40% - Accent1 3" xfId="175"/>
    <cellStyle name="40% - Accent2 2" xfId="176"/>
    <cellStyle name="40% - Accent2 3" xfId="177"/>
    <cellStyle name="40% - Accent3 2" xfId="178"/>
    <cellStyle name="40% - Accent3 3" xfId="179"/>
    <cellStyle name="40% - Accent4 2" xfId="180"/>
    <cellStyle name="40% - Accent4 3" xfId="181"/>
    <cellStyle name="40% - Accent5 2" xfId="182"/>
    <cellStyle name="40% - Accent5 3" xfId="183"/>
    <cellStyle name="40% - Accent6 2" xfId="184"/>
    <cellStyle name="40% - Accent6 3" xfId="185"/>
    <cellStyle name="60% - Accent1 2" xfId="186"/>
    <cellStyle name="60% - Accent1 3" xfId="187"/>
    <cellStyle name="60% - Accent2 2" xfId="188"/>
    <cellStyle name="60% - Accent2 3" xfId="189"/>
    <cellStyle name="60% - Accent3 2" xfId="190"/>
    <cellStyle name="60% - Accent3 3" xfId="191"/>
    <cellStyle name="60% - Accent4 2" xfId="192"/>
    <cellStyle name="60% - Accent4 3" xfId="193"/>
    <cellStyle name="60% - Accent5 2" xfId="194"/>
    <cellStyle name="60% - Accent5 3" xfId="195"/>
    <cellStyle name="60% - Accent6 2" xfId="196"/>
    <cellStyle name="60% - Accent6 3" xfId="197"/>
    <cellStyle name="Accent1 2" xfId="198"/>
    <cellStyle name="Accent1 3" xfId="199"/>
    <cellStyle name="Accent2 2" xfId="200"/>
    <cellStyle name="Accent2 3" xfId="201"/>
    <cellStyle name="Accent3 2" xfId="202"/>
    <cellStyle name="Accent3 3" xfId="203"/>
    <cellStyle name="Accent4 2" xfId="204"/>
    <cellStyle name="Accent4 3" xfId="205"/>
    <cellStyle name="Accent5 2" xfId="206"/>
    <cellStyle name="Accent5 3" xfId="207"/>
    <cellStyle name="Accent6 2" xfId="208"/>
    <cellStyle name="Accent6 3" xfId="209"/>
    <cellStyle name="ArrayHeading" xfId="1"/>
    <cellStyle name="ArrayHeading 2" xfId="2"/>
    <cellStyle name="Bad 2" xfId="210"/>
    <cellStyle name="Bad 3" xfId="211"/>
    <cellStyle name="BetweenMacros" xfId="3"/>
    <cellStyle name="BetweenMacros 2" xfId="4"/>
    <cellStyle name="Calculation 2" xfId="212"/>
    <cellStyle name="Calculation 3" xfId="213"/>
    <cellStyle name="Cancel" xfId="214"/>
    <cellStyle name="Check Cell 2" xfId="215"/>
    <cellStyle name="Check Cell 3" xfId="216"/>
    <cellStyle name="Column total in dollars" xfId="5"/>
    <cellStyle name="Column total in dollars 2" xfId="6"/>
    <cellStyle name="Comma" xfId="159" builtinId="3"/>
    <cellStyle name="Comma  - Style1" xfId="7"/>
    <cellStyle name="Comma  - Style2" xfId="8"/>
    <cellStyle name="Comma  - Style3" xfId="9"/>
    <cellStyle name="Comma  - Style4" xfId="10"/>
    <cellStyle name="Comma  - Style5" xfId="11"/>
    <cellStyle name="Comma  - Style6" xfId="12"/>
    <cellStyle name="Comma  - Style7" xfId="13"/>
    <cellStyle name="Comma  - Style8" xfId="14"/>
    <cellStyle name="Comma (0)" xfId="15"/>
    <cellStyle name="Comma [0] 2" xfId="16"/>
    <cellStyle name="Comma 10" xfId="217"/>
    <cellStyle name="Comma 11" xfId="218"/>
    <cellStyle name="Comma 12" xfId="219"/>
    <cellStyle name="Comma 13" xfId="220"/>
    <cellStyle name="Comma 14" xfId="221"/>
    <cellStyle name="Comma 15" xfId="222"/>
    <cellStyle name="Comma 16" xfId="223"/>
    <cellStyle name="Comma 17" xfId="224"/>
    <cellStyle name="Comma 18" xfId="225"/>
    <cellStyle name="Comma 19" xfId="226"/>
    <cellStyle name="Comma 2" xfId="17"/>
    <cellStyle name="Comma 2 2" xfId="18"/>
    <cellStyle name="Comma 2 2 2" xfId="227"/>
    <cellStyle name="Comma 20" xfId="228"/>
    <cellStyle name="Comma 21" xfId="229"/>
    <cellStyle name="Comma 22" xfId="230"/>
    <cellStyle name="Comma 23" xfId="231"/>
    <cellStyle name="Comma 24" xfId="232"/>
    <cellStyle name="Comma 25" xfId="233"/>
    <cellStyle name="Comma 26" xfId="234"/>
    <cellStyle name="Comma 27" xfId="235"/>
    <cellStyle name="Comma 3" xfId="19"/>
    <cellStyle name="Comma 3 2" xfId="20"/>
    <cellStyle name="Comma 3 2 2" xfId="236"/>
    <cellStyle name="Comma 3 3" xfId="237"/>
    <cellStyle name="Comma 4" xfId="21"/>
    <cellStyle name="Comma 4 2" xfId="22"/>
    <cellStyle name="Comma 4 3" xfId="238"/>
    <cellStyle name="Comma 5" xfId="158"/>
    <cellStyle name="Comma 5 2" xfId="239"/>
    <cellStyle name="Comma 6" xfId="240"/>
    <cellStyle name="Comma 7" xfId="241"/>
    <cellStyle name="Comma 8" xfId="242"/>
    <cellStyle name="Comma 9" xfId="243"/>
    <cellStyle name="Comma0" xfId="23"/>
    <cellStyle name="Comma0 - Style1" xfId="244"/>
    <cellStyle name="Comma0 - Style2" xfId="245"/>
    <cellStyle name="Comma0 - Style3" xfId="24"/>
    <cellStyle name="Comma0 - Style3 2" xfId="25"/>
    <cellStyle name="Comma0 - Style4" xfId="26"/>
    <cellStyle name="Comma0 - Style4 2" xfId="27"/>
    <cellStyle name="Comma0 2" xfId="246"/>
    <cellStyle name="Comma0_Book1" xfId="28"/>
    <cellStyle name="Comma1 - Style1" xfId="29"/>
    <cellStyle name="Comma1 - Style1 2" xfId="30"/>
    <cellStyle name="Curren - Style2" xfId="247"/>
    <cellStyle name="Curren - Style3" xfId="248"/>
    <cellStyle name="Currency" xfId="160" builtinId="4"/>
    <cellStyle name="Currency 2" xfId="31"/>
    <cellStyle name="Currency 2 2" xfId="32"/>
    <cellStyle name="Currency 3" xfId="33"/>
    <cellStyle name="Currency 3 2" xfId="34"/>
    <cellStyle name="Currency 4" xfId="35"/>
    <cellStyle name="Currency 5" xfId="36"/>
    <cellStyle name="Currency 6" xfId="156"/>
    <cellStyle name="Currency No Comma" xfId="37"/>
    <cellStyle name="Currency(0)" xfId="38"/>
    <cellStyle name="Currency0" xfId="39"/>
    <cellStyle name="Currency0 2" xfId="249"/>
    <cellStyle name="Custom - Style8" xfId="250"/>
    <cellStyle name="Data   - Style2" xfId="251"/>
    <cellStyle name="Date" xfId="40"/>
    <cellStyle name="Date - Style1" xfId="252"/>
    <cellStyle name="Date - Style3" xfId="41"/>
    <cellStyle name="Date - Style3 2" xfId="42"/>
    <cellStyle name="Date 10" xfId="43"/>
    <cellStyle name="Date 11" xfId="44"/>
    <cellStyle name="Date 12" xfId="45"/>
    <cellStyle name="Date 13" xfId="46"/>
    <cellStyle name="Date 14" xfId="47"/>
    <cellStyle name="Date 15" xfId="253"/>
    <cellStyle name="Date 2" xfId="48"/>
    <cellStyle name="Date 3" xfId="49"/>
    <cellStyle name="Date 4" xfId="50"/>
    <cellStyle name="Date 5" xfId="51"/>
    <cellStyle name="Date 6" xfId="52"/>
    <cellStyle name="Date 7" xfId="53"/>
    <cellStyle name="Date 8" xfId="54"/>
    <cellStyle name="Date 9" xfId="55"/>
    <cellStyle name="Date_Book1" xfId="56"/>
    <cellStyle name="Explanatory Text 2" xfId="254"/>
    <cellStyle name="Explanatory Text 3" xfId="255"/>
    <cellStyle name="Fixed" xfId="57"/>
    <cellStyle name="Fixed 2" xfId="256"/>
    <cellStyle name="Fixed2 - Style2" xfId="257"/>
    <cellStyle name="Good 2" xfId="258"/>
    <cellStyle name="Good 3" xfId="259"/>
    <cellStyle name="Grey" xfId="58"/>
    <cellStyle name="header" xfId="59"/>
    <cellStyle name="header 2" xfId="60"/>
    <cellStyle name="Header1" xfId="61"/>
    <cellStyle name="Header1 2" xfId="62"/>
    <cellStyle name="Header2" xfId="63"/>
    <cellStyle name="Header2 2" xfId="64"/>
    <cellStyle name="Heading 1 2" xfId="260"/>
    <cellStyle name="Heading 1 3" xfId="261"/>
    <cellStyle name="Heading 2 2" xfId="262"/>
    <cellStyle name="Heading 2 3" xfId="263"/>
    <cellStyle name="Heading 3 2" xfId="264"/>
    <cellStyle name="Heading 3 3" xfId="265"/>
    <cellStyle name="Heading 4 2" xfId="266"/>
    <cellStyle name="Heading 4 3" xfId="267"/>
    <cellStyle name="Heading1" xfId="268"/>
    <cellStyle name="Heading2" xfId="269"/>
    <cellStyle name="Hyperlink 2" xfId="65"/>
    <cellStyle name="Input [yellow]" xfId="66"/>
    <cellStyle name="Input 2" xfId="270"/>
    <cellStyle name="Input 3" xfId="271"/>
    <cellStyle name="Input 4" xfId="272"/>
    <cellStyle name="Input 5" xfId="273"/>
    <cellStyle name="Input 6" xfId="274"/>
    <cellStyle name="Inst. Sections" xfId="275"/>
    <cellStyle name="Inst. Subheading" xfId="276"/>
    <cellStyle name="Labels - Style3" xfId="277"/>
    <cellStyle name="Linked Cell 2" xfId="278"/>
    <cellStyle name="Linked Cell 3" xfId="279"/>
    <cellStyle name="Macro" xfId="67"/>
    <cellStyle name="Macro 2" xfId="68"/>
    <cellStyle name="macro descr" xfId="69"/>
    <cellStyle name="macro descr 2" xfId="70"/>
    <cellStyle name="Macro_Comments" xfId="71"/>
    <cellStyle name="MacroText" xfId="72"/>
    <cellStyle name="MacroText 2" xfId="73"/>
    <cellStyle name="MCP" xfId="74"/>
    <cellStyle name="Neutral 2" xfId="280"/>
    <cellStyle name="Neutral 3" xfId="281"/>
    <cellStyle name="nONE" xfId="75"/>
    <cellStyle name="noninput" xfId="76"/>
    <cellStyle name="noninput 2" xfId="77"/>
    <cellStyle name="Normal" xfId="0" builtinId="0"/>
    <cellStyle name="Normal - Style1" xfId="78"/>
    <cellStyle name="Normal - Style1 2" xfId="282"/>
    <cellStyle name="Normal - Style2" xfId="283"/>
    <cellStyle name="Normal - Style3" xfId="284"/>
    <cellStyle name="Normal - Style4" xfId="285"/>
    <cellStyle name="Normal - Style5" xfId="286"/>
    <cellStyle name="Normal - Style6" xfId="287"/>
    <cellStyle name="Normal - Style7" xfId="288"/>
    <cellStyle name="Normal - Style8" xfId="289"/>
    <cellStyle name="Normal 10" xfId="79"/>
    <cellStyle name="Normal 11" xfId="80"/>
    <cellStyle name="Normal 12" xfId="81"/>
    <cellStyle name="Normal 13" xfId="82"/>
    <cellStyle name="Normal 13 2" xfId="290"/>
    <cellStyle name="Normal 14" xfId="83"/>
    <cellStyle name="Normal 14 2" xfId="291"/>
    <cellStyle name="Normal 15" xfId="84"/>
    <cellStyle name="Normal 15 2" xfId="292"/>
    <cellStyle name="Normal 16" xfId="85"/>
    <cellStyle name="Normal 16 2" xfId="293"/>
    <cellStyle name="Normal 17" xfId="86"/>
    <cellStyle name="Normal 17 2" xfId="294"/>
    <cellStyle name="Normal 18" xfId="87"/>
    <cellStyle name="Normal 18 2" xfId="295"/>
    <cellStyle name="Normal 19" xfId="88"/>
    <cellStyle name="Normal 19 2" xfId="296"/>
    <cellStyle name="Normal 2" xfId="89"/>
    <cellStyle name="Normal 2 2" xfId="90"/>
    <cellStyle name="Normal 2 2 2" xfId="91"/>
    <cellStyle name="Normal 2 2 2 2" xfId="297"/>
    <cellStyle name="Normal 2 2 3" xfId="298"/>
    <cellStyle name="Normal 2 3" xfId="92"/>
    <cellStyle name="Normal 2 3 2" xfId="299"/>
    <cellStyle name="Normal 2 4" xfId="93"/>
    <cellStyle name="Normal 2 4 2" xfId="300"/>
    <cellStyle name="Normal 2 5" xfId="94"/>
    <cellStyle name="Normal 20" xfId="95"/>
    <cellStyle name="Normal 21" xfId="96"/>
    <cellStyle name="Normal 22" xfId="97"/>
    <cellStyle name="Normal 23" xfId="98"/>
    <cellStyle name="Normal 24" xfId="99"/>
    <cellStyle name="Normal 24 2" xfId="301"/>
    <cellStyle name="Normal 25" xfId="100"/>
    <cellStyle name="Normal 26" xfId="101"/>
    <cellStyle name="Normal 26 2" xfId="302"/>
    <cellStyle name="Normal 27" xfId="102"/>
    <cellStyle name="Normal 28" xfId="103"/>
    <cellStyle name="Normal 28 2" xfId="303"/>
    <cellStyle name="Normal 29" xfId="304"/>
    <cellStyle name="Normal 3" xfId="104"/>
    <cellStyle name="Normal 3 2" xfId="105"/>
    <cellStyle name="Normal 3 2 2" xfId="106"/>
    <cellStyle name="Normal 3 2 3" xfId="305"/>
    <cellStyle name="Normal 3 3" xfId="107"/>
    <cellStyle name="Normal 3 4" xfId="306"/>
    <cellStyle name="Normal 30" xfId="307"/>
    <cellStyle name="Normal 31" xfId="308"/>
    <cellStyle name="Normal 32" xfId="309"/>
    <cellStyle name="Normal 33" xfId="310"/>
    <cellStyle name="Normal 34" xfId="311"/>
    <cellStyle name="Normal 35" xfId="312"/>
    <cellStyle name="Normal 36" xfId="313"/>
    <cellStyle name="Normal 37" xfId="314"/>
    <cellStyle name="Normal 38" xfId="315"/>
    <cellStyle name="Normal 39" xfId="316"/>
    <cellStyle name="Normal 4" xfId="108"/>
    <cellStyle name="Normal 4 2" xfId="109"/>
    <cellStyle name="Normal 4 3" xfId="110"/>
    <cellStyle name="Normal 4 3 2" xfId="111"/>
    <cellStyle name="Normal 40" xfId="317"/>
    <cellStyle name="Normal 5" xfId="112"/>
    <cellStyle name="Normal 5 2" xfId="113"/>
    <cellStyle name="Normal 5 2 2" xfId="114"/>
    <cellStyle name="Normal 5 2 3" xfId="318"/>
    <cellStyle name="Normal 5 3" xfId="115"/>
    <cellStyle name="Normal 5 3 2" xfId="116"/>
    <cellStyle name="Normal 6" xfId="117"/>
    <cellStyle name="Normal 6 2" xfId="118"/>
    <cellStyle name="Normal 6 2 2" xfId="119"/>
    <cellStyle name="Normal 6 2 3" xfId="319"/>
    <cellStyle name="Normal 6 3" xfId="320"/>
    <cellStyle name="Normal 7" xfId="120"/>
    <cellStyle name="Normal 8" xfId="121"/>
    <cellStyle name="Normal 9" xfId="122"/>
    <cellStyle name="Normal(0)" xfId="123"/>
    <cellStyle name="Normal_Book1" xfId="124"/>
    <cellStyle name="Note 2" xfId="321"/>
    <cellStyle name="Note 3" xfId="322"/>
    <cellStyle name="Note 4" xfId="323"/>
    <cellStyle name="Number" xfId="125"/>
    <cellStyle name="Output 2" xfId="324"/>
    <cellStyle name="Output 3" xfId="325"/>
    <cellStyle name="Output Amounts" xfId="326"/>
    <cellStyle name="Output Line Items" xfId="327"/>
    <cellStyle name="Password" xfId="126"/>
    <cellStyle name="Percen - Style1" xfId="127"/>
    <cellStyle name="Percen - Style1 2" xfId="128"/>
    <cellStyle name="Percen - Style2" xfId="129"/>
    <cellStyle name="Percen - Style2 2" xfId="130"/>
    <cellStyle name="Percent" xfId="161" builtinId="5"/>
    <cellStyle name="Percent [2]" xfId="131"/>
    <cellStyle name="Percent 10" xfId="328"/>
    <cellStyle name="Percent 11" xfId="329"/>
    <cellStyle name="Percent 12" xfId="330"/>
    <cellStyle name="Percent 13" xfId="331"/>
    <cellStyle name="Percent 14" xfId="332"/>
    <cellStyle name="Percent 15" xfId="333"/>
    <cellStyle name="Percent 16" xfId="334"/>
    <cellStyle name="Percent 17" xfId="335"/>
    <cellStyle name="Percent 18" xfId="336"/>
    <cellStyle name="Percent 19" xfId="337"/>
    <cellStyle name="Percent 2" xfId="132"/>
    <cellStyle name="Percent 2 2" xfId="133"/>
    <cellStyle name="Percent 2 2 2" xfId="338"/>
    <cellStyle name="Percent 2 3" xfId="339"/>
    <cellStyle name="Percent 20" xfId="340"/>
    <cellStyle name="Percent 21" xfId="341"/>
    <cellStyle name="Percent 22" xfId="342"/>
    <cellStyle name="Percent 23" xfId="343"/>
    <cellStyle name="Percent 24" xfId="344"/>
    <cellStyle name="Percent 25" xfId="345"/>
    <cellStyle name="Percent 26" xfId="346"/>
    <cellStyle name="Percent 27" xfId="347"/>
    <cellStyle name="Percent 28" xfId="348"/>
    <cellStyle name="Percent 3" xfId="157"/>
    <cellStyle name="Percent 3 2" xfId="349"/>
    <cellStyle name="Percent 4" xfId="350"/>
    <cellStyle name="Percent 5" xfId="351"/>
    <cellStyle name="Percent 6" xfId="352"/>
    <cellStyle name="Percent 7" xfId="353"/>
    <cellStyle name="Percent 8" xfId="354"/>
    <cellStyle name="Percent 9" xfId="355"/>
    <cellStyle name="Percent(0)" xfId="134"/>
    <cellStyle name="Percent(0) 2" xfId="356"/>
    <cellStyle name="PSChar" xfId="135"/>
    <cellStyle name="PSDate" xfId="136"/>
    <cellStyle name="PSDec" xfId="137"/>
    <cellStyle name="PSHeading" xfId="138"/>
    <cellStyle name="PSInt" xfId="139"/>
    <cellStyle name="PSSpacer" xfId="140"/>
    <cellStyle name="Reset  - Style7" xfId="357"/>
    <cellStyle name="SAPBEXaggData" xfId="358"/>
    <cellStyle name="SAPBEXaggDataEmph" xfId="359"/>
    <cellStyle name="SAPBEXaggItem" xfId="360"/>
    <cellStyle name="SAPBEXaggItemX" xfId="361"/>
    <cellStyle name="SAPBEXchaText" xfId="362"/>
    <cellStyle name="SAPBEXexcBad7" xfId="363"/>
    <cellStyle name="SAPBEXexcBad8" xfId="364"/>
    <cellStyle name="SAPBEXexcBad9" xfId="365"/>
    <cellStyle name="SAPBEXexcCritical4" xfId="366"/>
    <cellStyle name="SAPBEXexcCritical5" xfId="367"/>
    <cellStyle name="SAPBEXexcCritical6" xfId="368"/>
    <cellStyle name="SAPBEXexcGood1" xfId="369"/>
    <cellStyle name="SAPBEXexcGood2" xfId="370"/>
    <cellStyle name="SAPBEXexcGood3" xfId="371"/>
    <cellStyle name="SAPBEXfilterDrill" xfId="372"/>
    <cellStyle name="SAPBEXfilterItem" xfId="373"/>
    <cellStyle name="SAPBEXfilterText" xfId="374"/>
    <cellStyle name="SAPBEXformats" xfId="375"/>
    <cellStyle name="SAPBEXheaderItem" xfId="376"/>
    <cellStyle name="SAPBEXheaderText" xfId="377"/>
    <cellStyle name="SAPBEXHLevel0" xfId="378"/>
    <cellStyle name="SAPBEXHLevel0X" xfId="379"/>
    <cellStyle name="SAPBEXHLevel1" xfId="380"/>
    <cellStyle name="SAPBEXHLevel1X" xfId="381"/>
    <cellStyle name="SAPBEXHLevel2" xfId="382"/>
    <cellStyle name="SAPBEXHLevel2X" xfId="383"/>
    <cellStyle name="SAPBEXHLevel3" xfId="384"/>
    <cellStyle name="SAPBEXHLevel3X" xfId="385"/>
    <cellStyle name="SAPBEXresData" xfId="386"/>
    <cellStyle name="SAPBEXresDataEmph" xfId="387"/>
    <cellStyle name="SAPBEXresItem" xfId="388"/>
    <cellStyle name="SAPBEXresItemX" xfId="389"/>
    <cellStyle name="SAPBEXstdData" xfId="390"/>
    <cellStyle name="SAPBEXstdDataEmph" xfId="391"/>
    <cellStyle name="SAPBEXstdItem" xfId="392"/>
    <cellStyle name="SAPBEXstdItemX" xfId="393"/>
    <cellStyle name="SAPBEXtitle" xfId="394"/>
    <cellStyle name="SAPBEXundefined" xfId="395"/>
    <cellStyle name="Shade" xfId="141"/>
    <cellStyle name="Special" xfId="142"/>
    <cellStyle name="STYL1 - Style1" xfId="396"/>
    <cellStyle name="Style 1" xfId="143"/>
    <cellStyle name="Style 1 2" xfId="144"/>
    <cellStyle name="Style 1 3" xfId="397"/>
    <cellStyle name="Table  - Style6" xfId="398"/>
    <cellStyle name="Text" xfId="399"/>
    <cellStyle name="Title  - Style1" xfId="400"/>
    <cellStyle name="Title 2" xfId="401"/>
    <cellStyle name="Title 3" xfId="402"/>
    <cellStyle name="Title 4" xfId="403"/>
    <cellStyle name="Title 5" xfId="404"/>
    <cellStyle name="Title 6" xfId="405"/>
    <cellStyle name="Titles" xfId="145"/>
    <cellStyle name="Titles 2" xfId="146"/>
    <cellStyle name="Total 2" xfId="406"/>
    <cellStyle name="Total 3" xfId="407"/>
    <cellStyle name="Total2 - Style2" xfId="147"/>
    <cellStyle name="Total2 - Style2 2" xfId="148"/>
    <cellStyle name="TotCol - Style5" xfId="408"/>
    <cellStyle name="TotRow - Style4" xfId="409"/>
    <cellStyle name="TRANSMISSION RELIABILITY PORTION OF PROJECT" xfId="149"/>
    <cellStyle name="Tusental (0)_pldt" xfId="410"/>
    <cellStyle name="Tusental_pldt" xfId="411"/>
    <cellStyle name="Underl - Style4" xfId="150"/>
    <cellStyle name="Underl - Style4 2" xfId="151"/>
    <cellStyle name="UNLocked" xfId="152"/>
    <cellStyle name="Unprot" xfId="153"/>
    <cellStyle name="Unprot$" xfId="154"/>
    <cellStyle name="Unprotect" xfId="155"/>
    <cellStyle name="Valuta (0)_pldt" xfId="412"/>
    <cellStyle name="Valuta_pldt" xfId="413"/>
    <cellStyle name="Warning Text 2" xfId="414"/>
    <cellStyle name="Warning Text 3" xfId="4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9" Type="http://schemas.openxmlformats.org/officeDocument/2006/relationships/customXml" Target="../customXml/item3.xml"/><Relationship Id="rId21" Type="http://schemas.openxmlformats.org/officeDocument/2006/relationships/externalLink" Target="externalLinks/externalLink5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pecial%20Studies\Oregon%20RPS%20Incremental%20Cost\2013\Doc%20from%20Teri%20Ikeda\not%20filed%20OR%20RPS%20%20Spring%202012\2011%20Oregon%20RPS%20incremental%20cost%20workpaper%202012041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Copy%20of%2019%20IRP%20CCCT%20SCCT%20Info%20(00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Table%206.1%20-%206.3%20-%20Total%20Resource%20Cost%20for%20Supply-Side%20Resource%20Options%2017%20IRP%2011%2030%202016%20Rev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GNw_Market%20Price%20Index%20(161012)%20CON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Oregon\2019\Endur%20Price%20V9%209.28.2018%20East-West%20with%20historic_and%20repower%20prices(Mead_Mona)_Valu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Inflation_Forecast_shortterm_splice%202017%20Q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Inflation_Forecast_shortterm_splice_Q3%202019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Repower%20and%20REC%20gen%20side%20by%20side_CONF)wt%20Mwh%20con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28240\Desktop\Renewables%20Compliance\2013%20WA%20Impelmentation%20Plan\WA%20RPS%20Wind%20Capit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28240\Local%20Settings\Temporary%20Internet%20Files\Content.Outlook\WMV1PJ30\Wind%20CAPEX%2005231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RID%20Studies\Special%20Studies\Oregon%20RPS%20Incremental%20Cost\2017\01_2017%20OR%20RPS%202019-2023%20Incremental%20Cost%20Calc%20Workpaper%20CONF_2017%2012%2020%20(w%20links)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Oregon\2019\_01_2019%20OR%20RPS%202021-2023%20Incremental%20Cost%20Calc%20Workpaper%20CONF_2019_12_26_%20wt.%20Links%20minor%20edit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23281\AppData\Local\Microsoft\Windows\Temporary%20Internet%20Files\Content.Outlook\V5T30VUZ\2013%20OR%20RPS%202015-2019%20Incremental%20Cost%20Calc%20Workpaper_added%20Chevron%20for%20Teri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(3.1a)_Goodnoe_Hills%20-%20orig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19IRP%20Wind%20RePower%20Data%20Fixed%20Cost%20&amp;%20PTC%20CONF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18\CONF%20PacifiCorp%20-%202018%20WA%20RPS%20Report%20-%20Cost%20Analysis%20-%20DRAFT%2006-26-2019_NEW%20PROXY%20wt%20lin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ing summary"/>
      <sheetName val="Detail"/>
      <sheetName val="Rev Req"/>
      <sheetName val="CCCT - $0 CO2 med gas"/>
      <sheetName val="CCCT - $12 CO2 med gas"/>
      <sheetName val="CCCT - $19 CO2 low gas"/>
      <sheetName val="CCCT - $19 CO2 med gas"/>
      <sheetName val="CCCT - $19 CO2 high gas"/>
      <sheetName val="CCCT - $25 CO2 med gas"/>
      <sheetName val="Sensitivity CCCT - $16CO2 m gas"/>
      <sheetName val="Levelizer"/>
      <sheetName val="Resources"/>
      <sheetName val="Blundell II"/>
      <sheetName val="Chevron "/>
      <sheetName val="Glenrock"/>
      <sheetName val="Glenrock III"/>
      <sheetName val="Goodnoe Hills"/>
      <sheetName val="High Plains"/>
      <sheetName val="McFadden Ridge"/>
      <sheetName val="Marengo"/>
      <sheetName val="Marengo 2"/>
      <sheetName val="Mountain Wind "/>
      <sheetName val="Mountain Wind  II"/>
      <sheetName val="Seven Mile"/>
      <sheetName val="Seven Mile II"/>
      <sheetName val="3 Buttes"/>
      <sheetName val="Dunlap 1"/>
      <sheetName val="Top of World"/>
      <sheetName val="Actual Generation"/>
      <sheetName val="O&amp;M 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C4">
            <v>7.17E-2</v>
          </cell>
        </row>
        <row r="5">
          <cell r="C5">
            <v>1.9E-2</v>
          </cell>
        </row>
        <row r="6">
          <cell r="C6">
            <v>2007</v>
          </cell>
        </row>
        <row r="7">
          <cell r="C7">
            <v>34</v>
          </cell>
        </row>
        <row r="8">
          <cell r="C8">
            <v>0.37951000000000001</v>
          </cell>
        </row>
        <row r="9">
          <cell r="C9">
            <v>5.1717369970559535E-2</v>
          </cell>
        </row>
        <row r="10">
          <cell r="C10">
            <v>2007</v>
          </cell>
        </row>
        <row r="11">
          <cell r="C11" t="str">
            <v>IRP Fixed</v>
          </cell>
        </row>
        <row r="64">
          <cell r="C64" t="str">
            <v>$0 CO2 + med gas (Lake Side)</v>
          </cell>
          <cell r="D64" t="str">
            <v>$12 CO2 (low-very high) + medium gas (Lake Side)</v>
          </cell>
          <cell r="E64" t="str">
            <v>$19 CO2 (med) + low gas (Lake Side)</v>
          </cell>
          <cell r="F64" t="str">
            <v>$19 CO2 (med) + medium gas (Lake Side)</v>
          </cell>
          <cell r="G64" t="str">
            <v>$19 CO2 (med) + high gas (Lake Side)</v>
          </cell>
          <cell r="H64" t="str">
            <v>$25 CO2 (high) + medium gas (Lake Side)</v>
          </cell>
          <cell r="I64" t="str">
            <v>March 30, 2012 OPC 2021$16 CO2 (Lake Side)</v>
          </cell>
        </row>
        <row r="65">
          <cell r="C65" t="str">
            <v>$0 CO2, September 2010 medium proxy fuel curve</v>
          </cell>
          <cell r="D65" t="str">
            <v>$12 CO2 (low - very high), September 2010 medium proxy fuel curve</v>
          </cell>
          <cell r="E65" t="str">
            <v>$19 CO2 (medium), September 2010 low proxy fuel curve</v>
          </cell>
          <cell r="F65" t="str">
            <v>$19 CO2 (medium), September 2010 medium proxy fuel curve</v>
          </cell>
          <cell r="G65" t="str">
            <v>$19 CO2 (medium), September 2010 high proxy fuel curve</v>
          </cell>
          <cell r="H65" t="str">
            <v>$25 CO2 (high), September 2010 medium proxy fuel curve</v>
          </cell>
          <cell r="I65" t="str">
            <v>2021$ 16 CO2, March 2012 Official Price Curve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2">
          <cell r="C12">
            <v>0.33</v>
          </cell>
          <cell r="F12">
            <v>194.47378125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6.1"/>
      <sheetName val="Table 6.2 P1"/>
      <sheetName val="Table 6.2 P2"/>
      <sheetName val="Table 6.3"/>
      <sheetName val="Database"/>
      <sheetName val="Database (Storage)"/>
      <sheetName val="Energy Stor Cost Escalation"/>
      <sheetName val="LCF"/>
      <sheetName val="Inputs"/>
      <sheetName val="Other Inputs"/>
      <sheetName val="Reference"/>
    </sheetNames>
    <sheetDataSet>
      <sheetData sheetId="0">
        <row r="22">
          <cell r="E22">
            <v>385.35346874999999</v>
          </cell>
          <cell r="K22">
            <v>6362</v>
          </cell>
          <cell r="L22">
            <v>2.5</v>
          </cell>
          <cell r="M22">
            <v>3.8</v>
          </cell>
        </row>
        <row r="23">
          <cell r="E23">
            <v>51.003718749999997</v>
          </cell>
          <cell r="K23">
            <v>9012</v>
          </cell>
          <cell r="L23">
            <v>0.8</v>
          </cell>
          <cell r="M23">
            <v>3.8</v>
          </cell>
        </row>
      </sheetData>
      <sheetData sheetId="1">
        <row r="20">
          <cell r="C20">
            <v>1484.3381350587799</v>
          </cell>
          <cell r="D20">
            <v>7.2562879502455491E-2</v>
          </cell>
          <cell r="F20">
            <v>21.68</v>
          </cell>
          <cell r="H20">
            <v>3.3180439885901754E-2</v>
          </cell>
        </row>
        <row r="21">
          <cell r="C21">
            <v>443.00439708045104</v>
          </cell>
          <cell r="D21">
            <v>7.2562879502455491E-2</v>
          </cell>
          <cell r="F21">
            <v>5.39</v>
          </cell>
          <cell r="H21">
            <v>0</v>
          </cell>
        </row>
      </sheetData>
      <sheetData sheetId="2">
        <row r="20">
          <cell r="C20">
            <v>0.78</v>
          </cell>
          <cell r="H20">
            <v>1.86</v>
          </cell>
          <cell r="J20">
            <v>0.19926629488673478</v>
          </cell>
        </row>
        <row r="21">
          <cell r="C21">
            <v>0.12</v>
          </cell>
          <cell r="H21">
            <v>0.15</v>
          </cell>
          <cell r="J21">
            <v>0</v>
          </cell>
        </row>
        <row r="133">
          <cell r="H133">
            <v>6.61</v>
          </cell>
        </row>
      </sheetData>
      <sheetData sheetId="3"/>
      <sheetData sheetId="4">
        <row r="44">
          <cell r="E44">
            <v>199.924125</v>
          </cell>
          <cell r="AJ44">
            <v>0.33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Description"/>
      <sheetName val="VDOC"/>
      <sheetName val="Forward Price Curve"/>
      <sheetName val="Inflation Forecast"/>
      <sheetName val="Internal Verification (Prior)"/>
      <sheetName val="Internal Verification (Diff)"/>
    </sheetNames>
    <sheetDataSet>
      <sheetData sheetId="0"/>
      <sheetData sheetId="1"/>
      <sheetData sheetId="2">
        <row r="93">
          <cell r="AD93">
            <v>2.7614516129032256</v>
          </cell>
          <cell r="AE93">
            <v>2.7880645161290318</v>
          </cell>
        </row>
        <row r="94">
          <cell r="AD94">
            <v>2.3117857142857146</v>
          </cell>
          <cell r="AE94">
            <v>2.3876785714285722</v>
          </cell>
        </row>
        <row r="95">
          <cell r="AD95">
            <v>2.1909677419354838</v>
          </cell>
          <cell r="AE95">
            <v>2.3482258064516142</v>
          </cell>
        </row>
        <row r="96">
          <cell r="AD96">
            <v>2.1625000000000005</v>
          </cell>
          <cell r="AE96">
            <v>2.260333333333334</v>
          </cell>
        </row>
        <row r="97">
          <cell r="AD97">
            <v>2.363709677419354</v>
          </cell>
          <cell r="AE97">
            <v>2.5498387096774193</v>
          </cell>
        </row>
        <row r="98">
          <cell r="AD98">
            <v>2.2541666666666669</v>
          </cell>
          <cell r="AE98">
            <v>2.5126666666666675</v>
          </cell>
        </row>
        <row r="99">
          <cell r="AD99">
            <v>2.2574193548387096</v>
          </cell>
          <cell r="AE99">
            <v>2.6649999999999996</v>
          </cell>
        </row>
        <row r="100">
          <cell r="AD100">
            <v>2.4419354838709681</v>
          </cell>
          <cell r="AE100">
            <v>2.5983870967741929</v>
          </cell>
        </row>
        <row r="101">
          <cell r="AD101">
            <v>2.4968333333333339</v>
          </cell>
          <cell r="AE101">
            <v>2.529833333333332</v>
          </cell>
        </row>
        <row r="102">
          <cell r="AD102">
            <v>2.1591935483870968</v>
          </cell>
          <cell r="AE102">
            <v>2.1909677419354834</v>
          </cell>
        </row>
        <row r="103">
          <cell r="AD103">
            <v>2.1533333333333333</v>
          </cell>
          <cell r="AE103">
            <v>2.1646666666666672</v>
          </cell>
        </row>
        <row r="104">
          <cell r="AD104">
            <v>2.1354838709677426</v>
          </cell>
          <cell r="AE104">
            <v>2.1637096774193543</v>
          </cell>
        </row>
        <row r="105">
          <cell r="AD105">
            <v>2.2740322580645169</v>
          </cell>
          <cell r="AE105">
            <v>2.2696774193548386</v>
          </cell>
        </row>
        <row r="106">
          <cell r="AD106">
            <v>1.6527586206896552</v>
          </cell>
          <cell r="AE106">
            <v>1.7268965517241381</v>
          </cell>
        </row>
        <row r="107">
          <cell r="AD107">
            <v>1.3924193548387096</v>
          </cell>
          <cell r="AE107">
            <v>1.425806451612903</v>
          </cell>
        </row>
        <row r="108">
          <cell r="AD108">
            <v>1.3103333333333331</v>
          </cell>
          <cell r="AE108">
            <v>1.5316666666666667</v>
          </cell>
        </row>
        <row r="109">
          <cell r="AD109">
            <v>1.3491935483870967</v>
          </cell>
          <cell r="AE109">
            <v>1.6372580645161288</v>
          </cell>
        </row>
        <row r="110">
          <cell r="AD110">
            <v>1.9401666666666668</v>
          </cell>
          <cell r="AE110">
            <v>2.2161666666666666</v>
          </cell>
        </row>
        <row r="111">
          <cell r="AD111">
            <v>2.3075806451612904</v>
          </cell>
          <cell r="AE111">
            <v>2.4861290322580643</v>
          </cell>
        </row>
        <row r="112">
          <cell r="AD112">
            <v>2.5045161290322584</v>
          </cell>
          <cell r="AE112">
            <v>2.5683870967741931</v>
          </cell>
        </row>
        <row r="113">
          <cell r="AD113">
            <v>2.6514999999999995</v>
          </cell>
          <cell r="AE113">
            <v>2.6613333333333338</v>
          </cell>
        </row>
        <row r="114">
          <cell r="AD114">
            <v>2.65</v>
          </cell>
          <cell r="AE114">
            <v>2.68</v>
          </cell>
        </row>
        <row r="115">
          <cell r="AD115">
            <v>3.07</v>
          </cell>
          <cell r="AE115">
            <v>3.0278</v>
          </cell>
        </row>
        <row r="116">
          <cell r="AD116">
            <v>3.65</v>
          </cell>
          <cell r="AE116">
            <v>3.4497</v>
          </cell>
        </row>
        <row r="117">
          <cell r="AD117">
            <v>3.573</v>
          </cell>
          <cell r="AE117">
            <v>3.5049000000000001</v>
          </cell>
        </row>
        <row r="118">
          <cell r="AD118">
            <v>3.4529999999999998</v>
          </cell>
          <cell r="AE118">
            <v>3.4973999999999998</v>
          </cell>
        </row>
        <row r="119">
          <cell r="AD119">
            <v>3.0249999999999999</v>
          </cell>
          <cell r="AE119">
            <v>3.2363</v>
          </cell>
        </row>
        <row r="120">
          <cell r="AD120">
            <v>2.5825</v>
          </cell>
          <cell r="AE120">
            <v>2.9582999999999999</v>
          </cell>
        </row>
        <row r="121">
          <cell r="AD121">
            <v>2.3740000000000001</v>
          </cell>
          <cell r="AE121">
            <v>2.9077000000000002</v>
          </cell>
        </row>
        <row r="122">
          <cell r="AD122">
            <v>2.3755000000000002</v>
          </cell>
          <cell r="AE122">
            <v>2.9464000000000001</v>
          </cell>
        </row>
        <row r="123">
          <cell r="AD123">
            <v>2.6604999999999999</v>
          </cell>
          <cell r="AE123">
            <v>3.0232999999999999</v>
          </cell>
        </row>
        <row r="124">
          <cell r="AD124">
            <v>2.7410000000000001</v>
          </cell>
          <cell r="AE124">
            <v>3.0337000000000001</v>
          </cell>
        </row>
        <row r="125">
          <cell r="AD125">
            <v>2.7370000000000001</v>
          </cell>
          <cell r="AE125">
            <v>3.0247999999999999</v>
          </cell>
        </row>
        <row r="126">
          <cell r="AD126">
            <v>2.819</v>
          </cell>
          <cell r="AE126">
            <v>3.0268000000000002</v>
          </cell>
        </row>
        <row r="127">
          <cell r="AD127">
            <v>3.2170000000000001</v>
          </cell>
          <cell r="AE127">
            <v>3.1837</v>
          </cell>
        </row>
        <row r="128">
          <cell r="AD128">
            <v>3.5369999999999999</v>
          </cell>
          <cell r="AE128">
            <v>3.3275999999999999</v>
          </cell>
        </row>
        <row r="129">
          <cell r="AD129">
            <v>3.4235000000000002</v>
          </cell>
          <cell r="AE129">
            <v>3.3912</v>
          </cell>
        </row>
        <row r="130">
          <cell r="AD130">
            <v>3.3085</v>
          </cell>
          <cell r="AE130">
            <v>3.3538999999999999</v>
          </cell>
        </row>
        <row r="131">
          <cell r="AD131">
            <v>3.226</v>
          </cell>
          <cell r="AE131">
            <v>3.2745000000000002</v>
          </cell>
        </row>
        <row r="132">
          <cell r="AD132">
            <v>2.1535000000000002</v>
          </cell>
          <cell r="AE132">
            <v>2.5819999999999999</v>
          </cell>
        </row>
        <row r="133">
          <cell r="AD133">
            <v>2.0644999999999998</v>
          </cell>
          <cell r="AE133">
            <v>2.5383</v>
          </cell>
        </row>
        <row r="134">
          <cell r="AD134">
            <v>2.0505</v>
          </cell>
          <cell r="AE134">
            <v>2.5592000000000001</v>
          </cell>
        </row>
        <row r="135">
          <cell r="AD135">
            <v>2.2595000000000001</v>
          </cell>
          <cell r="AE135">
            <v>2.6351</v>
          </cell>
        </row>
        <row r="136">
          <cell r="AD136">
            <v>2.254</v>
          </cell>
          <cell r="AE136">
            <v>2.6495000000000002</v>
          </cell>
        </row>
        <row r="137">
          <cell r="AD137">
            <v>2.2974999999999999</v>
          </cell>
          <cell r="AE137">
            <v>2.6455000000000002</v>
          </cell>
        </row>
        <row r="138">
          <cell r="AD138">
            <v>2.3294999999999999</v>
          </cell>
          <cell r="AE138">
            <v>2.6722999999999999</v>
          </cell>
        </row>
        <row r="139">
          <cell r="AD139">
            <v>2.9714999999999998</v>
          </cell>
          <cell r="AE139">
            <v>2.863</v>
          </cell>
        </row>
        <row r="140">
          <cell r="AD140">
            <v>3.3645</v>
          </cell>
          <cell r="AE140">
            <v>3.0173999999999999</v>
          </cell>
        </row>
        <row r="141">
          <cell r="AD141">
            <v>3.1535000000000002</v>
          </cell>
          <cell r="AE141">
            <v>3.1008</v>
          </cell>
        </row>
        <row r="142">
          <cell r="AD142">
            <v>2.9340000000000002</v>
          </cell>
          <cell r="AE142">
            <v>3.0665</v>
          </cell>
        </row>
        <row r="143">
          <cell r="AD143">
            <v>2.8769999999999998</v>
          </cell>
          <cell r="AE143">
            <v>3</v>
          </cell>
        </row>
        <row r="144">
          <cell r="AD144">
            <v>2.1080000000000001</v>
          </cell>
          <cell r="AE144">
            <v>2.4077999999999999</v>
          </cell>
        </row>
        <row r="145">
          <cell r="AD145">
            <v>2.0575000000000001</v>
          </cell>
          <cell r="AE145">
            <v>2.3948</v>
          </cell>
        </row>
        <row r="146">
          <cell r="AD146">
            <v>2.0550000000000002</v>
          </cell>
          <cell r="AE146">
            <v>2.4296000000000002</v>
          </cell>
        </row>
        <row r="147">
          <cell r="AD147">
            <v>2.2240000000000002</v>
          </cell>
          <cell r="AE147">
            <v>2.5204</v>
          </cell>
        </row>
        <row r="148">
          <cell r="AD148">
            <v>2.2465000000000002</v>
          </cell>
          <cell r="AE148">
            <v>2.5453000000000001</v>
          </cell>
        </row>
        <row r="149">
          <cell r="AD149">
            <v>2.2919999999999998</v>
          </cell>
          <cell r="AE149">
            <v>2.5432999999999999</v>
          </cell>
        </row>
        <row r="150">
          <cell r="AD150">
            <v>2.302</v>
          </cell>
          <cell r="AE150">
            <v>2.5680999999999998</v>
          </cell>
        </row>
        <row r="151">
          <cell r="AD151">
            <v>2.8895</v>
          </cell>
          <cell r="AE151">
            <v>2.8212999999999999</v>
          </cell>
        </row>
        <row r="152">
          <cell r="AD152">
            <v>3.2770000000000001</v>
          </cell>
          <cell r="AE152">
            <v>2.9775999999999998</v>
          </cell>
        </row>
        <row r="153">
          <cell r="AD153">
            <v>3.2669999999999999</v>
          </cell>
          <cell r="AE153">
            <v>3.0720000000000001</v>
          </cell>
        </row>
        <row r="154">
          <cell r="AD154">
            <v>3.0154999999999998</v>
          </cell>
          <cell r="AE154">
            <v>3.0407000000000002</v>
          </cell>
        </row>
        <row r="155">
          <cell r="AD155">
            <v>2.9704999999999999</v>
          </cell>
          <cell r="AE155">
            <v>2.9762</v>
          </cell>
        </row>
        <row r="156">
          <cell r="AD156">
            <v>2.1455000000000002</v>
          </cell>
          <cell r="AE156">
            <v>2.5070000000000001</v>
          </cell>
        </row>
        <row r="157">
          <cell r="AD157">
            <v>2.0859999999999999</v>
          </cell>
          <cell r="AE157">
            <v>2.4950999999999999</v>
          </cell>
        </row>
        <row r="158">
          <cell r="AD158">
            <v>2.1055000000000001</v>
          </cell>
          <cell r="AE158">
            <v>2.5318999999999998</v>
          </cell>
        </row>
        <row r="159">
          <cell r="AD159">
            <v>2.29</v>
          </cell>
          <cell r="AE159">
            <v>2.6181999999999999</v>
          </cell>
        </row>
        <row r="160">
          <cell r="AD160">
            <v>2.2930000000000001</v>
          </cell>
          <cell r="AE160">
            <v>2.6659000000000002</v>
          </cell>
        </row>
        <row r="161">
          <cell r="AD161">
            <v>2.3805000000000001</v>
          </cell>
          <cell r="AE161">
            <v>2.6732999999999998</v>
          </cell>
        </row>
        <row r="162">
          <cell r="AD162">
            <v>2.387</v>
          </cell>
          <cell r="AE162">
            <v>2.7021000000000002</v>
          </cell>
        </row>
        <row r="163">
          <cell r="AD163">
            <v>3.0215000000000001</v>
          </cell>
          <cell r="AE163">
            <v>2.9001999999999999</v>
          </cell>
        </row>
        <row r="164">
          <cell r="AD164">
            <v>3.452</v>
          </cell>
          <cell r="AE164">
            <v>3.0695000000000001</v>
          </cell>
        </row>
        <row r="165">
          <cell r="AD165">
            <v>3.3889999999999998</v>
          </cell>
          <cell r="AE165">
            <v>3.1857000000000002</v>
          </cell>
        </row>
        <row r="166">
          <cell r="AD166">
            <v>3.1640000000000001</v>
          </cell>
          <cell r="AE166">
            <v>3.1534</v>
          </cell>
        </row>
        <row r="167">
          <cell r="AD167">
            <v>3.1315</v>
          </cell>
          <cell r="AE167">
            <v>3.0888</v>
          </cell>
        </row>
        <row r="168">
          <cell r="AD168">
            <v>2.4664999999999999</v>
          </cell>
          <cell r="AE168">
            <v>2.6122999999999998</v>
          </cell>
        </row>
        <row r="169">
          <cell r="AD169">
            <v>2.4169999999999998</v>
          </cell>
          <cell r="AE169">
            <v>2.6004</v>
          </cell>
        </row>
        <row r="170">
          <cell r="AD170">
            <v>2.4239999999999999</v>
          </cell>
          <cell r="AE170">
            <v>2.6371000000000002</v>
          </cell>
        </row>
        <row r="171">
          <cell r="AD171">
            <v>2.625</v>
          </cell>
          <cell r="AE171">
            <v>2.7225000000000001</v>
          </cell>
        </row>
        <row r="172">
          <cell r="AD172">
            <v>2.62</v>
          </cell>
          <cell r="AE172">
            <v>2.7721</v>
          </cell>
        </row>
        <row r="173">
          <cell r="AD173">
            <v>2.68</v>
          </cell>
          <cell r="AE173">
            <v>2.7795999999999998</v>
          </cell>
        </row>
        <row r="174">
          <cell r="AD174">
            <v>2.839</v>
          </cell>
          <cell r="AE174">
            <v>2.8083999999999998</v>
          </cell>
        </row>
        <row r="175">
          <cell r="AD175">
            <v>3.161</v>
          </cell>
          <cell r="AE175">
            <v>3.0114000000000001</v>
          </cell>
        </row>
        <row r="176">
          <cell r="AD176">
            <v>3.5659999999999998</v>
          </cell>
          <cell r="AE176">
            <v>3.1876000000000002</v>
          </cell>
        </row>
        <row r="177">
          <cell r="AD177">
            <v>3.508</v>
          </cell>
          <cell r="AE177">
            <v>3.3037999999999998</v>
          </cell>
        </row>
        <row r="178">
          <cell r="AD178">
            <v>3.3130000000000002</v>
          </cell>
          <cell r="AE178">
            <v>3.2715000000000001</v>
          </cell>
        </row>
        <row r="179">
          <cell r="AD179">
            <v>3.2730000000000001</v>
          </cell>
          <cell r="AE179">
            <v>3.2069999999999999</v>
          </cell>
        </row>
        <row r="180">
          <cell r="AD180">
            <v>2.4954999999999998</v>
          </cell>
          <cell r="AE180">
            <v>2.7353999999999998</v>
          </cell>
        </row>
        <row r="181">
          <cell r="AD181">
            <v>2.4535</v>
          </cell>
          <cell r="AE181">
            <v>2.7235</v>
          </cell>
        </row>
        <row r="182">
          <cell r="AD182">
            <v>2.4605000000000001</v>
          </cell>
          <cell r="AE182">
            <v>2.7602000000000002</v>
          </cell>
        </row>
        <row r="183">
          <cell r="AD183">
            <v>2.6585000000000001</v>
          </cell>
          <cell r="AE183">
            <v>2.8475999999999999</v>
          </cell>
        </row>
        <row r="184">
          <cell r="AD184">
            <v>2.6619999999999999</v>
          </cell>
          <cell r="AE184">
            <v>2.9032</v>
          </cell>
        </row>
        <row r="185">
          <cell r="AD185">
            <v>2.7244999999999999</v>
          </cell>
          <cell r="AE185">
            <v>2.9106000000000001</v>
          </cell>
        </row>
        <row r="186">
          <cell r="AD186">
            <v>2.7565</v>
          </cell>
          <cell r="AE186">
            <v>2.9424000000000001</v>
          </cell>
        </row>
        <row r="187">
          <cell r="AD187">
            <v>3.4603000000000002</v>
          </cell>
          <cell r="AE187">
            <v>3.4407999999999999</v>
          </cell>
        </row>
        <row r="188">
          <cell r="AD188">
            <v>3.7917999999999998</v>
          </cell>
          <cell r="AE188">
            <v>3.6334</v>
          </cell>
        </row>
        <row r="189">
          <cell r="AD189">
            <v>3.8761000000000001</v>
          </cell>
          <cell r="AE189">
            <v>3.843</v>
          </cell>
        </row>
        <row r="190">
          <cell r="AD190">
            <v>3.766</v>
          </cell>
          <cell r="AE190">
            <v>3.7829999999999999</v>
          </cell>
        </row>
        <row r="191">
          <cell r="AD191">
            <v>3.6078999999999999</v>
          </cell>
          <cell r="AE191">
            <v>3.6126</v>
          </cell>
        </row>
        <row r="192">
          <cell r="AD192">
            <v>3.0558999999999998</v>
          </cell>
          <cell r="AE192">
            <v>3.2448999999999999</v>
          </cell>
        </row>
        <row r="193">
          <cell r="AD193">
            <v>2.9721000000000002</v>
          </cell>
          <cell r="AE193">
            <v>3.2326999999999999</v>
          </cell>
        </row>
        <row r="194">
          <cell r="AD194">
            <v>2.9819</v>
          </cell>
          <cell r="AE194">
            <v>3.2448000000000001</v>
          </cell>
        </row>
        <row r="195">
          <cell r="AD195">
            <v>3.0872000000000002</v>
          </cell>
          <cell r="AE195">
            <v>3.2947000000000002</v>
          </cell>
        </row>
        <row r="196">
          <cell r="AD196">
            <v>3.1768000000000001</v>
          </cell>
          <cell r="AE196">
            <v>3.3727999999999998</v>
          </cell>
        </row>
        <row r="197">
          <cell r="AD197">
            <v>3.2646000000000002</v>
          </cell>
          <cell r="AE197">
            <v>3.4016000000000002</v>
          </cell>
        </row>
        <row r="198">
          <cell r="AD198">
            <v>3.3748</v>
          </cell>
          <cell r="AE198">
            <v>3.5305</v>
          </cell>
        </row>
        <row r="199">
          <cell r="AD199">
            <v>3.7595999999999998</v>
          </cell>
          <cell r="AE199">
            <v>3.8702000000000001</v>
          </cell>
        </row>
        <row r="200">
          <cell r="AD200">
            <v>4.0175999999999998</v>
          </cell>
          <cell r="AE200">
            <v>4.0791000000000004</v>
          </cell>
        </row>
        <row r="201">
          <cell r="AD201">
            <v>4.2442000000000002</v>
          </cell>
          <cell r="AE201">
            <v>4.3822999999999999</v>
          </cell>
        </row>
        <row r="202">
          <cell r="AD202">
            <v>4.2190000000000003</v>
          </cell>
          <cell r="AE202">
            <v>4.2944000000000004</v>
          </cell>
        </row>
        <row r="203">
          <cell r="AD203">
            <v>3.9428000000000001</v>
          </cell>
          <cell r="AE203">
            <v>4.0180999999999996</v>
          </cell>
        </row>
        <row r="204">
          <cell r="AD204">
            <v>3.6162999999999998</v>
          </cell>
          <cell r="AE204">
            <v>3.7544</v>
          </cell>
        </row>
        <row r="205">
          <cell r="AD205">
            <v>3.4908000000000001</v>
          </cell>
          <cell r="AE205">
            <v>3.7418999999999998</v>
          </cell>
        </row>
        <row r="206">
          <cell r="AD206">
            <v>3.5032999999999999</v>
          </cell>
          <cell r="AE206">
            <v>3.7292999999999998</v>
          </cell>
        </row>
        <row r="207">
          <cell r="AD207">
            <v>3.5158999999999998</v>
          </cell>
          <cell r="AE207">
            <v>3.7418999999999998</v>
          </cell>
        </row>
        <row r="208">
          <cell r="AD208">
            <v>3.6917</v>
          </cell>
          <cell r="AE208">
            <v>3.8422999999999998</v>
          </cell>
        </row>
        <row r="209">
          <cell r="AD209">
            <v>3.8047</v>
          </cell>
          <cell r="AE209">
            <v>3.8925999999999998</v>
          </cell>
        </row>
        <row r="210">
          <cell r="AD210">
            <v>3.9929999999999999</v>
          </cell>
          <cell r="AE210">
            <v>4.1185999999999998</v>
          </cell>
        </row>
        <row r="211">
          <cell r="AD211">
            <v>4.2944000000000004</v>
          </cell>
          <cell r="AE211">
            <v>4.4451000000000001</v>
          </cell>
        </row>
        <row r="212">
          <cell r="AD212">
            <v>4.1939000000000002</v>
          </cell>
          <cell r="AE212">
            <v>4.4199000000000002</v>
          </cell>
        </row>
        <row r="213">
          <cell r="AD213">
            <v>4.4145000000000003</v>
          </cell>
          <cell r="AE213">
            <v>4.53</v>
          </cell>
        </row>
        <row r="214">
          <cell r="AD214">
            <v>4.4659000000000004</v>
          </cell>
          <cell r="AE214">
            <v>4.5556999999999999</v>
          </cell>
        </row>
        <row r="215">
          <cell r="AD215">
            <v>4.2990000000000004</v>
          </cell>
          <cell r="AE215">
            <v>4.3760000000000003</v>
          </cell>
        </row>
        <row r="216">
          <cell r="AD216">
            <v>4.0808999999999997</v>
          </cell>
          <cell r="AE216">
            <v>4.2348999999999997</v>
          </cell>
        </row>
        <row r="217">
          <cell r="AD217">
            <v>3.7471999999999999</v>
          </cell>
          <cell r="AE217">
            <v>4.0038999999999998</v>
          </cell>
        </row>
        <row r="218">
          <cell r="AD218">
            <v>3.6959</v>
          </cell>
          <cell r="AE218">
            <v>3.9910000000000001</v>
          </cell>
        </row>
        <row r="219">
          <cell r="AD219">
            <v>3.76</v>
          </cell>
          <cell r="AE219">
            <v>4.0038999999999998</v>
          </cell>
        </row>
        <row r="220">
          <cell r="AD220">
            <v>3.9140000000000001</v>
          </cell>
          <cell r="AE220">
            <v>4.0937000000000001</v>
          </cell>
        </row>
        <row r="221">
          <cell r="AD221">
            <v>3.8755000000000002</v>
          </cell>
          <cell r="AE221">
            <v>3.9910000000000001</v>
          </cell>
        </row>
        <row r="222">
          <cell r="AD222">
            <v>3.9011999999999998</v>
          </cell>
          <cell r="AE222">
            <v>4.0294999999999996</v>
          </cell>
        </row>
        <row r="223">
          <cell r="AD223">
            <v>3.9397000000000002</v>
          </cell>
          <cell r="AE223">
            <v>4.1578999999999997</v>
          </cell>
        </row>
        <row r="224">
          <cell r="AD224">
            <v>4.1578999999999997</v>
          </cell>
          <cell r="AE224">
            <v>4.3888999999999996</v>
          </cell>
        </row>
        <row r="225">
          <cell r="AD225">
            <v>4.3804999999999996</v>
          </cell>
          <cell r="AE225">
            <v>4.6035000000000004</v>
          </cell>
        </row>
        <row r="226">
          <cell r="AD226">
            <v>4.4329999999999998</v>
          </cell>
          <cell r="AE226">
            <v>4.6558999999999999</v>
          </cell>
        </row>
        <row r="227">
          <cell r="AD227">
            <v>4.3148999999999997</v>
          </cell>
          <cell r="AE227">
            <v>4.4592000000000001</v>
          </cell>
        </row>
        <row r="228">
          <cell r="AD228">
            <v>4.1181999999999999</v>
          </cell>
          <cell r="AE228">
            <v>4.2625000000000002</v>
          </cell>
        </row>
        <row r="229">
          <cell r="AD229">
            <v>3.8165</v>
          </cell>
          <cell r="AE229">
            <v>4.0788000000000002</v>
          </cell>
        </row>
        <row r="230">
          <cell r="AD230">
            <v>3.7641</v>
          </cell>
          <cell r="AE230">
            <v>4.0788000000000002</v>
          </cell>
        </row>
        <row r="231">
          <cell r="AD231">
            <v>3.8559000000000001</v>
          </cell>
          <cell r="AE231">
            <v>4.1051000000000002</v>
          </cell>
        </row>
        <row r="232">
          <cell r="AD232">
            <v>4.0263999999999998</v>
          </cell>
          <cell r="AE232">
            <v>4.21</v>
          </cell>
        </row>
        <row r="233">
          <cell r="AD233">
            <v>3.9346000000000001</v>
          </cell>
          <cell r="AE233">
            <v>4.1181999999999999</v>
          </cell>
        </row>
        <row r="234">
          <cell r="AD234">
            <v>3.9607999999999999</v>
          </cell>
          <cell r="AE234">
            <v>4.1574999999999998</v>
          </cell>
        </row>
        <row r="235">
          <cell r="AD235">
            <v>4.0656999999999996</v>
          </cell>
          <cell r="AE235">
            <v>4.2755999999999998</v>
          </cell>
        </row>
        <row r="236">
          <cell r="AD236">
            <v>4.2887000000000004</v>
          </cell>
          <cell r="AE236">
            <v>4.5115999999999996</v>
          </cell>
        </row>
        <row r="237">
          <cell r="AD237">
            <v>4.6109</v>
          </cell>
          <cell r="AE237">
            <v>4.8388</v>
          </cell>
        </row>
        <row r="238">
          <cell r="AD238">
            <v>4.6376999999999997</v>
          </cell>
          <cell r="AE238">
            <v>4.8655999999999997</v>
          </cell>
        </row>
        <row r="239">
          <cell r="AD239">
            <v>4.5305</v>
          </cell>
          <cell r="AE239">
            <v>4.6645000000000003</v>
          </cell>
        </row>
        <row r="240">
          <cell r="AD240">
            <v>4.2758000000000003</v>
          </cell>
          <cell r="AE240">
            <v>4.4634999999999998</v>
          </cell>
        </row>
        <row r="241">
          <cell r="AD241">
            <v>4.0613000000000001</v>
          </cell>
          <cell r="AE241">
            <v>4.2892000000000001</v>
          </cell>
        </row>
        <row r="242">
          <cell r="AD242">
            <v>4.0076999999999998</v>
          </cell>
          <cell r="AE242">
            <v>4.2892000000000001</v>
          </cell>
        </row>
        <row r="243">
          <cell r="AD243">
            <v>4.0747</v>
          </cell>
          <cell r="AE243">
            <v>4.3159999999999998</v>
          </cell>
        </row>
        <row r="244">
          <cell r="AD244">
            <v>4.1685999999999996</v>
          </cell>
          <cell r="AE244">
            <v>4.383</v>
          </cell>
        </row>
        <row r="245">
          <cell r="AD245">
            <v>4.2222</v>
          </cell>
          <cell r="AE245">
            <v>4.3696000000000002</v>
          </cell>
        </row>
        <row r="246">
          <cell r="AD246">
            <v>4.383</v>
          </cell>
          <cell r="AE246">
            <v>4.4500999999999999</v>
          </cell>
        </row>
        <row r="247">
          <cell r="AD247">
            <v>4.5572999999999997</v>
          </cell>
          <cell r="AE247">
            <v>4.6913</v>
          </cell>
        </row>
        <row r="248">
          <cell r="AD248">
            <v>4.8924000000000003</v>
          </cell>
          <cell r="AE248">
            <v>4.9325999999999999</v>
          </cell>
        </row>
        <row r="249">
          <cell r="AD249">
            <v>4.7945000000000002</v>
          </cell>
          <cell r="AE249">
            <v>4.7808000000000002</v>
          </cell>
        </row>
        <row r="250">
          <cell r="AD250">
            <v>4.8219000000000003</v>
          </cell>
          <cell r="AE250">
            <v>4.8219000000000003</v>
          </cell>
        </row>
        <row r="251">
          <cell r="AD251">
            <v>4.5617000000000001</v>
          </cell>
          <cell r="AE251">
            <v>4.6574999999999998</v>
          </cell>
        </row>
        <row r="252">
          <cell r="AD252">
            <v>4.4109999999999996</v>
          </cell>
          <cell r="AE252">
            <v>4.5068999999999999</v>
          </cell>
        </row>
        <row r="253">
          <cell r="AD253">
            <v>4.2465999999999999</v>
          </cell>
          <cell r="AE253">
            <v>4.4520999999999997</v>
          </cell>
        </row>
        <row r="254">
          <cell r="AD254">
            <v>4.274</v>
          </cell>
          <cell r="AE254">
            <v>4.4383999999999997</v>
          </cell>
        </row>
        <row r="255">
          <cell r="AD255">
            <v>4.3288000000000002</v>
          </cell>
          <cell r="AE255">
            <v>4.4931999999999999</v>
          </cell>
        </row>
        <row r="256">
          <cell r="AD256">
            <v>4.5068999999999999</v>
          </cell>
          <cell r="AE256">
            <v>4.5617000000000001</v>
          </cell>
        </row>
        <row r="257">
          <cell r="AD257">
            <v>4.5206</v>
          </cell>
          <cell r="AE257">
            <v>4.548</v>
          </cell>
        </row>
        <row r="258">
          <cell r="AD258">
            <v>4.5891000000000002</v>
          </cell>
          <cell r="AE258">
            <v>4.6163999999999996</v>
          </cell>
        </row>
        <row r="259">
          <cell r="AD259">
            <v>4.8356000000000003</v>
          </cell>
          <cell r="AE259">
            <v>4.8356000000000003</v>
          </cell>
        </row>
        <row r="260">
          <cell r="AD260">
            <v>5.0685000000000002</v>
          </cell>
          <cell r="AE260">
            <v>5.0548000000000002</v>
          </cell>
        </row>
        <row r="261">
          <cell r="AD261">
            <v>5.1520000000000001</v>
          </cell>
          <cell r="AE261">
            <v>5.1239999999999997</v>
          </cell>
        </row>
        <row r="262">
          <cell r="AD262">
            <v>5.18</v>
          </cell>
          <cell r="AE262">
            <v>5.1660000000000004</v>
          </cell>
        </row>
        <row r="263">
          <cell r="AD263">
            <v>4.9560000000000004</v>
          </cell>
          <cell r="AE263">
            <v>4.9560000000000004</v>
          </cell>
        </row>
        <row r="264">
          <cell r="AD264">
            <v>4.6760000000000002</v>
          </cell>
          <cell r="AE264">
            <v>4.7460000000000004</v>
          </cell>
        </row>
        <row r="265">
          <cell r="AD265">
            <v>4.3540000000000001</v>
          </cell>
          <cell r="AE265">
            <v>4.55</v>
          </cell>
        </row>
        <row r="266">
          <cell r="AD266">
            <v>4.3819999999999997</v>
          </cell>
          <cell r="AE266">
            <v>4.55</v>
          </cell>
        </row>
        <row r="267">
          <cell r="AD267">
            <v>4.3959999999999999</v>
          </cell>
          <cell r="AE267">
            <v>4.5220000000000002</v>
          </cell>
        </row>
        <row r="268">
          <cell r="AD268">
            <v>4.5780000000000003</v>
          </cell>
          <cell r="AE268">
            <v>4.6340000000000003</v>
          </cell>
        </row>
        <row r="269">
          <cell r="AD269">
            <v>4.508</v>
          </cell>
          <cell r="AE269">
            <v>4.55</v>
          </cell>
        </row>
        <row r="270">
          <cell r="AD270">
            <v>4.6059999999999999</v>
          </cell>
          <cell r="AE270">
            <v>4.6340000000000003</v>
          </cell>
        </row>
        <row r="271">
          <cell r="AD271">
            <v>4.8579999999999997</v>
          </cell>
          <cell r="AE271">
            <v>4.8440000000000003</v>
          </cell>
        </row>
        <row r="272">
          <cell r="AD272">
            <v>5.0960000000000001</v>
          </cell>
          <cell r="AE272">
            <v>5.0819999999999999</v>
          </cell>
        </row>
        <row r="273">
          <cell r="AD273">
            <v>5.2366999999999999</v>
          </cell>
          <cell r="AE273">
            <v>5.2224000000000004</v>
          </cell>
        </row>
        <row r="274">
          <cell r="AD274">
            <v>5.2653999999999996</v>
          </cell>
          <cell r="AE274">
            <v>5.2510000000000003</v>
          </cell>
        </row>
        <row r="275">
          <cell r="AD275">
            <v>5.1223000000000001</v>
          </cell>
          <cell r="AE275">
            <v>5.1079999999999997</v>
          </cell>
        </row>
        <row r="276">
          <cell r="AD276">
            <v>4.8361000000000001</v>
          </cell>
          <cell r="AE276">
            <v>4.9077000000000002</v>
          </cell>
        </row>
        <row r="277">
          <cell r="AD277">
            <v>4.7217000000000002</v>
          </cell>
          <cell r="AE277">
            <v>4.8503999999999996</v>
          </cell>
        </row>
        <row r="278">
          <cell r="AD278">
            <v>4.7503000000000002</v>
          </cell>
          <cell r="AE278">
            <v>4.8503999999999996</v>
          </cell>
        </row>
        <row r="279">
          <cell r="AD279">
            <v>4.7359999999999998</v>
          </cell>
          <cell r="AE279">
            <v>4.8789999999999996</v>
          </cell>
        </row>
        <row r="280">
          <cell r="AD280">
            <v>4.9077000000000002</v>
          </cell>
          <cell r="AE280">
            <v>4.9649000000000001</v>
          </cell>
        </row>
        <row r="281">
          <cell r="AD281">
            <v>5.0077999999999996</v>
          </cell>
          <cell r="AE281">
            <v>5.0221</v>
          </cell>
        </row>
        <row r="282">
          <cell r="AD282">
            <v>5.0793999999999997</v>
          </cell>
          <cell r="AE282">
            <v>5.0364000000000004</v>
          </cell>
        </row>
        <row r="283">
          <cell r="AD283">
            <v>5.2797000000000001</v>
          </cell>
          <cell r="AE283">
            <v>5.2366999999999999</v>
          </cell>
        </row>
        <row r="284">
          <cell r="AD284">
            <v>5.5086000000000004</v>
          </cell>
          <cell r="AE284">
            <v>5.48</v>
          </cell>
        </row>
        <row r="285">
          <cell r="AD285">
            <v>5.4104000000000001</v>
          </cell>
          <cell r="AE285">
            <v>5.3958000000000004</v>
          </cell>
        </row>
        <row r="286">
          <cell r="AD286">
            <v>5.4542999999999999</v>
          </cell>
          <cell r="AE286">
            <v>5.4397000000000002</v>
          </cell>
        </row>
        <row r="287">
          <cell r="AD287">
            <v>5.3080999999999996</v>
          </cell>
          <cell r="AE287">
            <v>5.3227000000000002</v>
          </cell>
        </row>
        <row r="288">
          <cell r="AD288">
            <v>5.0156000000000001</v>
          </cell>
          <cell r="AE288">
            <v>5.0887000000000002</v>
          </cell>
        </row>
        <row r="289">
          <cell r="AD289">
            <v>4.8548</v>
          </cell>
          <cell r="AE289">
            <v>4.9718</v>
          </cell>
        </row>
        <row r="290">
          <cell r="AD290">
            <v>4.8693999999999997</v>
          </cell>
          <cell r="AE290">
            <v>4.9718</v>
          </cell>
        </row>
        <row r="291">
          <cell r="AD291">
            <v>4.8840000000000003</v>
          </cell>
          <cell r="AE291">
            <v>5.0449000000000002</v>
          </cell>
        </row>
        <row r="292">
          <cell r="AD292">
            <v>5.0740999999999996</v>
          </cell>
          <cell r="AE292">
            <v>5.1326000000000001</v>
          </cell>
        </row>
        <row r="293">
          <cell r="AD293">
            <v>5.1033999999999997</v>
          </cell>
          <cell r="AE293">
            <v>5.1033999999999997</v>
          </cell>
        </row>
        <row r="294">
          <cell r="AD294">
            <v>5.1910999999999996</v>
          </cell>
          <cell r="AE294">
            <v>5.1471999999999998</v>
          </cell>
        </row>
        <row r="295">
          <cell r="AD295">
            <v>5.3372999999999999</v>
          </cell>
          <cell r="AE295">
            <v>5.3227000000000002</v>
          </cell>
        </row>
        <row r="296">
          <cell r="AD296">
            <v>5.5712999999999999</v>
          </cell>
          <cell r="AE296">
            <v>5.5419999999999998</v>
          </cell>
        </row>
        <row r="297">
          <cell r="AD297">
            <v>5.7088000000000001</v>
          </cell>
          <cell r="AE297">
            <v>5.6788999999999996</v>
          </cell>
        </row>
        <row r="298">
          <cell r="AD298">
            <v>5.7535999999999996</v>
          </cell>
          <cell r="AE298">
            <v>5.7237</v>
          </cell>
        </row>
        <row r="299">
          <cell r="AD299">
            <v>5.5145</v>
          </cell>
          <cell r="AE299">
            <v>5.4996</v>
          </cell>
        </row>
        <row r="300">
          <cell r="AD300">
            <v>5.2007000000000003</v>
          </cell>
          <cell r="AE300">
            <v>5.2754000000000003</v>
          </cell>
        </row>
        <row r="301">
          <cell r="AD301">
            <v>4.9466000000000001</v>
          </cell>
          <cell r="AE301">
            <v>5.0064000000000002</v>
          </cell>
        </row>
        <row r="302">
          <cell r="AD302">
            <v>4.9466000000000001</v>
          </cell>
          <cell r="AE302">
            <v>5.0362999999999998</v>
          </cell>
        </row>
        <row r="303">
          <cell r="AD303">
            <v>4.9317000000000002</v>
          </cell>
          <cell r="AE303">
            <v>5.0811000000000002</v>
          </cell>
        </row>
        <row r="304">
          <cell r="AD304">
            <v>5.1707999999999998</v>
          </cell>
          <cell r="AE304">
            <v>5.2305999999999999</v>
          </cell>
        </row>
        <row r="305">
          <cell r="AD305">
            <v>5.1856999999999998</v>
          </cell>
          <cell r="AE305">
            <v>5.2007000000000003</v>
          </cell>
        </row>
        <row r="306">
          <cell r="AD306">
            <v>5.2754000000000003</v>
          </cell>
          <cell r="AE306">
            <v>5.2754000000000003</v>
          </cell>
        </row>
        <row r="307">
          <cell r="AD307">
            <v>5.4846000000000004</v>
          </cell>
          <cell r="AE307">
            <v>5.4846000000000004</v>
          </cell>
        </row>
        <row r="308">
          <cell r="AD308">
            <v>5.6939000000000002</v>
          </cell>
          <cell r="AE308">
            <v>5.6788999999999996</v>
          </cell>
        </row>
        <row r="309">
          <cell r="AD309">
            <v>5.8190999999999997</v>
          </cell>
          <cell r="AE309">
            <v>5.7885999999999997</v>
          </cell>
        </row>
        <row r="310">
          <cell r="AD310">
            <v>5.8497000000000003</v>
          </cell>
          <cell r="AE310">
            <v>5.8497000000000003</v>
          </cell>
        </row>
        <row r="311">
          <cell r="AD311">
            <v>5.6510999999999996</v>
          </cell>
          <cell r="AE311">
            <v>5.6510999999999996</v>
          </cell>
        </row>
        <row r="312">
          <cell r="AD312">
            <v>5.3151000000000002</v>
          </cell>
          <cell r="AE312">
            <v>5.3914999999999997</v>
          </cell>
        </row>
        <row r="313">
          <cell r="AD313">
            <v>5.0707000000000004</v>
          </cell>
          <cell r="AE313">
            <v>5.2081999999999997</v>
          </cell>
        </row>
        <row r="314">
          <cell r="AD314">
            <v>5.0707000000000004</v>
          </cell>
          <cell r="AE314">
            <v>5.2081999999999997</v>
          </cell>
        </row>
        <row r="315">
          <cell r="AD315">
            <v>5.1471</v>
          </cell>
          <cell r="AE315">
            <v>5.3761999999999999</v>
          </cell>
        </row>
        <row r="316">
          <cell r="AD316">
            <v>5.3761999999999999</v>
          </cell>
          <cell r="AE316">
            <v>5.4678000000000004</v>
          </cell>
        </row>
        <row r="317">
          <cell r="AD317">
            <v>5.3761999999999999</v>
          </cell>
          <cell r="AE317">
            <v>5.3914999999999997</v>
          </cell>
        </row>
        <row r="318">
          <cell r="AD318">
            <v>5.4984000000000002</v>
          </cell>
          <cell r="AE318">
            <v>5.4678000000000004</v>
          </cell>
        </row>
        <row r="319">
          <cell r="AD319">
            <v>5.7275</v>
          </cell>
          <cell r="AE319">
            <v>5.6510999999999996</v>
          </cell>
        </row>
        <row r="320">
          <cell r="AD320">
            <v>6.0788000000000002</v>
          </cell>
          <cell r="AE320">
            <v>5.9718999999999998</v>
          </cell>
        </row>
        <row r="321">
          <cell r="AD321">
            <v>6.2125000000000004</v>
          </cell>
          <cell r="AE321">
            <v>6.0876000000000001</v>
          </cell>
        </row>
        <row r="322">
          <cell r="AD322">
            <v>6.2281000000000004</v>
          </cell>
          <cell r="AE322">
            <v>6.1188000000000002</v>
          </cell>
        </row>
        <row r="323">
          <cell r="AD323">
            <v>5.8691000000000004</v>
          </cell>
          <cell r="AE323">
            <v>5.8223000000000003</v>
          </cell>
        </row>
        <row r="324">
          <cell r="AD324">
            <v>5.5101000000000004</v>
          </cell>
          <cell r="AE324">
            <v>5.5568999999999997</v>
          </cell>
        </row>
        <row r="325">
          <cell r="AD325">
            <v>5.3228</v>
          </cell>
          <cell r="AE325">
            <v>5.4789000000000003</v>
          </cell>
        </row>
        <row r="326">
          <cell r="AD326">
            <v>5.2915999999999999</v>
          </cell>
          <cell r="AE326">
            <v>5.4789000000000003</v>
          </cell>
        </row>
        <row r="327">
          <cell r="AD327">
            <v>5.3071999999999999</v>
          </cell>
          <cell r="AE327">
            <v>5.5101000000000004</v>
          </cell>
        </row>
        <row r="328">
          <cell r="AD328">
            <v>5.5412999999999997</v>
          </cell>
          <cell r="AE328">
            <v>5.6036999999999999</v>
          </cell>
        </row>
        <row r="329">
          <cell r="AD329">
            <v>5.4633000000000003</v>
          </cell>
          <cell r="AE329">
            <v>5.4476000000000004</v>
          </cell>
        </row>
        <row r="330">
          <cell r="AD330">
            <v>5.5568999999999997</v>
          </cell>
          <cell r="AE330">
            <v>5.5256999999999996</v>
          </cell>
        </row>
        <row r="331">
          <cell r="AD331">
            <v>5.7598000000000003</v>
          </cell>
          <cell r="AE331">
            <v>5.6505999999999998</v>
          </cell>
        </row>
        <row r="332">
          <cell r="AD332">
            <v>6.1501000000000001</v>
          </cell>
          <cell r="AE332">
            <v>6.0251999999999999</v>
          </cell>
        </row>
        <row r="333">
          <cell r="AD333">
            <v>6.2854000000000001</v>
          </cell>
          <cell r="AE333">
            <v>6.1098999999999997</v>
          </cell>
        </row>
        <row r="334">
          <cell r="AD334">
            <v>6.3013000000000003</v>
          </cell>
          <cell r="AE334">
            <v>6.1577000000000002</v>
          </cell>
        </row>
        <row r="335">
          <cell r="AD335">
            <v>5.9663000000000004</v>
          </cell>
          <cell r="AE335">
            <v>5.8864999999999998</v>
          </cell>
        </row>
        <row r="336">
          <cell r="AD336">
            <v>5.6791999999999998</v>
          </cell>
          <cell r="AE336">
            <v>5.6313000000000004</v>
          </cell>
        </row>
        <row r="337">
          <cell r="AD337">
            <v>5.5834000000000001</v>
          </cell>
          <cell r="AE337">
            <v>5.6631999999999998</v>
          </cell>
        </row>
        <row r="338">
          <cell r="AD338">
            <v>5.4877000000000002</v>
          </cell>
          <cell r="AE338">
            <v>5.6154000000000002</v>
          </cell>
        </row>
        <row r="339">
          <cell r="AD339">
            <v>5.5834000000000001</v>
          </cell>
          <cell r="AE339">
            <v>5.6951000000000001</v>
          </cell>
        </row>
        <row r="340">
          <cell r="AD340">
            <v>5.7430000000000003</v>
          </cell>
          <cell r="AE340">
            <v>5.7588999999999997</v>
          </cell>
        </row>
        <row r="341">
          <cell r="AD341">
            <v>5.6791999999999998</v>
          </cell>
          <cell r="AE341">
            <v>5.6313000000000004</v>
          </cell>
        </row>
        <row r="342">
          <cell r="AD342">
            <v>5.7430000000000003</v>
          </cell>
          <cell r="AE342">
            <v>5.7111000000000001</v>
          </cell>
        </row>
        <row r="343">
          <cell r="AD343">
            <v>6.0141999999999998</v>
          </cell>
          <cell r="AE343">
            <v>5.8864999999999998</v>
          </cell>
        </row>
        <row r="344">
          <cell r="AD344">
            <v>6.3013000000000003</v>
          </cell>
          <cell r="AE344">
            <v>6.1897000000000002</v>
          </cell>
        </row>
        <row r="345">
          <cell r="AD345">
            <v>6.6029999999999998</v>
          </cell>
          <cell r="AE345">
            <v>6.4725999999999999</v>
          </cell>
        </row>
        <row r="346">
          <cell r="AD346">
            <v>6.4562999999999997</v>
          </cell>
          <cell r="AE346">
            <v>6.3583999999999996</v>
          </cell>
        </row>
        <row r="347">
          <cell r="AD347">
            <v>6.2117000000000004</v>
          </cell>
          <cell r="AE347">
            <v>6.1139000000000001</v>
          </cell>
        </row>
        <row r="348">
          <cell r="AD348">
            <v>5.8529999999999998</v>
          </cell>
          <cell r="AE348">
            <v>5.8693</v>
          </cell>
        </row>
        <row r="349">
          <cell r="AD349">
            <v>5.8041</v>
          </cell>
          <cell r="AE349">
            <v>5.8529999999999998</v>
          </cell>
        </row>
        <row r="350">
          <cell r="AD350">
            <v>5.6737000000000002</v>
          </cell>
          <cell r="AE350">
            <v>5.8204000000000002</v>
          </cell>
        </row>
        <row r="351">
          <cell r="AD351">
            <v>5.7389000000000001</v>
          </cell>
          <cell r="AE351">
            <v>5.8693</v>
          </cell>
        </row>
        <row r="352">
          <cell r="AD352">
            <v>5.9833999999999996</v>
          </cell>
          <cell r="AE352">
            <v>6.0160999999999998</v>
          </cell>
        </row>
        <row r="353">
          <cell r="AD353">
            <v>5.9019000000000004</v>
          </cell>
          <cell r="AE353">
            <v>5.8529999999999998</v>
          </cell>
        </row>
        <row r="354">
          <cell r="AD354">
            <v>5.9996999999999998</v>
          </cell>
          <cell r="AE354">
            <v>5.9508000000000001</v>
          </cell>
        </row>
        <row r="355">
          <cell r="AD355">
            <v>6.2443</v>
          </cell>
          <cell r="AE355">
            <v>6.1302000000000003</v>
          </cell>
        </row>
        <row r="356">
          <cell r="AD356">
            <v>6.5377999999999998</v>
          </cell>
          <cell r="AE356">
            <v>6.4073000000000002</v>
          </cell>
        </row>
        <row r="357">
          <cell r="AD357">
            <v>6.7648999999999999</v>
          </cell>
          <cell r="AE357">
            <v>6.6150000000000002</v>
          </cell>
        </row>
        <row r="358">
          <cell r="AD358">
            <v>6.7483000000000004</v>
          </cell>
          <cell r="AE358">
            <v>6.6150000000000002</v>
          </cell>
        </row>
        <row r="359">
          <cell r="AD359">
            <v>6.3483999999999998</v>
          </cell>
          <cell r="AE359">
            <v>6.2649999999999997</v>
          </cell>
        </row>
        <row r="360">
          <cell r="AD360">
            <v>6.0151000000000003</v>
          </cell>
          <cell r="AE360">
            <v>5.9650999999999996</v>
          </cell>
        </row>
        <row r="361">
          <cell r="AD361">
            <v>5.9485000000000001</v>
          </cell>
          <cell r="AE361">
            <v>5.9650999999999996</v>
          </cell>
        </row>
        <row r="362">
          <cell r="AD362">
            <v>5.8318000000000003</v>
          </cell>
          <cell r="AE362">
            <v>5.9817999999999998</v>
          </cell>
        </row>
        <row r="363">
          <cell r="AD363">
            <v>5.8985000000000003</v>
          </cell>
          <cell r="AE363">
            <v>6.0151000000000003</v>
          </cell>
        </row>
        <row r="364">
          <cell r="AD364">
            <v>6.1650999999999998</v>
          </cell>
          <cell r="AE364">
            <v>6.1817000000000002</v>
          </cell>
        </row>
        <row r="365">
          <cell r="AD365">
            <v>6.0651000000000002</v>
          </cell>
          <cell r="AE365">
            <v>6.0151000000000003</v>
          </cell>
        </row>
        <row r="366">
          <cell r="AD366">
            <v>6.1151</v>
          </cell>
          <cell r="AE366">
            <v>6.0651000000000002</v>
          </cell>
        </row>
        <row r="367">
          <cell r="AD367">
            <v>6.4482999999999997</v>
          </cell>
          <cell r="AE367">
            <v>6.3150000000000004</v>
          </cell>
        </row>
        <row r="368">
          <cell r="AD368">
            <v>6.7981999999999996</v>
          </cell>
          <cell r="AE368">
            <v>6.6150000000000002</v>
          </cell>
        </row>
        <row r="369">
          <cell r="AD369">
            <v>7.1181000000000001</v>
          </cell>
          <cell r="AE369">
            <v>6.9478</v>
          </cell>
        </row>
        <row r="370">
          <cell r="AD370">
            <v>7.1351000000000004</v>
          </cell>
          <cell r="AE370">
            <v>6.9137000000000004</v>
          </cell>
        </row>
        <row r="371">
          <cell r="AD371">
            <v>6.6413000000000002</v>
          </cell>
          <cell r="AE371">
            <v>6.5560999999999998</v>
          </cell>
        </row>
        <row r="372">
          <cell r="AD372">
            <v>6.3348000000000004</v>
          </cell>
          <cell r="AE372">
            <v>6.2836999999999996</v>
          </cell>
        </row>
        <row r="373">
          <cell r="AD373">
            <v>6.1985000000000001</v>
          </cell>
          <cell r="AE373">
            <v>6.2325999999999997</v>
          </cell>
        </row>
        <row r="374">
          <cell r="AD374">
            <v>6.1303999999999998</v>
          </cell>
          <cell r="AE374">
            <v>6.2325999999999997</v>
          </cell>
        </row>
        <row r="375">
          <cell r="AD375">
            <v>6.2156000000000002</v>
          </cell>
          <cell r="AE375">
            <v>6.3348000000000004</v>
          </cell>
        </row>
        <row r="376">
          <cell r="AD376">
            <v>6.4710000000000001</v>
          </cell>
          <cell r="AE376">
            <v>6.4539999999999997</v>
          </cell>
        </row>
        <row r="377">
          <cell r="AD377">
            <v>6.3517999999999999</v>
          </cell>
          <cell r="AE377">
            <v>6.3007</v>
          </cell>
        </row>
        <row r="378">
          <cell r="AD378">
            <v>6.5221</v>
          </cell>
          <cell r="AE378">
            <v>6.4028999999999998</v>
          </cell>
        </row>
        <row r="379">
          <cell r="AD379">
            <v>6.8627000000000002</v>
          </cell>
          <cell r="AE379">
            <v>6.6582999999999997</v>
          </cell>
        </row>
        <row r="380">
          <cell r="AD380">
            <v>7.1692</v>
          </cell>
          <cell r="AE380">
            <v>6.9819000000000004</v>
          </cell>
        </row>
        <row r="381">
          <cell r="AD381">
            <v>7.1947000000000001</v>
          </cell>
          <cell r="AE381">
            <v>7.1772999999999998</v>
          </cell>
        </row>
        <row r="382">
          <cell r="AD382">
            <v>7.4036999999999997</v>
          </cell>
          <cell r="AE382">
            <v>7.1947000000000001</v>
          </cell>
        </row>
        <row r="383">
          <cell r="AD383">
            <v>6.8463000000000003</v>
          </cell>
          <cell r="AE383">
            <v>6.7591999999999999</v>
          </cell>
        </row>
        <row r="384">
          <cell r="AD384">
            <v>6.5327000000000002</v>
          </cell>
          <cell r="AE384">
            <v>6.4455999999999998</v>
          </cell>
        </row>
        <row r="385">
          <cell r="AD385">
            <v>6.4455999999999998</v>
          </cell>
          <cell r="AE385">
            <v>6.4455999999999998</v>
          </cell>
        </row>
        <row r="386">
          <cell r="AD386">
            <v>6.3411</v>
          </cell>
          <cell r="AE386">
            <v>6.4282000000000004</v>
          </cell>
        </row>
        <row r="387">
          <cell r="AD387">
            <v>6.4282000000000004</v>
          </cell>
          <cell r="AE387">
            <v>6.5152999999999999</v>
          </cell>
        </row>
        <row r="388">
          <cell r="AD388">
            <v>6.6721000000000004</v>
          </cell>
          <cell r="AE388">
            <v>6.6372</v>
          </cell>
        </row>
        <row r="389">
          <cell r="AD389">
            <v>6.5500999999999996</v>
          </cell>
          <cell r="AE389">
            <v>6.4805000000000001</v>
          </cell>
        </row>
        <row r="390">
          <cell r="AD390">
            <v>6.7591999999999999</v>
          </cell>
          <cell r="AE390">
            <v>6.6721000000000004</v>
          </cell>
        </row>
        <row r="391">
          <cell r="AD391">
            <v>7.0552999999999999</v>
          </cell>
          <cell r="AE391">
            <v>6.9160000000000004</v>
          </cell>
        </row>
        <row r="392">
          <cell r="AD392">
            <v>7.4211999999999998</v>
          </cell>
          <cell r="AE392">
            <v>7.2121000000000004</v>
          </cell>
        </row>
        <row r="393">
          <cell r="AD393">
            <v>7.4314999999999998</v>
          </cell>
          <cell r="AE393">
            <v>7.4671000000000003</v>
          </cell>
        </row>
        <row r="394">
          <cell r="AD394">
            <v>7.7878999999999996</v>
          </cell>
          <cell r="AE394">
            <v>7.5384000000000002</v>
          </cell>
        </row>
        <row r="395">
          <cell r="AD395">
            <v>7.2354000000000003</v>
          </cell>
          <cell r="AE395">
            <v>7.1106999999999996</v>
          </cell>
        </row>
        <row r="396">
          <cell r="AD396">
            <v>6.8076999999999996</v>
          </cell>
          <cell r="AE396">
            <v>6.7363999999999997</v>
          </cell>
        </row>
        <row r="397">
          <cell r="AD397">
            <v>6.7363999999999997</v>
          </cell>
          <cell r="AE397">
            <v>6.7186000000000003</v>
          </cell>
        </row>
        <row r="398">
          <cell r="AD398">
            <v>6.6116999999999999</v>
          </cell>
          <cell r="AE398">
            <v>6.6829999999999998</v>
          </cell>
        </row>
        <row r="399">
          <cell r="AD399">
            <v>6.6829999999999998</v>
          </cell>
          <cell r="AE399">
            <v>6.7721</v>
          </cell>
        </row>
        <row r="400">
          <cell r="AD400">
            <v>6.9680999999999997</v>
          </cell>
          <cell r="AE400">
            <v>6.9146000000000001</v>
          </cell>
        </row>
        <row r="401">
          <cell r="AD401">
            <v>6.7899000000000003</v>
          </cell>
          <cell r="AE401">
            <v>6.7542999999999997</v>
          </cell>
        </row>
        <row r="402">
          <cell r="AD402">
            <v>7.1106999999999996</v>
          </cell>
          <cell r="AE402">
            <v>6.9680999999999997</v>
          </cell>
        </row>
        <row r="403">
          <cell r="AD403">
            <v>7.4135999999999997</v>
          </cell>
          <cell r="AE403">
            <v>7.2176</v>
          </cell>
        </row>
        <row r="404">
          <cell r="AD404">
            <v>7.7878999999999996</v>
          </cell>
          <cell r="AE404">
            <v>7.5739999999999998</v>
          </cell>
        </row>
        <row r="405">
          <cell r="AD405">
            <v>7.6024000000000003</v>
          </cell>
          <cell r="AE405">
            <v>7.6388999999999996</v>
          </cell>
        </row>
        <row r="406">
          <cell r="AD406">
            <v>7.9669999999999996</v>
          </cell>
          <cell r="AE406">
            <v>7.7118000000000002</v>
          </cell>
        </row>
        <row r="407">
          <cell r="AD407">
            <v>7.4017999999999997</v>
          </cell>
          <cell r="AE407">
            <v>7.2742000000000004</v>
          </cell>
        </row>
        <row r="408">
          <cell r="AD408">
            <v>6.9642999999999997</v>
          </cell>
          <cell r="AE408">
            <v>6.8914</v>
          </cell>
        </row>
        <row r="409">
          <cell r="AD409">
            <v>6.8914</v>
          </cell>
          <cell r="AE409">
            <v>6.8731</v>
          </cell>
        </row>
        <row r="410">
          <cell r="AD410">
            <v>6.7637999999999998</v>
          </cell>
          <cell r="AE410">
            <v>6.8367000000000004</v>
          </cell>
        </row>
        <row r="411">
          <cell r="AD411">
            <v>6.8367000000000004</v>
          </cell>
          <cell r="AE411">
            <v>6.9278000000000004</v>
          </cell>
        </row>
        <row r="412">
          <cell r="AD412">
            <v>7.1284000000000001</v>
          </cell>
          <cell r="AE412">
            <v>7.0736999999999997</v>
          </cell>
        </row>
        <row r="413">
          <cell r="AD413">
            <v>6.9461000000000004</v>
          </cell>
          <cell r="AE413">
            <v>6.9096000000000002</v>
          </cell>
        </row>
        <row r="414">
          <cell r="AD414">
            <v>7.2742000000000004</v>
          </cell>
          <cell r="AE414">
            <v>7.1284000000000001</v>
          </cell>
        </row>
        <row r="415">
          <cell r="AD415">
            <v>7.5842000000000001</v>
          </cell>
          <cell r="AE415">
            <v>7.3836000000000004</v>
          </cell>
        </row>
        <row r="416">
          <cell r="AD416">
            <v>7.9669999999999996</v>
          </cell>
          <cell r="AE416">
            <v>7.7481999999999998</v>
          </cell>
        </row>
        <row r="417">
          <cell r="AD417">
            <v>7.7771999999999997</v>
          </cell>
          <cell r="AE417">
            <v>7.8144999999999998</v>
          </cell>
        </row>
        <row r="418">
          <cell r="AD418">
            <v>8.1502999999999997</v>
          </cell>
          <cell r="AE418">
            <v>7.8891</v>
          </cell>
        </row>
        <row r="419">
          <cell r="AD419">
            <v>7.5720999999999998</v>
          </cell>
          <cell r="AE419">
            <v>7.4414999999999996</v>
          </cell>
        </row>
        <row r="420">
          <cell r="AD420">
            <v>7.1245000000000003</v>
          </cell>
          <cell r="AE420">
            <v>7.0499000000000001</v>
          </cell>
        </row>
        <row r="421">
          <cell r="AD421">
            <v>7.0499000000000001</v>
          </cell>
          <cell r="AE421">
            <v>7.0312000000000001</v>
          </cell>
        </row>
        <row r="422">
          <cell r="AD422">
            <v>6.9192999999999998</v>
          </cell>
          <cell r="AE422">
            <v>6.9939</v>
          </cell>
        </row>
        <row r="423">
          <cell r="AD423">
            <v>6.9939</v>
          </cell>
          <cell r="AE423">
            <v>7.0872000000000002</v>
          </cell>
        </row>
        <row r="424">
          <cell r="AD424">
            <v>7.2923</v>
          </cell>
          <cell r="AE424">
            <v>7.2363999999999997</v>
          </cell>
        </row>
        <row r="425">
          <cell r="AD425">
            <v>7.1058000000000003</v>
          </cell>
          <cell r="AE425">
            <v>7.0685000000000002</v>
          </cell>
        </row>
        <row r="426">
          <cell r="AD426">
            <v>7.4414999999999996</v>
          </cell>
          <cell r="AE426">
            <v>7.2923</v>
          </cell>
        </row>
        <row r="427">
          <cell r="AD427">
            <v>7.7586000000000004</v>
          </cell>
          <cell r="AE427">
            <v>7.5533999999999999</v>
          </cell>
        </row>
        <row r="428">
          <cell r="AD428">
            <v>8.1502999999999997</v>
          </cell>
          <cell r="AE428">
            <v>7.9264000000000001</v>
          </cell>
        </row>
        <row r="429">
          <cell r="AD429">
            <v>7.9561000000000002</v>
          </cell>
          <cell r="AE429">
            <v>7.9943</v>
          </cell>
        </row>
        <row r="430">
          <cell r="AD430">
            <v>8.3376999999999999</v>
          </cell>
          <cell r="AE430">
            <v>8.0706000000000007</v>
          </cell>
        </row>
        <row r="431">
          <cell r="AD431">
            <v>7.7462</v>
          </cell>
          <cell r="AE431">
            <v>7.6127000000000002</v>
          </cell>
        </row>
      </sheetData>
      <sheetData sheetId="3"/>
      <sheetData sheetId="4"/>
      <sheetData sheetId="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s"/>
    </sheetNames>
    <sheetDataSet>
      <sheetData sheetId="0">
        <row r="9">
          <cell r="D9">
            <v>43101</v>
          </cell>
          <cell r="AO9">
            <v>2.7169354838709676</v>
          </cell>
          <cell r="AP9">
            <v>2.697741935483871</v>
          </cell>
        </row>
        <row r="10">
          <cell r="AO10">
            <v>2.176071428571428</v>
          </cell>
          <cell r="AP10">
            <v>2.1616071428571426</v>
          </cell>
        </row>
        <row r="11">
          <cell r="AO11">
            <v>2.1046774193548385</v>
          </cell>
          <cell r="AP11">
            <v>2.0948387096774188</v>
          </cell>
        </row>
        <row r="12">
          <cell r="AO12">
            <v>1.9496666666666667</v>
          </cell>
          <cell r="AP12">
            <v>1.9375000000000002</v>
          </cell>
        </row>
        <row r="13">
          <cell r="AO13">
            <v>1.6269354838709678</v>
          </cell>
          <cell r="AP13">
            <v>1.3877419354838714</v>
          </cell>
        </row>
        <row r="14">
          <cell r="AO14">
            <v>2.0499999999999998</v>
          </cell>
          <cell r="AP14">
            <v>1.5</v>
          </cell>
        </row>
        <row r="15">
          <cell r="AO15">
            <v>2.3737096774193547</v>
          </cell>
          <cell r="AP15">
            <v>2.1525806451612906</v>
          </cell>
        </row>
        <row r="16">
          <cell r="AO16">
            <v>2.5282258064516143</v>
          </cell>
          <cell r="AP16">
            <v>2.358387096774194</v>
          </cell>
        </row>
        <row r="17">
          <cell r="AO17">
            <v>2.3220000000000001</v>
          </cell>
          <cell r="AP17">
            <v>2.3029999999999999</v>
          </cell>
        </row>
        <row r="18">
          <cell r="AO18">
            <v>2</v>
          </cell>
          <cell r="AP18">
            <v>2.25</v>
          </cell>
        </row>
        <row r="19">
          <cell r="AO19">
            <v>2.3105000000000002</v>
          </cell>
          <cell r="AP19">
            <v>2.3479999999999999</v>
          </cell>
        </row>
        <row r="20">
          <cell r="AO20">
            <v>2.4485000000000001</v>
          </cell>
          <cell r="AP20">
            <v>3.2210000000000001</v>
          </cell>
        </row>
        <row r="21">
          <cell r="AO21">
            <v>2.5590000000000002</v>
          </cell>
          <cell r="AP21">
            <v>3.2040000000000002</v>
          </cell>
        </row>
        <row r="22">
          <cell r="AO22">
            <v>2.4449999999999998</v>
          </cell>
          <cell r="AP22">
            <v>2.62</v>
          </cell>
        </row>
        <row r="23">
          <cell r="AO23">
            <v>2.0179999999999998</v>
          </cell>
          <cell r="AP23">
            <v>2.0329999999999999</v>
          </cell>
        </row>
        <row r="24">
          <cell r="AO24">
            <v>1.5985</v>
          </cell>
          <cell r="AP24">
            <v>1.4584999999999999</v>
          </cell>
        </row>
        <row r="25">
          <cell r="AO25">
            <v>1.5905</v>
          </cell>
          <cell r="AP25">
            <v>1.4255</v>
          </cell>
        </row>
        <row r="26">
          <cell r="AO26">
            <v>1.5967</v>
          </cell>
          <cell r="AP26">
            <v>1.413</v>
          </cell>
        </row>
        <row r="27">
          <cell r="AO27">
            <v>1.7386999999999999</v>
          </cell>
          <cell r="AP27">
            <v>1.845</v>
          </cell>
        </row>
        <row r="28">
          <cell r="AO28">
            <v>1.7658</v>
          </cell>
          <cell r="AP28">
            <v>1.7995000000000001</v>
          </cell>
        </row>
        <row r="29">
          <cell r="AO29">
            <v>1.76</v>
          </cell>
          <cell r="AP29">
            <v>1.7849999999999999</v>
          </cell>
        </row>
        <row r="30">
          <cell r="AO30">
            <v>1.7524999999999999</v>
          </cell>
          <cell r="AP30">
            <v>1.855</v>
          </cell>
        </row>
        <row r="31">
          <cell r="AO31">
            <v>1.9715</v>
          </cell>
          <cell r="AP31">
            <v>2.1640000000000001</v>
          </cell>
        </row>
        <row r="32">
          <cell r="AO32">
            <v>2.1455000000000002</v>
          </cell>
          <cell r="AP32">
            <v>2.8380000000000001</v>
          </cell>
        </row>
        <row r="33">
          <cell r="AO33">
            <v>2.2360000000000002</v>
          </cell>
          <cell r="AP33">
            <v>2.706</v>
          </cell>
        </row>
        <row r="34">
          <cell r="AO34">
            <v>2.1785000000000001</v>
          </cell>
          <cell r="AP34">
            <v>2.3984999999999999</v>
          </cell>
        </row>
        <row r="35">
          <cell r="AO35">
            <v>2.0122</v>
          </cell>
          <cell r="AP35">
            <v>1.9835</v>
          </cell>
        </row>
        <row r="36">
          <cell r="AO36">
            <v>1.6435</v>
          </cell>
          <cell r="AP36">
            <v>1.466</v>
          </cell>
        </row>
        <row r="37">
          <cell r="AO37">
            <v>1.625</v>
          </cell>
          <cell r="AP37">
            <v>1.415</v>
          </cell>
        </row>
        <row r="38">
          <cell r="AO38">
            <v>1.6601999999999999</v>
          </cell>
          <cell r="AP38">
            <v>1.4464999999999999</v>
          </cell>
        </row>
        <row r="39">
          <cell r="AO39">
            <v>1.71</v>
          </cell>
          <cell r="AP39">
            <v>1.6850000000000001</v>
          </cell>
        </row>
        <row r="40">
          <cell r="AO40">
            <v>1.7161999999999999</v>
          </cell>
          <cell r="AP40">
            <v>1.7150000000000001</v>
          </cell>
        </row>
        <row r="41">
          <cell r="AO41">
            <v>1.7146999999999999</v>
          </cell>
          <cell r="AP41">
            <v>1.7135</v>
          </cell>
        </row>
        <row r="42">
          <cell r="AO42">
            <v>1.7367999999999999</v>
          </cell>
          <cell r="AP42">
            <v>1.718</v>
          </cell>
        </row>
        <row r="43">
          <cell r="AO43">
            <v>1.9179999999999999</v>
          </cell>
          <cell r="AP43">
            <v>2.218</v>
          </cell>
        </row>
        <row r="44">
          <cell r="AO44">
            <v>2.0636999999999999</v>
          </cell>
          <cell r="AP44">
            <v>2.56</v>
          </cell>
        </row>
        <row r="45">
          <cell r="AO45">
            <v>2.1802000000000001</v>
          </cell>
          <cell r="AP45">
            <v>2.484</v>
          </cell>
        </row>
        <row r="46">
          <cell r="AO46">
            <v>2.1377000000000002</v>
          </cell>
          <cell r="AP46">
            <v>2.319</v>
          </cell>
        </row>
        <row r="47">
          <cell r="AO47">
            <v>2.0451999999999999</v>
          </cell>
          <cell r="AP47">
            <v>2.0339999999999998</v>
          </cell>
        </row>
        <row r="48">
          <cell r="AO48">
            <v>1.7352000000000001</v>
          </cell>
          <cell r="AP48">
            <v>1.4990000000000001</v>
          </cell>
        </row>
        <row r="49">
          <cell r="AO49">
            <v>1.6995</v>
          </cell>
          <cell r="AP49">
            <v>1.4444999999999999</v>
          </cell>
        </row>
        <row r="50">
          <cell r="AO50">
            <v>1.7318</v>
          </cell>
          <cell r="AP50">
            <v>1.478</v>
          </cell>
        </row>
        <row r="51">
          <cell r="AO51">
            <v>1.776</v>
          </cell>
          <cell r="AP51">
            <v>1.6585000000000001</v>
          </cell>
        </row>
        <row r="52">
          <cell r="AO52">
            <v>1.7952999999999999</v>
          </cell>
          <cell r="AP52">
            <v>1.6964999999999999</v>
          </cell>
        </row>
        <row r="53">
          <cell r="AO53">
            <v>1.7971999999999999</v>
          </cell>
          <cell r="AP53">
            <v>1.7010000000000001</v>
          </cell>
        </row>
        <row r="54">
          <cell r="AO54">
            <v>1.8072999999999999</v>
          </cell>
          <cell r="AP54">
            <v>1.7384999999999999</v>
          </cell>
        </row>
        <row r="55">
          <cell r="AO55">
            <v>2.4327999999999999</v>
          </cell>
          <cell r="AP55">
            <v>2.3473000000000002</v>
          </cell>
        </row>
        <row r="56">
          <cell r="AO56">
            <v>2.6084000000000001</v>
          </cell>
          <cell r="AP56">
            <v>2.6692999999999998</v>
          </cell>
        </row>
        <row r="57">
          <cell r="AO57">
            <v>2.6781999999999999</v>
          </cell>
          <cell r="AP57">
            <v>2.6322999999999999</v>
          </cell>
        </row>
        <row r="58">
          <cell r="AO58">
            <v>2.6631</v>
          </cell>
          <cell r="AP58">
            <v>2.5497999999999998</v>
          </cell>
        </row>
        <row r="59">
          <cell r="AO59">
            <v>2.5613000000000001</v>
          </cell>
          <cell r="AP59">
            <v>2.3146</v>
          </cell>
        </row>
        <row r="60">
          <cell r="AO60">
            <v>2.3506</v>
          </cell>
          <cell r="AP60">
            <v>2.0101</v>
          </cell>
        </row>
        <row r="61">
          <cell r="AO61">
            <v>2.3266</v>
          </cell>
          <cell r="AP61">
            <v>1.9952000000000001</v>
          </cell>
        </row>
        <row r="62">
          <cell r="AO62">
            <v>2.3489</v>
          </cell>
          <cell r="AP62">
            <v>2.0305</v>
          </cell>
        </row>
        <row r="63">
          <cell r="AO63">
            <v>2.4018999999999999</v>
          </cell>
          <cell r="AP63">
            <v>2.1762999999999999</v>
          </cell>
        </row>
        <row r="64">
          <cell r="AO64">
            <v>2.4363000000000001</v>
          </cell>
          <cell r="AP64">
            <v>2.2077</v>
          </cell>
        </row>
        <row r="65">
          <cell r="AO65">
            <v>2.4558</v>
          </cell>
          <cell r="AP65">
            <v>2.1913999999999998</v>
          </cell>
        </row>
        <row r="66">
          <cell r="AO66">
            <v>2.4731999999999998</v>
          </cell>
          <cell r="AP66">
            <v>2.1916000000000002</v>
          </cell>
        </row>
        <row r="67">
          <cell r="AO67">
            <v>2.9477000000000002</v>
          </cell>
          <cell r="AP67">
            <v>2.4765000000000001</v>
          </cell>
        </row>
        <row r="68">
          <cell r="AO68">
            <v>3.153</v>
          </cell>
          <cell r="AP68">
            <v>2.7785000000000002</v>
          </cell>
        </row>
        <row r="69">
          <cell r="AO69">
            <v>3.1760999999999999</v>
          </cell>
          <cell r="AP69">
            <v>2.7806999999999999</v>
          </cell>
        </row>
        <row r="70">
          <cell r="AO70">
            <v>3.1884999999999999</v>
          </cell>
          <cell r="AP70">
            <v>2.7806999999999999</v>
          </cell>
        </row>
        <row r="71">
          <cell r="AO71">
            <v>3.0773000000000001</v>
          </cell>
          <cell r="AP71">
            <v>2.5952999999999999</v>
          </cell>
        </row>
        <row r="72">
          <cell r="AO72">
            <v>2.9660000000000002</v>
          </cell>
          <cell r="AP72">
            <v>2.5211000000000001</v>
          </cell>
        </row>
        <row r="73">
          <cell r="AO73">
            <v>2.9537</v>
          </cell>
          <cell r="AP73">
            <v>2.5457999999999998</v>
          </cell>
        </row>
        <row r="74">
          <cell r="AO74">
            <v>2.9660000000000002</v>
          </cell>
          <cell r="AP74">
            <v>2.5829</v>
          </cell>
        </row>
        <row r="75">
          <cell r="AO75">
            <v>3.0278</v>
          </cell>
          <cell r="AP75">
            <v>2.6941000000000002</v>
          </cell>
        </row>
        <row r="76">
          <cell r="AO76">
            <v>3.0773000000000001</v>
          </cell>
          <cell r="AP76">
            <v>2.7189000000000001</v>
          </cell>
        </row>
        <row r="77">
          <cell r="AO77">
            <v>3.1143000000000001</v>
          </cell>
          <cell r="AP77">
            <v>2.6818</v>
          </cell>
        </row>
        <row r="78">
          <cell r="AO78">
            <v>3.1391</v>
          </cell>
          <cell r="AP78">
            <v>2.6446999999999998</v>
          </cell>
        </row>
        <row r="79">
          <cell r="AO79">
            <v>3.4357000000000002</v>
          </cell>
          <cell r="AP79">
            <v>2.9165999999999999</v>
          </cell>
        </row>
        <row r="80">
          <cell r="AO80">
            <v>3.6086999999999998</v>
          </cell>
          <cell r="AP80">
            <v>3.2997000000000001</v>
          </cell>
        </row>
        <row r="81">
          <cell r="AO81">
            <v>3.6375000000000002</v>
          </cell>
          <cell r="AP81">
            <v>3.3092000000000001</v>
          </cell>
        </row>
        <row r="82">
          <cell r="AO82">
            <v>3.6375000000000002</v>
          </cell>
          <cell r="AP82">
            <v>3.2206999999999999</v>
          </cell>
        </row>
        <row r="83">
          <cell r="AO83">
            <v>3.5238999999999998</v>
          </cell>
          <cell r="AP83">
            <v>3.0943999999999998</v>
          </cell>
        </row>
        <row r="84">
          <cell r="AO84">
            <v>3.4102000000000001</v>
          </cell>
          <cell r="AP84">
            <v>3.1322999999999999</v>
          </cell>
        </row>
        <row r="85">
          <cell r="AO85">
            <v>3.4102000000000001</v>
          </cell>
          <cell r="AP85">
            <v>3.1576</v>
          </cell>
        </row>
        <row r="86">
          <cell r="AO86">
            <v>3.4355000000000002</v>
          </cell>
          <cell r="AP86">
            <v>3.145</v>
          </cell>
        </row>
        <row r="87">
          <cell r="AO87">
            <v>3.5491000000000001</v>
          </cell>
          <cell r="AP87">
            <v>3.3092000000000001</v>
          </cell>
        </row>
        <row r="88">
          <cell r="AO88">
            <v>3.5617999999999999</v>
          </cell>
          <cell r="AP88">
            <v>3.3597000000000001</v>
          </cell>
        </row>
        <row r="89">
          <cell r="AO89">
            <v>3.6122999999999998</v>
          </cell>
          <cell r="AP89">
            <v>3.2839</v>
          </cell>
        </row>
        <row r="90">
          <cell r="AO90">
            <v>3.6375000000000002</v>
          </cell>
          <cell r="AP90">
            <v>3.3092000000000001</v>
          </cell>
        </row>
        <row r="91">
          <cell r="AO91">
            <v>3.9154</v>
          </cell>
          <cell r="AP91">
            <v>3.6122999999999998</v>
          </cell>
        </row>
        <row r="92">
          <cell r="AO92">
            <v>4.0796000000000001</v>
          </cell>
          <cell r="AP92">
            <v>3.8774999999999999</v>
          </cell>
        </row>
        <row r="93">
          <cell r="AO93">
            <v>4.1136999999999997</v>
          </cell>
          <cell r="AP93">
            <v>3.9588999999999999</v>
          </cell>
        </row>
        <row r="94">
          <cell r="AO94">
            <v>4.1395</v>
          </cell>
          <cell r="AP94">
            <v>3.9718</v>
          </cell>
        </row>
        <row r="95">
          <cell r="AO95">
            <v>3.9975999999999998</v>
          </cell>
          <cell r="AP95">
            <v>3.6623999999999999</v>
          </cell>
        </row>
        <row r="96">
          <cell r="AO96">
            <v>3.7913000000000001</v>
          </cell>
          <cell r="AP96">
            <v>3.3658000000000001</v>
          </cell>
        </row>
        <row r="97">
          <cell r="AO97">
            <v>3.7913000000000001</v>
          </cell>
          <cell r="AP97">
            <v>3.3529</v>
          </cell>
        </row>
        <row r="98">
          <cell r="AO98">
            <v>3.8041999999999998</v>
          </cell>
          <cell r="AP98">
            <v>3.4302000000000001</v>
          </cell>
        </row>
        <row r="99">
          <cell r="AO99">
            <v>3.8557999999999999</v>
          </cell>
          <cell r="AP99">
            <v>3.5979000000000001</v>
          </cell>
        </row>
        <row r="100">
          <cell r="AO100">
            <v>3.8944999999999999</v>
          </cell>
          <cell r="AP100">
            <v>3.6366000000000001</v>
          </cell>
        </row>
        <row r="101">
          <cell r="AO101">
            <v>3.9460999999999999</v>
          </cell>
          <cell r="AP101">
            <v>3.5592000000000001</v>
          </cell>
        </row>
        <row r="102">
          <cell r="AO102">
            <v>3.9588999999999999</v>
          </cell>
          <cell r="AP102">
            <v>3.585</v>
          </cell>
        </row>
        <row r="103">
          <cell r="AO103">
            <v>4.1653000000000002</v>
          </cell>
          <cell r="AP103">
            <v>3.7526000000000002</v>
          </cell>
        </row>
        <row r="104">
          <cell r="AO104">
            <v>4.3715999999999999</v>
          </cell>
          <cell r="AP104">
            <v>4.1007999999999996</v>
          </cell>
        </row>
        <row r="105">
          <cell r="AO105">
            <v>4.3975999999999997</v>
          </cell>
          <cell r="AP105">
            <v>4.1605999999999996</v>
          </cell>
        </row>
        <row r="106">
          <cell r="AO106">
            <v>4.4238999999999997</v>
          </cell>
          <cell r="AP106">
            <v>4.1605999999999996</v>
          </cell>
        </row>
        <row r="107">
          <cell r="AO107">
            <v>4.2396000000000003</v>
          </cell>
          <cell r="AP107">
            <v>3.8841000000000001</v>
          </cell>
        </row>
        <row r="108">
          <cell r="AO108">
            <v>3.9763000000000002</v>
          </cell>
          <cell r="AP108">
            <v>3.5943999999999998</v>
          </cell>
        </row>
        <row r="109">
          <cell r="AO109">
            <v>3.9499</v>
          </cell>
          <cell r="AP109">
            <v>3.5680999999999998</v>
          </cell>
        </row>
        <row r="110">
          <cell r="AO110">
            <v>3.9763000000000002</v>
          </cell>
          <cell r="AP110">
            <v>3.6602999999999999</v>
          </cell>
        </row>
        <row r="111">
          <cell r="AO111">
            <v>4.0289000000000001</v>
          </cell>
          <cell r="AP111">
            <v>3.8050999999999999</v>
          </cell>
        </row>
        <row r="112">
          <cell r="AO112">
            <v>4.0948000000000002</v>
          </cell>
          <cell r="AP112">
            <v>3.8445999999999998</v>
          </cell>
        </row>
        <row r="113">
          <cell r="AO113">
            <v>4.0815999999999999</v>
          </cell>
          <cell r="AP113">
            <v>3.7393000000000001</v>
          </cell>
        </row>
        <row r="114">
          <cell r="AO114">
            <v>4.1211000000000002</v>
          </cell>
          <cell r="AP114">
            <v>3.7656000000000001</v>
          </cell>
        </row>
        <row r="115">
          <cell r="AO115">
            <v>4.3975999999999997</v>
          </cell>
          <cell r="AP115">
            <v>4.0552999999999999</v>
          </cell>
        </row>
        <row r="116">
          <cell r="AO116">
            <v>4.5556000000000001</v>
          </cell>
          <cell r="AP116">
            <v>4.3449</v>
          </cell>
        </row>
        <row r="117">
          <cell r="AO117">
            <v>4.5884999999999998</v>
          </cell>
          <cell r="AP117">
            <v>4.4001000000000001</v>
          </cell>
        </row>
        <row r="118">
          <cell r="AO118">
            <v>4.6020000000000003</v>
          </cell>
          <cell r="AP118">
            <v>4.3463000000000003</v>
          </cell>
        </row>
        <row r="119">
          <cell r="AO119">
            <v>4.2521000000000004</v>
          </cell>
          <cell r="AP119">
            <v>3.8887999999999998</v>
          </cell>
        </row>
        <row r="120">
          <cell r="AO120">
            <v>3.8887999999999998</v>
          </cell>
          <cell r="AP120">
            <v>3.512</v>
          </cell>
        </row>
        <row r="121">
          <cell r="AO121">
            <v>3.8483999999999998</v>
          </cell>
          <cell r="AP121">
            <v>3.512</v>
          </cell>
        </row>
        <row r="122">
          <cell r="AO122">
            <v>3.8753000000000002</v>
          </cell>
          <cell r="AP122">
            <v>3.5255000000000001</v>
          </cell>
        </row>
        <row r="123">
          <cell r="AO123">
            <v>3.9695</v>
          </cell>
          <cell r="AP123">
            <v>3.6869999999999998</v>
          </cell>
        </row>
        <row r="124">
          <cell r="AO124">
            <v>4.0233999999999996</v>
          </cell>
          <cell r="AP124">
            <v>3.7139000000000002</v>
          </cell>
        </row>
        <row r="125">
          <cell r="AO125">
            <v>4.0233999999999996</v>
          </cell>
          <cell r="AP125">
            <v>3.5928</v>
          </cell>
        </row>
        <row r="126">
          <cell r="AO126">
            <v>4.0368000000000004</v>
          </cell>
          <cell r="AP126">
            <v>3.6600999999999999</v>
          </cell>
        </row>
        <row r="127">
          <cell r="AO127">
            <v>4.2521000000000004</v>
          </cell>
          <cell r="AP127">
            <v>3.9022999999999999</v>
          </cell>
        </row>
        <row r="128">
          <cell r="AO128">
            <v>4.4673999999999996</v>
          </cell>
          <cell r="AP128">
            <v>4.2521000000000004</v>
          </cell>
        </row>
        <row r="129">
          <cell r="AO129">
            <v>4.4969000000000001</v>
          </cell>
          <cell r="AP129">
            <v>4.2632000000000003</v>
          </cell>
        </row>
        <row r="130">
          <cell r="AO130">
            <v>4.4832000000000001</v>
          </cell>
          <cell r="AP130">
            <v>4.1669</v>
          </cell>
        </row>
        <row r="131">
          <cell r="AO131">
            <v>4.1531000000000002</v>
          </cell>
          <cell r="AP131">
            <v>3.8092999999999999</v>
          </cell>
        </row>
        <row r="132">
          <cell r="AO132">
            <v>3.7818000000000001</v>
          </cell>
          <cell r="AP132">
            <v>3.4243000000000001</v>
          </cell>
        </row>
        <row r="133">
          <cell r="AO133">
            <v>3.7955999999999999</v>
          </cell>
          <cell r="AP133">
            <v>3.4380000000000002</v>
          </cell>
        </row>
        <row r="134">
          <cell r="AO134">
            <v>3.8231000000000002</v>
          </cell>
          <cell r="AP134">
            <v>3.4929999999999999</v>
          </cell>
        </row>
        <row r="135">
          <cell r="AO135">
            <v>3.9331</v>
          </cell>
          <cell r="AP135">
            <v>3.6168</v>
          </cell>
        </row>
        <row r="136">
          <cell r="AO136">
            <v>3.9881000000000002</v>
          </cell>
          <cell r="AP136">
            <v>3.6442999999999999</v>
          </cell>
        </row>
        <row r="137">
          <cell r="AO137">
            <v>3.9881000000000002</v>
          </cell>
          <cell r="AP137">
            <v>3.548</v>
          </cell>
        </row>
        <row r="138">
          <cell r="AO138">
            <v>4.0156000000000001</v>
          </cell>
          <cell r="AP138">
            <v>3.6305999999999998</v>
          </cell>
        </row>
        <row r="139">
          <cell r="AO139">
            <v>4.1669</v>
          </cell>
          <cell r="AP139">
            <v>3.8506</v>
          </cell>
        </row>
        <row r="140">
          <cell r="AO140">
            <v>4.5518999999999998</v>
          </cell>
          <cell r="AP140">
            <v>4.3182</v>
          </cell>
        </row>
        <row r="141">
          <cell r="AO141">
            <v>4.5818000000000003</v>
          </cell>
          <cell r="AP141">
            <v>4.2866999999999997</v>
          </cell>
        </row>
        <row r="142">
          <cell r="AO142">
            <v>4.5959000000000003</v>
          </cell>
          <cell r="AP142">
            <v>4.3429000000000002</v>
          </cell>
        </row>
        <row r="143">
          <cell r="AO143">
            <v>4.3851000000000004</v>
          </cell>
          <cell r="AP143">
            <v>4.1040000000000001</v>
          </cell>
        </row>
        <row r="144">
          <cell r="AO144">
            <v>4.0899000000000001</v>
          </cell>
          <cell r="AP144">
            <v>3.7665999999999999</v>
          </cell>
        </row>
        <row r="145">
          <cell r="AO145">
            <v>4.1040000000000001</v>
          </cell>
          <cell r="AP145">
            <v>3.7665999999999999</v>
          </cell>
        </row>
        <row r="146">
          <cell r="AO146">
            <v>4.1321000000000003</v>
          </cell>
          <cell r="AP146">
            <v>3.8229000000000002</v>
          </cell>
        </row>
        <row r="147">
          <cell r="AO147">
            <v>4.2725999999999997</v>
          </cell>
          <cell r="AP147">
            <v>4.0336999999999996</v>
          </cell>
        </row>
        <row r="148">
          <cell r="AO148">
            <v>4.3851000000000004</v>
          </cell>
          <cell r="AP148">
            <v>4.0758000000000001</v>
          </cell>
        </row>
        <row r="149">
          <cell r="AO149">
            <v>4.3990999999999998</v>
          </cell>
          <cell r="AP149">
            <v>3.9634</v>
          </cell>
        </row>
        <row r="150">
          <cell r="AO150">
            <v>4.4272</v>
          </cell>
          <cell r="AP150">
            <v>4.0617999999999999</v>
          </cell>
        </row>
        <row r="151">
          <cell r="AO151">
            <v>4.5818000000000003</v>
          </cell>
          <cell r="AP151">
            <v>4.2164000000000001</v>
          </cell>
        </row>
        <row r="152">
          <cell r="AO152">
            <v>5.0316000000000001</v>
          </cell>
          <cell r="AP152">
            <v>4.6098999999999997</v>
          </cell>
        </row>
        <row r="153">
          <cell r="AO153">
            <v>5.0754000000000001</v>
          </cell>
          <cell r="AP153">
            <v>4.7016</v>
          </cell>
        </row>
        <row r="154">
          <cell r="AO154">
            <v>5.1041999999999996</v>
          </cell>
          <cell r="AP154">
            <v>4.6871999999999998</v>
          </cell>
        </row>
        <row r="155">
          <cell r="AO155">
            <v>4.9459999999999997</v>
          </cell>
          <cell r="AP155">
            <v>4.6009000000000002</v>
          </cell>
        </row>
        <row r="156">
          <cell r="AO156">
            <v>4.6727999999999996</v>
          </cell>
          <cell r="AP156">
            <v>4.3421000000000003</v>
          </cell>
        </row>
        <row r="157">
          <cell r="AO157">
            <v>4.7016</v>
          </cell>
          <cell r="AP157">
            <v>4.3853</v>
          </cell>
        </row>
        <row r="158">
          <cell r="AO158">
            <v>4.7302999999999997</v>
          </cell>
          <cell r="AP158">
            <v>4.4428000000000001</v>
          </cell>
        </row>
        <row r="159">
          <cell r="AO159">
            <v>4.9172000000000002</v>
          </cell>
          <cell r="AP159">
            <v>4.6296999999999997</v>
          </cell>
        </row>
        <row r="160">
          <cell r="AO160">
            <v>4.9459999999999997</v>
          </cell>
          <cell r="AP160">
            <v>4.6727999999999996</v>
          </cell>
        </row>
        <row r="161">
          <cell r="AO161">
            <v>4.9172000000000002</v>
          </cell>
          <cell r="AP161">
            <v>4.5289999999999999</v>
          </cell>
        </row>
        <row r="162">
          <cell r="AO162">
            <v>4.9603999999999999</v>
          </cell>
          <cell r="AP162">
            <v>4.5865999999999998</v>
          </cell>
        </row>
        <row r="163">
          <cell r="AO163">
            <v>5.3053999999999997</v>
          </cell>
          <cell r="AP163">
            <v>4.8453999999999997</v>
          </cell>
        </row>
        <row r="164">
          <cell r="AO164">
            <v>5.5643000000000002</v>
          </cell>
          <cell r="AP164">
            <v>5.1760000000000002</v>
          </cell>
        </row>
        <row r="165">
          <cell r="AO165">
            <v>5.6186999999999996</v>
          </cell>
          <cell r="AP165">
            <v>5.2363</v>
          </cell>
        </row>
        <row r="166">
          <cell r="AO166">
            <v>5.6481000000000003</v>
          </cell>
          <cell r="AP166">
            <v>5.2656999999999998</v>
          </cell>
        </row>
        <row r="167">
          <cell r="AO167">
            <v>5.4127999999999998</v>
          </cell>
          <cell r="AP167">
            <v>5.0303000000000004</v>
          </cell>
        </row>
        <row r="168">
          <cell r="AO168">
            <v>4.9862000000000002</v>
          </cell>
          <cell r="AP168">
            <v>4.5891000000000002</v>
          </cell>
        </row>
        <row r="169">
          <cell r="AO169">
            <v>5.0008999999999997</v>
          </cell>
          <cell r="AP169">
            <v>4.6185</v>
          </cell>
        </row>
        <row r="170">
          <cell r="AO170">
            <v>5.0303000000000004</v>
          </cell>
          <cell r="AP170">
            <v>4.6332000000000004</v>
          </cell>
        </row>
        <row r="171">
          <cell r="AO171">
            <v>5.1773999999999996</v>
          </cell>
          <cell r="AP171">
            <v>4.8097000000000003</v>
          </cell>
        </row>
        <row r="172">
          <cell r="AO172">
            <v>5.2215999999999996</v>
          </cell>
          <cell r="AP172">
            <v>4.8685</v>
          </cell>
        </row>
        <row r="173">
          <cell r="AO173">
            <v>5.2215999999999996</v>
          </cell>
          <cell r="AP173">
            <v>4.7656000000000001</v>
          </cell>
        </row>
        <row r="174">
          <cell r="AO174">
            <v>5.2804000000000002</v>
          </cell>
          <cell r="AP174">
            <v>4.8243999999999998</v>
          </cell>
        </row>
        <row r="175">
          <cell r="AO175">
            <v>5.4863</v>
          </cell>
          <cell r="AP175">
            <v>5.0008999999999997</v>
          </cell>
        </row>
        <row r="176">
          <cell r="AO176">
            <v>5.7805</v>
          </cell>
          <cell r="AP176">
            <v>5.3981000000000003</v>
          </cell>
        </row>
        <row r="177">
          <cell r="AO177">
            <v>5.8381999999999996</v>
          </cell>
          <cell r="AP177">
            <v>5.3868</v>
          </cell>
        </row>
        <row r="178">
          <cell r="AO178">
            <v>5.8682999999999996</v>
          </cell>
          <cell r="AP178">
            <v>5.3868</v>
          </cell>
        </row>
        <row r="179">
          <cell r="AO179">
            <v>5.7178000000000004</v>
          </cell>
          <cell r="AP179">
            <v>5.2514000000000003</v>
          </cell>
        </row>
        <row r="180">
          <cell r="AO180">
            <v>5.2815000000000003</v>
          </cell>
          <cell r="AP180">
            <v>4.8752000000000004</v>
          </cell>
        </row>
        <row r="181">
          <cell r="AO181">
            <v>5.2965</v>
          </cell>
          <cell r="AP181">
            <v>4.9053000000000004</v>
          </cell>
        </row>
        <row r="182">
          <cell r="AO182">
            <v>5.3567</v>
          </cell>
          <cell r="AP182">
            <v>4.9805000000000001</v>
          </cell>
        </row>
        <row r="183">
          <cell r="AO183">
            <v>5.5522999999999998</v>
          </cell>
          <cell r="AP183">
            <v>5.1912000000000003</v>
          </cell>
        </row>
        <row r="184">
          <cell r="AO184">
            <v>5.5674000000000001</v>
          </cell>
          <cell r="AP184">
            <v>5.2213000000000003</v>
          </cell>
        </row>
        <row r="185">
          <cell r="AO185">
            <v>5.6124999999999998</v>
          </cell>
          <cell r="AP185">
            <v>5.0708000000000002</v>
          </cell>
        </row>
        <row r="186">
          <cell r="AO186">
            <v>5.6576000000000004</v>
          </cell>
          <cell r="AP186">
            <v>5.1760999999999999</v>
          </cell>
        </row>
        <row r="187">
          <cell r="AO187">
            <v>5.8080999999999996</v>
          </cell>
          <cell r="AP187">
            <v>5.3266</v>
          </cell>
        </row>
        <row r="188">
          <cell r="AO188">
            <v>6.0789</v>
          </cell>
          <cell r="AP188">
            <v>5.7478999999999996</v>
          </cell>
        </row>
        <row r="189">
          <cell r="AO189">
            <v>6.1417999999999999</v>
          </cell>
          <cell r="AP189">
            <v>5.8185000000000002</v>
          </cell>
        </row>
        <row r="190">
          <cell r="AO190">
            <v>6.1726000000000001</v>
          </cell>
          <cell r="AP190">
            <v>5.8493000000000004</v>
          </cell>
        </row>
        <row r="191">
          <cell r="AO191">
            <v>5.9725000000000001</v>
          </cell>
          <cell r="AP191">
            <v>5.6029999999999998</v>
          </cell>
        </row>
        <row r="192">
          <cell r="AO192">
            <v>5.6337999999999999</v>
          </cell>
          <cell r="AP192">
            <v>5.2182000000000004</v>
          </cell>
        </row>
        <row r="193">
          <cell r="AO193">
            <v>5.5876999999999999</v>
          </cell>
          <cell r="AP193">
            <v>5.2027999999999999</v>
          </cell>
        </row>
        <row r="194">
          <cell r="AO194">
            <v>5.6337999999999999</v>
          </cell>
          <cell r="AP194">
            <v>5.2644000000000002</v>
          </cell>
        </row>
        <row r="195">
          <cell r="AO195">
            <v>5.8338999999999999</v>
          </cell>
          <cell r="AP195">
            <v>5.4490999999999996</v>
          </cell>
        </row>
        <row r="196">
          <cell r="AO196">
            <v>5.8647</v>
          </cell>
          <cell r="AP196">
            <v>5.5106999999999999</v>
          </cell>
        </row>
        <row r="197">
          <cell r="AO197">
            <v>5.8800999999999997</v>
          </cell>
          <cell r="AP197">
            <v>5.3875000000000002</v>
          </cell>
        </row>
        <row r="198">
          <cell r="AO198">
            <v>5.9417</v>
          </cell>
          <cell r="AP198">
            <v>5.4337</v>
          </cell>
        </row>
        <row r="199">
          <cell r="AO199">
            <v>6.1109999999999998</v>
          </cell>
          <cell r="AP199">
            <v>5.6954000000000002</v>
          </cell>
        </row>
        <row r="200">
          <cell r="AO200">
            <v>6.4649999999999999</v>
          </cell>
          <cell r="AP200">
            <v>6.0956000000000001</v>
          </cell>
        </row>
        <row r="201">
          <cell r="AO201">
            <v>6.5193000000000003</v>
          </cell>
          <cell r="AP201">
            <v>6.1570999999999998</v>
          </cell>
        </row>
        <row r="202">
          <cell r="AO202">
            <v>6.5664999999999996</v>
          </cell>
          <cell r="AP202">
            <v>6.1727999999999996</v>
          </cell>
        </row>
        <row r="203">
          <cell r="AO203">
            <v>6.3146000000000004</v>
          </cell>
          <cell r="AP203">
            <v>5.8894000000000002</v>
          </cell>
        </row>
        <row r="204">
          <cell r="AO204">
            <v>5.9523999999999999</v>
          </cell>
          <cell r="AP204">
            <v>5.4012000000000002</v>
          </cell>
        </row>
        <row r="205">
          <cell r="AO205">
            <v>5.9523999999999999</v>
          </cell>
          <cell r="AP205">
            <v>5.4326999999999996</v>
          </cell>
        </row>
        <row r="206">
          <cell r="AO206">
            <v>6.0153999999999996</v>
          </cell>
          <cell r="AP206">
            <v>5.4641999999999999</v>
          </cell>
        </row>
        <row r="207">
          <cell r="AO207">
            <v>6.1727999999999996</v>
          </cell>
          <cell r="AP207">
            <v>5.6847000000000003</v>
          </cell>
        </row>
        <row r="208">
          <cell r="AO208">
            <v>6.2201000000000004</v>
          </cell>
          <cell r="AP208">
            <v>5.7633999999999999</v>
          </cell>
        </row>
        <row r="209">
          <cell r="AO209">
            <v>6.2042999999999999</v>
          </cell>
          <cell r="AP209">
            <v>5.6216999999999997</v>
          </cell>
        </row>
        <row r="210">
          <cell r="AO210">
            <v>6.2988</v>
          </cell>
          <cell r="AP210">
            <v>5.6847000000000003</v>
          </cell>
        </row>
        <row r="211">
          <cell r="AO211">
            <v>6.4562999999999997</v>
          </cell>
          <cell r="AP211">
            <v>5.9366000000000003</v>
          </cell>
        </row>
        <row r="212">
          <cell r="AO212">
            <v>6.8185000000000002</v>
          </cell>
          <cell r="AP212">
            <v>6.4720000000000004</v>
          </cell>
        </row>
        <row r="213">
          <cell r="AO213">
            <v>6.8879999999999999</v>
          </cell>
          <cell r="AP213">
            <v>6.3569000000000004</v>
          </cell>
        </row>
        <row r="214">
          <cell r="AO214">
            <v>6.9202000000000004</v>
          </cell>
          <cell r="AP214">
            <v>6.3730000000000002</v>
          </cell>
        </row>
        <row r="215">
          <cell r="AO215">
            <v>6.1638000000000002</v>
          </cell>
          <cell r="AP215">
            <v>5.6166</v>
          </cell>
        </row>
        <row r="216">
          <cell r="AO216">
            <v>5.6005000000000003</v>
          </cell>
          <cell r="AP216">
            <v>4.9729000000000001</v>
          </cell>
        </row>
        <row r="217">
          <cell r="AO217">
            <v>5.5843999999999996</v>
          </cell>
          <cell r="AP217">
            <v>4.9568000000000003</v>
          </cell>
        </row>
        <row r="218">
          <cell r="AO218">
            <v>5.6487999999999996</v>
          </cell>
          <cell r="AP218">
            <v>4.9729000000000001</v>
          </cell>
        </row>
        <row r="219">
          <cell r="AO219">
            <v>5.8258000000000001</v>
          </cell>
          <cell r="AP219">
            <v>5.1981999999999999</v>
          </cell>
        </row>
        <row r="220">
          <cell r="AO220">
            <v>5.8902000000000001</v>
          </cell>
          <cell r="AP220">
            <v>5.2304000000000004</v>
          </cell>
        </row>
        <row r="221">
          <cell r="AO221">
            <v>5.8418999999999999</v>
          </cell>
          <cell r="AP221">
            <v>5.0854999999999997</v>
          </cell>
        </row>
        <row r="222">
          <cell r="AO222">
            <v>5.8741000000000003</v>
          </cell>
          <cell r="AP222">
            <v>5.0854999999999997</v>
          </cell>
        </row>
        <row r="223">
          <cell r="AO223">
            <v>6.0189000000000004</v>
          </cell>
          <cell r="AP223">
            <v>5.2625999999999999</v>
          </cell>
        </row>
        <row r="224">
          <cell r="AO224">
            <v>6.4051999999999998</v>
          </cell>
          <cell r="AP224">
            <v>5.7454000000000001</v>
          </cell>
        </row>
        <row r="225">
          <cell r="AO225">
            <v>6.4474</v>
          </cell>
          <cell r="AP225">
            <v>5.7895000000000003</v>
          </cell>
        </row>
        <row r="226">
          <cell r="AO226">
            <v>6.4802999999999997</v>
          </cell>
          <cell r="AP226">
            <v>5.8552999999999997</v>
          </cell>
        </row>
        <row r="227">
          <cell r="AO227">
            <v>6.1677999999999997</v>
          </cell>
          <cell r="AP227">
            <v>5.5099</v>
          </cell>
        </row>
        <row r="228">
          <cell r="AO228">
            <v>5.7565999999999997</v>
          </cell>
          <cell r="AP228">
            <v>5.0658000000000003</v>
          </cell>
        </row>
        <row r="229">
          <cell r="AO229">
            <v>5.7401999999999997</v>
          </cell>
          <cell r="AP229">
            <v>5.0494000000000003</v>
          </cell>
        </row>
        <row r="230">
          <cell r="AO230">
            <v>5.8224</v>
          </cell>
          <cell r="AP230">
            <v>5.1151999999999997</v>
          </cell>
        </row>
        <row r="231">
          <cell r="AO231">
            <v>6.0856000000000003</v>
          </cell>
          <cell r="AP231">
            <v>5.3619000000000003</v>
          </cell>
        </row>
        <row r="232">
          <cell r="AO232">
            <v>6.1349</v>
          </cell>
          <cell r="AP232">
            <v>5.4112</v>
          </cell>
        </row>
        <row r="233">
          <cell r="AO233">
            <v>6.0690999999999997</v>
          </cell>
          <cell r="AP233">
            <v>5.2138999999999998</v>
          </cell>
        </row>
        <row r="234">
          <cell r="AO234">
            <v>6.1020000000000003</v>
          </cell>
          <cell r="AP234">
            <v>5.2302999999999997</v>
          </cell>
        </row>
        <row r="235">
          <cell r="AO235">
            <v>6.2664999999999997</v>
          </cell>
          <cell r="AP235">
            <v>5.3948</v>
          </cell>
        </row>
        <row r="236">
          <cell r="AO236">
            <v>6.7270000000000003</v>
          </cell>
          <cell r="AP236">
            <v>5.8718000000000004</v>
          </cell>
        </row>
        <row r="237">
          <cell r="AO237">
            <v>6.7808000000000002</v>
          </cell>
          <cell r="AP237">
            <v>5.9226999999999999</v>
          </cell>
        </row>
        <row r="238">
          <cell r="AO238">
            <v>6.8144</v>
          </cell>
          <cell r="AP238">
            <v>5.9732000000000003</v>
          </cell>
        </row>
        <row r="239">
          <cell r="AO239">
            <v>6.4947999999999997</v>
          </cell>
          <cell r="AP239">
            <v>5.6365999999999996</v>
          </cell>
        </row>
        <row r="240">
          <cell r="AO240">
            <v>6.1078000000000001</v>
          </cell>
          <cell r="AP240">
            <v>5.3506</v>
          </cell>
        </row>
        <row r="241">
          <cell r="AO241">
            <v>6.1414</v>
          </cell>
          <cell r="AP241">
            <v>5.3673999999999999</v>
          </cell>
        </row>
        <row r="242">
          <cell r="AO242">
            <v>6.1919000000000004</v>
          </cell>
          <cell r="AP242">
            <v>5.4851999999999999</v>
          </cell>
        </row>
        <row r="243">
          <cell r="AO243">
            <v>6.4779</v>
          </cell>
          <cell r="AP243">
            <v>5.7207999999999997</v>
          </cell>
        </row>
        <row r="244">
          <cell r="AO244">
            <v>6.5452000000000004</v>
          </cell>
          <cell r="AP244">
            <v>5.7544000000000004</v>
          </cell>
        </row>
        <row r="245">
          <cell r="AO245">
            <v>6.4779</v>
          </cell>
          <cell r="AP245">
            <v>5.5189000000000004</v>
          </cell>
        </row>
        <row r="246">
          <cell r="AO246">
            <v>6.5284000000000004</v>
          </cell>
          <cell r="AP246">
            <v>5.5019999999999998</v>
          </cell>
        </row>
        <row r="247">
          <cell r="AO247">
            <v>6.7134999999999998</v>
          </cell>
          <cell r="AP247">
            <v>5.8048999999999999</v>
          </cell>
        </row>
        <row r="248">
          <cell r="AO248">
            <v>7.2013999999999996</v>
          </cell>
          <cell r="AP248">
            <v>6.3265000000000002</v>
          </cell>
        </row>
        <row r="249">
          <cell r="AO249">
            <v>7.2465999999999999</v>
          </cell>
          <cell r="AP249">
            <v>6.3514999999999997</v>
          </cell>
        </row>
        <row r="250">
          <cell r="AO250">
            <v>7.2981999999999996</v>
          </cell>
          <cell r="AP250">
            <v>6.3859000000000004</v>
          </cell>
        </row>
        <row r="251">
          <cell r="AO251">
            <v>6.9711999999999996</v>
          </cell>
          <cell r="AP251">
            <v>6.0761000000000003</v>
          </cell>
        </row>
        <row r="252">
          <cell r="AO252">
            <v>6.5925000000000002</v>
          </cell>
          <cell r="AP252">
            <v>5.8178999999999998</v>
          </cell>
        </row>
        <row r="253">
          <cell r="AO253">
            <v>6.6269</v>
          </cell>
          <cell r="AP253">
            <v>5.8350999999999997</v>
          </cell>
        </row>
        <row r="254">
          <cell r="AO254">
            <v>6.6958000000000002</v>
          </cell>
          <cell r="AP254">
            <v>5.9211999999999998</v>
          </cell>
        </row>
        <row r="255">
          <cell r="AO255">
            <v>7.0056000000000003</v>
          </cell>
          <cell r="AP255">
            <v>6.2481999999999998</v>
          </cell>
        </row>
        <row r="256">
          <cell r="AO256">
            <v>7.0744999999999996</v>
          </cell>
          <cell r="AP256">
            <v>6.2827000000000002</v>
          </cell>
        </row>
        <row r="257">
          <cell r="AO257">
            <v>7.0056000000000003</v>
          </cell>
          <cell r="AP257">
            <v>6.0244999999999997</v>
          </cell>
        </row>
        <row r="258">
          <cell r="AO258">
            <v>7.0571999999999999</v>
          </cell>
          <cell r="AP258">
            <v>6.0589000000000004</v>
          </cell>
        </row>
        <row r="259">
          <cell r="AO259">
            <v>7.2122000000000002</v>
          </cell>
          <cell r="AP259">
            <v>6.3170999999999999</v>
          </cell>
        </row>
        <row r="260">
          <cell r="AO260">
            <v>7.7629999999999999</v>
          </cell>
          <cell r="AP260">
            <v>6.8163</v>
          </cell>
        </row>
        <row r="261">
          <cell r="AO261">
            <v>7.8182999999999998</v>
          </cell>
          <cell r="AP261">
            <v>6.8498000000000001</v>
          </cell>
        </row>
        <row r="262">
          <cell r="AO262">
            <v>7.8711000000000002</v>
          </cell>
          <cell r="AP262">
            <v>6.8498000000000001</v>
          </cell>
        </row>
        <row r="263">
          <cell r="AO263">
            <v>7.4309000000000003</v>
          </cell>
          <cell r="AP263">
            <v>6.4976000000000003</v>
          </cell>
        </row>
        <row r="264">
          <cell r="AO264">
            <v>7.0259</v>
          </cell>
          <cell r="AP264">
            <v>6.1982999999999997</v>
          </cell>
        </row>
        <row r="265">
          <cell r="AO265">
            <v>7.0610999999999997</v>
          </cell>
          <cell r="AP265">
            <v>6.2159000000000004</v>
          </cell>
        </row>
        <row r="266">
          <cell r="AO266">
            <v>7.1139000000000001</v>
          </cell>
          <cell r="AP266">
            <v>6.3391000000000002</v>
          </cell>
        </row>
        <row r="267">
          <cell r="AO267">
            <v>7.4485000000000001</v>
          </cell>
          <cell r="AP267">
            <v>6.6561000000000003</v>
          </cell>
        </row>
        <row r="268">
          <cell r="AO268">
            <v>7.5365000000000002</v>
          </cell>
          <cell r="AP268">
            <v>6.7969999999999997</v>
          </cell>
        </row>
        <row r="269">
          <cell r="AO269">
            <v>7.4661</v>
          </cell>
          <cell r="AP269">
            <v>6.6737000000000002</v>
          </cell>
        </row>
        <row r="270">
          <cell r="AO270">
            <v>7.5189000000000004</v>
          </cell>
          <cell r="AP270">
            <v>6.7264999999999997</v>
          </cell>
        </row>
        <row r="271">
          <cell r="AO271">
            <v>7.7477999999999998</v>
          </cell>
          <cell r="AP271">
            <v>6.8498000000000001</v>
          </cell>
        </row>
        <row r="272">
          <cell r="AO272">
            <v>8.2408999999999999</v>
          </cell>
          <cell r="AP272">
            <v>7.2724000000000002</v>
          </cell>
        </row>
        <row r="273">
          <cell r="AO273">
            <v>8.3042999999999996</v>
          </cell>
          <cell r="AP273">
            <v>7.3315999999999999</v>
          </cell>
        </row>
        <row r="274">
          <cell r="AO274">
            <v>8.3402999999999992</v>
          </cell>
          <cell r="AP274">
            <v>7.3136000000000001</v>
          </cell>
        </row>
        <row r="275">
          <cell r="AO275">
            <v>7.7638999999999996</v>
          </cell>
          <cell r="AP275">
            <v>6.8452000000000002</v>
          </cell>
        </row>
        <row r="276">
          <cell r="AO276">
            <v>7.2415000000000003</v>
          </cell>
          <cell r="AP276">
            <v>6.4668999999999999</v>
          </cell>
        </row>
        <row r="277">
          <cell r="AO277">
            <v>7.2774999999999999</v>
          </cell>
          <cell r="AP277">
            <v>6.4668999999999999</v>
          </cell>
        </row>
        <row r="278">
          <cell r="AO278">
            <v>7.3315999999999999</v>
          </cell>
          <cell r="AP278">
            <v>6.5209999999999999</v>
          </cell>
        </row>
        <row r="279">
          <cell r="AO279">
            <v>7.6558000000000002</v>
          </cell>
          <cell r="AP279">
            <v>6.8811999999999998</v>
          </cell>
        </row>
        <row r="280">
          <cell r="AO280">
            <v>7.7279</v>
          </cell>
          <cell r="AP280">
            <v>6.9352999999999998</v>
          </cell>
        </row>
        <row r="281">
          <cell r="AO281">
            <v>7.6197999999999997</v>
          </cell>
          <cell r="AP281">
            <v>6.7191000000000001</v>
          </cell>
        </row>
        <row r="282">
          <cell r="AO282">
            <v>7.6917999999999997</v>
          </cell>
          <cell r="AP282">
            <v>6.6470000000000002</v>
          </cell>
        </row>
        <row r="283">
          <cell r="AO283">
            <v>7.89</v>
          </cell>
          <cell r="AP283">
            <v>6.9532999999999996</v>
          </cell>
        </row>
        <row r="284">
          <cell r="AO284">
            <v>8.4123999999999999</v>
          </cell>
          <cell r="AP284">
            <v>7.4036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ended Forecast"/>
    </sheetNames>
    <sheetDataSet>
      <sheetData sheetId="0">
        <row r="15">
          <cell r="D15">
            <v>3.2000000000000001E-2</v>
          </cell>
        </row>
        <row r="16">
          <cell r="D16">
            <v>2.9000000000000001E-2</v>
          </cell>
        </row>
        <row r="17">
          <cell r="D17">
            <v>0.03</v>
          </cell>
        </row>
        <row r="18">
          <cell r="D18">
            <v>3.0000000000000001E-3</v>
          </cell>
        </row>
        <row r="19">
          <cell r="D19">
            <v>1.2999999999999999E-2</v>
          </cell>
        </row>
        <row r="20">
          <cell r="D20">
            <v>2.5999999999999999E-2</v>
          </cell>
        </row>
        <row r="21">
          <cell r="D21">
            <v>0.02</v>
          </cell>
        </row>
        <row r="22">
          <cell r="D22">
            <v>1.4999999999999999E-2</v>
          </cell>
        </row>
        <row r="23">
          <cell r="D23">
            <v>1.7000000000000001E-2</v>
          </cell>
        </row>
        <row r="24">
          <cell r="D24">
            <v>6.0000000000000001E-3</v>
          </cell>
        </row>
        <row r="25">
          <cell r="D25">
            <v>1.2999999999999999E-2</v>
          </cell>
        </row>
        <row r="26">
          <cell r="D26">
            <v>1.9E-2</v>
          </cell>
        </row>
        <row r="27">
          <cell r="D27">
            <v>1.7999999999999999E-2</v>
          </cell>
        </row>
        <row r="28">
          <cell r="D28">
            <v>2.3E-2</v>
          </cell>
        </row>
        <row r="29">
          <cell r="D29">
            <v>2.5999999999999999E-2</v>
          </cell>
        </row>
        <row r="30">
          <cell r="D30">
            <v>2.4E-2</v>
          </cell>
        </row>
        <row r="31">
          <cell r="D31">
            <v>2.3E-2</v>
          </cell>
        </row>
        <row r="32">
          <cell r="D32">
            <v>2.3E-2</v>
          </cell>
        </row>
        <row r="33">
          <cell r="D33">
            <v>2.3E-2</v>
          </cell>
        </row>
        <row r="34">
          <cell r="D34">
            <v>2.3E-2</v>
          </cell>
        </row>
        <row r="35">
          <cell r="D35">
            <v>2.1999999999999999E-2</v>
          </cell>
        </row>
        <row r="36">
          <cell r="D36">
            <v>2.1999999999999999E-2</v>
          </cell>
        </row>
        <row r="37">
          <cell r="D37">
            <v>2.1999999999999999E-2</v>
          </cell>
        </row>
        <row r="38">
          <cell r="D38">
            <v>2.1999999999999999E-2</v>
          </cell>
        </row>
        <row r="39">
          <cell r="D39">
            <v>2.1999999999999999E-2</v>
          </cell>
        </row>
        <row r="40">
          <cell r="D40">
            <v>2.1999999999999999E-2</v>
          </cell>
        </row>
        <row r="41">
          <cell r="D41">
            <v>2.1999999999999999E-2</v>
          </cell>
        </row>
        <row r="42">
          <cell r="D42">
            <v>2.1999999999999999E-2</v>
          </cell>
        </row>
        <row r="43">
          <cell r="D43">
            <v>2.1999999999999999E-2</v>
          </cell>
        </row>
        <row r="44">
          <cell r="D44">
            <v>2.1999999999999999E-2</v>
          </cell>
        </row>
        <row r="45">
          <cell r="D45">
            <v>2.1999999999999999E-2</v>
          </cell>
        </row>
        <row r="46">
          <cell r="D46">
            <v>2.1999999999999999E-2</v>
          </cell>
        </row>
        <row r="47">
          <cell r="D47">
            <v>2.1999999999999999E-2</v>
          </cell>
        </row>
        <row r="48">
          <cell r="D48">
            <v>2.1999999999999999E-2</v>
          </cell>
        </row>
        <row r="49">
          <cell r="D49">
            <v>2.1999999999999999E-2</v>
          </cell>
        </row>
        <row r="50">
          <cell r="D50">
            <v>2.1999999999999999E-2</v>
          </cell>
        </row>
        <row r="51">
          <cell r="D51">
            <v>2.1999999999999999E-2</v>
          </cell>
        </row>
        <row r="52">
          <cell r="D52">
            <v>2.3E-2</v>
          </cell>
        </row>
        <row r="53">
          <cell r="D53">
            <v>2.3E-2</v>
          </cell>
        </row>
        <row r="54">
          <cell r="D54">
            <v>2.3E-2</v>
          </cell>
        </row>
        <row r="55">
          <cell r="D55">
            <v>2.3E-2</v>
          </cell>
        </row>
        <row r="56">
          <cell r="D56">
            <v>2.1999999999999999E-2</v>
          </cell>
        </row>
        <row r="57">
          <cell r="D57">
            <v>2.1999999999999999E-2</v>
          </cell>
        </row>
        <row r="58">
          <cell r="D58">
            <v>2.1999999999999999E-2</v>
          </cell>
        </row>
        <row r="59">
          <cell r="D59">
            <v>2.1999999999999999E-2</v>
          </cell>
        </row>
        <row r="60">
          <cell r="D60">
            <v>2.1999999999999999E-2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ended Forecast"/>
    </sheetNames>
    <sheetDataSet>
      <sheetData sheetId="0">
        <row r="9">
          <cell r="B9" t="str">
            <v>2000</v>
          </cell>
        </row>
        <row r="15">
          <cell r="K15">
            <v>3.2000000000000001E-2</v>
          </cell>
        </row>
        <row r="16">
          <cell r="K16">
            <v>2.9000000000000001E-2</v>
          </cell>
        </row>
        <row r="17">
          <cell r="K17">
            <v>0.03</v>
          </cell>
        </row>
        <row r="18">
          <cell r="K18">
            <v>3.0000000000000001E-3</v>
          </cell>
        </row>
        <row r="19">
          <cell r="K19">
            <v>1.2999999999999999E-2</v>
          </cell>
        </row>
        <row r="20">
          <cell r="K20">
            <v>2.5999999999999999E-2</v>
          </cell>
        </row>
        <row r="21">
          <cell r="K21">
            <v>0.02</v>
          </cell>
        </row>
        <row r="22">
          <cell r="K22">
            <v>1.4999999999999999E-2</v>
          </cell>
        </row>
        <row r="23">
          <cell r="K23">
            <v>1.7000000000000001E-2</v>
          </cell>
        </row>
        <row r="24">
          <cell r="K24">
            <v>6.0000000000000001E-3</v>
          </cell>
        </row>
        <row r="25">
          <cell r="K25">
            <v>1.2E-2</v>
          </cell>
        </row>
        <row r="26">
          <cell r="K26">
            <v>0.02</v>
          </cell>
        </row>
        <row r="27">
          <cell r="K27">
            <v>2.4E-2</v>
          </cell>
        </row>
        <row r="28">
          <cell r="K28">
            <v>1.9E-2</v>
          </cell>
        </row>
        <row r="29">
          <cell r="K29">
            <v>2.5000000000000001E-2</v>
          </cell>
        </row>
        <row r="30">
          <cell r="K30">
            <v>2.4E-2</v>
          </cell>
        </row>
        <row r="31">
          <cell r="K31">
            <v>2.4E-2</v>
          </cell>
        </row>
        <row r="32">
          <cell r="K32">
            <v>2.4E-2</v>
          </cell>
        </row>
        <row r="33">
          <cell r="K33">
            <v>2.3E-2</v>
          </cell>
        </row>
        <row r="34">
          <cell r="K34">
            <v>2.1999999999999999E-2</v>
          </cell>
        </row>
        <row r="35">
          <cell r="K35">
            <v>2.1999999999999999E-2</v>
          </cell>
        </row>
        <row r="36">
          <cell r="K36">
            <v>2.1999999999999999E-2</v>
          </cell>
        </row>
        <row r="37">
          <cell r="K37">
            <v>2.1999999999999999E-2</v>
          </cell>
        </row>
        <row r="38">
          <cell r="K38">
            <v>2.1999999999999999E-2</v>
          </cell>
        </row>
        <row r="39">
          <cell r="K39">
            <v>2.1999999999999999E-2</v>
          </cell>
        </row>
        <row r="40">
          <cell r="K40">
            <v>2.1999999999999999E-2</v>
          </cell>
        </row>
        <row r="41">
          <cell r="K41">
            <v>2.1000000000000001E-2</v>
          </cell>
        </row>
        <row r="42">
          <cell r="K42">
            <v>2.1000000000000001E-2</v>
          </cell>
        </row>
        <row r="43">
          <cell r="K43">
            <v>2.1000000000000001E-2</v>
          </cell>
        </row>
        <row r="44">
          <cell r="K44">
            <v>2.1000000000000001E-2</v>
          </cell>
        </row>
        <row r="45">
          <cell r="K45">
            <v>2.1000000000000001E-2</v>
          </cell>
        </row>
        <row r="46">
          <cell r="K46">
            <v>2.1000000000000001E-2</v>
          </cell>
        </row>
        <row r="47">
          <cell r="K47">
            <v>2.1000000000000001E-2</v>
          </cell>
        </row>
        <row r="48">
          <cell r="K48">
            <v>2.1000000000000001E-2</v>
          </cell>
        </row>
        <row r="49">
          <cell r="K49">
            <v>2.1000000000000001E-2</v>
          </cell>
        </row>
        <row r="50">
          <cell r="K50">
            <v>2.1000000000000001E-2</v>
          </cell>
        </row>
        <row r="51">
          <cell r="K51">
            <v>2.1999999999999999E-2</v>
          </cell>
        </row>
        <row r="52">
          <cell r="K52">
            <v>2.1999999999999999E-2</v>
          </cell>
        </row>
        <row r="53">
          <cell r="K53">
            <v>2.1999999999999999E-2</v>
          </cell>
        </row>
        <row r="54">
          <cell r="K54">
            <v>2.1999999999999999E-2</v>
          </cell>
        </row>
        <row r="55">
          <cell r="K55">
            <v>2.1999999999999999E-2</v>
          </cell>
        </row>
        <row r="56">
          <cell r="K56">
            <v>2.1999999999999999E-2</v>
          </cell>
        </row>
        <row r="57">
          <cell r="K57">
            <v>2.1999999999999999E-2</v>
          </cell>
        </row>
        <row r="58">
          <cell r="K58">
            <v>2.1999999999999999E-2</v>
          </cell>
        </row>
        <row r="59">
          <cell r="K59">
            <v>2.1999999999999999E-2</v>
          </cell>
        </row>
        <row r="60">
          <cell r="K60">
            <v>2.1999999999999999E-2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for NPC"/>
    </sheetNames>
    <sheetDataSet>
      <sheetData sheetId="0">
        <row r="3">
          <cell r="L3">
            <v>100.5</v>
          </cell>
        </row>
        <row r="6">
          <cell r="L6">
            <v>0.27084213635021243</v>
          </cell>
        </row>
        <row r="13">
          <cell r="L13">
            <v>238484</v>
          </cell>
        </row>
        <row r="14">
          <cell r="L14">
            <v>238444</v>
          </cell>
        </row>
        <row r="15">
          <cell r="L15">
            <v>238444</v>
          </cell>
        </row>
        <row r="16">
          <cell r="L16">
            <v>238444</v>
          </cell>
        </row>
        <row r="17">
          <cell r="L17">
            <v>238484</v>
          </cell>
        </row>
        <row r="18">
          <cell r="L18">
            <v>238444</v>
          </cell>
        </row>
        <row r="19">
          <cell r="L19">
            <v>238444</v>
          </cell>
        </row>
        <row r="20">
          <cell r="L20">
            <v>238444</v>
          </cell>
        </row>
        <row r="21">
          <cell r="L21">
            <v>238484</v>
          </cell>
        </row>
        <row r="22">
          <cell r="L22">
            <v>238444</v>
          </cell>
        </row>
        <row r="23">
          <cell r="L23">
            <v>238444</v>
          </cell>
        </row>
        <row r="24">
          <cell r="L24">
            <v>238444</v>
          </cell>
        </row>
        <row r="25">
          <cell r="L25">
            <v>238484</v>
          </cell>
        </row>
        <row r="26">
          <cell r="L26">
            <v>238444</v>
          </cell>
        </row>
        <row r="27">
          <cell r="L27">
            <v>238444</v>
          </cell>
        </row>
        <row r="28">
          <cell r="L28">
            <v>238444</v>
          </cell>
        </row>
        <row r="29">
          <cell r="L29">
            <v>238901</v>
          </cell>
        </row>
        <row r="30">
          <cell r="L30">
            <v>238901</v>
          </cell>
        </row>
        <row r="31">
          <cell r="L31">
            <v>238901</v>
          </cell>
        </row>
        <row r="32">
          <cell r="L32">
            <v>238901</v>
          </cell>
        </row>
        <row r="33">
          <cell r="L33">
            <v>238901</v>
          </cell>
        </row>
        <row r="34">
          <cell r="L34">
            <v>238901</v>
          </cell>
        </row>
        <row r="35">
          <cell r="L35">
            <v>238901</v>
          </cell>
        </row>
        <row r="36">
          <cell r="L36">
            <v>238901</v>
          </cell>
        </row>
        <row r="37">
          <cell r="L37">
            <v>238901</v>
          </cell>
        </row>
        <row r="38">
          <cell r="L38">
            <v>238901</v>
          </cell>
        </row>
        <row r="39">
          <cell r="L39">
            <v>238901</v>
          </cell>
        </row>
        <row r="40">
          <cell r="L40">
            <v>238901</v>
          </cell>
        </row>
        <row r="41">
          <cell r="L41">
            <v>238901</v>
          </cell>
        </row>
        <row r="42">
          <cell r="L42">
            <v>218394.24294171217</v>
          </cell>
        </row>
        <row r="49">
          <cell r="L49">
            <v>6.186011478772981</v>
          </cell>
        </row>
        <row r="50">
          <cell r="L50">
            <v>75.642548362436017</v>
          </cell>
        </row>
        <row r="51">
          <cell r="L51">
            <v>77.079756781322303</v>
          </cell>
        </row>
        <row r="52">
          <cell r="L52">
            <v>78.544272160167424</v>
          </cell>
        </row>
        <row r="53">
          <cell r="L53">
            <v>80.036613331210589</v>
          </cell>
        </row>
        <row r="54">
          <cell r="L54">
            <v>81.557308984503607</v>
          </cell>
        </row>
        <row r="55">
          <cell r="L55">
            <v>83.106897855209155</v>
          </cell>
        </row>
        <row r="56">
          <cell r="L56">
            <v>84.685928914458131</v>
          </cell>
        </row>
        <row r="57">
          <cell r="L57">
            <v>86.294961563832828</v>
          </cell>
        </row>
        <row r="58">
          <cell r="L58">
            <v>87.934565833545648</v>
          </cell>
        </row>
        <row r="59">
          <cell r="L59">
            <v>89.605322584383003</v>
          </cell>
        </row>
        <row r="60">
          <cell r="L60">
            <v>91.307823713486286</v>
          </cell>
        </row>
        <row r="61">
          <cell r="L61">
            <v>93.042672364042517</v>
          </cell>
        </row>
        <row r="62">
          <cell r="L62">
            <v>94.810483138959341</v>
          </cell>
        </row>
        <row r="63">
          <cell r="L63">
            <v>96.611882318599555</v>
          </cell>
        </row>
        <row r="64">
          <cell r="L64">
            <v>98.447508082652945</v>
          </cell>
        </row>
        <row r="65">
          <cell r="L65">
            <v>100.31801073622334</v>
          </cell>
        </row>
        <row r="66">
          <cell r="L66">
            <v>102.22405294021156</v>
          </cell>
        </row>
        <row r="67">
          <cell r="L67">
            <v>104.1663099460756</v>
          </cell>
        </row>
        <row r="68">
          <cell r="L68">
            <v>106.14546983505102</v>
          </cell>
        </row>
        <row r="69">
          <cell r="L69">
            <v>108.16223376191699</v>
          </cell>
        </row>
        <row r="70">
          <cell r="L70">
            <v>110.21731620339342</v>
          </cell>
        </row>
        <row r="71">
          <cell r="L71">
            <v>112.31144521125788</v>
          </cell>
        </row>
        <row r="72">
          <cell r="L72">
            <v>114.44536267027178</v>
          </cell>
        </row>
        <row r="73">
          <cell r="L73">
            <v>116.61982456100694</v>
          </cell>
        </row>
        <row r="74">
          <cell r="L74">
            <v>118.83560122766605</v>
          </cell>
        </row>
        <row r="75">
          <cell r="L75">
            <v>121.0934776509917</v>
          </cell>
        </row>
        <row r="76">
          <cell r="L76">
            <v>123.39425372636053</v>
          </cell>
        </row>
        <row r="77">
          <cell r="L77">
            <v>125.73874454716137</v>
          </cell>
        </row>
        <row r="78">
          <cell r="L78">
            <v>128.12778069355747</v>
          </cell>
        </row>
        <row r="79">
          <cell r="L79">
            <v>119.68202448284046</v>
          </cell>
        </row>
        <row r="86">
          <cell r="M86">
            <v>1.6105570387117911</v>
          </cell>
        </row>
        <row r="87">
          <cell r="M87">
            <v>2.222548469383288</v>
          </cell>
        </row>
        <row r="88">
          <cell r="M88">
            <v>2.2696713549636556</v>
          </cell>
        </row>
        <row r="89">
          <cell r="M89">
            <v>2.3218737961278193</v>
          </cell>
        </row>
        <row r="90">
          <cell r="M90">
            <v>2.3752768934387585</v>
          </cell>
        </row>
        <row r="91">
          <cell r="M91">
            <v>2.4365655448974057</v>
          </cell>
        </row>
        <row r="92">
          <cell r="M92">
            <v>2.4833662437515831</v>
          </cell>
        </row>
        <row r="93">
          <cell r="M93">
            <v>2.5380003011141175</v>
          </cell>
        </row>
        <row r="94">
          <cell r="M94">
            <v>2.5938363077386275</v>
          </cell>
        </row>
        <row r="95">
          <cell r="M95">
            <v>2.6581634481705465</v>
          </cell>
        </row>
        <row r="96">
          <cell r="M96">
            <v>2.7065696213455639</v>
          </cell>
        </row>
        <row r="97">
          <cell r="M97">
            <v>2.7661141530151663</v>
          </cell>
        </row>
        <row r="98">
          <cell r="M98">
            <v>2.8269686643815</v>
          </cell>
        </row>
        <row r="99">
          <cell r="M99">
            <v>2.8970774872581617</v>
          </cell>
        </row>
        <row r="100">
          <cell r="M100">
            <v>2.952723538447847</v>
          </cell>
        </row>
        <row r="101">
          <cell r="M101">
            <v>3.0176834562937001</v>
          </cell>
        </row>
        <row r="102">
          <cell r="M102">
            <v>3.0840724923321612</v>
          </cell>
        </row>
        <row r="103">
          <cell r="M103">
            <v>3.1605574901419988</v>
          </cell>
        </row>
        <row r="104">
          <cell r="M104">
            <v>3.2212643730810648</v>
          </cell>
        </row>
        <row r="105">
          <cell r="M105">
            <v>3.2953534536619293</v>
          </cell>
        </row>
        <row r="106">
          <cell r="M106">
            <v>3.3711465830961536</v>
          </cell>
        </row>
        <row r="107">
          <cell r="M107">
            <v>3.4581314009580693</v>
          </cell>
        </row>
        <row r="108">
          <cell r="M108">
            <v>3.5280026624610334</v>
          </cell>
        </row>
        <row r="109">
          <cell r="M109">
            <v>3.6091467236976369</v>
          </cell>
        </row>
        <row r="110">
          <cell r="M110">
            <v>3.6921570983426824</v>
          </cell>
        </row>
        <row r="111">
          <cell r="M111">
            <v>3.7874248669788226</v>
          </cell>
        </row>
        <row r="112">
          <cell r="M112">
            <v>3.8639494759714688</v>
          </cell>
        </row>
        <row r="113">
          <cell r="M113">
            <v>3.9528203139188123</v>
          </cell>
        </row>
        <row r="114">
          <cell r="M114">
            <v>4.0437351811389437</v>
          </cell>
        </row>
        <row r="115">
          <cell r="M115">
            <v>4.1480746275388523</v>
          </cell>
        </row>
        <row r="116">
          <cell r="M116">
            <v>3.8792289574336447</v>
          </cell>
        </row>
        <row r="160">
          <cell r="L160">
            <v>0.60999999999999988</v>
          </cell>
        </row>
        <row r="161">
          <cell r="L161">
            <v>0.63</v>
          </cell>
        </row>
        <row r="162">
          <cell r="L162">
            <v>0.6399999999999999</v>
          </cell>
        </row>
        <row r="163">
          <cell r="L163">
            <v>0.66</v>
          </cell>
        </row>
        <row r="164">
          <cell r="L164">
            <v>0.67</v>
          </cell>
        </row>
        <row r="165">
          <cell r="L165">
            <v>0.69</v>
          </cell>
        </row>
        <row r="166">
          <cell r="L166">
            <v>0.69999999999999984</v>
          </cell>
        </row>
        <row r="167">
          <cell r="L167">
            <v>0.72</v>
          </cell>
        </row>
        <row r="168">
          <cell r="L168">
            <v>0.74</v>
          </cell>
        </row>
        <row r="169">
          <cell r="L169">
            <v>0.75000000000000011</v>
          </cell>
        </row>
        <row r="170">
          <cell r="L170">
            <v>0.76999999999999991</v>
          </cell>
        </row>
        <row r="171">
          <cell r="L171">
            <v>0.78</v>
          </cell>
        </row>
        <row r="172">
          <cell r="L172">
            <v>0.8</v>
          </cell>
        </row>
        <row r="173">
          <cell r="L173">
            <v>0.82</v>
          </cell>
        </row>
        <row r="174">
          <cell r="L174">
            <v>0.84000000000000008</v>
          </cell>
        </row>
        <row r="175">
          <cell r="L175">
            <v>0.85999999999999988</v>
          </cell>
        </row>
        <row r="176">
          <cell r="L176">
            <v>0.86999999999999988</v>
          </cell>
        </row>
        <row r="177">
          <cell r="L177">
            <v>0.89000000000000024</v>
          </cell>
        </row>
        <row r="178">
          <cell r="L178">
            <v>0.91000000000000025</v>
          </cell>
        </row>
        <row r="179">
          <cell r="L179">
            <v>0.92999999999999994</v>
          </cell>
        </row>
        <row r="180">
          <cell r="L180">
            <v>0.95999999999999985</v>
          </cell>
        </row>
        <row r="181">
          <cell r="L181">
            <v>0.9800000000000002</v>
          </cell>
        </row>
        <row r="182">
          <cell r="L182">
            <v>1</v>
          </cell>
        </row>
        <row r="183">
          <cell r="L183">
            <v>1.0199999999999998</v>
          </cell>
        </row>
        <row r="184">
          <cell r="L184">
            <v>1.05</v>
          </cell>
        </row>
        <row r="185">
          <cell r="L185">
            <v>1.0700000000000003</v>
          </cell>
        </row>
        <row r="186">
          <cell r="L186">
            <v>1.1000000000000001</v>
          </cell>
        </row>
        <row r="187">
          <cell r="L187">
            <v>1.1200000000000001</v>
          </cell>
        </row>
        <row r="188">
          <cell r="L188">
            <v>1.1499999999999997</v>
          </cell>
        </row>
        <row r="189">
          <cell r="L189">
            <v>1.17</v>
          </cell>
        </row>
        <row r="190">
          <cell r="L190">
            <v>1.2000000000000002</v>
          </cell>
        </row>
        <row r="197">
          <cell r="L197">
            <v>-4.5124346875317691</v>
          </cell>
        </row>
        <row r="198">
          <cell r="L198">
            <v>-40.290737965156566</v>
          </cell>
        </row>
        <row r="199">
          <cell r="L199">
            <v>-41.902367483762823</v>
          </cell>
        </row>
        <row r="200">
          <cell r="L200">
            <v>-41.902367483762823</v>
          </cell>
        </row>
        <row r="201">
          <cell r="L201">
            <v>-43.513997002369095</v>
          </cell>
        </row>
        <row r="202">
          <cell r="L202">
            <v>-43.513997002369088</v>
          </cell>
        </row>
        <row r="203">
          <cell r="L203">
            <v>-45.125626520975359</v>
          </cell>
        </row>
        <row r="204">
          <cell r="L204">
            <v>-46.737256039581631</v>
          </cell>
        </row>
        <row r="205">
          <cell r="L205">
            <v>-46.737256039581631</v>
          </cell>
        </row>
        <row r="206">
          <cell r="L206">
            <v>-48.348885558187881</v>
          </cell>
        </row>
        <row r="207">
          <cell r="L207">
            <v>-48.348885558187881</v>
          </cell>
        </row>
        <row r="208">
          <cell r="L208">
            <v>0</v>
          </cell>
        </row>
        <row r="209">
          <cell r="L209">
            <v>0</v>
          </cell>
        </row>
        <row r="210">
          <cell r="L210">
            <v>0</v>
          </cell>
        </row>
        <row r="211">
          <cell r="L211">
            <v>0</v>
          </cell>
        </row>
        <row r="212">
          <cell r="L212">
            <v>0</v>
          </cell>
        </row>
        <row r="213">
          <cell r="L213">
            <v>0</v>
          </cell>
        </row>
        <row r="214">
          <cell r="L214">
            <v>0</v>
          </cell>
        </row>
        <row r="215">
          <cell r="L215">
            <v>0</v>
          </cell>
        </row>
        <row r="216">
          <cell r="L216">
            <v>0</v>
          </cell>
        </row>
        <row r="217">
          <cell r="L217">
            <v>0</v>
          </cell>
        </row>
        <row r="218">
          <cell r="L218">
            <v>0</v>
          </cell>
        </row>
        <row r="219">
          <cell r="L219">
            <v>0</v>
          </cell>
        </row>
        <row r="220">
          <cell r="L220">
            <v>0</v>
          </cell>
        </row>
        <row r="221">
          <cell r="L221">
            <v>0</v>
          </cell>
        </row>
        <row r="222">
          <cell r="L222">
            <v>0</v>
          </cell>
        </row>
        <row r="223">
          <cell r="L223">
            <v>0</v>
          </cell>
        </row>
        <row r="224">
          <cell r="L224">
            <v>0</v>
          </cell>
        </row>
        <row r="225">
          <cell r="L225">
            <v>0</v>
          </cell>
        </row>
        <row r="226">
          <cell r="L226">
            <v>0</v>
          </cell>
        </row>
        <row r="227">
          <cell r="L22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 10 yr"/>
      <sheetName val="10 YR Spec Maint. Sch."/>
      <sheetName val="Capex Summary"/>
      <sheetName val="2013-22 10 yr plan"/>
      <sheetName val="Actual Detail"/>
      <sheetName val="Actual Summary"/>
      <sheetName val="Sheet6"/>
      <sheetName val="10YP"/>
      <sheetName val="OR RPS - Const co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nd CAPEX"/>
      <sheetName val="LeaningJuniper"/>
      <sheetName val="Goodnoe Hills"/>
      <sheetName val="Marengo I"/>
      <sheetName val="Marengo II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>
            <v>13967160.380000001</v>
          </cell>
        </row>
        <row r="5">
          <cell r="B5">
            <v>90182.399999999907</v>
          </cell>
        </row>
        <row r="6">
          <cell r="B6">
            <v>120586.71</v>
          </cell>
        </row>
        <row r="7">
          <cell r="B7">
            <v>103594.22</v>
          </cell>
        </row>
        <row r="8">
          <cell r="B8">
            <v>107369.039999999</v>
          </cell>
        </row>
        <row r="9">
          <cell r="B9">
            <v>6956605.4199999897</v>
          </cell>
        </row>
        <row r="10">
          <cell r="B10">
            <v>7616285.1600000001</v>
          </cell>
        </row>
        <row r="11">
          <cell r="B11">
            <v>63879852.4099999</v>
          </cell>
        </row>
        <row r="12">
          <cell r="B12">
            <v>8252955.1699999897</v>
          </cell>
        </row>
        <row r="13">
          <cell r="B13">
            <v>101094590.90999988</v>
          </cell>
        </row>
        <row r="14">
          <cell r="B14">
            <v>-4189819.35</v>
          </cell>
        </row>
        <row r="15">
          <cell r="B15">
            <v>3362887.1699999901</v>
          </cell>
        </row>
        <row r="16">
          <cell r="B16">
            <v>4386485.3799999896</v>
          </cell>
        </row>
        <row r="17">
          <cell r="B17">
            <v>9558737.0099999905</v>
          </cell>
        </row>
        <row r="18">
          <cell r="B18">
            <v>10587416.65</v>
          </cell>
        </row>
        <row r="19">
          <cell r="B19">
            <v>7963689.5499999896</v>
          </cell>
        </row>
        <row r="20">
          <cell r="B20">
            <v>22512.65</v>
          </cell>
        </row>
        <row r="21">
          <cell r="B21">
            <v>6698.17</v>
          </cell>
        </row>
        <row r="22">
          <cell r="B22">
            <v>240334.64</v>
          </cell>
        </row>
        <row r="23">
          <cell r="B23">
            <v>90049.97</v>
          </cell>
        </row>
        <row r="24">
          <cell r="B24">
            <v>1678.3699999999899</v>
          </cell>
        </row>
        <row r="25">
          <cell r="B25">
            <v>103557.649999999</v>
          </cell>
        </row>
        <row r="26">
          <cell r="B26">
            <v>32134227.859999958</v>
          </cell>
        </row>
        <row r="27">
          <cell r="B27">
            <v>-145631.049999999</v>
          </cell>
        </row>
        <row r="28">
          <cell r="B28">
            <v>527686.88</v>
          </cell>
        </row>
        <row r="29">
          <cell r="B29">
            <v>212194.799999999</v>
          </cell>
        </row>
        <row r="30">
          <cell r="B30">
            <v>-203890.829999999</v>
          </cell>
        </row>
        <row r="31">
          <cell r="B31">
            <v>3546.54</v>
          </cell>
        </row>
        <row r="32">
          <cell r="B32">
            <v>12074.35</v>
          </cell>
        </row>
        <row r="33">
          <cell r="B33">
            <v>117261.85</v>
          </cell>
        </row>
        <row r="34">
          <cell r="B34">
            <v>-0.76</v>
          </cell>
        </row>
        <row r="35">
          <cell r="B35">
            <v>2855.4499999999898</v>
          </cell>
        </row>
        <row r="36">
          <cell r="B36">
            <v>526097.23000000091</v>
          </cell>
        </row>
        <row r="37">
          <cell r="B37">
            <v>-895.5</v>
          </cell>
        </row>
        <row r="38">
          <cell r="B38">
            <v>598.5</v>
          </cell>
        </row>
        <row r="39">
          <cell r="B39">
            <v>-598.5</v>
          </cell>
        </row>
        <row r="40">
          <cell r="B40">
            <v>-895.5</v>
          </cell>
        </row>
        <row r="41">
          <cell r="B41">
            <v>101454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tion Check list"/>
      <sheetName val="Comparison"/>
      <sheetName val="Resource Lookup"/>
      <sheetName val="Resource Lookup No RP"/>
      <sheetName val="Final Report No RP"/>
      <sheetName val="Filing Summary NO RP"/>
      <sheetName val="Detail NO RP"/>
      <sheetName val="Attachment E"/>
      <sheetName val="Final Report"/>
      <sheetName val="Filing Summary"/>
      <sheetName val="Detail Wt Repowering"/>
      <sheetName val="==&gt;"/>
      <sheetName val="Blundell II"/>
      <sheetName val="Campbell Hill"/>
      <sheetName val="Dunlap"/>
      <sheetName val="Glenrock"/>
      <sheetName val="Glenrock III"/>
      <sheetName val="Goodnoe Hills"/>
      <sheetName val="High Plains"/>
      <sheetName val="McFadden Ridge"/>
      <sheetName val="Marengo"/>
      <sheetName val="Marengo II"/>
      <sheetName val="Mt Wind"/>
      <sheetName val="Mt Wind II"/>
      <sheetName val="Seven Mile Hill"/>
      <sheetName val="Seven Mile Hill II"/>
      <sheetName val="Top of the World"/>
      <sheetName val="Pioneer Wind"/>
      <sheetName val="Latigo Wind"/>
      <sheetName val="Pavant II Solar"/>
      <sheetName val="Black Cap Solar"/>
      <sheetName val="New_Adams Solar"/>
      <sheetName val="New_Bear Creek Solar"/>
      <sheetName val="New_Bly Solar"/>
      <sheetName val="New_Elbe Solar"/>
      <sheetName val="New_Enterprise Solar"/>
      <sheetName val="New_Pavant Solar"/>
      <sheetName val="New _WY Wind_1100 MW_IRP2017"/>
      <sheetName val="OSIP_COD_2010"/>
      <sheetName val="OSIP_COD_2011"/>
      <sheetName val="OSIP_COD_2012"/>
      <sheetName val="OSIP_COD_2013"/>
      <sheetName val="OSIP_COD_2014"/>
      <sheetName val="SIP_COD_2015"/>
      <sheetName val="new _OSIP_COD_2016"/>
      <sheetName val="new _OSIP_COD_2017"/>
      <sheetName val="Assumptions"/>
      <sheetName val="Resources"/>
      <sheetName val="Forward Price Curve"/>
      <sheetName val="AllocationFactors"/>
      <sheetName val="Generation Forecast"/>
      <sheetName val="CapacityContribution"/>
      <sheetName val="CCCT"/>
      <sheetName val="SCCT"/>
      <sheetName val="Wheeling"/>
      <sheetName val="Goodnoe PTP"/>
      <sheetName val="WindIntegration"/>
      <sheetName val="PPA Summary"/>
      <sheetName val="Gas TransCosts"/>
      <sheetName val="Market_Value"/>
      <sheetName val="Casper Wind_not used"/>
      <sheetName val="Dependent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>
            <v>7</v>
          </cell>
          <cell r="C3" t="str">
            <v>Scenario 7LS: Nov 11, 2017 OFPC (Lake Side)</v>
          </cell>
        </row>
        <row r="14">
          <cell r="B14">
            <v>7</v>
          </cell>
          <cell r="C14" t="str">
            <v>Scenario 7DJ: Nov 11, 2017 OFPC (WY-NE Johnston)</v>
          </cell>
        </row>
        <row r="24">
          <cell r="B24">
            <v>7</v>
          </cell>
          <cell r="C24" t="str">
            <v>Scenario 7WS: Nov 8, 2017 OFPC (West Side)</v>
          </cell>
        </row>
      </sheetData>
      <sheetData sheetId="10"/>
      <sheetData sheetId="11"/>
      <sheetData sheetId="12">
        <row r="57">
          <cell r="Q57" t="str">
            <v>1: Fixed O&amp;M costs reflect ongoing capital expense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5">
          <cell r="B5">
            <v>6.5699999999999995E-2</v>
          </cell>
        </row>
      </sheetData>
      <sheetData sheetId="47">
        <row r="14">
          <cell r="S14">
            <v>2018</v>
          </cell>
        </row>
      </sheetData>
      <sheetData sheetId="48">
        <row r="8">
          <cell r="C8" t="str">
            <v>Scenario Desc</v>
          </cell>
        </row>
      </sheetData>
      <sheetData sheetId="49"/>
      <sheetData sheetId="50">
        <row r="12">
          <cell r="C12" t="str">
            <v>Year</v>
          </cell>
        </row>
      </sheetData>
      <sheetData sheetId="51">
        <row r="4">
          <cell r="B4">
            <v>0.158</v>
          </cell>
        </row>
        <row r="5">
          <cell r="B5">
            <v>0.11799999999999999</v>
          </cell>
        </row>
        <row r="7">
          <cell r="B7">
            <v>0.53900000000000003</v>
          </cell>
        </row>
        <row r="8">
          <cell r="B8">
            <v>0.59699999999999998</v>
          </cell>
        </row>
        <row r="9">
          <cell r="B9">
            <v>0.64800000000000002</v>
          </cell>
        </row>
      </sheetData>
      <sheetData sheetId="52"/>
      <sheetData sheetId="53">
        <row r="11">
          <cell r="J11">
            <v>1</v>
          </cell>
        </row>
      </sheetData>
      <sheetData sheetId="54"/>
      <sheetData sheetId="55"/>
      <sheetData sheetId="56"/>
      <sheetData sheetId="57"/>
      <sheetData sheetId="58">
        <row r="113">
          <cell r="B113">
            <v>2007</v>
          </cell>
        </row>
      </sheetData>
      <sheetData sheetId="59"/>
      <sheetData sheetId="60"/>
      <sheetData sheetId="6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ison-Delete"/>
      <sheetName val="Resource Lookup"/>
      <sheetName val="Resource Lookup No RP"/>
      <sheetName val="Final Report No RP"/>
      <sheetName val=" Filing Summary NO RP"/>
      <sheetName val="Detail NO RP"/>
      <sheetName val="Attachment E"/>
      <sheetName val="Final Report"/>
      <sheetName val="Detail Wt Repowering"/>
      <sheetName val=" Filing Summary"/>
      <sheetName val="==&gt;"/>
      <sheetName val="Blundell II"/>
      <sheetName val="Campbell Hill"/>
      <sheetName val="Dunlap"/>
      <sheetName val="Glenrock"/>
      <sheetName val="Glenrock III"/>
      <sheetName val="New_Goodnoe Hills"/>
      <sheetName val="High Plains"/>
      <sheetName val="McFadden Ridge"/>
      <sheetName val="Marengo"/>
      <sheetName val="Marengo II"/>
      <sheetName val="Mt Wind"/>
      <sheetName val="Mt Wind II"/>
      <sheetName val="Seven Mile Hill"/>
      <sheetName val="Seven Mile Hill II"/>
      <sheetName val="Top of the World"/>
      <sheetName val="Pioneer Wind"/>
      <sheetName val="Latigo Wind"/>
      <sheetName val="Pavant II Solar"/>
      <sheetName val="Black Cap Solar"/>
      <sheetName val="Adams Solar"/>
      <sheetName val="Bear Creek Solar"/>
      <sheetName val="Bly Solar"/>
      <sheetName val="Elbe Solar"/>
      <sheetName val="Enterprise Solar"/>
      <sheetName val="Pavant Solar"/>
      <sheetName val="New_Cedar Springs I PPA"/>
      <sheetName val="New_Cedar Springs II"/>
      <sheetName val="New_Cedar Springs III PPA"/>
      <sheetName val="New_Ekola Flats"/>
      <sheetName val="New_TB Flats"/>
      <sheetName val="New_Sage Solar I"/>
      <sheetName val="New_Sage Solar II"/>
      <sheetName val="New_Sage Solar III"/>
      <sheetName val="New_Sweetwater Solar"/>
      <sheetName val="OSIP_COD_2010"/>
      <sheetName val="OSIP_COD_2011"/>
      <sheetName val="OSIP_COD_2012"/>
      <sheetName val="OSIP_COD_2013"/>
      <sheetName val="OSIP_COD_2014"/>
      <sheetName val="SIP_COD_2015"/>
      <sheetName val="OSIP_COD_2016"/>
      <sheetName val="OSIP_COD_2017"/>
      <sheetName val="Assumptions"/>
      <sheetName val="Resources"/>
      <sheetName val="Forward Price Curve"/>
      <sheetName val="AllocationFactors"/>
      <sheetName val="Generation Forecast"/>
      <sheetName val="CapacityContribution"/>
      <sheetName val="CCCT"/>
      <sheetName val="SCCT"/>
      <sheetName val="Wheeling"/>
      <sheetName val="Goodnoe PTP"/>
      <sheetName val="WindIntegration"/>
      <sheetName val="PPA Contracts"/>
      <sheetName val="Gas TransCosts"/>
      <sheetName val="Market_Valu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5">
          <cell r="B5">
            <v>6.9199999999999998E-2</v>
          </cell>
        </row>
      </sheetData>
      <sheetData sheetId="54"/>
      <sheetData sheetId="55"/>
      <sheetData sheetId="56"/>
      <sheetData sheetId="57"/>
      <sheetData sheetId="58">
        <row r="5">
          <cell r="B5">
            <v>0.11799999999999999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e after correction"/>
      <sheetName val="Report (a)"/>
      <sheetName val="Report (b)"/>
      <sheetName val="Comparison"/>
      <sheetName val="(1.a) Filing Summary"/>
      <sheetName val="(1.b) Filing Summary"/>
      <sheetName val="(2.2a) Detail"/>
      <sheetName val="(2.2b) Detail"/>
      <sheetName val="Assumptions"/>
      <sheetName val="==&gt;"/>
      <sheetName val="Resources"/>
      <sheetName val="Blundell II"/>
      <sheetName val="Dunlap"/>
      <sheetName val="Glenrock"/>
      <sheetName val="Glenrock III"/>
      <sheetName val="Goodnoe Hills"/>
      <sheetName val="McFadden Ridge"/>
      <sheetName val="High Plains"/>
      <sheetName val="Marengo"/>
      <sheetName val="Marengo II"/>
      <sheetName val="Seven Mile Hill"/>
      <sheetName val="Seven Mile Hill II"/>
      <sheetName val="Mt Wind"/>
      <sheetName val="Mt Wind II"/>
      <sheetName val="Top of the World"/>
      <sheetName val="Campbell Hill"/>
      <sheetName val="Casper Wind"/>
      <sheetName val="Forward Price Curve"/>
      <sheetName val="Generation Forecast"/>
      <sheetName val="CCCT"/>
      <sheetName val="SCCT"/>
      <sheetName val="Wheeling"/>
      <sheetName val="Goodnoe PTP"/>
      <sheetName val="WindIntegration"/>
      <sheetName val="PPA Summary"/>
      <sheetName val="Gas TransCosts"/>
      <sheetName val="Market_Value"/>
    </sheetNames>
    <sheetDataSet>
      <sheetData sheetId="0"/>
      <sheetData sheetId="1"/>
      <sheetData sheetId="2"/>
      <sheetData sheetId="3"/>
      <sheetData sheetId="4">
        <row r="3">
          <cell r="B3">
            <v>8</v>
          </cell>
          <cell r="C3" t="str">
            <v>Scenario 8: Nov 8 2013, OFPC (Lake Side)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4">
          <cell r="W14">
            <v>0.03</v>
          </cell>
        </row>
        <row r="15">
          <cell r="W15">
            <v>3.0000000000000001E-3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paper Index"/>
      <sheetName val="(1.1)_Summary"/>
      <sheetName val="(1.2)_Lvl_Resource_Cost"/>
      <sheetName val="(2.1)_Resources"/>
      <sheetName val="(2.2)_Forward_Price_Curve"/>
      <sheetName val="(3.1a)_Goodnoe_Hills-orig"/>
      <sheetName val="(3.1b)_Goodnoe_Hills - Repower"/>
      <sheetName val="(3.2)_Marengo"/>
      <sheetName val="(3.3)_Marengo 2"/>
      <sheetName val="(3.4a)_Leaning Juniper-orig"/>
      <sheetName val="(3.4b)_Leaning Juniper -Repower"/>
      <sheetName val="(3.5)_Lemolo 1 (2003IRP)"/>
      <sheetName val="(3.6)_Lemolo 2 (2008 IRP)"/>
      <sheetName val="(3.7)_JC Boyle (2004 IRP)"/>
      <sheetName val="(3.8)_Prospect 2 (2003 IRP)"/>
      <sheetName val="(3.9)_WCA Wind Weighted Average"/>
      <sheetName val="(3"/>
    </sheetNames>
    <sheetDataSet>
      <sheetData sheetId="0"/>
      <sheetData sheetId="1"/>
      <sheetData sheetId="2"/>
      <sheetData sheetId="3"/>
      <sheetData sheetId="4"/>
      <sheetData sheetId="5">
        <row r="54">
          <cell r="S54">
            <v>23998.180081300361</v>
          </cell>
          <cell r="U54">
            <v>20223.968248878362</v>
          </cell>
          <cell r="Y54">
            <v>14.131675601963146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for NPC"/>
      <sheetName val="Repower Info"/>
      <sheetName val="Summary"/>
      <sheetName val="LJ"/>
      <sheetName val="Goodnoe"/>
      <sheetName val="Marengo 1"/>
      <sheetName val="Marengo 2"/>
      <sheetName val="Glenrock 1"/>
      <sheetName val="Glenrock 3"/>
      <sheetName val="Rolling Hills"/>
      <sheetName val="SMH 1"/>
      <sheetName val="SMH 2"/>
      <sheetName val="High Plains"/>
      <sheetName val="McFadden"/>
      <sheetName val="Dunlap"/>
      <sheetName val="Key Information Other"/>
      <sheetName val="Capital  Investment "/>
      <sheetName val=" O&amp;M"/>
      <sheetName val="Wind Repower IRP"/>
    </sheetNames>
    <sheetDataSet>
      <sheetData sheetId="0">
        <row r="3">
          <cell r="M3">
            <v>94</v>
          </cell>
        </row>
        <row r="6">
          <cell r="M6">
            <v>0.34452577526753925</v>
          </cell>
        </row>
        <row r="85">
          <cell r="N85">
            <v>3.2731671158029365</v>
          </cell>
        </row>
        <row r="86">
          <cell r="N86">
            <v>3.6138935061385626</v>
          </cell>
        </row>
        <row r="87">
          <cell r="N87">
            <v>3.6339910562402933</v>
          </cell>
        </row>
        <row r="88">
          <cell r="N88">
            <v>3.4269263998040054</v>
          </cell>
        </row>
        <row r="89">
          <cell r="N89">
            <v>3.5022163336229348</v>
          </cell>
        </row>
        <row r="90">
          <cell r="N90">
            <v>3.5759634490849193</v>
          </cell>
        </row>
        <row r="91">
          <cell r="N91">
            <v>3.6546475975034154</v>
          </cell>
        </row>
        <row r="92">
          <cell r="N92">
            <v>3.7348745784931405</v>
          </cell>
        </row>
        <row r="93">
          <cell r="N93">
            <v>3.8170418192199898</v>
          </cell>
        </row>
        <row r="94">
          <cell r="N94">
            <v>3.901016739242829</v>
          </cell>
        </row>
        <row r="95">
          <cell r="N95">
            <v>3.982938090766929</v>
          </cell>
        </row>
        <row r="96">
          <cell r="N96">
            <v>4.0705627287638011</v>
          </cell>
        </row>
        <row r="97">
          <cell r="N97">
            <v>4.160115108796604</v>
          </cell>
        </row>
        <row r="98">
          <cell r="N98">
            <v>4.2516376411901282</v>
          </cell>
        </row>
        <row r="99">
          <cell r="N99">
            <v>4.3451736692963117</v>
          </cell>
        </row>
        <row r="100">
          <cell r="N100">
            <v>4.4407674900208312</v>
          </cell>
        </row>
        <row r="101">
          <cell r="N101">
            <v>4.5384643748012898</v>
          </cell>
        </row>
        <row r="102">
          <cell r="N102">
            <v>4.6383105910469178</v>
          </cell>
        </row>
        <row r="103">
          <cell r="N103">
            <v>4.7403534240499505</v>
          </cell>
        </row>
        <row r="104">
          <cell r="N104">
            <v>4.8493815528030986</v>
          </cell>
        </row>
        <row r="105">
          <cell r="N105">
            <v>4.9609173285175707</v>
          </cell>
        </row>
        <row r="106">
          <cell r="N106">
            <v>5.0750184270734726</v>
          </cell>
        </row>
        <row r="107">
          <cell r="N107">
            <v>5.1917438508961613</v>
          </cell>
        </row>
        <row r="108">
          <cell r="N108">
            <v>5.3111539594667736</v>
          </cell>
        </row>
        <row r="109">
          <cell r="N109">
            <v>5.4333105005345086</v>
          </cell>
        </row>
        <row r="110">
          <cell r="N110">
            <v>5.5582766420468017</v>
          </cell>
        </row>
        <row r="111">
          <cell r="N111">
            <v>5.6861170048138776</v>
          </cell>
        </row>
        <row r="112">
          <cell r="N112">
            <v>5.816897695924597</v>
          </cell>
        </row>
        <row r="113">
          <cell r="N113">
            <v>5.9506863429308616</v>
          </cell>
        </row>
        <row r="114">
          <cell r="N114">
            <v>6.0875521288182703</v>
          </cell>
        </row>
        <row r="115">
          <cell r="N115">
            <v>4.670674370835818</v>
          </cell>
        </row>
        <row r="159">
          <cell r="M159">
            <v>0.61</v>
          </cell>
        </row>
        <row r="160">
          <cell r="M160">
            <v>0.63000000000000012</v>
          </cell>
        </row>
        <row r="161">
          <cell r="M161">
            <v>0.64</v>
          </cell>
        </row>
        <row r="162">
          <cell r="M162">
            <v>0.65</v>
          </cell>
        </row>
        <row r="163">
          <cell r="M163">
            <v>0.67</v>
          </cell>
        </row>
        <row r="164">
          <cell r="M164">
            <v>0.68000000000000016</v>
          </cell>
        </row>
        <row r="165">
          <cell r="M165">
            <v>0.7</v>
          </cell>
        </row>
        <row r="166">
          <cell r="M166">
            <v>0.71</v>
          </cell>
        </row>
        <row r="167">
          <cell r="M167">
            <v>0.73</v>
          </cell>
        </row>
        <row r="168">
          <cell r="M168">
            <v>0.71</v>
          </cell>
        </row>
        <row r="169">
          <cell r="M169">
            <v>0.76</v>
          </cell>
        </row>
        <row r="170">
          <cell r="M170">
            <v>0.78</v>
          </cell>
        </row>
        <row r="171">
          <cell r="M171">
            <v>0.8</v>
          </cell>
        </row>
        <row r="172">
          <cell r="M172">
            <v>0.81</v>
          </cell>
        </row>
        <row r="173">
          <cell r="M173">
            <v>0.83</v>
          </cell>
        </row>
        <row r="174">
          <cell r="M174">
            <v>0.85000000000000009</v>
          </cell>
        </row>
        <row r="175">
          <cell r="M175">
            <v>0.87</v>
          </cell>
        </row>
        <row r="176">
          <cell r="M176">
            <v>0.89</v>
          </cell>
        </row>
        <row r="177">
          <cell r="M177">
            <v>0.91000000000000014</v>
          </cell>
        </row>
        <row r="178">
          <cell r="M178">
            <v>0.93</v>
          </cell>
        </row>
        <row r="179">
          <cell r="M179">
            <v>0.95000000000000007</v>
          </cell>
        </row>
        <row r="180">
          <cell r="M180">
            <v>0.97000000000000008</v>
          </cell>
        </row>
        <row r="181">
          <cell r="M181">
            <v>0.99</v>
          </cell>
        </row>
        <row r="182">
          <cell r="M182">
            <v>1.01</v>
          </cell>
        </row>
        <row r="183">
          <cell r="M183">
            <v>1.04</v>
          </cell>
        </row>
        <row r="184">
          <cell r="M184">
            <v>1.06</v>
          </cell>
        </row>
        <row r="185">
          <cell r="M185">
            <v>1.08</v>
          </cell>
        </row>
        <row r="186">
          <cell r="M186">
            <v>1.1100000000000001</v>
          </cell>
        </row>
        <row r="187">
          <cell r="M187">
            <v>1.1299999999999999</v>
          </cell>
        </row>
        <row r="188">
          <cell r="M188">
            <v>1.1599999999999999</v>
          </cell>
        </row>
        <row r="189">
          <cell r="M189">
            <v>1.18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paper Index"/>
      <sheetName val="(1.1)_Summary"/>
      <sheetName val="(1.2)_Lvl_Resource_Cost"/>
      <sheetName val="(2.1)_Resources"/>
      <sheetName val="(2.2)_Forward_Price_Curve"/>
      <sheetName val="(3.1)_Goodnoe_Hills"/>
      <sheetName val="(3.2)_Marengo"/>
      <sheetName val="(3.2)_Marengo_2017Proxy"/>
      <sheetName val="(3.2)_Marengo_2017 as NEW Resou"/>
      <sheetName val="(3.2)_Marengo-Original"/>
      <sheetName val="(3.3)_Marengo 2"/>
      <sheetName val="(3.3)_Marengo 2-Original"/>
      <sheetName val="(3.4)_Leaning Juniper"/>
      <sheetName val="(3.4)_Leaning Juniper - Origina"/>
      <sheetName val="(3.5)_Lemolo 1 (2003IRP)"/>
      <sheetName val="(3.6)_Lemolo 2 (2008 IRP)"/>
      <sheetName val="(3.7)_JC Boyle (2004 IRP)"/>
      <sheetName val="(3.8)_Prospect 2 (2003 IRP)"/>
      <sheetName val="(3.9)_WCA Wind Weighted Average"/>
    </sheetNames>
    <sheetDataSet>
      <sheetData sheetId="0"/>
      <sheetData sheetId="1"/>
      <sheetData sheetId="2"/>
      <sheetData sheetId="3">
        <row r="29">
          <cell r="D29">
            <v>0.70285573530285894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1">
          <cell r="I11">
            <v>100.5</v>
          </cell>
        </row>
        <row r="12">
          <cell r="I12">
            <v>0.27084213635021243</v>
          </cell>
        </row>
      </sheetData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8"/>
  <sheetViews>
    <sheetView workbookViewId="0">
      <selection activeCell="D28" sqref="D28"/>
    </sheetView>
  </sheetViews>
  <sheetFormatPr defaultRowHeight="11.25"/>
  <cols>
    <col min="1" max="1" width="2.83203125" customWidth="1"/>
    <col min="2" max="2" width="2.83203125" style="171" customWidth="1"/>
    <col min="3" max="3" width="6.33203125" style="171" customWidth="1"/>
    <col min="4" max="4" width="64.5" style="171" customWidth="1"/>
    <col min="5" max="5" width="2.83203125" style="171" customWidth="1"/>
    <col min="6" max="6" width="9.33203125" style="171"/>
  </cols>
  <sheetData>
    <row r="2" spans="2:5">
      <c r="B2" s="286"/>
      <c r="C2" s="287"/>
      <c r="D2" s="287"/>
      <c r="E2" s="288"/>
    </row>
    <row r="3" spans="2:5">
      <c r="B3" s="3"/>
      <c r="C3" s="289" t="s">
        <v>0</v>
      </c>
      <c r="D3" s="4"/>
      <c r="E3" s="290"/>
    </row>
    <row r="4" spans="2:5">
      <c r="B4" s="3"/>
      <c r="C4" s="289" t="s">
        <v>270</v>
      </c>
      <c r="D4" s="4"/>
      <c r="E4" s="290"/>
    </row>
    <row r="5" spans="2:5">
      <c r="B5" s="3"/>
      <c r="C5" s="289" t="s">
        <v>1</v>
      </c>
      <c r="D5" s="4"/>
      <c r="E5" s="290"/>
    </row>
    <row r="6" spans="2:5">
      <c r="B6" s="3"/>
      <c r="C6" s="4"/>
      <c r="D6" s="4"/>
      <c r="E6" s="290"/>
    </row>
    <row r="7" spans="2:5">
      <c r="B7" s="3"/>
      <c r="C7" s="289" t="s">
        <v>2</v>
      </c>
      <c r="D7" s="4"/>
      <c r="E7" s="290"/>
    </row>
    <row r="8" spans="2:5">
      <c r="B8" s="3"/>
      <c r="C8" s="4"/>
      <c r="D8" s="4"/>
      <c r="E8" s="290"/>
    </row>
    <row r="9" spans="2:5">
      <c r="B9" s="3"/>
      <c r="C9" s="4" t="s">
        <v>3</v>
      </c>
      <c r="D9" s="4"/>
      <c r="E9" s="290"/>
    </row>
    <row r="10" spans="2:5">
      <c r="B10" s="3"/>
      <c r="C10" s="4">
        <v>1.1000000000000001</v>
      </c>
      <c r="D10" s="4" t="s">
        <v>4</v>
      </c>
      <c r="E10" s="290"/>
    </row>
    <row r="11" spans="2:5">
      <c r="B11" s="3"/>
      <c r="C11" s="291">
        <v>1.2</v>
      </c>
      <c r="D11" s="4" t="s">
        <v>5</v>
      </c>
      <c r="E11" s="290"/>
    </row>
    <row r="12" spans="2:5">
      <c r="B12" s="3"/>
      <c r="C12" s="291"/>
      <c r="D12" s="4"/>
      <c r="E12" s="290"/>
    </row>
    <row r="13" spans="2:5">
      <c r="B13" s="3"/>
      <c r="C13" s="4" t="s">
        <v>6</v>
      </c>
      <c r="D13" s="4"/>
      <c r="E13" s="290"/>
    </row>
    <row r="14" spans="2:5">
      <c r="B14" s="3"/>
      <c r="C14" s="292">
        <v>2.1</v>
      </c>
      <c r="D14" s="4" t="s">
        <v>7</v>
      </c>
      <c r="E14" s="290"/>
    </row>
    <row r="15" spans="2:5">
      <c r="B15" s="3"/>
      <c r="C15" s="292">
        <v>2.2000000000000002</v>
      </c>
      <c r="D15" s="4" t="s">
        <v>8</v>
      </c>
      <c r="E15" s="290"/>
    </row>
    <row r="16" spans="2:5">
      <c r="B16" s="3"/>
      <c r="C16" s="291"/>
      <c r="D16" s="4"/>
      <c r="E16" s="290"/>
    </row>
    <row r="17" spans="2:5">
      <c r="B17" s="3"/>
      <c r="C17" s="4" t="s">
        <v>9</v>
      </c>
      <c r="D17" s="4"/>
      <c r="E17" s="290"/>
    </row>
    <row r="18" spans="2:5">
      <c r="B18" s="3"/>
      <c r="C18" s="291" t="s">
        <v>288</v>
      </c>
      <c r="D18" s="293" t="s">
        <v>289</v>
      </c>
      <c r="E18" s="290"/>
    </row>
    <row r="19" spans="2:5">
      <c r="B19" s="3"/>
      <c r="C19" s="291" t="s">
        <v>290</v>
      </c>
      <c r="D19" s="293" t="s">
        <v>291</v>
      </c>
      <c r="E19" s="290"/>
    </row>
    <row r="20" spans="2:5">
      <c r="B20" s="3"/>
      <c r="C20" s="291">
        <v>3.2</v>
      </c>
      <c r="D20" s="293" t="s">
        <v>10</v>
      </c>
      <c r="E20" s="290"/>
    </row>
    <row r="21" spans="2:5">
      <c r="B21" s="3"/>
      <c r="C21" s="291">
        <v>3.3</v>
      </c>
      <c r="D21" s="293" t="s">
        <v>11</v>
      </c>
      <c r="E21" s="290"/>
    </row>
    <row r="22" spans="2:5">
      <c r="B22" s="3"/>
      <c r="C22" s="291" t="s">
        <v>292</v>
      </c>
      <c r="D22" s="293" t="s">
        <v>293</v>
      </c>
      <c r="E22" s="290"/>
    </row>
    <row r="23" spans="2:5">
      <c r="B23" s="3"/>
      <c r="C23" s="291" t="s">
        <v>294</v>
      </c>
      <c r="D23" s="293" t="s">
        <v>295</v>
      </c>
      <c r="E23" s="290"/>
    </row>
    <row r="24" spans="2:5">
      <c r="B24" s="3"/>
      <c r="C24" s="291">
        <v>3.5</v>
      </c>
      <c r="D24" s="293" t="s">
        <v>161</v>
      </c>
      <c r="E24" s="290"/>
    </row>
    <row r="25" spans="2:5">
      <c r="B25" s="3"/>
      <c r="C25" s="291">
        <v>3.6</v>
      </c>
      <c r="D25" s="293" t="s">
        <v>162</v>
      </c>
      <c r="E25" s="290"/>
    </row>
    <row r="26" spans="2:5">
      <c r="B26" s="3"/>
      <c r="C26" s="291">
        <v>3.7</v>
      </c>
      <c r="D26" s="293" t="s">
        <v>227</v>
      </c>
      <c r="E26" s="290"/>
    </row>
    <row r="27" spans="2:5">
      <c r="B27" s="3"/>
      <c r="C27" s="291">
        <v>3.8</v>
      </c>
      <c r="D27" s="293" t="s">
        <v>228</v>
      </c>
      <c r="E27" s="290"/>
    </row>
    <row r="28" spans="2:5">
      <c r="B28" s="294"/>
      <c r="C28" s="295">
        <v>3.9</v>
      </c>
      <c r="D28" s="296" t="s">
        <v>245</v>
      </c>
      <c r="E28" s="297"/>
    </row>
  </sheetData>
  <pageMargins left="0.25" right="0.25" top="0.25" bottom="0.75" header="0.3" footer="0.3"/>
  <pageSetup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BH80"/>
  <sheetViews>
    <sheetView topLeftCell="E34" workbookViewId="0">
      <selection activeCell="AN28" sqref="AN28:AN40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">
        <v>160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157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16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100.5</v>
      </c>
      <c r="H11" s="313"/>
      <c r="AB11" s="157" t="s">
        <v>111</v>
      </c>
      <c r="AC11" s="158"/>
      <c r="AD11" s="158"/>
      <c r="AE11" s="158"/>
      <c r="AF11" s="169">
        <f>+G11*(G12/AJ16)</f>
        <v>71.617618009583211</v>
      </c>
      <c r="AG11" s="162"/>
      <c r="AH11" s="158" t="s">
        <v>112</v>
      </c>
      <c r="AI11" s="159"/>
      <c r="AJ11" s="164">
        <v>7.9126910299003335</v>
      </c>
      <c r="AK11" s="290"/>
      <c r="AZ11" s="157" t="s">
        <v>111</v>
      </c>
      <c r="BA11" s="158"/>
      <c r="BB11" s="158"/>
      <c r="BC11" s="158"/>
      <c r="BD11" s="169">
        <f>(AF11*AF13-G11*G19)</f>
        <v>66.927618009583213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0.34697866466618793</v>
      </c>
      <c r="H12" s="313"/>
      <c r="AB12" s="157" t="s">
        <v>40</v>
      </c>
      <c r="AC12" s="158"/>
      <c r="AD12" s="158"/>
      <c r="AE12" s="158"/>
      <c r="AF12" s="166">
        <f>+AD54/8760/AF11</f>
        <v>0.48714604828798364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2006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151</v>
      </c>
      <c r="B15" s="310"/>
      <c r="C15" s="311" t="s">
        <v>119</v>
      </c>
      <c r="D15" s="311"/>
      <c r="E15" s="311"/>
      <c r="F15" s="311"/>
      <c r="G15" s="316">
        <v>187.53573564552991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151</v>
      </c>
      <c r="B16" s="310"/>
      <c r="C16" s="311" t="s">
        <v>121</v>
      </c>
      <c r="D16" s="311"/>
      <c r="E16" s="311"/>
      <c r="F16" s="311"/>
      <c r="G16" s="316">
        <v>12.630108405506199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151</v>
      </c>
      <c r="B17" s="310"/>
      <c r="C17" s="311" t="s">
        <v>123</v>
      </c>
      <c r="D17" s="311"/>
      <c r="E17" s="311"/>
      <c r="F17" s="311"/>
      <c r="G17" s="316">
        <v>3.0220510108288803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7.125514275E-2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2006</v>
      </c>
      <c r="D28" s="7"/>
      <c r="E28" s="330">
        <v>3.1E-2</v>
      </c>
      <c r="F28" s="7"/>
      <c r="G28" s="23">
        <f>G29</f>
        <v>305473.07679881854</v>
      </c>
      <c r="H28" s="7"/>
      <c r="I28" s="331">
        <f>$G$15</f>
        <v>187.53573564552991</v>
      </c>
      <c r="J28" s="331"/>
      <c r="K28" s="331">
        <f>$G$16</f>
        <v>12.630108405506199</v>
      </c>
      <c r="L28" s="332"/>
      <c r="M28" s="331">
        <f>$G$17</f>
        <v>3.0220510108288803</v>
      </c>
      <c r="N28" s="7"/>
      <c r="O28" s="333">
        <v>4.9466537342386037</v>
      </c>
      <c r="P28" s="7"/>
      <c r="Q28" s="39">
        <v>-30.620467365028201</v>
      </c>
      <c r="R28" s="7"/>
      <c r="S28" s="23">
        <f>(I28*$G$11*1000+(K28+M28+O28+Q28)*G28)/1000</f>
        <v>15785.995884872487</v>
      </c>
      <c r="T28" s="7"/>
      <c r="U28" s="23">
        <f t="shared" ref="U28:U52" si="0">AX28</f>
        <v>19141.802578211958</v>
      </c>
      <c r="V28" s="7"/>
      <c r="W28" s="23">
        <f t="shared" ref="W28:W52" si="1">S28-U28</f>
        <v>-3355.8066933394712</v>
      </c>
      <c r="X28" s="7"/>
      <c r="Y28" s="334">
        <f>+W28*1000/G28</f>
        <v>-10.985605437004098</v>
      </c>
      <c r="Z28" s="290"/>
      <c r="AB28" s="182">
        <f>$C$28</f>
        <v>2006</v>
      </c>
      <c r="AC28" s="152"/>
      <c r="AD28" s="187">
        <f t="shared" ref="AD28:AD52" si="2">G28</f>
        <v>305473.07679881854</v>
      </c>
      <c r="AE28" s="4"/>
      <c r="AF28" s="190">
        <f>$AF$15*$AF$16</f>
        <v>56.124791362126246</v>
      </c>
      <c r="AG28" s="348"/>
      <c r="AH28" s="190">
        <f>$AJ$11</f>
        <v>7.9126910299003335</v>
      </c>
      <c r="AI28" s="348"/>
      <c r="AJ28" s="190">
        <f>$AJ$13</f>
        <v>2.2243013100436677</v>
      </c>
      <c r="AK28" s="336"/>
      <c r="AL28" s="189">
        <f>((AF28+AH28)*$AF$11*1000+AJ28*AD28)/1000</f>
        <v>5265.6761171542521</v>
      </c>
      <c r="AM28" s="4"/>
      <c r="AN28" s="190">
        <v>7.2485597127461476</v>
      </c>
      <c r="AO28" s="348"/>
      <c r="AP28" s="190">
        <f>AN28*$AF$14/1000</f>
        <v>52.668189489255148</v>
      </c>
      <c r="AQ28" s="335"/>
      <c r="AR28" s="188">
        <f>$AJ$15</f>
        <v>2.302423580786026</v>
      </c>
      <c r="AS28" s="188"/>
      <c r="AT28" s="189">
        <f t="shared" ref="AT28:AT52" si="3">AL28-BF28</f>
        <v>2349.7602701891287</v>
      </c>
      <c r="AU28" s="336"/>
      <c r="AV28" s="189">
        <f t="shared" ref="AV28:AV52" si="4">(AP28+AR28)*AD28/1000</f>
        <v>16792.042308022828</v>
      </c>
      <c r="AW28" s="337"/>
      <c r="AX28" s="191">
        <f>AT28+AV28</f>
        <v>19141.802578211958</v>
      </c>
      <c r="AZ28" s="182">
        <f>$C$28</f>
        <v>2006</v>
      </c>
      <c r="BA28" s="152"/>
      <c r="BB28" s="188">
        <f>$BD$14*$BD$15</f>
        <v>37.818199999999997</v>
      </c>
      <c r="BC28" s="4"/>
      <c r="BD28" s="188">
        <f>$BB$16</f>
        <v>5.75</v>
      </c>
      <c r="BE28" s="335"/>
      <c r="BF28" s="189">
        <f>(BB28+BD28)*$BD$11</f>
        <v>2915.9158469651234</v>
      </c>
      <c r="BG28" s="335"/>
      <c r="BH28" s="192"/>
    </row>
    <row r="29" spans="1:60" ht="12">
      <c r="B29" s="3"/>
      <c r="C29" s="7">
        <f>+IF(C28&gt;$G$13+$G$14,XX,C28+1)</f>
        <v>2007</v>
      </c>
      <c r="D29" s="7"/>
      <c r="E29" s="330">
        <v>1.9E-2</v>
      </c>
      <c r="F29" s="7"/>
      <c r="G29" s="23">
        <v>305473.07679881854</v>
      </c>
      <c r="H29" s="7"/>
      <c r="I29" s="39">
        <f>I28*(1+$E29)</f>
        <v>191.09891462279495</v>
      </c>
      <c r="J29" s="7"/>
      <c r="K29" s="39">
        <f>K28*(1+$E29)</f>
        <v>12.870080465210815</v>
      </c>
      <c r="L29" s="7"/>
      <c r="M29" s="39">
        <f>M28*(1+$E29)</f>
        <v>3.0794699800346286</v>
      </c>
      <c r="N29" s="7"/>
      <c r="O29" s="333">
        <v>5.0999999999999996</v>
      </c>
      <c r="P29" s="7"/>
      <c r="Q29" s="39">
        <v>-31.232876712328764</v>
      </c>
      <c r="R29" s="7"/>
      <c r="S29" s="23">
        <f t="shared" ref="S29:S52" si="5">(I29*$G$11*1000+(K29+M29+O29+Q29)*G29)/1000</f>
        <v>16094.708912738723</v>
      </c>
      <c r="T29" s="7"/>
      <c r="U29" s="23">
        <f t="shared" si="0"/>
        <v>20932.347502540681</v>
      </c>
      <c r="V29" s="7"/>
      <c r="W29" s="23">
        <f t="shared" si="1"/>
        <v>-4837.638589801958</v>
      </c>
      <c r="X29" s="7"/>
      <c r="Y29" s="334">
        <f t="shared" ref="Y29:Y52" si="6">+W29*1000/G29</f>
        <v>-15.836546514991163</v>
      </c>
      <c r="Z29" s="290"/>
      <c r="AB29" s="182">
        <f>+IF(AB28&gt;$G$13+$G$14,XX,AB28+1)</f>
        <v>2007</v>
      </c>
      <c r="AC29" s="152"/>
      <c r="AD29" s="187">
        <f t="shared" si="2"/>
        <v>305473.07679881854</v>
      </c>
      <c r="AE29" s="4"/>
      <c r="AF29" s="190">
        <f>AF28*(1+$E29)</f>
        <v>57.191162398006639</v>
      </c>
      <c r="AG29" s="4"/>
      <c r="AH29" s="190">
        <f>AH28*(1+$E29)</f>
        <v>8.0630321594684382</v>
      </c>
      <c r="AI29" s="4"/>
      <c r="AJ29" s="190">
        <f>AJ28*(1+$E29)</f>
        <v>2.2665630349344972</v>
      </c>
      <c r="AK29" s="4"/>
      <c r="AL29" s="189">
        <f t="shared" ref="AL29:AL52" si="7">((AF29+AH29)*$AF$11*1000+AJ29*AD29)/1000</f>
        <v>5365.7239633801828</v>
      </c>
      <c r="AM29" s="4"/>
      <c r="AN29" s="190">
        <v>8.0291312655031408</v>
      </c>
      <c r="AO29" s="4"/>
      <c r="AP29" s="190">
        <f t="shared" ref="AP29:AP52" si="8">AN29*$AF$14/1000</f>
        <v>58.339839041680825</v>
      </c>
      <c r="AQ29" s="4"/>
      <c r="AR29" s="190">
        <f>AR28*(1+$E29)</f>
        <v>2.3461696288209604</v>
      </c>
      <c r="AS29" s="190"/>
      <c r="AT29" s="189">
        <f t="shared" si="3"/>
        <v>2394.4057153227227</v>
      </c>
      <c r="AU29" s="4"/>
      <c r="AV29" s="189">
        <f t="shared" si="4"/>
        <v>18537.941787217958</v>
      </c>
      <c r="AW29" s="337"/>
      <c r="AX29" s="191">
        <f t="shared" ref="AX29:AX52" si="9">AT29+AV29</f>
        <v>20932.347502540681</v>
      </c>
      <c r="AZ29" s="182">
        <f>+IF(AZ28&gt;$G$13+$G$14,XX,AZ28+1)</f>
        <v>2007</v>
      </c>
      <c r="BA29" s="152"/>
      <c r="BB29" s="190">
        <f>BB28*(1+$E29)</f>
        <v>38.536745799999991</v>
      </c>
      <c r="BC29" s="4"/>
      <c r="BD29" s="190">
        <f>BD28*(1+$E29)</f>
        <v>5.8592499999999994</v>
      </c>
      <c r="BE29" s="4"/>
      <c r="BF29" s="189">
        <f t="shared" ref="BF29:BF51" si="10">(BB29+BD29)*$BD$11</f>
        <v>2971.3182480574601</v>
      </c>
      <c r="BG29" s="4"/>
      <c r="BH29" s="193"/>
    </row>
    <row r="30" spans="1:60" ht="12">
      <c r="B30" s="3"/>
      <c r="C30" s="7">
        <f>+IF(C29&gt;$G$13+$G$14,XX,C29+1)</f>
        <v>2008</v>
      </c>
      <c r="D30" s="7"/>
      <c r="E30" s="330">
        <v>1.7000000000000001E-2</v>
      </c>
      <c r="F30" s="7"/>
      <c r="G30" s="23">
        <v>306096.90139893163</v>
      </c>
      <c r="H30" s="7"/>
      <c r="I30" s="39">
        <f t="shared" ref="I30:I52" si="11">I29*(1+$E30)</f>
        <v>194.34759617138243</v>
      </c>
      <c r="J30" s="7"/>
      <c r="K30" s="39">
        <f t="shared" ref="K30:K52" si="12">K29*(1+$E30)</f>
        <v>13.088871833119399</v>
      </c>
      <c r="L30" s="7"/>
      <c r="M30" s="39">
        <f t="shared" ref="M30:M52" si="13">M29*(1+$E30)</f>
        <v>3.1318209696952168</v>
      </c>
      <c r="N30" s="7"/>
      <c r="O30" s="333">
        <v>5.1866999999999992</v>
      </c>
      <c r="P30" s="7"/>
      <c r="Q30" s="39">
        <v>-31.857534246575337</v>
      </c>
      <c r="R30" s="7"/>
      <c r="S30" s="23">
        <f t="shared" si="5"/>
        <v>16333.177500108217</v>
      </c>
      <c r="T30" s="7"/>
      <c r="U30" s="23">
        <f t="shared" si="0"/>
        <v>20894.644842978014</v>
      </c>
      <c r="V30" s="7"/>
      <c r="W30" s="23">
        <f t="shared" si="1"/>
        <v>-4561.467342869797</v>
      </c>
      <c r="X30" s="7"/>
      <c r="Y30" s="334">
        <f t="shared" si="6"/>
        <v>-14.902036975947375</v>
      </c>
      <c r="Z30" s="290"/>
      <c r="AB30" s="182">
        <f>+IF(AB29&gt;$G$13+$G$14,XX,AB29+1)</f>
        <v>2008</v>
      </c>
      <c r="AC30" s="152"/>
      <c r="AD30" s="187">
        <f t="shared" si="2"/>
        <v>306096.90139893163</v>
      </c>
      <c r="AE30" s="4"/>
      <c r="AF30" s="190">
        <f t="shared" ref="AF30:AF52" si="14">AF29*(1+$E30)</f>
        <v>58.163412158772744</v>
      </c>
      <c r="AG30" s="4"/>
      <c r="AH30" s="190">
        <f t="shared" ref="AH30:AH52" si="15">AH29*(1+$E30)</f>
        <v>8.2001037061794015</v>
      </c>
      <c r="AI30" s="4"/>
      <c r="AJ30" s="190">
        <f t="shared" ref="AJ30:AJ52" si="16">AJ29*(1+$E30)</f>
        <v>2.3050946065283835</v>
      </c>
      <c r="AK30" s="4"/>
      <c r="AL30" s="189">
        <f t="shared" si="7"/>
        <v>5458.3792454787863</v>
      </c>
      <c r="AM30" s="4"/>
      <c r="AN30" s="190">
        <v>7.9707205782722266</v>
      </c>
      <c r="AO30" s="4"/>
      <c r="AP30" s="190">
        <f t="shared" si="8"/>
        <v>57.915425742323464</v>
      </c>
      <c r="AQ30" s="4"/>
      <c r="AR30" s="190">
        <f t="shared" ref="AR30:AR52" si="17">AR29*(1+$E30)</f>
        <v>2.3860545125109165</v>
      </c>
      <c r="AS30" s="190"/>
      <c r="AT30" s="189">
        <f t="shared" si="3"/>
        <v>2436.5485872043496</v>
      </c>
      <c r="AU30" s="4"/>
      <c r="AV30" s="189">
        <f t="shared" si="4"/>
        <v>18458.096255773664</v>
      </c>
      <c r="AW30" s="337"/>
      <c r="AX30" s="191">
        <f t="shared" si="9"/>
        <v>20894.644842978014</v>
      </c>
      <c r="AZ30" s="182">
        <f>+IF(AZ29&gt;$G$13+$G$14,XX,AZ29+1)</f>
        <v>2008</v>
      </c>
      <c r="BA30" s="152"/>
      <c r="BB30" s="190">
        <f t="shared" ref="BB30:BB52" si="18">BB29*(1+$E30)</f>
        <v>39.191870478599988</v>
      </c>
      <c r="BC30" s="4"/>
      <c r="BD30" s="190">
        <f t="shared" ref="BD30:BD52" si="19">BD29*(1+$E30)</f>
        <v>5.9588572499999986</v>
      </c>
      <c r="BE30" s="4"/>
      <c r="BF30" s="189">
        <f t="shared" si="10"/>
        <v>3021.8306582744367</v>
      </c>
      <c r="BG30" s="4"/>
      <c r="BH30" s="193"/>
    </row>
    <row r="31" spans="1:60" ht="12">
      <c r="B31" s="3"/>
      <c r="C31" s="7">
        <f>+IF(C30&gt;$G$13+$G$14,XX,C30+1)</f>
        <v>2009</v>
      </c>
      <c r="D31" s="7"/>
      <c r="E31" s="330">
        <v>1.7000000000000001E-2</v>
      </c>
      <c r="F31" s="7"/>
      <c r="G31" s="23">
        <v>305473.07679881854</v>
      </c>
      <c r="H31" s="7"/>
      <c r="I31" s="39">
        <f t="shared" si="11"/>
        <v>197.65150530629592</v>
      </c>
      <c r="J31" s="7"/>
      <c r="K31" s="39">
        <f t="shared" si="12"/>
        <v>13.311382654282427</v>
      </c>
      <c r="L31" s="7"/>
      <c r="M31" s="39">
        <f t="shared" si="13"/>
        <v>3.185061926180035</v>
      </c>
      <c r="N31" s="7"/>
      <c r="O31" s="333">
        <v>5.2748738999999985</v>
      </c>
      <c r="P31" s="7"/>
      <c r="Q31" s="39">
        <v>-32.494684931506839</v>
      </c>
      <c r="R31" s="7"/>
      <c r="S31" s="23">
        <f t="shared" si="5"/>
        <v>16588.27653984099</v>
      </c>
      <c r="T31" s="7"/>
      <c r="U31" s="23">
        <f t="shared" si="0"/>
        <v>20476.7978363478</v>
      </c>
      <c r="V31" s="7"/>
      <c r="W31" s="23">
        <f t="shared" si="1"/>
        <v>-3888.5212965068094</v>
      </c>
      <c r="X31" s="7"/>
      <c r="Y31" s="334">
        <f t="shared" si="6"/>
        <v>-12.729505779220439</v>
      </c>
      <c r="Z31" s="290"/>
      <c r="AB31" s="182">
        <f>+IF(AB30&gt;$G$13+$G$14,XX,AB30+1)</f>
        <v>2009</v>
      </c>
      <c r="AC31" s="152"/>
      <c r="AD31" s="187">
        <f t="shared" si="2"/>
        <v>305473.07679881854</v>
      </c>
      <c r="AE31" s="4"/>
      <c r="AF31" s="190">
        <f t="shared" si="14"/>
        <v>59.152190165471872</v>
      </c>
      <c r="AG31" s="4"/>
      <c r="AH31" s="190">
        <f t="shared" si="15"/>
        <v>8.3395054691844503</v>
      </c>
      <c r="AI31" s="4"/>
      <c r="AJ31" s="190">
        <f t="shared" si="16"/>
        <v>2.3442812148393659</v>
      </c>
      <c r="AK31" s="4"/>
      <c r="AL31" s="189">
        <f t="shared" si="7"/>
        <v>5549.7092723605238</v>
      </c>
      <c r="AM31" s="4"/>
      <c r="AN31" s="190">
        <v>7.7758276535043622</v>
      </c>
      <c r="AO31" s="4"/>
      <c r="AP31" s="190">
        <f t="shared" si="8"/>
        <v>56.499329593768707</v>
      </c>
      <c r="AQ31" s="4"/>
      <c r="AR31" s="190">
        <f t="shared" si="17"/>
        <v>2.4266174392236017</v>
      </c>
      <c r="AS31" s="190"/>
      <c r="AT31" s="189">
        <f t="shared" si="3"/>
        <v>2476.5074928954223</v>
      </c>
      <c r="AU31" s="4"/>
      <c r="AV31" s="189">
        <f t="shared" si="4"/>
        <v>18000.290343452376</v>
      </c>
      <c r="AW31" s="337"/>
      <c r="AX31" s="191">
        <f t="shared" si="9"/>
        <v>20476.7978363478</v>
      </c>
      <c r="AZ31" s="182">
        <f>+IF(AZ30&gt;$G$13+$G$14,XX,AZ30+1)</f>
        <v>2009</v>
      </c>
      <c r="BA31" s="152"/>
      <c r="BB31" s="190">
        <f t="shared" si="18"/>
        <v>39.858132276736185</v>
      </c>
      <c r="BC31" s="4"/>
      <c r="BD31" s="190">
        <f t="shared" si="19"/>
        <v>6.0601578232499982</v>
      </c>
      <c r="BE31" s="4"/>
      <c r="BF31" s="189">
        <f t="shared" si="10"/>
        <v>3073.2017794651015</v>
      </c>
      <c r="BG31" s="4"/>
      <c r="BH31" s="193"/>
    </row>
    <row r="32" spans="1:60" ht="12">
      <c r="B32" s="3"/>
      <c r="C32" s="7">
        <f>+IF(C31&gt;$G$13+$G$14,XX,C31+1)</f>
        <v>2010</v>
      </c>
      <c r="D32" s="7"/>
      <c r="E32" s="330">
        <v>1.9E-2</v>
      </c>
      <c r="F32" s="7"/>
      <c r="G32" s="23">
        <v>305473.07679881854</v>
      </c>
      <c r="H32" s="7"/>
      <c r="I32" s="39">
        <f t="shared" si="11"/>
        <v>201.40688390711551</v>
      </c>
      <c r="J32" s="7"/>
      <c r="K32" s="39">
        <f t="shared" si="12"/>
        <v>13.564298924713793</v>
      </c>
      <c r="L32" s="7"/>
      <c r="M32" s="39">
        <f t="shared" si="13"/>
        <v>3.2455781027774555</v>
      </c>
      <c r="N32" s="7"/>
      <c r="O32" s="333">
        <v>5.3750965040999983</v>
      </c>
      <c r="P32" s="7"/>
      <c r="Q32" s="39">
        <v>-33.144578630136984</v>
      </c>
      <c r="R32" s="7"/>
      <c r="S32" s="23">
        <f t="shared" si="5"/>
        <v>16893.527542712323</v>
      </c>
      <c r="T32" s="7"/>
      <c r="U32" s="23">
        <f t="shared" si="0"/>
        <v>19875.654862083324</v>
      </c>
      <c r="V32" s="7"/>
      <c r="W32" s="23">
        <f t="shared" si="1"/>
        <v>-2982.1273193710003</v>
      </c>
      <c r="X32" s="7"/>
      <c r="Y32" s="334">
        <f t="shared" si="6"/>
        <v>-9.7623245577710893</v>
      </c>
      <c r="Z32" s="290"/>
      <c r="AB32" s="182">
        <f>+IF(AB31&gt;$G$13+$G$14,XX,AB31+1)</f>
        <v>2010</v>
      </c>
      <c r="AC32" s="152"/>
      <c r="AD32" s="187">
        <f t="shared" si="2"/>
        <v>305473.07679881854</v>
      </c>
      <c r="AE32" s="4"/>
      <c r="AF32" s="190">
        <f t="shared" si="14"/>
        <v>60.276081778615833</v>
      </c>
      <c r="AG32" s="4"/>
      <c r="AH32" s="190">
        <f t="shared" si="15"/>
        <v>8.4979560730989547</v>
      </c>
      <c r="AI32" s="4"/>
      <c r="AJ32" s="190">
        <f t="shared" si="16"/>
        <v>2.3888225579213138</v>
      </c>
      <c r="AK32" s="4"/>
      <c r="AL32" s="189">
        <f t="shared" si="7"/>
        <v>5655.1537485353738</v>
      </c>
      <c r="AM32" s="4"/>
      <c r="AN32" s="190">
        <v>7.4774457529777205</v>
      </c>
      <c r="AO32" s="4"/>
      <c r="AP32" s="190">
        <f t="shared" si="8"/>
        <v>54.331280339864243</v>
      </c>
      <c r="AQ32" s="4"/>
      <c r="AR32" s="190">
        <f t="shared" si="17"/>
        <v>2.4727231705688499</v>
      </c>
      <c r="AS32" s="190"/>
      <c r="AT32" s="189">
        <f t="shared" si="3"/>
        <v>2523.5611352604351</v>
      </c>
      <c r="AU32" s="4"/>
      <c r="AV32" s="189">
        <f t="shared" si="4"/>
        <v>17352.093726822888</v>
      </c>
      <c r="AW32" s="337"/>
      <c r="AX32" s="191">
        <f t="shared" si="9"/>
        <v>19875.654862083324</v>
      </c>
      <c r="AZ32" s="182">
        <f>+IF(AZ31&gt;$G$13+$G$14,XX,AZ31+1)</f>
        <v>2010</v>
      </c>
      <c r="BA32" s="152"/>
      <c r="BB32" s="190">
        <f t="shared" si="18"/>
        <v>40.61543678999417</v>
      </c>
      <c r="BC32" s="4"/>
      <c r="BD32" s="190">
        <f t="shared" si="19"/>
        <v>6.1753008218917476</v>
      </c>
      <c r="BE32" s="4"/>
      <c r="BF32" s="189">
        <f t="shared" si="10"/>
        <v>3131.5926132749387</v>
      </c>
      <c r="BG32" s="4"/>
      <c r="BH32" s="193"/>
    </row>
    <row r="33" spans="2:60" ht="12">
      <c r="B33" s="3"/>
      <c r="C33" s="7">
        <f>+IF(C32&gt;$G$13+$G$14,XX,C32+1)</f>
        <v>2011</v>
      </c>
      <c r="D33" s="7"/>
      <c r="E33" s="330">
        <v>1.9E-2</v>
      </c>
      <c r="F33" s="7"/>
      <c r="G33" s="23">
        <v>305473.07679881854</v>
      </c>
      <c r="H33" s="7"/>
      <c r="I33" s="39">
        <f t="shared" si="11"/>
        <v>205.23361470135069</v>
      </c>
      <c r="J33" s="7"/>
      <c r="K33" s="39">
        <f t="shared" si="12"/>
        <v>13.822020604283354</v>
      </c>
      <c r="L33" s="7"/>
      <c r="M33" s="39">
        <f t="shared" si="13"/>
        <v>3.3072440867302269</v>
      </c>
      <c r="N33" s="7"/>
      <c r="O33" s="333">
        <v>5.4772233376778976</v>
      </c>
      <c r="P33" s="7"/>
      <c r="Q33" s="39">
        <v>-33.807470202739722</v>
      </c>
      <c r="R33" s="7"/>
      <c r="S33" s="23">
        <f t="shared" si="5"/>
        <v>17204.379789610506</v>
      </c>
      <c r="T33" s="7"/>
      <c r="U33" s="23">
        <f t="shared" si="0"/>
        <v>19060.551893977183</v>
      </c>
      <c r="V33" s="7"/>
      <c r="W33" s="23">
        <f t="shared" si="1"/>
        <v>-1856.1721043666766</v>
      </c>
      <c r="X33" s="7"/>
      <c r="Y33" s="334">
        <f t="shared" si="6"/>
        <v>-6.076385270408406</v>
      </c>
      <c r="Z33" s="290"/>
      <c r="AB33" s="182">
        <f>+IF(AB32&gt;$G$13+$G$14,XX,AB32+1)</f>
        <v>2011</v>
      </c>
      <c r="AC33" s="152"/>
      <c r="AD33" s="187">
        <f t="shared" si="2"/>
        <v>305473.07679881854</v>
      </c>
      <c r="AE33" s="4"/>
      <c r="AF33" s="190">
        <f t="shared" si="14"/>
        <v>61.421327332409525</v>
      </c>
      <c r="AG33" s="4"/>
      <c r="AH33" s="190">
        <f t="shared" si="15"/>
        <v>8.6594172384878334</v>
      </c>
      <c r="AI33" s="4"/>
      <c r="AJ33" s="190">
        <f t="shared" si="16"/>
        <v>2.4342101865218186</v>
      </c>
      <c r="AK33" s="4"/>
      <c r="AL33" s="189">
        <f t="shared" si="7"/>
        <v>5762.6016697575469</v>
      </c>
      <c r="AM33" s="4"/>
      <c r="AN33" s="190">
        <v>7.0821436233211914</v>
      </c>
      <c r="AO33" s="4"/>
      <c r="AP33" s="190">
        <f t="shared" si="8"/>
        <v>51.459006633731178</v>
      </c>
      <c r="AQ33" s="4"/>
      <c r="AR33" s="190">
        <f t="shared" si="17"/>
        <v>2.5197049108096579</v>
      </c>
      <c r="AS33" s="190"/>
      <c r="AT33" s="189">
        <f t="shared" si="3"/>
        <v>2571.5087968303851</v>
      </c>
      <c r="AU33" s="4"/>
      <c r="AV33" s="189">
        <f t="shared" si="4"/>
        <v>16489.043097146798</v>
      </c>
      <c r="AW33" s="337"/>
      <c r="AX33" s="191">
        <f t="shared" si="9"/>
        <v>19060.551893977183</v>
      </c>
      <c r="AZ33" s="182">
        <f>+IF(AZ32&gt;$G$13+$G$14,XX,AZ32+1)</f>
        <v>2011</v>
      </c>
      <c r="BA33" s="152"/>
      <c r="BB33" s="190">
        <f t="shared" si="18"/>
        <v>41.387130089004053</v>
      </c>
      <c r="BC33" s="4"/>
      <c r="BD33" s="190">
        <f t="shared" si="19"/>
        <v>6.29263153750769</v>
      </c>
      <c r="BE33" s="4"/>
      <c r="BF33" s="189">
        <f t="shared" si="10"/>
        <v>3191.0928729271618</v>
      </c>
      <c r="BG33" s="4"/>
      <c r="BH33" s="193"/>
    </row>
    <row r="34" spans="2:60" ht="12">
      <c r="B34" s="3"/>
      <c r="C34" s="7">
        <f>+IF(C33&gt;$G$13+$G$14,XX,C33+1)</f>
        <v>2012</v>
      </c>
      <c r="D34" s="7"/>
      <c r="E34" s="330">
        <v>0.02</v>
      </c>
      <c r="F34" s="7"/>
      <c r="G34" s="23">
        <v>306096.90139893163</v>
      </c>
      <c r="H34" s="7"/>
      <c r="I34" s="39">
        <f t="shared" si="11"/>
        <v>209.3382869953777</v>
      </c>
      <c r="J34" s="7"/>
      <c r="K34" s="39">
        <f t="shared" si="12"/>
        <v>14.098461016369022</v>
      </c>
      <c r="L34" s="7"/>
      <c r="M34" s="39">
        <f t="shared" si="13"/>
        <v>3.3733889684648313</v>
      </c>
      <c r="N34" s="7"/>
      <c r="O34" s="333">
        <v>5.5867678044314557</v>
      </c>
      <c r="P34" s="7"/>
      <c r="Q34" s="39">
        <v>-34.48361960679452</v>
      </c>
      <c r="R34" s="7"/>
      <c r="S34" s="23">
        <f t="shared" si="5"/>
        <v>17541.340188212605</v>
      </c>
      <c r="T34" s="7"/>
      <c r="U34" s="23">
        <f t="shared" si="0"/>
        <v>18318.194854876459</v>
      </c>
      <c r="V34" s="7"/>
      <c r="W34" s="23">
        <f t="shared" si="1"/>
        <v>-776.854666663854</v>
      </c>
      <c r="X34" s="7"/>
      <c r="Y34" s="334">
        <f t="shared" si="6"/>
        <v>-2.5379370490633968</v>
      </c>
      <c r="Z34" s="290"/>
      <c r="AB34" s="182">
        <f>+IF(AB33&gt;$G$13+$G$14,XX,AB33+1)</f>
        <v>2012</v>
      </c>
      <c r="AC34" s="152"/>
      <c r="AD34" s="187">
        <f t="shared" si="2"/>
        <v>306096.90139893163</v>
      </c>
      <c r="AE34" s="4"/>
      <c r="AF34" s="190">
        <f t="shared" si="14"/>
        <v>62.64975387905772</v>
      </c>
      <c r="AG34" s="4"/>
      <c r="AH34" s="190">
        <f t="shared" si="15"/>
        <v>8.8326055832575907</v>
      </c>
      <c r="AI34" s="4"/>
      <c r="AJ34" s="190">
        <f t="shared" si="16"/>
        <v>2.4828943902522549</v>
      </c>
      <c r="AK34" s="4"/>
      <c r="AL34" s="189">
        <f t="shared" si="7"/>
        <v>5879.4025937528195</v>
      </c>
      <c r="AM34" s="4"/>
      <c r="AN34" s="190">
        <v>6.7024699037828679</v>
      </c>
      <c r="AO34" s="4"/>
      <c r="AP34" s="190">
        <f t="shared" si="8"/>
        <v>48.700289288881038</v>
      </c>
      <c r="AQ34" s="4"/>
      <c r="AR34" s="190">
        <f t="shared" si="17"/>
        <v>2.5700990090258511</v>
      </c>
      <c r="AS34" s="190"/>
      <c r="AT34" s="189">
        <f t="shared" si="3"/>
        <v>2624.4878633671146</v>
      </c>
      <c r="AU34" s="4"/>
      <c r="AV34" s="189">
        <f t="shared" si="4"/>
        <v>15693.706991509345</v>
      </c>
      <c r="AW34" s="337"/>
      <c r="AX34" s="191">
        <f t="shared" si="9"/>
        <v>18318.194854876459</v>
      </c>
      <c r="AZ34" s="182">
        <f>+IF(AZ33&gt;$G$13+$G$14,XX,AZ33+1)</f>
        <v>2012</v>
      </c>
      <c r="BA34" s="152"/>
      <c r="BB34" s="190">
        <f t="shared" si="18"/>
        <v>42.214872690784134</v>
      </c>
      <c r="BC34" s="4"/>
      <c r="BD34" s="190">
        <f t="shared" si="19"/>
        <v>6.4184841682578435</v>
      </c>
      <c r="BE34" s="4"/>
      <c r="BF34" s="189">
        <f t="shared" si="10"/>
        <v>3254.9147303857048</v>
      </c>
      <c r="BG34" s="4"/>
      <c r="BH34" s="193"/>
    </row>
    <row r="35" spans="2:60" ht="12">
      <c r="B35" s="3"/>
      <c r="C35" s="7">
        <f>+IF(C34&gt;$G$13+$G$14,XX,C34+1)</f>
        <v>2013</v>
      </c>
      <c r="D35" s="7"/>
      <c r="E35" s="330">
        <v>1.9E-2</v>
      </c>
      <c r="F35" s="7"/>
      <c r="G35" s="23">
        <v>305473.07679881854</v>
      </c>
      <c r="H35" s="7"/>
      <c r="I35" s="39">
        <f t="shared" si="11"/>
        <v>213.31571444828987</v>
      </c>
      <c r="J35" s="7"/>
      <c r="K35" s="39">
        <f t="shared" si="12"/>
        <v>14.366331775680033</v>
      </c>
      <c r="L35" s="7"/>
      <c r="M35" s="39">
        <f t="shared" si="13"/>
        <v>3.4374833588656628</v>
      </c>
      <c r="N35" s="7"/>
      <c r="O35" s="333">
        <v>5.6929163927156532</v>
      </c>
      <c r="P35" s="7"/>
      <c r="Q35" s="39">
        <v>-35.173291998930409</v>
      </c>
      <c r="R35" s="7"/>
      <c r="S35" s="23">
        <f t="shared" si="5"/>
        <v>17871.354448344919</v>
      </c>
      <c r="T35" s="7"/>
      <c r="U35" s="23">
        <f t="shared" si="0"/>
        <v>18342.811616613639</v>
      </c>
      <c r="V35" s="7"/>
      <c r="W35" s="23">
        <f t="shared" si="1"/>
        <v>-471.45716826872012</v>
      </c>
      <c r="X35" s="7"/>
      <c r="Y35" s="334">
        <f t="shared" si="6"/>
        <v>-1.5433673343959444</v>
      </c>
      <c r="Z35" s="290"/>
      <c r="AB35" s="182">
        <f>+IF(AB34&gt;$G$13+$G$14,XX,AB34+1)</f>
        <v>2013</v>
      </c>
      <c r="AC35" s="152"/>
      <c r="AD35" s="187">
        <f t="shared" si="2"/>
        <v>305473.07679881854</v>
      </c>
      <c r="AE35" s="4"/>
      <c r="AF35" s="190">
        <f t="shared" si="14"/>
        <v>63.840099202759809</v>
      </c>
      <c r="AG35" s="4"/>
      <c r="AH35" s="190">
        <f t="shared" si="15"/>
        <v>9.0004250893394833</v>
      </c>
      <c r="AI35" s="4"/>
      <c r="AJ35" s="190">
        <f t="shared" si="16"/>
        <v>2.5300693836670476</v>
      </c>
      <c r="AK35" s="4"/>
      <c r="AL35" s="189">
        <f t="shared" si="7"/>
        <v>5989.5329235125964</v>
      </c>
      <c r="AM35" s="4"/>
      <c r="AN35" s="190">
        <v>6.6994948806584134</v>
      </c>
      <c r="AO35" s="4"/>
      <c r="AP35" s="190">
        <f t="shared" si="8"/>
        <v>48.678672707399592</v>
      </c>
      <c r="AQ35" s="4"/>
      <c r="AR35" s="190">
        <f t="shared" si="17"/>
        <v>2.6189308901973418</v>
      </c>
      <c r="AS35" s="190"/>
      <c r="AT35" s="189">
        <f t="shared" si="3"/>
        <v>2672.7748132495635</v>
      </c>
      <c r="AU35" s="4"/>
      <c r="AV35" s="189">
        <f t="shared" si="4"/>
        <v>15670.036803364077</v>
      </c>
      <c r="AW35" s="337"/>
      <c r="AX35" s="191">
        <f t="shared" si="9"/>
        <v>18342.811616613639</v>
      </c>
      <c r="AZ35" s="182">
        <f>+IF(AZ34&gt;$G$13+$G$14,XX,AZ34+1)</f>
        <v>2013</v>
      </c>
      <c r="BA35" s="152"/>
      <c r="BB35" s="190">
        <f t="shared" si="18"/>
        <v>43.016955271909026</v>
      </c>
      <c r="BC35" s="4"/>
      <c r="BD35" s="190">
        <f t="shared" si="19"/>
        <v>6.5404353674547417</v>
      </c>
      <c r="BE35" s="4"/>
      <c r="BF35" s="189">
        <f t="shared" si="10"/>
        <v>3316.7581102630329</v>
      </c>
      <c r="BG35" s="4"/>
      <c r="BH35" s="193"/>
    </row>
    <row r="36" spans="2:60" ht="12">
      <c r="B36" s="3"/>
      <c r="C36" s="7">
        <f>+IF(C35&gt;$G$13+$G$14,XX,C35+1)</f>
        <v>2014</v>
      </c>
      <c r="D36" s="7"/>
      <c r="E36" s="330">
        <v>1.7999999999999999E-2</v>
      </c>
      <c r="F36" s="7"/>
      <c r="G36" s="23">
        <v>305473.07679881854</v>
      </c>
      <c r="H36" s="7"/>
      <c r="I36" s="39">
        <f t="shared" si="11"/>
        <v>217.15539730835908</v>
      </c>
      <c r="J36" s="7"/>
      <c r="K36" s="39">
        <f t="shared" si="12"/>
        <v>14.624925747642274</v>
      </c>
      <c r="L36" s="7"/>
      <c r="M36" s="39">
        <f t="shared" si="13"/>
        <v>3.4993580593252447</v>
      </c>
      <c r="N36" s="7"/>
      <c r="O36" s="333">
        <v>5.7953888877845348</v>
      </c>
      <c r="P36" s="7"/>
      <c r="Q36" s="39">
        <v>-35.876757838909015</v>
      </c>
      <c r="R36" s="7"/>
      <c r="S36" s="23">
        <f t="shared" si="5"/>
        <v>18171.549840959015</v>
      </c>
      <c r="T36" s="7"/>
      <c r="U36" s="23">
        <f t="shared" si="0"/>
        <v>18881.450804220665</v>
      </c>
      <c r="V36" s="7"/>
      <c r="W36" s="23">
        <f t="shared" si="1"/>
        <v>-709.90096326165076</v>
      </c>
      <c r="X36" s="7"/>
      <c r="Y36" s="334">
        <f t="shared" si="6"/>
        <v>-2.3239395455108611</v>
      </c>
      <c r="Z36" s="290"/>
      <c r="AB36" s="182">
        <f>+IF(AB35&gt;$G$13+$G$14,XX,AB35+1)</f>
        <v>2014</v>
      </c>
      <c r="AC36" s="152"/>
      <c r="AD36" s="187">
        <f t="shared" si="2"/>
        <v>305473.07679881854</v>
      </c>
      <c r="AE36" s="4"/>
      <c r="AF36" s="190">
        <f t="shared" si="14"/>
        <v>64.989220988409485</v>
      </c>
      <c r="AG36" s="4"/>
      <c r="AH36" s="190">
        <f t="shared" si="15"/>
        <v>9.1624327409475939</v>
      </c>
      <c r="AI36" s="4"/>
      <c r="AJ36" s="190">
        <f t="shared" si="16"/>
        <v>2.5756106325730546</v>
      </c>
      <c r="AK36" s="4"/>
      <c r="AL36" s="189">
        <f t="shared" si="7"/>
        <v>6097.3445161358241</v>
      </c>
      <c r="AM36" s="4"/>
      <c r="AN36" s="190">
        <v>6.9140085811973453</v>
      </c>
      <c r="AO36" s="4"/>
      <c r="AP36" s="190">
        <f t="shared" si="8"/>
        <v>50.2373338312307</v>
      </c>
      <c r="AQ36" s="4"/>
      <c r="AR36" s="190">
        <f t="shared" si="17"/>
        <v>2.6660716462208942</v>
      </c>
      <c r="AS36" s="190"/>
      <c r="AT36" s="189">
        <f t="shared" si="3"/>
        <v>2720.8847598880566</v>
      </c>
      <c r="AU36" s="4"/>
      <c r="AV36" s="189">
        <f t="shared" si="4"/>
        <v>16160.566044332609</v>
      </c>
      <c r="AW36" s="337"/>
      <c r="AX36" s="191">
        <f t="shared" si="9"/>
        <v>18881.450804220665</v>
      </c>
      <c r="AZ36" s="182">
        <f>+IF(AZ35&gt;$G$13+$G$14,XX,AZ35+1)</f>
        <v>2014</v>
      </c>
      <c r="BA36" s="152"/>
      <c r="BB36" s="190">
        <f t="shared" si="18"/>
        <v>43.791260466803386</v>
      </c>
      <c r="BC36" s="4"/>
      <c r="BD36" s="190">
        <f t="shared" si="19"/>
        <v>6.6581632040689271</v>
      </c>
      <c r="BE36" s="4"/>
      <c r="BF36" s="189">
        <f t="shared" si="10"/>
        <v>3376.4597562477675</v>
      </c>
      <c r="BG36" s="4"/>
      <c r="BH36" s="193"/>
    </row>
    <row r="37" spans="2:60" ht="12">
      <c r="B37" s="3"/>
      <c r="C37" s="7">
        <f>+IF(C36&gt;$G$13+$G$14,XX,C36+1)</f>
        <v>2015</v>
      </c>
      <c r="D37" s="7"/>
      <c r="E37" s="330">
        <v>1.7999999999999999E-2</v>
      </c>
      <c r="F37" s="7"/>
      <c r="G37" s="23">
        <v>305473.07679881854</v>
      </c>
      <c r="H37" s="7"/>
      <c r="I37" s="39">
        <f t="shared" si="11"/>
        <v>221.06419445990954</v>
      </c>
      <c r="J37" s="7"/>
      <c r="K37" s="39">
        <f t="shared" si="12"/>
        <v>14.888174411099836</v>
      </c>
      <c r="L37" s="7"/>
      <c r="M37" s="39">
        <f t="shared" si="13"/>
        <v>3.5623465043930991</v>
      </c>
      <c r="N37" s="7"/>
      <c r="O37" s="333">
        <v>5.8997058877646564</v>
      </c>
      <c r="P37" s="7"/>
      <c r="Q37" s="39">
        <v>-36.594292995687191</v>
      </c>
      <c r="R37" s="7"/>
      <c r="S37" s="23">
        <f t="shared" si="5"/>
        <v>18476.718970891045</v>
      </c>
      <c r="T37" s="7"/>
      <c r="U37" s="23">
        <f t="shared" si="0"/>
        <v>19838.226285512537</v>
      </c>
      <c r="V37" s="7"/>
      <c r="W37" s="23">
        <f t="shared" si="1"/>
        <v>-1361.5073146214927</v>
      </c>
      <c r="X37" s="7"/>
      <c r="Y37" s="334">
        <f t="shared" si="6"/>
        <v>-4.4570452129179543</v>
      </c>
      <c r="Z37" s="290"/>
      <c r="AB37" s="182">
        <f>+IF(AB36&gt;$G$13+$G$14,XX,AB36+1)</f>
        <v>2015</v>
      </c>
      <c r="AC37" s="152"/>
      <c r="AD37" s="187">
        <f t="shared" si="2"/>
        <v>305473.07679881854</v>
      </c>
      <c r="AE37" s="4"/>
      <c r="AF37" s="190">
        <f t="shared" si="14"/>
        <v>66.159026966200855</v>
      </c>
      <c r="AG37" s="4"/>
      <c r="AH37" s="190">
        <f t="shared" si="15"/>
        <v>9.3273565302846499</v>
      </c>
      <c r="AI37" s="4"/>
      <c r="AJ37" s="190">
        <f t="shared" si="16"/>
        <v>2.6219716239593698</v>
      </c>
      <c r="AK37" s="4"/>
      <c r="AL37" s="189">
        <f t="shared" si="7"/>
        <v>6207.0967174262696</v>
      </c>
      <c r="AM37" s="4"/>
      <c r="AN37" s="190">
        <v>7.3164011858738007</v>
      </c>
      <c r="AO37" s="4"/>
      <c r="AP37" s="190">
        <f t="shared" si="8"/>
        <v>53.161127080102943</v>
      </c>
      <c r="AQ37" s="4"/>
      <c r="AR37" s="190">
        <f t="shared" si="17"/>
        <v>2.7140609358528702</v>
      </c>
      <c r="AS37" s="190"/>
      <c r="AT37" s="189">
        <f t="shared" si="3"/>
        <v>2769.8606855660423</v>
      </c>
      <c r="AU37" s="4"/>
      <c r="AV37" s="189">
        <f t="shared" si="4"/>
        <v>17068.365599946494</v>
      </c>
      <c r="AW37" s="337"/>
      <c r="AX37" s="191">
        <f t="shared" si="9"/>
        <v>19838.226285512537</v>
      </c>
      <c r="AZ37" s="182">
        <f>+IF(AZ36&gt;$G$13+$G$14,XX,AZ36+1)</f>
        <v>2015</v>
      </c>
      <c r="BA37" s="152"/>
      <c r="BB37" s="190">
        <f t="shared" si="18"/>
        <v>44.579503155205849</v>
      </c>
      <c r="BC37" s="4"/>
      <c r="BD37" s="190">
        <f t="shared" si="19"/>
        <v>6.7780101417421683</v>
      </c>
      <c r="BE37" s="4"/>
      <c r="BF37" s="189">
        <f t="shared" si="10"/>
        <v>3437.2360318602273</v>
      </c>
      <c r="BG37" s="4"/>
      <c r="BH37" s="193"/>
    </row>
    <row r="38" spans="2:60" ht="12">
      <c r="B38" s="3"/>
      <c r="C38" s="7">
        <f>+IF(C37&gt;$G$13+$G$14,XX,C37+1)</f>
        <v>2016</v>
      </c>
      <c r="D38" s="7"/>
      <c r="E38" s="330">
        <v>1.7999999999999999E-2</v>
      </c>
      <c r="F38" s="7"/>
      <c r="G38" s="23">
        <v>306096.90139893163</v>
      </c>
      <c r="H38" s="7"/>
      <c r="I38" s="39">
        <f t="shared" si="11"/>
        <v>225.04334996018792</v>
      </c>
      <c r="J38" s="7"/>
      <c r="K38" s="39">
        <f t="shared" si="12"/>
        <v>15.156161550499634</v>
      </c>
      <c r="L38" s="7"/>
      <c r="M38" s="39">
        <f t="shared" si="13"/>
        <v>3.6264687414721748</v>
      </c>
      <c r="N38" s="7"/>
      <c r="O38" s="333">
        <v>6.0059005937444203</v>
      </c>
      <c r="P38" s="7"/>
      <c r="Q38" s="39">
        <v>0</v>
      </c>
      <c r="R38" s="7"/>
      <c r="S38" s="23">
        <f t="shared" si="5"/>
        <v>30204.549165348344</v>
      </c>
      <c r="T38" s="7"/>
      <c r="U38" s="23">
        <f t="shared" si="0"/>
        <v>21284.657849604559</v>
      </c>
      <c r="V38" s="7"/>
      <c r="W38" s="23">
        <f t="shared" si="1"/>
        <v>8919.8913157437855</v>
      </c>
      <c r="X38" s="7"/>
      <c r="Y38" s="334">
        <f t="shared" si="6"/>
        <v>29.140743584720646</v>
      </c>
      <c r="Z38" s="290"/>
      <c r="AB38" s="182">
        <f>+IF(AB37&gt;$G$13+$G$14,XX,AB37+1)</f>
        <v>2016</v>
      </c>
      <c r="AC38" s="152"/>
      <c r="AD38" s="187">
        <f t="shared" si="2"/>
        <v>306096.90139893163</v>
      </c>
      <c r="AE38" s="4"/>
      <c r="AF38" s="190">
        <f t="shared" si="14"/>
        <v>67.349889451592475</v>
      </c>
      <c r="AG38" s="4"/>
      <c r="AH38" s="190">
        <f t="shared" si="15"/>
        <v>9.4952489478297739</v>
      </c>
      <c r="AI38" s="4"/>
      <c r="AJ38" s="190">
        <f t="shared" si="16"/>
        <v>2.6691671131906385</v>
      </c>
      <c r="AK38" s="4"/>
      <c r="AL38" s="189">
        <f t="shared" si="7"/>
        <v>6320.4895504469632</v>
      </c>
      <c r="AM38" s="4"/>
      <c r="AN38" s="190">
        <v>7.9211828417083421</v>
      </c>
      <c r="AO38" s="4"/>
      <c r="AP38" s="190">
        <f t="shared" si="8"/>
        <v>57.555483491778489</v>
      </c>
      <c r="AQ38" s="4"/>
      <c r="AR38" s="190">
        <f t="shared" si="17"/>
        <v>2.7629140326982218</v>
      </c>
      <c r="AS38" s="190"/>
      <c r="AT38" s="189">
        <f t="shared" si="3"/>
        <v>2821.3832700132511</v>
      </c>
      <c r="AU38" s="4"/>
      <c r="AV38" s="189">
        <f t="shared" si="4"/>
        <v>18463.274579591307</v>
      </c>
      <c r="AW38" s="337"/>
      <c r="AX38" s="191">
        <f t="shared" si="9"/>
        <v>21284.657849604559</v>
      </c>
      <c r="AZ38" s="182">
        <f>+IF(AZ37&gt;$G$13+$G$14,XX,AZ37+1)</f>
        <v>2016</v>
      </c>
      <c r="BA38" s="152"/>
      <c r="BB38" s="190">
        <f t="shared" si="18"/>
        <v>45.381934211999557</v>
      </c>
      <c r="BC38" s="4"/>
      <c r="BD38" s="190">
        <f t="shared" si="19"/>
        <v>6.9000143242935277</v>
      </c>
      <c r="BE38" s="4"/>
      <c r="BF38" s="189">
        <f t="shared" si="10"/>
        <v>3499.1062804337121</v>
      </c>
      <c r="BG38" s="4"/>
      <c r="BH38" s="193"/>
    </row>
    <row r="39" spans="2:60" ht="12">
      <c r="B39" s="3"/>
      <c r="C39" s="7">
        <f>+IF(C38&gt;$G$13+$G$14,XX,C38+1)</f>
        <v>2017</v>
      </c>
      <c r="D39" s="7"/>
      <c r="E39" s="330">
        <v>1.7999999999999999E-2</v>
      </c>
      <c r="F39" s="7"/>
      <c r="G39" s="23">
        <v>305473.07679881854</v>
      </c>
      <c r="H39" s="7"/>
      <c r="I39" s="39">
        <f t="shared" si="11"/>
        <v>229.09413025947131</v>
      </c>
      <c r="J39" s="7"/>
      <c r="K39" s="39">
        <f t="shared" si="12"/>
        <v>15.428972458408628</v>
      </c>
      <c r="L39" s="7"/>
      <c r="M39" s="39">
        <f t="shared" si="13"/>
        <v>3.6917451788186741</v>
      </c>
      <c r="N39" s="7"/>
      <c r="O39" s="333">
        <v>6.1140068044318197</v>
      </c>
      <c r="P39" s="7"/>
      <c r="Q39" s="39">
        <v>0</v>
      </c>
      <c r="R39" s="7"/>
      <c r="S39" s="23">
        <f t="shared" si="5"/>
        <v>30732.489008440829</v>
      </c>
      <c r="T39" s="7"/>
      <c r="U39" s="23">
        <f t="shared" si="0"/>
        <v>22699.814172911068</v>
      </c>
      <c r="V39" s="7"/>
      <c r="W39" s="23">
        <f t="shared" si="1"/>
        <v>8032.6748355297605</v>
      </c>
      <c r="X39" s="7"/>
      <c r="Y39" s="334">
        <f t="shared" si="6"/>
        <v>26.295852059067052</v>
      </c>
      <c r="Z39" s="290"/>
      <c r="AB39" s="182">
        <f>+IF(AB38&gt;$G$13+$G$14,XX,AB38+1)</f>
        <v>2017</v>
      </c>
      <c r="AC39" s="152"/>
      <c r="AD39" s="187">
        <f t="shared" si="2"/>
        <v>305473.07679881854</v>
      </c>
      <c r="AE39" s="4"/>
      <c r="AF39" s="190">
        <f t="shared" si="14"/>
        <v>68.562187461721138</v>
      </c>
      <c r="AG39" s="4"/>
      <c r="AH39" s="190">
        <f t="shared" si="15"/>
        <v>9.6661634288907106</v>
      </c>
      <c r="AI39" s="4"/>
      <c r="AJ39" s="190">
        <f t="shared" si="16"/>
        <v>2.7172121212280702</v>
      </c>
      <c r="AK39" s="4"/>
      <c r="AL39" s="189">
        <f t="shared" si="7"/>
        <v>6432.5632985900611</v>
      </c>
      <c r="AM39" s="4"/>
      <c r="AN39" s="190">
        <v>8.5467545643478058</v>
      </c>
      <c r="AO39" s="4"/>
      <c r="AP39" s="190">
        <f t="shared" si="8"/>
        <v>62.100900972324112</v>
      </c>
      <c r="AQ39" s="4"/>
      <c r="AR39" s="190">
        <f t="shared" si="17"/>
        <v>2.8126464852867898</v>
      </c>
      <c r="AS39" s="190"/>
      <c r="AT39" s="189">
        <f t="shared" si="3"/>
        <v>2870.4731051085428</v>
      </c>
      <c r="AU39" s="4"/>
      <c r="AV39" s="189">
        <f t="shared" si="4"/>
        <v>19829.341067802525</v>
      </c>
      <c r="AW39" s="337"/>
      <c r="AX39" s="191">
        <f t="shared" si="9"/>
        <v>22699.814172911068</v>
      </c>
      <c r="AZ39" s="182">
        <f>+IF(AZ38&gt;$G$13+$G$14,XX,AZ38+1)</f>
        <v>2017</v>
      </c>
      <c r="BA39" s="152"/>
      <c r="BB39" s="190">
        <f t="shared" si="18"/>
        <v>46.19880902781555</v>
      </c>
      <c r="BC39" s="4"/>
      <c r="BD39" s="190">
        <f t="shared" si="19"/>
        <v>7.0242145821308108</v>
      </c>
      <c r="BE39" s="4"/>
      <c r="BF39" s="189">
        <f t="shared" si="10"/>
        <v>3562.0901934815183</v>
      </c>
      <c r="BG39" s="4"/>
      <c r="BH39" s="193"/>
    </row>
    <row r="40" spans="2:60" ht="12">
      <c r="B40" s="3"/>
      <c r="C40" s="7">
        <f>+IF(C39&gt;$G$13+$G$14,XX,C39+1)</f>
        <v>2018</v>
      </c>
      <c r="D40" s="7"/>
      <c r="E40" s="330">
        <v>1.7999999999999999E-2</v>
      </c>
      <c r="F40" s="7"/>
      <c r="G40" s="23">
        <v>305473.07679881854</v>
      </c>
      <c r="H40" s="7"/>
      <c r="I40" s="39">
        <f t="shared" si="11"/>
        <v>233.21782460414181</v>
      </c>
      <c r="J40" s="7"/>
      <c r="K40" s="39">
        <f t="shared" si="12"/>
        <v>15.706693962659983</v>
      </c>
      <c r="L40" s="7"/>
      <c r="M40" s="39">
        <f t="shared" si="13"/>
        <v>3.7581965920374105</v>
      </c>
      <c r="N40" s="7"/>
      <c r="O40" s="333">
        <v>6.2240589269115922</v>
      </c>
      <c r="P40" s="7"/>
      <c r="Q40" s="39">
        <v>0</v>
      </c>
      <c r="R40" s="7"/>
      <c r="S40" s="23">
        <f t="shared" si="5"/>
        <v>31285.673810592762</v>
      </c>
      <c r="T40" s="7"/>
      <c r="U40" s="23">
        <f t="shared" si="0"/>
        <v>24010.784566859322</v>
      </c>
      <c r="V40" s="7"/>
      <c r="W40" s="23">
        <f t="shared" si="1"/>
        <v>7274.8892437334398</v>
      </c>
      <c r="X40" s="7"/>
      <c r="Y40" s="334">
        <f t="shared" si="6"/>
        <v>23.815156870680973</v>
      </c>
      <c r="Z40" s="290"/>
      <c r="AB40" s="182">
        <f>+IF(AB39&gt;$G$13+$G$14,XX,AB39+1)</f>
        <v>2018</v>
      </c>
      <c r="AC40" s="152"/>
      <c r="AD40" s="187">
        <f t="shared" si="2"/>
        <v>305473.07679881854</v>
      </c>
      <c r="AE40" s="4"/>
      <c r="AF40" s="190">
        <f t="shared" si="14"/>
        <v>69.796306836032116</v>
      </c>
      <c r="AG40" s="4"/>
      <c r="AH40" s="190">
        <f t="shared" si="15"/>
        <v>9.8401543706107439</v>
      </c>
      <c r="AI40" s="4"/>
      <c r="AJ40" s="190">
        <f t="shared" si="16"/>
        <v>2.7661219394101755</v>
      </c>
      <c r="AK40" s="4"/>
      <c r="AL40" s="189">
        <f t="shared" si="7"/>
        <v>6548.3494379646818</v>
      </c>
      <c r="AM40" s="4"/>
      <c r="AN40" s="190">
        <v>9.1071488375904099</v>
      </c>
      <c r="AO40" s="4"/>
      <c r="AP40" s="190">
        <f t="shared" si="8"/>
        <v>66.172737715275218</v>
      </c>
      <c r="AQ40" s="4"/>
      <c r="AR40" s="190">
        <f t="shared" si="17"/>
        <v>2.8632741220219522</v>
      </c>
      <c r="AS40" s="190"/>
      <c r="AT40" s="189">
        <f t="shared" si="3"/>
        <v>2922.1416210004959</v>
      </c>
      <c r="AU40" s="4"/>
      <c r="AV40" s="189">
        <f t="shared" si="4"/>
        <v>21088.642945858825</v>
      </c>
      <c r="AW40" s="337"/>
      <c r="AX40" s="191">
        <f t="shared" si="9"/>
        <v>24010.784566859322</v>
      </c>
      <c r="AZ40" s="182">
        <f>+IF(AZ39&gt;$G$13+$G$14,XX,AZ39+1)</f>
        <v>2018</v>
      </c>
      <c r="BA40" s="152"/>
      <c r="BB40" s="190">
        <f t="shared" si="18"/>
        <v>47.030387590316231</v>
      </c>
      <c r="BC40" s="4"/>
      <c r="BD40" s="190">
        <f t="shared" si="19"/>
        <v>7.1506504446091652</v>
      </c>
      <c r="BE40" s="4"/>
      <c r="BF40" s="189">
        <f t="shared" si="10"/>
        <v>3626.2078169641859</v>
      </c>
      <c r="BG40" s="4"/>
      <c r="BH40" s="193"/>
    </row>
    <row r="41" spans="2:60" ht="12">
      <c r="B41" s="3"/>
      <c r="C41" s="7">
        <f>+IF(C40&gt;$G$13+$G$14,XX,C40+1)</f>
        <v>2019</v>
      </c>
      <c r="D41" s="7"/>
      <c r="E41" s="330">
        <v>1.7999999999999999E-2</v>
      </c>
      <c r="F41" s="7"/>
      <c r="G41" s="23">
        <v>305473.07679881854</v>
      </c>
      <c r="H41" s="7"/>
      <c r="I41" s="39">
        <f t="shared" si="11"/>
        <v>237.41574544701638</v>
      </c>
      <c r="J41" s="7"/>
      <c r="K41" s="39">
        <f t="shared" si="12"/>
        <v>15.989414453987862</v>
      </c>
      <c r="L41" s="7"/>
      <c r="M41" s="39">
        <f t="shared" si="13"/>
        <v>3.825844130694084</v>
      </c>
      <c r="N41" s="7"/>
      <c r="O41" s="333">
        <v>6.3360919875960011</v>
      </c>
      <c r="P41" s="7"/>
      <c r="Q41" s="39">
        <v>0</v>
      </c>
      <c r="R41" s="7"/>
      <c r="S41" s="23">
        <f t="shared" si="5"/>
        <v>31848.815939183438</v>
      </c>
      <c r="T41" s="7"/>
      <c r="U41" s="23">
        <f t="shared" si="0"/>
        <v>25459.282147063477</v>
      </c>
      <c r="V41" s="7"/>
      <c r="W41" s="23">
        <f t="shared" si="1"/>
        <v>6389.5337921199607</v>
      </c>
      <c r="X41" s="7"/>
      <c r="Y41" s="334">
        <f t="shared" si="6"/>
        <v>20.916847596123969</v>
      </c>
      <c r="Z41" s="290"/>
      <c r="AB41" s="182">
        <f>+IF(AB40&gt;$G$13+$G$14,XX,AB40+1)</f>
        <v>2019</v>
      </c>
      <c r="AC41" s="152"/>
      <c r="AD41" s="187">
        <f t="shared" si="2"/>
        <v>305473.07679881854</v>
      </c>
      <c r="AE41" s="4"/>
      <c r="AF41" s="190">
        <f t="shared" si="14"/>
        <v>71.052640359080698</v>
      </c>
      <c r="AG41" s="4"/>
      <c r="AH41" s="190">
        <f t="shared" si="15"/>
        <v>10.017277149281737</v>
      </c>
      <c r="AI41" s="4"/>
      <c r="AJ41" s="190">
        <f t="shared" si="16"/>
        <v>2.8159121343195586</v>
      </c>
      <c r="AK41" s="4"/>
      <c r="AL41" s="189">
        <f t="shared" si="7"/>
        <v>6666.2197278480471</v>
      </c>
      <c r="AM41" s="4"/>
      <c r="AN41" s="190">
        <v>9.7289597532905745</v>
      </c>
      <c r="AO41" s="4"/>
      <c r="AP41" s="190">
        <f t="shared" si="8"/>
        <v>70.69082909237946</v>
      </c>
      <c r="AQ41" s="4"/>
      <c r="AR41" s="190">
        <f t="shared" si="17"/>
        <v>2.9148130562183474</v>
      </c>
      <c r="AS41" s="190"/>
      <c r="AT41" s="189">
        <f t="shared" si="3"/>
        <v>2974.7401701785057</v>
      </c>
      <c r="AU41" s="4"/>
      <c r="AV41" s="189">
        <f t="shared" si="4"/>
        <v>22484.541976884972</v>
      </c>
      <c r="AW41" s="337"/>
      <c r="AX41" s="191">
        <f t="shared" si="9"/>
        <v>25459.282147063477</v>
      </c>
      <c r="AZ41" s="182">
        <f>+IF(AZ40&gt;$G$13+$G$14,XX,AZ40+1)</f>
        <v>2019</v>
      </c>
      <c r="BA41" s="152"/>
      <c r="BB41" s="190">
        <f t="shared" si="18"/>
        <v>47.876934566941927</v>
      </c>
      <c r="BC41" s="4"/>
      <c r="BD41" s="190">
        <f t="shared" si="19"/>
        <v>7.2793621526121299</v>
      </c>
      <c r="BE41" s="4"/>
      <c r="BF41" s="189">
        <f t="shared" si="10"/>
        <v>3691.4795576695415</v>
      </c>
      <c r="BG41" s="4"/>
      <c r="BH41" s="193"/>
    </row>
    <row r="42" spans="2:60" ht="12">
      <c r="B42" s="3"/>
      <c r="C42" s="7">
        <f>+IF(C41&gt;$G$13+$G$14,XX,C41+1)</f>
        <v>2020</v>
      </c>
      <c r="D42" s="7"/>
      <c r="E42" s="330">
        <v>1.7999999999999999E-2</v>
      </c>
      <c r="F42" s="7"/>
      <c r="G42" s="23">
        <v>306096.90139893163</v>
      </c>
      <c r="H42" s="7"/>
      <c r="I42" s="39">
        <f t="shared" si="11"/>
        <v>241.68922886506269</v>
      </c>
      <c r="J42" s="7"/>
      <c r="K42" s="39">
        <f t="shared" si="12"/>
        <v>16.277223914159645</v>
      </c>
      <c r="L42" s="7"/>
      <c r="M42" s="39">
        <f t="shared" si="13"/>
        <v>3.8947093250465774</v>
      </c>
      <c r="N42" s="7"/>
      <c r="O42" s="333">
        <v>6.4501416433727297</v>
      </c>
      <c r="P42" s="7"/>
      <c r="Q42" s="39">
        <v>0</v>
      </c>
      <c r="R42" s="7"/>
      <c r="S42" s="23">
        <f t="shared" si="5"/>
        <v>32438.702131306545</v>
      </c>
      <c r="T42" s="7"/>
      <c r="U42" s="23">
        <f t="shared" si="0"/>
        <v>26418.082736280172</v>
      </c>
      <c r="V42" s="7"/>
      <c r="W42" s="23">
        <f t="shared" si="1"/>
        <v>6020.6193950263732</v>
      </c>
      <c r="X42" s="7"/>
      <c r="Y42" s="334">
        <f t="shared" si="6"/>
        <v>19.668998175122944</v>
      </c>
      <c r="Z42" s="290"/>
      <c r="AB42" s="182">
        <f>+IF(AB41&gt;$G$13+$G$14,XX,AB41+1)</f>
        <v>2020</v>
      </c>
      <c r="AC42" s="152"/>
      <c r="AD42" s="187">
        <f t="shared" si="2"/>
        <v>306096.90139893163</v>
      </c>
      <c r="AE42" s="4"/>
      <c r="AF42" s="190">
        <f t="shared" si="14"/>
        <v>72.331587885544153</v>
      </c>
      <c r="AG42" s="4"/>
      <c r="AH42" s="190">
        <f t="shared" si="15"/>
        <v>10.197588137968809</v>
      </c>
      <c r="AI42" s="4"/>
      <c r="AJ42" s="190">
        <f t="shared" si="16"/>
        <v>2.8665985527373108</v>
      </c>
      <c r="AK42" s="4"/>
      <c r="AL42" s="189">
        <f t="shared" si="7"/>
        <v>6787.9999376451578</v>
      </c>
      <c r="AM42" s="4"/>
      <c r="AN42" s="190">
        <v>10.107309478601163</v>
      </c>
      <c r="AO42" s="4"/>
      <c r="AP42" s="190">
        <f t="shared" si="8"/>
        <v>73.43992626692922</v>
      </c>
      <c r="AQ42" s="4"/>
      <c r="AR42" s="190">
        <f t="shared" si="17"/>
        <v>2.9672796912302779</v>
      </c>
      <c r="AS42" s="190"/>
      <c r="AT42" s="189">
        <f t="shared" si="3"/>
        <v>3030.0737479375648</v>
      </c>
      <c r="AU42" s="4"/>
      <c r="AV42" s="189">
        <f t="shared" si="4"/>
        <v>23388.008988342608</v>
      </c>
      <c r="AW42" s="337"/>
      <c r="AX42" s="191">
        <f t="shared" si="9"/>
        <v>26418.082736280172</v>
      </c>
      <c r="AZ42" s="182">
        <f>+IF(AZ41&gt;$G$13+$G$14,XX,AZ41+1)</f>
        <v>2020</v>
      </c>
      <c r="BA42" s="152"/>
      <c r="BB42" s="190">
        <f t="shared" si="18"/>
        <v>48.73871938914688</v>
      </c>
      <c r="BC42" s="4"/>
      <c r="BD42" s="190">
        <f t="shared" si="19"/>
        <v>7.4103906713591483</v>
      </c>
      <c r="BE42" s="4"/>
      <c r="BF42" s="189">
        <f t="shared" si="10"/>
        <v>3757.926189707593</v>
      </c>
      <c r="BG42" s="4"/>
      <c r="BH42" s="193"/>
    </row>
    <row r="43" spans="2:60" ht="12">
      <c r="B43" s="3"/>
      <c r="C43" s="7">
        <f>+IF(C42&gt;$G$13+$G$14,XX,C42+1)</f>
        <v>2021</v>
      </c>
      <c r="D43" s="7"/>
      <c r="E43" s="330">
        <v>1.7999999999999999E-2</v>
      </c>
      <c r="F43" s="7"/>
      <c r="G43" s="23">
        <v>305473.07679881854</v>
      </c>
      <c r="H43" s="7"/>
      <c r="I43" s="39">
        <f t="shared" si="11"/>
        <v>246.03963498463381</v>
      </c>
      <c r="J43" s="7"/>
      <c r="K43" s="39">
        <f t="shared" si="12"/>
        <v>16.570213944614519</v>
      </c>
      <c r="L43" s="7"/>
      <c r="M43" s="39">
        <f t="shared" si="13"/>
        <v>3.964814092897416</v>
      </c>
      <c r="N43" s="7"/>
      <c r="O43" s="333">
        <v>6.5662441929534392</v>
      </c>
      <c r="P43" s="7"/>
      <c r="Q43" s="39">
        <v>0</v>
      </c>
      <c r="R43" s="7"/>
      <c r="S43" s="23">
        <f t="shared" si="5"/>
        <v>33005.692329358339</v>
      </c>
      <c r="T43" s="7"/>
      <c r="U43" s="23">
        <f t="shared" si="0"/>
        <v>26836.571811053185</v>
      </c>
      <c r="V43" s="7"/>
      <c r="W43" s="23">
        <f t="shared" si="1"/>
        <v>6169.1205183051534</v>
      </c>
      <c r="X43" s="7"/>
      <c r="Y43" s="334">
        <f t="shared" si="6"/>
        <v>20.195300296032549</v>
      </c>
      <c r="Z43" s="290"/>
      <c r="AB43" s="182">
        <f>+IF(AB42&gt;$G$13+$G$14,XX,AB42+1)</f>
        <v>2021</v>
      </c>
      <c r="AC43" s="152"/>
      <c r="AD43" s="187">
        <f t="shared" si="2"/>
        <v>305473.07679881854</v>
      </c>
      <c r="AE43" s="4"/>
      <c r="AF43" s="190">
        <f t="shared" si="14"/>
        <v>73.633556467483942</v>
      </c>
      <c r="AG43" s="4"/>
      <c r="AH43" s="190">
        <f t="shared" si="15"/>
        <v>10.381144724452248</v>
      </c>
      <c r="AI43" s="4"/>
      <c r="AJ43" s="190">
        <f t="shared" si="16"/>
        <v>2.9181973266865824</v>
      </c>
      <c r="AK43" s="4"/>
      <c r="AL43" s="189">
        <f t="shared" si="7"/>
        <v>6908.3634932423975</v>
      </c>
      <c r="AM43" s="4"/>
      <c r="AN43" s="190">
        <v>10.286225465001079</v>
      </c>
      <c r="AO43" s="4"/>
      <c r="AP43" s="190">
        <f t="shared" si="8"/>
        <v>74.739933640504091</v>
      </c>
      <c r="AQ43" s="4"/>
      <c r="AR43" s="190">
        <f t="shared" si="17"/>
        <v>3.0206907256724231</v>
      </c>
      <c r="AS43" s="190"/>
      <c r="AT43" s="189">
        <f t="shared" si="3"/>
        <v>3082.7946321200675</v>
      </c>
      <c r="AU43" s="4"/>
      <c r="AV43" s="189">
        <f t="shared" si="4"/>
        <v>23753.777178933116</v>
      </c>
      <c r="AW43" s="337"/>
      <c r="AX43" s="191">
        <f t="shared" si="9"/>
        <v>26836.571811053185</v>
      </c>
      <c r="AZ43" s="182">
        <f>+IF(AZ42&gt;$G$13+$G$14,XX,AZ42+1)</f>
        <v>2021</v>
      </c>
      <c r="BA43" s="152"/>
      <c r="BB43" s="190">
        <f t="shared" si="18"/>
        <v>49.616016338151525</v>
      </c>
      <c r="BC43" s="4"/>
      <c r="BD43" s="190">
        <f t="shared" si="19"/>
        <v>7.5437777034436131</v>
      </c>
      <c r="BE43" s="4"/>
      <c r="BF43" s="189">
        <f t="shared" si="10"/>
        <v>3825.56886112233</v>
      </c>
      <c r="BG43" s="4"/>
      <c r="BH43" s="193"/>
    </row>
    <row r="44" spans="2:60" ht="12">
      <c r="B44" s="3"/>
      <c r="C44" s="7">
        <f>+IF(C43&gt;$G$13+$G$14,XX,C43+1)</f>
        <v>2022</v>
      </c>
      <c r="D44" s="7"/>
      <c r="E44" s="330">
        <v>1.9E-2</v>
      </c>
      <c r="F44" s="7"/>
      <c r="G44" s="23">
        <v>305473.07679881854</v>
      </c>
      <c r="H44" s="7"/>
      <c r="I44" s="39">
        <f t="shared" si="11"/>
        <v>250.71438804934184</v>
      </c>
      <c r="J44" s="7"/>
      <c r="K44" s="39">
        <f t="shared" si="12"/>
        <v>16.885048009562194</v>
      </c>
      <c r="L44" s="7"/>
      <c r="M44" s="39">
        <f t="shared" si="13"/>
        <v>4.0401455606624666</v>
      </c>
      <c r="N44" s="7"/>
      <c r="O44" s="333">
        <v>6.6910028326195539</v>
      </c>
      <c r="P44" s="7"/>
      <c r="Q44" s="39">
        <v>0</v>
      </c>
      <c r="R44" s="7"/>
      <c r="S44" s="23">
        <f t="shared" si="5"/>
        <v>33632.800483616142</v>
      </c>
      <c r="T44" s="7"/>
      <c r="U44" s="23">
        <f t="shared" si="0"/>
        <v>27346.970893071841</v>
      </c>
      <c r="V44" s="7"/>
      <c r="W44" s="23">
        <f t="shared" si="1"/>
        <v>6285.829590544301</v>
      </c>
      <c r="X44" s="7"/>
      <c r="Y44" s="334">
        <f t="shared" si="6"/>
        <v>20.57736038938739</v>
      </c>
      <c r="Z44" s="290"/>
      <c r="AB44" s="182">
        <f>+IF(AB43&gt;$G$13+$G$14,XX,AB43+1)</f>
        <v>2022</v>
      </c>
      <c r="AC44" s="152"/>
      <c r="AD44" s="187">
        <f t="shared" si="2"/>
        <v>305473.07679881854</v>
      </c>
      <c r="AE44" s="4"/>
      <c r="AF44" s="190">
        <f t="shared" si="14"/>
        <v>75.032594040366135</v>
      </c>
      <c r="AG44" s="4"/>
      <c r="AH44" s="190">
        <f t="shared" si="15"/>
        <v>10.57838647421684</v>
      </c>
      <c r="AI44" s="4"/>
      <c r="AJ44" s="190">
        <f t="shared" si="16"/>
        <v>2.973643075893627</v>
      </c>
      <c r="AK44" s="4"/>
      <c r="AL44" s="189">
        <f t="shared" si="7"/>
        <v>7039.6223996140034</v>
      </c>
      <c r="AM44" s="4"/>
      <c r="AN44" s="190">
        <v>10.481890917487915</v>
      </c>
      <c r="AO44" s="4"/>
      <c r="AP44" s="190">
        <f t="shared" si="8"/>
        <v>76.16164299194341</v>
      </c>
      <c r="AQ44" s="4"/>
      <c r="AR44" s="190">
        <f t="shared" si="17"/>
        <v>3.078083849460199</v>
      </c>
      <c r="AS44" s="190"/>
      <c r="AT44" s="189">
        <f t="shared" si="3"/>
        <v>3141.3677301303496</v>
      </c>
      <c r="AU44" s="4"/>
      <c r="AV44" s="189">
        <f t="shared" si="4"/>
        <v>24205.60316294149</v>
      </c>
      <c r="AW44" s="337"/>
      <c r="AX44" s="191">
        <f t="shared" si="9"/>
        <v>27346.970893071841</v>
      </c>
      <c r="AZ44" s="182">
        <f>+IF(AZ43&gt;$G$13+$G$14,XX,AZ43+1)</f>
        <v>2022</v>
      </c>
      <c r="BA44" s="152"/>
      <c r="BB44" s="190">
        <f t="shared" si="18"/>
        <v>50.558720648576397</v>
      </c>
      <c r="BC44" s="4"/>
      <c r="BD44" s="190">
        <f t="shared" si="19"/>
        <v>7.6871094798090409</v>
      </c>
      <c r="BE44" s="4"/>
      <c r="BF44" s="189">
        <f t="shared" si="10"/>
        <v>3898.2546694836537</v>
      </c>
      <c r="BG44" s="4"/>
      <c r="BH44" s="193"/>
    </row>
    <row r="45" spans="2:60" ht="12">
      <c r="B45" s="3"/>
      <c r="C45" s="7">
        <f>+IF(C44&gt;$G$13+$G$14,XX,C44+1)</f>
        <v>2023</v>
      </c>
      <c r="D45" s="7"/>
      <c r="E45" s="330">
        <v>1.9E-2</v>
      </c>
      <c r="F45" s="7"/>
      <c r="G45" s="23">
        <v>305473.07679881854</v>
      </c>
      <c r="H45" s="7"/>
      <c r="I45" s="39">
        <f t="shared" si="11"/>
        <v>255.47796142227929</v>
      </c>
      <c r="J45" s="7"/>
      <c r="K45" s="39">
        <f t="shared" si="12"/>
        <v>17.205863921743873</v>
      </c>
      <c r="L45" s="7"/>
      <c r="M45" s="39">
        <f t="shared" si="13"/>
        <v>4.1169083263150528</v>
      </c>
      <c r="N45" s="7"/>
      <c r="O45" s="333">
        <v>6.8181318864393248</v>
      </c>
      <c r="P45" s="7"/>
      <c r="Q45" s="39">
        <v>0</v>
      </c>
      <c r="R45" s="7"/>
      <c r="S45" s="23">
        <f t="shared" si="5"/>
        <v>34271.823692804843</v>
      </c>
      <c r="T45" s="7"/>
      <c r="U45" s="23">
        <f t="shared" si="0"/>
        <v>27863.21801957201</v>
      </c>
      <c r="V45" s="7"/>
      <c r="W45" s="23">
        <f t="shared" si="1"/>
        <v>6408.6056732328325</v>
      </c>
      <c r="X45" s="7"/>
      <c r="Y45" s="334">
        <f t="shared" si="6"/>
        <v>20.979281514401595</v>
      </c>
      <c r="Z45" s="290"/>
      <c r="AB45" s="182">
        <f>+IF(AB44&gt;$G$13+$G$14,XX,AB44+1)</f>
        <v>2023</v>
      </c>
      <c r="AC45" s="152"/>
      <c r="AD45" s="187">
        <f t="shared" si="2"/>
        <v>305473.07679881854</v>
      </c>
      <c r="AE45" s="4"/>
      <c r="AF45" s="190">
        <f t="shared" si="14"/>
        <v>76.45821332713308</v>
      </c>
      <c r="AG45" s="4"/>
      <c r="AH45" s="190">
        <f t="shared" si="15"/>
        <v>10.77937581722696</v>
      </c>
      <c r="AI45" s="4"/>
      <c r="AJ45" s="190">
        <f t="shared" si="16"/>
        <v>3.0301422943356058</v>
      </c>
      <c r="AK45" s="4"/>
      <c r="AL45" s="189">
        <f t="shared" si="7"/>
        <v>7173.3752252066688</v>
      </c>
      <c r="AM45" s="4"/>
      <c r="AN45" s="190">
        <v>10.679539654517416</v>
      </c>
      <c r="AO45" s="4"/>
      <c r="AP45" s="190">
        <f t="shared" si="8"/>
        <v>77.597762931174486</v>
      </c>
      <c r="AQ45" s="4"/>
      <c r="AR45" s="190">
        <f t="shared" si="17"/>
        <v>3.1365674425999424</v>
      </c>
      <c r="AS45" s="190"/>
      <c r="AT45" s="189">
        <f t="shared" si="3"/>
        <v>3201.053717002826</v>
      </c>
      <c r="AU45" s="4"/>
      <c r="AV45" s="189">
        <f t="shared" si="4"/>
        <v>24662.164302569185</v>
      </c>
      <c r="AW45" s="337"/>
      <c r="AX45" s="191">
        <f t="shared" si="9"/>
        <v>27863.21801957201</v>
      </c>
      <c r="AZ45" s="182">
        <f>+IF(AZ44&gt;$G$13+$G$14,XX,AZ44+1)</f>
        <v>2023</v>
      </c>
      <c r="BA45" s="152"/>
      <c r="BB45" s="190">
        <f t="shared" si="18"/>
        <v>51.519336340899343</v>
      </c>
      <c r="BC45" s="4"/>
      <c r="BD45" s="190">
        <f t="shared" si="19"/>
        <v>7.8331645599254118</v>
      </c>
      <c r="BE45" s="4"/>
      <c r="BF45" s="189">
        <f t="shared" si="10"/>
        <v>3972.3215082038428</v>
      </c>
      <c r="BG45" s="4"/>
      <c r="BH45" s="193"/>
    </row>
    <row r="46" spans="2:60" ht="12">
      <c r="B46" s="3"/>
      <c r="C46" s="7">
        <f>+IF(C45&gt;$G$13+$G$14,XX,C45+1)</f>
        <v>2024</v>
      </c>
      <c r="D46" s="7"/>
      <c r="E46" s="330">
        <v>1.9E-2</v>
      </c>
      <c r="F46" s="7"/>
      <c r="G46" s="23">
        <v>306096.90139893163</v>
      </c>
      <c r="H46" s="7"/>
      <c r="I46" s="39">
        <f t="shared" si="11"/>
        <v>260.33204268930257</v>
      </c>
      <c r="J46" s="7"/>
      <c r="K46" s="39">
        <f t="shared" si="12"/>
        <v>17.532775336257004</v>
      </c>
      <c r="L46" s="7"/>
      <c r="M46" s="39">
        <f t="shared" si="13"/>
        <v>4.1951295845150387</v>
      </c>
      <c r="N46" s="7"/>
      <c r="O46" s="333">
        <v>6.9476763922816716</v>
      </c>
      <c r="P46" s="7"/>
      <c r="Q46" s="39">
        <v>0</v>
      </c>
      <c r="R46" s="7"/>
      <c r="S46" s="23">
        <f t="shared" si="5"/>
        <v>34940.876876013754</v>
      </c>
      <c r="T46" s="7"/>
      <c r="U46" s="23">
        <f t="shared" si="0"/>
        <v>28448.398190384909</v>
      </c>
      <c r="V46" s="7"/>
      <c r="W46" s="23">
        <f t="shared" si="1"/>
        <v>6492.4786856288447</v>
      </c>
      <c r="X46" s="7"/>
      <c r="Y46" s="334">
        <f t="shared" si="6"/>
        <v>21.210533840613081</v>
      </c>
      <c r="Z46" s="290"/>
      <c r="AB46" s="182">
        <f>+IF(AB45&gt;$G$13+$G$14,XX,AB45+1)</f>
        <v>2024</v>
      </c>
      <c r="AC46" s="152"/>
      <c r="AD46" s="187">
        <f t="shared" si="2"/>
        <v>306096.90139893163</v>
      </c>
      <c r="AE46" s="4"/>
      <c r="AF46" s="190">
        <f t="shared" si="14"/>
        <v>77.910919380348602</v>
      </c>
      <c r="AG46" s="4"/>
      <c r="AH46" s="190">
        <f t="shared" si="15"/>
        <v>10.98418395775427</v>
      </c>
      <c r="AI46" s="4"/>
      <c r="AJ46" s="190">
        <f t="shared" si="16"/>
        <v>3.0877149979279821</v>
      </c>
      <c r="AK46" s="4"/>
      <c r="AL46" s="189">
        <f t="shared" si="7"/>
        <v>7311.5955470594408</v>
      </c>
      <c r="AM46" s="4"/>
      <c r="AN46" s="190">
        <v>10.883589278444866</v>
      </c>
      <c r="AO46" s="4"/>
      <c r="AP46" s="190">
        <f t="shared" si="8"/>
        <v>79.080391851141073</v>
      </c>
      <c r="AQ46" s="4"/>
      <c r="AR46" s="190">
        <f t="shared" si="17"/>
        <v>3.196162224009341</v>
      </c>
      <c r="AS46" s="190"/>
      <c r="AT46" s="189">
        <f t="shared" si="3"/>
        <v>3263.7999301997252</v>
      </c>
      <c r="AU46" s="4"/>
      <c r="AV46" s="189">
        <f t="shared" si="4"/>
        <v>25184.598260185183</v>
      </c>
      <c r="AW46" s="337"/>
      <c r="AX46" s="191">
        <f t="shared" si="9"/>
        <v>28448.398190384909</v>
      </c>
      <c r="AZ46" s="182">
        <f>+IF(AZ45&gt;$G$13+$G$14,XX,AZ45+1)</f>
        <v>2024</v>
      </c>
      <c r="BA46" s="152"/>
      <c r="BB46" s="190">
        <f t="shared" si="18"/>
        <v>52.498203731376428</v>
      </c>
      <c r="BC46" s="4"/>
      <c r="BD46" s="190">
        <f t="shared" si="19"/>
        <v>7.9819946865639944</v>
      </c>
      <c r="BE46" s="4"/>
      <c r="BF46" s="189">
        <f t="shared" si="10"/>
        <v>4047.7956168597157</v>
      </c>
      <c r="BG46" s="4"/>
      <c r="BH46" s="193"/>
    </row>
    <row r="47" spans="2:60" ht="12">
      <c r="B47" s="3"/>
      <c r="C47" s="7">
        <f>+IF(C46&gt;$G$13+$G$14,XX,C46+1)</f>
        <v>2025</v>
      </c>
      <c r="D47" s="7"/>
      <c r="E47" s="330">
        <v>1.9E-2</v>
      </c>
      <c r="F47" s="7"/>
      <c r="G47" s="23">
        <v>305473.07679881854</v>
      </c>
      <c r="H47" s="7"/>
      <c r="I47" s="39">
        <f t="shared" si="11"/>
        <v>265.27835150039931</v>
      </c>
      <c r="J47" s="7"/>
      <c r="K47" s="39">
        <f t="shared" si="12"/>
        <v>17.865898067645887</v>
      </c>
      <c r="L47" s="7"/>
      <c r="M47" s="39">
        <f t="shared" si="13"/>
        <v>4.2748370466208243</v>
      </c>
      <c r="N47" s="7"/>
      <c r="O47" s="333">
        <v>7.0796822437350224</v>
      </c>
      <c r="P47" s="7"/>
      <c r="Q47" s="39">
        <v>0</v>
      </c>
      <c r="R47" s="7"/>
      <c r="S47" s="23">
        <f t="shared" si="5"/>
        <v>35586.525121484527</v>
      </c>
      <c r="T47" s="7"/>
      <c r="U47" s="23">
        <f t="shared" si="0"/>
        <v>28934.095709922949</v>
      </c>
      <c r="V47" s="7"/>
      <c r="W47" s="23">
        <f t="shared" si="1"/>
        <v>6652.4294115615776</v>
      </c>
      <c r="X47" s="7"/>
      <c r="Y47" s="334">
        <f t="shared" si="6"/>
        <v>21.777465566770061</v>
      </c>
      <c r="Z47" s="290"/>
      <c r="AB47" s="182">
        <f>+IF(AB46&gt;$G$13+$G$14,XX,AB46+1)</f>
        <v>2025</v>
      </c>
      <c r="AC47" s="152"/>
      <c r="AD47" s="187">
        <f t="shared" si="2"/>
        <v>305473.07679881854</v>
      </c>
      <c r="AE47" s="4"/>
      <c r="AF47" s="190">
        <f t="shared" si="14"/>
        <v>79.391226848575215</v>
      </c>
      <c r="AG47" s="4"/>
      <c r="AH47" s="190">
        <f t="shared" si="15"/>
        <v>11.1928834529516</v>
      </c>
      <c r="AI47" s="4"/>
      <c r="AJ47" s="190">
        <f t="shared" si="16"/>
        <v>3.1463815828886132</v>
      </c>
      <c r="AK47" s="4"/>
      <c r="AL47" s="189">
        <f t="shared" si="7"/>
        <v>7448.5530722208196</v>
      </c>
      <c r="AM47" s="4"/>
      <c r="AN47" s="190">
        <v>11.090126110825569</v>
      </c>
      <c r="AO47" s="4"/>
      <c r="AP47" s="190">
        <f t="shared" si="8"/>
        <v>80.581092880782762</v>
      </c>
      <c r="AQ47" s="4"/>
      <c r="AR47" s="190">
        <f t="shared" si="17"/>
        <v>3.2568893062655184</v>
      </c>
      <c r="AS47" s="190"/>
      <c r="AT47" s="189">
        <f t="shared" si="3"/>
        <v>3323.8493386407699</v>
      </c>
      <c r="AU47" s="4"/>
      <c r="AV47" s="189">
        <f t="shared" si="4"/>
        <v>25610.246371282181</v>
      </c>
      <c r="AW47" s="337"/>
      <c r="AX47" s="191">
        <f t="shared" si="9"/>
        <v>28934.095709922949</v>
      </c>
      <c r="AZ47" s="182">
        <f>+IF(AZ46&gt;$G$13+$G$14,XX,AZ46+1)</f>
        <v>2025</v>
      </c>
      <c r="BA47" s="152"/>
      <c r="BB47" s="190">
        <f t="shared" si="18"/>
        <v>53.495669602272578</v>
      </c>
      <c r="BC47" s="4"/>
      <c r="BD47" s="190">
        <f t="shared" si="19"/>
        <v>8.1336525856087096</v>
      </c>
      <c r="BE47" s="4"/>
      <c r="BF47" s="189">
        <f t="shared" si="10"/>
        <v>4124.7037335800496</v>
      </c>
      <c r="BG47" s="4"/>
      <c r="BH47" s="193"/>
    </row>
    <row r="48" spans="2:60" ht="12">
      <c r="B48" s="3"/>
      <c r="C48" s="7">
        <f>+IF(C47&gt;$G$13+$G$14,XX,C47+1)</f>
        <v>2026</v>
      </c>
      <c r="D48" s="7"/>
      <c r="E48" s="330">
        <v>1.9E-2</v>
      </c>
      <c r="F48" s="7"/>
      <c r="G48" s="23">
        <f>G47</f>
        <v>305473.07679881854</v>
      </c>
      <c r="H48" s="7"/>
      <c r="I48" s="39">
        <f t="shared" si="11"/>
        <v>270.31864017890689</v>
      </c>
      <c r="J48" s="7"/>
      <c r="K48" s="39">
        <f t="shared" si="12"/>
        <v>18.205350130931159</v>
      </c>
      <c r="L48" s="7"/>
      <c r="M48" s="39">
        <f t="shared" si="13"/>
        <v>4.3560589505066192</v>
      </c>
      <c r="N48" s="7"/>
      <c r="O48" s="333">
        <v>7.2141962063659868</v>
      </c>
      <c r="P48" s="7"/>
      <c r="Q48" s="39">
        <v>0</v>
      </c>
      <c r="R48" s="7"/>
      <c r="S48" s="23">
        <f t="shared" si="5"/>
        <v>36262.669098792729</v>
      </c>
      <c r="T48" s="7"/>
      <c r="U48" s="23">
        <f t="shared" si="0"/>
        <v>29480.020038215684</v>
      </c>
      <c r="V48" s="7"/>
      <c r="W48" s="23">
        <f t="shared" si="1"/>
        <v>6782.649060577045</v>
      </c>
      <c r="X48" s="7"/>
      <c r="Y48" s="334">
        <f t="shared" si="6"/>
        <v>22.203754031796489</v>
      </c>
      <c r="Z48" s="290"/>
      <c r="AB48" s="182">
        <f>+IF(AB47&gt;$G$13+$G$14,XX,AB47+1)</f>
        <v>2026</v>
      </c>
      <c r="AC48" s="152"/>
      <c r="AD48" s="187">
        <f t="shared" si="2"/>
        <v>305473.07679881854</v>
      </c>
      <c r="AE48" s="4"/>
      <c r="AF48" s="190">
        <f t="shared" si="14"/>
        <v>80.89966015869814</v>
      </c>
      <c r="AG48" s="4"/>
      <c r="AH48" s="190">
        <f t="shared" si="15"/>
        <v>11.40554823855768</v>
      </c>
      <c r="AI48" s="4"/>
      <c r="AJ48" s="190">
        <f t="shared" si="16"/>
        <v>3.2061628329634968</v>
      </c>
      <c r="AK48" s="4"/>
      <c r="AL48" s="189">
        <f t="shared" si="7"/>
        <v>7590.0755805930166</v>
      </c>
      <c r="AM48" s="4"/>
      <c r="AN48" s="190">
        <v>11.299115883408938</v>
      </c>
      <c r="AO48" s="4"/>
      <c r="AP48" s="190">
        <f t="shared" si="8"/>
        <v>82.099617026259821</v>
      </c>
      <c r="AQ48" s="4"/>
      <c r="AR48" s="190">
        <f t="shared" si="17"/>
        <v>3.3187702030845632</v>
      </c>
      <c r="AS48" s="190"/>
      <c r="AT48" s="189">
        <f t="shared" si="3"/>
        <v>3387.0024760749457</v>
      </c>
      <c r="AU48" s="4"/>
      <c r="AV48" s="189">
        <f t="shared" si="4"/>
        <v>26093.01756214074</v>
      </c>
      <c r="AW48" s="337"/>
      <c r="AX48" s="191">
        <f t="shared" si="9"/>
        <v>29480.020038215684</v>
      </c>
      <c r="AZ48" s="182">
        <f>+IF(AZ47&gt;$G$13+$G$14,XX,AZ47+1)</f>
        <v>2026</v>
      </c>
      <c r="BA48" s="152"/>
      <c r="BB48" s="190">
        <f t="shared" si="18"/>
        <v>54.51208732471575</v>
      </c>
      <c r="BC48" s="4"/>
      <c r="BD48" s="190">
        <f t="shared" si="19"/>
        <v>8.2881919847352741</v>
      </c>
      <c r="BE48" s="4"/>
      <c r="BF48" s="189">
        <f t="shared" si="10"/>
        <v>4203.073104518071</v>
      </c>
      <c r="BG48" s="4"/>
      <c r="BH48" s="193"/>
    </row>
    <row r="49" spans="2:60" ht="12">
      <c r="B49" s="3"/>
      <c r="C49" s="7">
        <f>+IF(C48&gt;$G$13+$G$14,XX,C48+1)</f>
        <v>2027</v>
      </c>
      <c r="D49" s="7"/>
      <c r="E49" s="330">
        <v>1.9E-2</v>
      </c>
      <c r="F49" s="7"/>
      <c r="G49" s="23">
        <f>G48</f>
        <v>305473.07679881854</v>
      </c>
      <c r="H49" s="7"/>
      <c r="I49" s="39">
        <f t="shared" si="11"/>
        <v>275.45469434230608</v>
      </c>
      <c r="J49" s="7"/>
      <c r="K49" s="39">
        <f t="shared" si="12"/>
        <v>18.551251783418849</v>
      </c>
      <c r="L49" s="7"/>
      <c r="M49" s="39">
        <f t="shared" si="13"/>
        <v>4.4388240705662447</v>
      </c>
      <c r="N49" s="7"/>
      <c r="O49" s="333">
        <v>7.35126593428694</v>
      </c>
      <c r="P49" s="7"/>
      <c r="Q49" s="39">
        <v>0</v>
      </c>
      <c r="R49" s="7"/>
      <c r="S49" s="23">
        <f t="shared" si="5"/>
        <v>36951.659811669779</v>
      </c>
      <c r="T49" s="7"/>
      <c r="U49" s="23">
        <f t="shared" si="0"/>
        <v>30037.526871552014</v>
      </c>
      <c r="V49" s="7"/>
      <c r="W49" s="23">
        <f t="shared" si="1"/>
        <v>6914.1329401177645</v>
      </c>
      <c r="X49" s="7"/>
      <c r="Y49" s="334">
        <f t="shared" si="6"/>
        <v>22.634181095675878</v>
      </c>
      <c r="Z49" s="290"/>
      <c r="AB49" s="182">
        <f>+IF(AB48&gt;$G$13+$G$14,XX,AB48+1)</f>
        <v>2027</v>
      </c>
      <c r="AC49" s="152"/>
      <c r="AD49" s="187">
        <f t="shared" si="2"/>
        <v>305473.07679881854</v>
      </c>
      <c r="AE49" s="4"/>
      <c r="AF49" s="190">
        <f t="shared" si="14"/>
        <v>82.4367537017134</v>
      </c>
      <c r="AG49" s="4"/>
      <c r="AH49" s="190">
        <f t="shared" si="15"/>
        <v>11.622253655090274</v>
      </c>
      <c r="AI49" s="4"/>
      <c r="AJ49" s="190">
        <f t="shared" si="16"/>
        <v>3.267079926789803</v>
      </c>
      <c r="AK49" s="4"/>
      <c r="AL49" s="189">
        <f t="shared" si="7"/>
        <v>7734.2870166242828</v>
      </c>
      <c r="AM49" s="4"/>
      <c r="AN49" s="190">
        <v>11.51262158558478</v>
      </c>
      <c r="AO49" s="4"/>
      <c r="AP49" s="190">
        <f t="shared" si="8"/>
        <v>83.650954012483467</v>
      </c>
      <c r="AQ49" s="4"/>
      <c r="AR49" s="190">
        <f t="shared" si="17"/>
        <v>3.3818268369431697</v>
      </c>
      <c r="AS49" s="190"/>
      <c r="AT49" s="189">
        <f t="shared" si="3"/>
        <v>3451.3555231203691</v>
      </c>
      <c r="AU49" s="4"/>
      <c r="AV49" s="189">
        <f t="shared" si="4"/>
        <v>26586.171348431646</v>
      </c>
      <c r="AW49" s="337"/>
      <c r="AX49" s="191">
        <f t="shared" si="9"/>
        <v>30037.526871552014</v>
      </c>
      <c r="AZ49" s="182">
        <f>+IF(AZ48&gt;$G$13+$G$14,XX,AZ48+1)</f>
        <v>2027</v>
      </c>
      <c r="BA49" s="152"/>
      <c r="BB49" s="190">
        <f t="shared" si="18"/>
        <v>55.547816983885347</v>
      </c>
      <c r="BC49" s="4"/>
      <c r="BD49" s="190">
        <f t="shared" si="19"/>
        <v>8.4456676324452431</v>
      </c>
      <c r="BE49" s="4"/>
      <c r="BF49" s="189">
        <f t="shared" si="10"/>
        <v>4282.9314935039138</v>
      </c>
      <c r="BG49" s="4"/>
      <c r="BH49" s="193"/>
    </row>
    <row r="50" spans="2:60" ht="12">
      <c r="B50" s="3"/>
      <c r="C50" s="7">
        <f>+IF(C49&gt;$G$13+$G$14,XX,C49+1)</f>
        <v>2028</v>
      </c>
      <c r="D50" s="7"/>
      <c r="E50" s="330">
        <v>1.9E-2</v>
      </c>
      <c r="F50" s="7"/>
      <c r="G50" s="23">
        <f>G46</f>
        <v>306096.90139893163</v>
      </c>
      <c r="H50" s="7"/>
      <c r="I50" s="39">
        <f t="shared" si="11"/>
        <v>280.68833353480989</v>
      </c>
      <c r="J50" s="7"/>
      <c r="K50" s="39">
        <f t="shared" si="12"/>
        <v>18.903725567303805</v>
      </c>
      <c r="L50" s="7"/>
      <c r="M50" s="39">
        <f t="shared" si="13"/>
        <v>4.5231617279070031</v>
      </c>
      <c r="N50" s="7"/>
      <c r="O50" s="333">
        <v>7.4909399870383915</v>
      </c>
      <c r="P50" s="7"/>
      <c r="Q50" s="39">
        <v>0</v>
      </c>
      <c r="R50" s="7"/>
      <c r="S50" s="23">
        <f t="shared" si="5"/>
        <v>37673.028649332227</v>
      </c>
      <c r="T50" s="7"/>
      <c r="U50" s="23">
        <f t="shared" si="0"/>
        <v>30669.810382518092</v>
      </c>
      <c r="V50" s="7"/>
      <c r="W50" s="23">
        <f t="shared" si="1"/>
        <v>7003.2182668141359</v>
      </c>
      <c r="X50" s="7"/>
      <c r="Y50" s="334">
        <f t="shared" si="6"/>
        <v>22.87908905581159</v>
      </c>
      <c r="Z50" s="290"/>
      <c r="AB50" s="182">
        <f>+IF(AB49&gt;$G$13+$G$14,XX,AB49+1)</f>
        <v>2028</v>
      </c>
      <c r="AC50" s="152"/>
      <c r="AD50" s="187">
        <f t="shared" si="2"/>
        <v>306096.90139893163</v>
      </c>
      <c r="AE50" s="4"/>
      <c r="AF50" s="190">
        <f t="shared" si="14"/>
        <v>84.003052022045949</v>
      </c>
      <c r="AG50" s="4"/>
      <c r="AH50" s="190">
        <f t="shared" si="15"/>
        <v>11.843076474536989</v>
      </c>
      <c r="AI50" s="4"/>
      <c r="AJ50" s="190">
        <f t="shared" si="16"/>
        <v>3.3291544453988089</v>
      </c>
      <c r="AK50" s="4"/>
      <c r="AL50" s="189">
        <f t="shared" si="7"/>
        <v>7883.3152783807591</v>
      </c>
      <c r="AM50" s="4"/>
      <c r="AN50" s="190">
        <v>11.7332358254813</v>
      </c>
      <c r="AO50" s="4"/>
      <c r="AP50" s="190">
        <f t="shared" si="8"/>
        <v>85.253941785415222</v>
      </c>
      <c r="AQ50" s="4"/>
      <c r="AR50" s="190">
        <f t="shared" si="17"/>
        <v>3.4460815468450896</v>
      </c>
      <c r="AS50" s="190"/>
      <c r="AT50" s="189">
        <f t="shared" si="3"/>
        <v>3519.008086500271</v>
      </c>
      <c r="AU50" s="4"/>
      <c r="AV50" s="189">
        <f t="shared" si="4"/>
        <v>27150.80229601782</v>
      </c>
      <c r="AW50" s="337"/>
      <c r="AX50" s="191">
        <f t="shared" si="9"/>
        <v>30669.810382518092</v>
      </c>
      <c r="AZ50" s="182">
        <f>+IF(AZ49&gt;$G$13+$G$14,XX,AZ49+1)</f>
        <v>2028</v>
      </c>
      <c r="BA50" s="152"/>
      <c r="BB50" s="190">
        <f t="shared" si="18"/>
        <v>56.603225506579165</v>
      </c>
      <c r="BC50" s="4"/>
      <c r="BD50" s="190">
        <f t="shared" si="19"/>
        <v>8.6061353174617015</v>
      </c>
      <c r="BE50" s="4"/>
      <c r="BF50" s="189">
        <f t="shared" si="10"/>
        <v>4364.3071918804881</v>
      </c>
      <c r="BG50" s="4"/>
      <c r="BH50" s="193"/>
    </row>
    <row r="51" spans="2:60" ht="12">
      <c r="B51" s="3"/>
      <c r="C51" s="7">
        <f>+IF(C50&gt;$G$13+$G$14,XX,C50+1)</f>
        <v>2029</v>
      </c>
      <c r="D51" s="7"/>
      <c r="E51" s="330">
        <v>1.9E-2</v>
      </c>
      <c r="F51" s="7"/>
      <c r="G51" s="23">
        <f>G49</f>
        <v>305473.07679881854</v>
      </c>
      <c r="H51" s="7"/>
      <c r="I51" s="39">
        <f t="shared" si="11"/>
        <v>286.02141187197122</v>
      </c>
      <c r="J51" s="7"/>
      <c r="K51" s="39">
        <f t="shared" si="12"/>
        <v>19.262896353082574</v>
      </c>
      <c r="L51" s="7"/>
      <c r="M51" s="39">
        <f t="shared" si="13"/>
        <v>4.6091018007372355</v>
      </c>
      <c r="N51" s="7"/>
      <c r="O51" s="333">
        <v>7.63326784679212</v>
      </c>
      <c r="P51" s="7"/>
      <c r="Q51" s="39">
        <v>0</v>
      </c>
      <c r="R51" s="7"/>
      <c r="S51" s="23">
        <f t="shared" si="5"/>
        <v>38369.162433705242</v>
      </c>
      <c r="T51" s="7"/>
      <c r="U51" s="23">
        <f t="shared" si="0"/>
        <v>31186.869766144886</v>
      </c>
      <c r="V51" s="7"/>
      <c r="W51" s="23">
        <f t="shared" si="1"/>
        <v>7182.2926675603558</v>
      </c>
      <c r="X51" s="7"/>
      <c r="Y51" s="334">
        <f t="shared" si="6"/>
        <v>23.512031707758457</v>
      </c>
      <c r="Z51" s="290"/>
      <c r="AB51" s="182">
        <f>+IF(AB50&gt;$G$13+$G$14,XX,AB50+1)</f>
        <v>2029</v>
      </c>
      <c r="AC51" s="152"/>
      <c r="AD51" s="187">
        <f t="shared" si="2"/>
        <v>305473.07679881854</v>
      </c>
      <c r="AE51" s="4"/>
      <c r="AF51" s="190">
        <f t="shared" si="14"/>
        <v>85.599110010464813</v>
      </c>
      <c r="AG51" s="4"/>
      <c r="AH51" s="190">
        <f t="shared" si="15"/>
        <v>12.06809492755319</v>
      </c>
      <c r="AI51" s="4"/>
      <c r="AJ51" s="190">
        <f t="shared" si="16"/>
        <v>3.392408379861386</v>
      </c>
      <c r="AK51" s="4"/>
      <c r="AL51" s="189">
        <f t="shared" si="7"/>
        <v>8030.9820008690049</v>
      </c>
      <c r="AM51" s="4"/>
      <c r="AN51" s="190">
        <v>11.952938687642925</v>
      </c>
      <c r="AO51" s="4"/>
      <c r="AP51" s="190">
        <f t="shared" si="8"/>
        <v>86.850307468284981</v>
      </c>
      <c r="AQ51" s="4"/>
      <c r="AR51" s="190">
        <f t="shared" si="17"/>
        <v>3.5115570962351459</v>
      </c>
      <c r="AS51" s="190"/>
      <c r="AT51" s="189">
        <f t="shared" si="3"/>
        <v>3583.7529723427879</v>
      </c>
      <c r="AU51" s="4"/>
      <c r="AV51" s="189">
        <f t="shared" si="4"/>
        <v>27603.116793802099</v>
      </c>
      <c r="AW51" s="337"/>
      <c r="AX51" s="191">
        <f t="shared" si="9"/>
        <v>31186.869766144886</v>
      </c>
      <c r="AZ51" s="182">
        <f>+IF(AZ50&gt;$G$13+$G$14,XX,AZ50+1)</f>
        <v>2029</v>
      </c>
      <c r="BA51" s="152"/>
      <c r="BB51" s="190">
        <f t="shared" si="18"/>
        <v>57.678686791204164</v>
      </c>
      <c r="BC51" s="4"/>
      <c r="BD51" s="190">
        <f t="shared" si="19"/>
        <v>8.7696518884934722</v>
      </c>
      <c r="BE51" s="4"/>
      <c r="BF51" s="189">
        <f t="shared" si="10"/>
        <v>4447.229028526217</v>
      </c>
      <c r="BG51" s="4"/>
      <c r="BH51" s="193"/>
    </row>
    <row r="52" spans="2:60" ht="12">
      <c r="B52" s="3"/>
      <c r="C52" s="7">
        <f>+IF(C51&gt;$G$13+$G$14,XX,C51+1)</f>
        <v>2030</v>
      </c>
      <c r="D52" s="7"/>
      <c r="E52" s="330">
        <v>0.02</v>
      </c>
      <c r="F52" s="7"/>
      <c r="G52" s="23">
        <f>G51</f>
        <v>305473.07679881854</v>
      </c>
      <c r="H52" s="7"/>
      <c r="I52" s="39">
        <f t="shared" si="11"/>
        <v>291.74184010941065</v>
      </c>
      <c r="J52" s="7"/>
      <c r="K52" s="39">
        <f t="shared" si="12"/>
        <v>19.648154280144226</v>
      </c>
      <c r="L52" s="7"/>
      <c r="M52" s="39">
        <f t="shared" si="13"/>
        <v>4.7012838367519807</v>
      </c>
      <c r="N52" s="7"/>
      <c r="O52" s="333">
        <v>7.7859332037279625</v>
      </c>
      <c r="P52" s="7"/>
      <c r="Q52" s="39">
        <v>0</v>
      </c>
      <c r="R52" s="7"/>
      <c r="S52" s="23">
        <f t="shared" si="5"/>
        <v>39136.54568237935</v>
      </c>
      <c r="T52" s="7"/>
      <c r="U52" s="23">
        <f t="shared" si="0"/>
        <v>31812.336182861065</v>
      </c>
      <c r="V52" s="7"/>
      <c r="W52" s="23">
        <f t="shared" si="1"/>
        <v>7324.2094995182852</v>
      </c>
      <c r="X52" s="7"/>
      <c r="Y52" s="334">
        <f t="shared" si="6"/>
        <v>23.976612198599536</v>
      </c>
      <c r="Z52" s="290"/>
      <c r="AB52" s="182">
        <f>+IF(AB51&gt;$G$13+$G$14,XX,AB51+1)</f>
        <v>2030</v>
      </c>
      <c r="AC52" s="152"/>
      <c r="AD52" s="187">
        <f t="shared" si="2"/>
        <v>305473.07679881854</v>
      </c>
      <c r="AE52" s="4"/>
      <c r="AF52" s="190">
        <f t="shared" si="14"/>
        <v>87.311092210674104</v>
      </c>
      <c r="AG52" s="4"/>
      <c r="AH52" s="190">
        <f t="shared" si="15"/>
        <v>12.309456826104254</v>
      </c>
      <c r="AI52" s="4"/>
      <c r="AJ52" s="190">
        <f t="shared" si="16"/>
        <v>3.4602565474586138</v>
      </c>
      <c r="AK52" s="4"/>
      <c r="AL52" s="189">
        <f t="shared" si="7"/>
        <v>8191.6016408863852</v>
      </c>
      <c r="AM52" s="4"/>
      <c r="AN52" s="190">
        <v>12.192776449380618</v>
      </c>
      <c r="AO52" s="4"/>
      <c r="AP52" s="190">
        <f t="shared" si="8"/>
        <v>88.592973760964796</v>
      </c>
      <c r="AQ52" s="4"/>
      <c r="AR52" s="190">
        <f t="shared" si="17"/>
        <v>3.5817882381598487</v>
      </c>
      <c r="AS52" s="190"/>
      <c r="AT52" s="189">
        <f t="shared" si="3"/>
        <v>3655.4280317896446</v>
      </c>
      <c r="AU52" s="4"/>
      <c r="AV52" s="189">
        <f t="shared" si="4"/>
        <v>28156.90815107142</v>
      </c>
      <c r="AW52" s="337"/>
      <c r="AX52" s="191">
        <f t="shared" si="9"/>
        <v>31812.336182861065</v>
      </c>
      <c r="AZ52" s="182">
        <f>+IF(AZ51&gt;$G$13+$G$14,XX,AZ51+1)</f>
        <v>2030</v>
      </c>
      <c r="BA52" s="152"/>
      <c r="BB52" s="190">
        <f t="shared" si="18"/>
        <v>58.832260527028247</v>
      </c>
      <c r="BC52" s="4"/>
      <c r="BD52" s="190">
        <f t="shared" si="19"/>
        <v>8.9450449262633427</v>
      </c>
      <c r="BE52" s="4"/>
      <c r="BF52" s="189">
        <f>(BB52+BD52)*$BD$11</f>
        <v>4536.1736090967406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7.13%</v>
      </c>
      <c r="E54" s="210"/>
      <c r="F54" s="4"/>
      <c r="G54" s="23">
        <f>+-PMT($G$18,$G$14,NPV($G$18,G28:G52))</f>
        <v>305620.97890622105</v>
      </c>
      <c r="H54" s="7"/>
      <c r="I54" s="39">
        <f>+-PMT($G$18,$G$14,NPV($G$18,I28:I52))</f>
        <v>220.97337495353008</v>
      </c>
      <c r="J54" s="39"/>
      <c r="K54" s="39">
        <f>+-PMT($G$18,$G$14,NPV($G$18,K28:K52))</f>
        <v>14.882057922383913</v>
      </c>
      <c r="L54" s="7"/>
      <c r="M54" s="39">
        <f>+-PMT($G$18,$G$14,NPV($G$18,M28:M52))</f>
        <v>3.5608829903587615</v>
      </c>
      <c r="N54" s="7"/>
      <c r="O54" s="39">
        <f>+-PMT($G$18,$G$14,NPV($G$18,O28:O52))</f>
        <v>5.8925630068970793</v>
      </c>
      <c r="P54" s="7"/>
      <c r="Q54" s="39">
        <f>+-PMT($G$18,$G$14,NPV($G$18,Q28:Q52))</f>
        <v>-20.092493005558495</v>
      </c>
      <c r="R54" s="7"/>
      <c r="S54" s="23">
        <f>+-PMT($G$18,$G$14,NPV($G$18,S28:S52))</f>
        <v>23505.013714272351</v>
      </c>
      <c r="T54" s="7"/>
      <c r="U54" s="23">
        <f>+-PMT($G$18,$G$14,NPV($G$18,U28:U52))</f>
        <v>22409.681464178528</v>
      </c>
      <c r="V54" s="4"/>
      <c r="W54" s="23">
        <f>+-PMT($G$18,$G$14,NPV($G$18,W28:W52))</f>
        <v>1095.3322500938236</v>
      </c>
      <c r="X54" s="4"/>
      <c r="Y54" s="334">
        <f>+W54/G54*1000</f>
        <v>3.5839563567065311</v>
      </c>
      <c r="Z54" s="290"/>
      <c r="AB54" s="3"/>
      <c r="AC54" s="4"/>
      <c r="AD54" s="187">
        <f>+-PMT($G$18,$G$14,NPV($G$18,AD28:AD52))</f>
        <v>305620.97890622105</v>
      </c>
      <c r="AE54" s="4"/>
      <c r="AF54" s="190">
        <f>+-PMT($G$18,$G$14,NPV($G$18,AF28:AF52))</f>
        <v>66.131846941926483</v>
      </c>
      <c r="AG54" s="4"/>
      <c r="AH54" s="190">
        <f>+-PMT($G$18,$G$14,NPV($G$18,AH28:AH52))</f>
        <v>9.3235245849170365</v>
      </c>
      <c r="AI54" s="4"/>
      <c r="AJ54" s="190">
        <f>+-PMT($G$18,$G$14,NPV($G$18,AJ28:AJ52))</f>
        <v>2.6208944428753376</v>
      </c>
      <c r="AK54" s="4"/>
      <c r="AL54" s="189">
        <f>+-PMT($G$18,$G$14,NPV($G$18,AL28:AL52))</f>
        <v>6204.9364487534567</v>
      </c>
      <c r="AM54" s="4"/>
      <c r="AN54" s="190">
        <f>+-PMT($G$18,$G$14,NPV($G$18,AN28:AN52))</f>
        <v>8.4711178089262802</v>
      </c>
      <c r="AO54" s="4"/>
      <c r="AP54" s="190">
        <f>+-PMT($G$18,$G$14,NPV($G$18,AP28:AP52))</f>
        <v>61.551322694050654</v>
      </c>
      <c r="AQ54" s="4"/>
      <c r="AR54" s="190">
        <f>+-PMT($G$18,$G$14,NPV($G$18,AR28:AR52))</f>
        <v>2.7129459218404013</v>
      </c>
      <c r="AS54" s="190"/>
      <c r="AT54" s="189">
        <f>+-PMT($G$18,$G$14,NPV($G$18,AT28:AT52))</f>
        <v>2769.1125319600128</v>
      </c>
      <c r="AU54" s="4"/>
      <c r="AV54" s="189">
        <f>+-PMT($G$18,$G$14,NPV($G$18,AV28:AV52))</f>
        <v>19640.568932218514</v>
      </c>
      <c r="AW54" s="337"/>
      <c r="AX54" s="191">
        <f>+-PMT($G$18,$G$14,NPV($G$18,AX28:AX52))</f>
        <v>22409.681464178528</v>
      </c>
      <c r="AZ54" s="3"/>
      <c r="BA54" s="4"/>
      <c r="BB54" s="190">
        <f>+-PMT($G$18,$G$14,NPV($G$18,BB28:BB52))</f>
        <v>44.561188617742708</v>
      </c>
      <c r="BC54" s="4"/>
      <c r="BD54" s="190">
        <f>+-PMT($G$18,$G$14,NPV($G$18,BD28:BD52))</f>
        <v>6.7752255409305695</v>
      </c>
      <c r="BE54" s="4"/>
      <c r="BF54" s="189">
        <f>+-PMT($G$18,$G$14,NPV($G$18,BF28:BF52))</f>
        <v>3435.823916793443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337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6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  <pageSetUpPr fitToPage="1"/>
  </sheetPr>
  <dimension ref="A1:BL99"/>
  <sheetViews>
    <sheetView topLeftCell="O28" zoomScale="85" zoomScaleNormal="85" workbookViewId="0">
      <selection activeCell="AN28" sqref="AN28:AN40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0" style="171" bestFit="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64" s="283" customFormat="1">
      <c r="A1" s="283" t="s">
        <v>0</v>
      </c>
    </row>
    <row r="2" spans="1:64" s="283" customFormat="1">
      <c r="A2" s="283" t="s">
        <v>160</v>
      </c>
    </row>
    <row r="3" spans="1:64" s="283" customFormat="1">
      <c r="A3" s="283" t="s">
        <v>1</v>
      </c>
    </row>
    <row r="4" spans="1:64" s="283" customFormat="1"/>
    <row r="5" spans="1:64" s="283" customFormat="1">
      <c r="A5" s="283" t="s">
        <v>157</v>
      </c>
    </row>
    <row r="8" spans="1:64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N8" s="543" t="s">
        <v>108</v>
      </c>
      <c r="AO8" s="544"/>
      <c r="AP8" s="544"/>
      <c r="AQ8" s="544"/>
      <c r="AR8" s="544"/>
      <c r="AS8" s="544"/>
      <c r="AT8" s="544"/>
      <c r="AU8" s="544"/>
      <c r="AV8" s="544"/>
      <c r="AW8" s="545"/>
      <c r="AZ8" s="303" t="s">
        <v>109</v>
      </c>
      <c r="BA8" s="304"/>
      <c r="BB8" s="304"/>
      <c r="BC8" s="304"/>
      <c r="BD8" s="304"/>
      <c r="BE8" s="305"/>
      <c r="BG8" s="543" t="s">
        <v>109</v>
      </c>
      <c r="BH8" s="544"/>
      <c r="BI8" s="544"/>
      <c r="BJ8" s="544"/>
      <c r="BK8" s="544"/>
      <c r="BL8" s="545"/>
    </row>
    <row r="9" spans="1:64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N9" s="546"/>
      <c r="AO9" s="547"/>
      <c r="AP9" s="547"/>
      <c r="AQ9" s="547"/>
      <c r="AR9" s="548"/>
      <c r="AS9" s="547"/>
      <c r="AT9" s="547"/>
      <c r="AU9" s="547"/>
      <c r="AV9" s="549"/>
      <c r="AW9" s="550"/>
      <c r="AZ9" s="151"/>
      <c r="BA9" s="152"/>
      <c r="BB9" s="152"/>
      <c r="BC9" s="152"/>
      <c r="BD9" s="153"/>
      <c r="BE9" s="156"/>
      <c r="BG9" s="546"/>
      <c r="BH9" s="547"/>
      <c r="BI9" s="547"/>
      <c r="BJ9" s="547"/>
      <c r="BK9" s="548"/>
      <c r="BL9" s="575"/>
    </row>
    <row r="10" spans="1:64" ht="12">
      <c r="B10" s="310"/>
      <c r="C10" s="311" t="s">
        <v>110</v>
      </c>
      <c r="D10" s="311"/>
      <c r="E10" s="311"/>
      <c r="F10" s="311"/>
      <c r="G10" s="312" t="s">
        <v>16</v>
      </c>
      <c r="H10" s="313"/>
      <c r="I10" s="492" t="s">
        <v>268</v>
      </c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N10" s="551" t="s">
        <v>276</v>
      </c>
      <c r="AO10" s="552"/>
      <c r="AP10" s="552"/>
      <c r="AQ10" s="552"/>
      <c r="AR10" s="553"/>
      <c r="AS10" s="554"/>
      <c r="AT10" s="555"/>
      <c r="AU10" s="556"/>
      <c r="AV10" s="557"/>
      <c r="AW10" s="558"/>
      <c r="AZ10" s="157"/>
      <c r="BA10" s="158"/>
      <c r="BB10" s="158"/>
      <c r="BC10" s="158"/>
      <c r="BD10" s="159"/>
      <c r="BE10" s="163"/>
      <c r="BG10" s="551" t="s">
        <v>276</v>
      </c>
      <c r="BH10" s="552"/>
      <c r="BI10" s="552"/>
      <c r="BJ10" s="552"/>
      <c r="BK10" s="553"/>
      <c r="BL10" s="576"/>
    </row>
    <row r="11" spans="1:64" ht="12">
      <c r="B11" s="310"/>
      <c r="C11" s="311" t="s">
        <v>39</v>
      </c>
      <c r="D11" s="311"/>
      <c r="E11" s="311"/>
      <c r="F11" s="311"/>
      <c r="G11" s="312">
        <v>100.5</v>
      </c>
      <c r="H11" s="313"/>
      <c r="I11" s="612">
        <f>'[16]Data for NPC'!$L$3</f>
        <v>100.5</v>
      </c>
      <c r="AB11" s="157" t="s">
        <v>111</v>
      </c>
      <c r="AC11" s="158"/>
      <c r="AD11" s="158"/>
      <c r="AE11" s="158"/>
      <c r="AF11" s="581">
        <f>+G11*(G12/AJ16)</f>
        <v>71.617618009583211</v>
      </c>
      <c r="AG11" s="162"/>
      <c r="AH11" s="158" t="s">
        <v>112</v>
      </c>
      <c r="AI11" s="159"/>
      <c r="AJ11" s="164">
        <v>7.9126910299003335</v>
      </c>
      <c r="AK11" s="290"/>
      <c r="AN11" s="559" t="s">
        <v>111</v>
      </c>
      <c r="AO11" s="560"/>
      <c r="AP11" s="560"/>
      <c r="AQ11" s="560"/>
      <c r="AR11" s="536">
        <f>+I11*(I12/AV16)</f>
        <v>38.727200100981563</v>
      </c>
      <c r="AS11" s="562"/>
      <c r="AT11" s="560" t="s">
        <v>112</v>
      </c>
      <c r="AU11" s="563"/>
      <c r="AV11" s="564">
        <f>'(2.1)_Resources'!L42</f>
        <v>19.775939284975109</v>
      </c>
      <c r="AW11" s="401"/>
      <c r="AZ11" s="157" t="s">
        <v>111</v>
      </c>
      <c r="BA11" s="158"/>
      <c r="BB11" s="158"/>
      <c r="BC11" s="158"/>
      <c r="BD11" s="169">
        <f>(AF11*AF13-G11*G19)</f>
        <v>66.927618009583213</v>
      </c>
      <c r="BE11" s="165"/>
      <c r="BG11" s="559" t="s">
        <v>111</v>
      </c>
      <c r="BH11" s="560"/>
      <c r="BI11" s="560"/>
      <c r="BJ11" s="560"/>
      <c r="BK11" s="516">
        <f>(AR11*AR13-I11*I19)</f>
        <v>26.868200100981561</v>
      </c>
      <c r="BL11" s="571"/>
    </row>
    <row r="12" spans="1:64" ht="12">
      <c r="B12" s="310"/>
      <c r="C12" s="311" t="s">
        <v>40</v>
      </c>
      <c r="D12" s="311"/>
      <c r="E12" s="311"/>
      <c r="F12" s="311"/>
      <c r="G12" s="315">
        <v>0.34697866466618793</v>
      </c>
      <c r="H12" s="313"/>
      <c r="I12" s="494">
        <f>'[16]Data for NPC'!$L$6</f>
        <v>0.27084213635021243</v>
      </c>
      <c r="AB12" s="157" t="s">
        <v>40</v>
      </c>
      <c r="AC12" s="158"/>
      <c r="AD12" s="158"/>
      <c r="AE12" s="158"/>
      <c r="AF12" s="166">
        <f>AD73/8760/AF11</f>
        <v>0.4472227402899614</v>
      </c>
      <c r="AG12" s="162"/>
      <c r="AH12" s="152" t="s">
        <v>113</v>
      </c>
      <c r="AI12" s="153"/>
      <c r="AJ12" s="152">
        <v>2006</v>
      </c>
      <c r="AK12" s="290"/>
      <c r="AN12" s="559" t="s">
        <v>40</v>
      </c>
      <c r="AO12" s="560"/>
      <c r="AP12" s="560"/>
      <c r="AQ12" s="560"/>
      <c r="AR12" s="166">
        <f>AD73/8760/AR11</f>
        <v>0.82704216405444975</v>
      </c>
      <c r="AS12" s="562"/>
      <c r="AT12" s="547" t="s">
        <v>113</v>
      </c>
      <c r="AU12" s="548"/>
      <c r="AV12" s="566">
        <v>2016</v>
      </c>
      <c r="AW12" s="401"/>
      <c r="AZ12" s="157"/>
      <c r="BA12" s="158"/>
      <c r="BB12" s="158"/>
      <c r="BC12" s="158"/>
      <c r="BD12" s="166"/>
      <c r="BE12" s="167"/>
      <c r="BG12" s="559"/>
      <c r="BH12" s="560"/>
      <c r="BI12" s="560"/>
      <c r="BJ12" s="560"/>
      <c r="BK12" s="565"/>
      <c r="BL12" s="577"/>
    </row>
    <row r="13" spans="1:64" ht="12">
      <c r="B13" s="310"/>
      <c r="C13" s="311" t="s">
        <v>41</v>
      </c>
      <c r="D13" s="311"/>
      <c r="E13" s="311"/>
      <c r="F13" s="311"/>
      <c r="G13" s="312">
        <v>2006</v>
      </c>
      <c r="H13" s="313"/>
      <c r="I13" s="495">
        <v>2019</v>
      </c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N13" s="559" t="s">
        <v>114</v>
      </c>
      <c r="AO13" s="560"/>
      <c r="AP13" s="560"/>
      <c r="AQ13" s="560"/>
      <c r="AR13" s="567">
        <v>1</v>
      </c>
      <c r="AS13" s="562"/>
      <c r="AT13" s="547" t="s">
        <v>115</v>
      </c>
      <c r="AU13" s="548"/>
      <c r="AV13" s="564">
        <f>'(2.1)_Resources'!O42</f>
        <v>2.02116486562735</v>
      </c>
      <c r="AW13" s="401"/>
      <c r="AZ13" s="157" t="s">
        <v>114</v>
      </c>
      <c r="BA13" s="158"/>
      <c r="BB13" s="158"/>
      <c r="BC13" s="158"/>
      <c r="BD13" s="168">
        <v>1</v>
      </c>
      <c r="BE13" s="167"/>
      <c r="BG13" s="559" t="s">
        <v>114</v>
      </c>
      <c r="BH13" s="560"/>
      <c r="BI13" s="560"/>
      <c r="BJ13" s="560"/>
      <c r="BK13" s="567">
        <v>1</v>
      </c>
      <c r="BL13" s="577"/>
    </row>
    <row r="14" spans="1:64" ht="12">
      <c r="B14" s="310"/>
      <c r="C14" s="311" t="s">
        <v>42</v>
      </c>
      <c r="D14" s="311"/>
      <c r="E14" s="311"/>
      <c r="F14" s="311"/>
      <c r="G14" s="312">
        <v>25</v>
      </c>
      <c r="H14" s="313"/>
      <c r="I14" s="496">
        <v>31</v>
      </c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N14" s="559" t="s">
        <v>116</v>
      </c>
      <c r="AO14" s="560"/>
      <c r="AP14" s="560"/>
      <c r="AQ14" s="560"/>
      <c r="AR14" s="561">
        <f>'(2.1)_Resources'!H42</f>
        <v>6414.883554173548</v>
      </c>
      <c r="AS14" s="562"/>
      <c r="AT14" s="547"/>
      <c r="AU14" s="548"/>
      <c r="AV14" s="564"/>
      <c r="AW14" s="401"/>
      <c r="AZ14" s="157" t="s">
        <v>117</v>
      </c>
      <c r="BA14" s="158"/>
      <c r="BB14" s="158"/>
      <c r="BC14" s="158"/>
      <c r="BD14" s="170">
        <v>454</v>
      </c>
      <c r="BE14" s="167"/>
      <c r="BG14" s="559" t="s">
        <v>278</v>
      </c>
      <c r="BH14" s="560"/>
      <c r="BI14" s="560"/>
      <c r="BJ14" s="560"/>
      <c r="BK14" s="568">
        <f>'(2.1)_Resources'!J43</f>
        <v>702</v>
      </c>
      <c r="BL14" s="577"/>
    </row>
    <row r="15" spans="1:64" ht="12">
      <c r="A15" s="171" t="s">
        <v>151</v>
      </c>
      <c r="B15" s="310"/>
      <c r="C15" s="311" t="s">
        <v>119</v>
      </c>
      <c r="D15" s="311"/>
      <c r="E15" s="311"/>
      <c r="F15" s="311"/>
      <c r="G15" s="316">
        <v>187.53573564552991</v>
      </c>
      <c r="H15" s="313"/>
      <c r="I15" s="537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N15" s="559" t="s">
        <v>277</v>
      </c>
      <c r="AO15" s="560"/>
      <c r="AP15" s="560"/>
      <c r="AQ15" s="560"/>
      <c r="AR15" s="568">
        <f>'(2.1)_Resources'!J42</f>
        <v>1362.6215812395926</v>
      </c>
      <c r="AS15" s="562"/>
      <c r="AT15" s="547" t="s">
        <v>158</v>
      </c>
      <c r="AU15" s="548"/>
      <c r="AV15" s="564"/>
      <c r="AW15" s="401"/>
      <c r="AZ15" s="157" t="s">
        <v>120</v>
      </c>
      <c r="BA15" s="158"/>
      <c r="BB15" s="158"/>
      <c r="BC15" s="158"/>
      <c r="BD15" s="172">
        <v>8.3299999999999999E-2</v>
      </c>
      <c r="BE15" s="167"/>
      <c r="BG15" s="559" t="s">
        <v>120</v>
      </c>
      <c r="BH15" s="560"/>
      <c r="BI15" s="560"/>
      <c r="BJ15" s="560"/>
      <c r="BK15" s="569">
        <f>'(2.1)_Resources'!K43</f>
        <v>7.3700000000000002E-2</v>
      </c>
      <c r="BL15" s="577"/>
    </row>
    <row r="16" spans="1:64" ht="12">
      <c r="A16" s="171" t="s">
        <v>151</v>
      </c>
      <c r="B16" s="310"/>
      <c r="C16" s="311" t="s">
        <v>121</v>
      </c>
      <c r="D16" s="311"/>
      <c r="E16" s="311"/>
      <c r="F16" s="311"/>
      <c r="G16" s="316">
        <v>12.630108405506199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N16" s="559" t="s">
        <v>120</v>
      </c>
      <c r="AO16" s="560"/>
      <c r="AP16" s="560"/>
      <c r="AQ16" s="560"/>
      <c r="AR16" s="569">
        <f>'(2.1)_Resources'!K41</f>
        <v>7.2562879502455491E-2</v>
      </c>
      <c r="AS16" s="562"/>
      <c r="AT16" s="547" t="s">
        <v>122</v>
      </c>
      <c r="AU16" s="563"/>
      <c r="AV16" s="570">
        <f>'(2.1)_Resources'!D42</f>
        <v>0.70285573530285894</v>
      </c>
      <c r="AW16" s="401"/>
      <c r="AZ16" s="157" t="s">
        <v>112</v>
      </c>
      <c r="BA16" s="159"/>
      <c r="BB16" s="164">
        <v>5.75</v>
      </c>
      <c r="BC16" s="4"/>
      <c r="BD16" s="4"/>
      <c r="BE16" s="165"/>
      <c r="BG16" s="559" t="s">
        <v>112</v>
      </c>
      <c r="BH16" s="563"/>
      <c r="BI16" s="564">
        <f>'(2.1)_Resources'!L43</f>
        <v>15.97</v>
      </c>
      <c r="BJ16" s="7"/>
      <c r="BK16" s="7"/>
      <c r="BL16" s="571"/>
    </row>
    <row r="17" spans="1:64" ht="12">
      <c r="A17" s="171" t="s">
        <v>151</v>
      </c>
      <c r="B17" s="310"/>
      <c r="C17" s="311" t="s">
        <v>123</v>
      </c>
      <c r="D17" s="311"/>
      <c r="E17" s="311"/>
      <c r="F17" s="311"/>
      <c r="G17" s="316">
        <v>3.0220510108288803</v>
      </c>
      <c r="H17" s="313"/>
      <c r="AB17" s="3"/>
      <c r="AG17" s="162"/>
      <c r="AH17" s="4"/>
      <c r="AI17" s="162"/>
      <c r="AJ17" s="158"/>
      <c r="AK17" s="165"/>
      <c r="AN17" s="476"/>
      <c r="AO17" s="7"/>
      <c r="AP17" s="7"/>
      <c r="AQ17" s="7"/>
      <c r="AR17" s="7"/>
      <c r="AS17" s="562"/>
      <c r="AT17" s="7"/>
      <c r="AU17" s="562"/>
      <c r="AV17" s="560"/>
      <c r="AW17" s="571"/>
      <c r="AZ17" s="151" t="s">
        <v>113</v>
      </c>
      <c r="BA17" s="153"/>
      <c r="BB17" s="152">
        <v>2006</v>
      </c>
      <c r="BC17" s="4"/>
      <c r="BD17" s="4"/>
      <c r="BE17" s="163"/>
      <c r="BG17" s="546" t="s">
        <v>113</v>
      </c>
      <c r="BH17" s="548"/>
      <c r="BI17" s="566">
        <v>2016</v>
      </c>
      <c r="BJ17" s="7"/>
      <c r="BK17" s="7"/>
      <c r="BL17" s="578"/>
    </row>
    <row r="18" spans="1:64" ht="12">
      <c r="B18" s="310"/>
      <c r="C18" s="311" t="s">
        <v>124</v>
      </c>
      <c r="D18" s="311"/>
      <c r="E18" s="311"/>
      <c r="F18" s="311"/>
      <c r="G18" s="315">
        <v>7.125514275E-2</v>
      </c>
      <c r="H18" s="313"/>
      <c r="I18" s="538">
        <v>6.5699999999999995E-2</v>
      </c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N18" s="572"/>
      <c r="AO18" s="573"/>
      <c r="AP18" s="573"/>
      <c r="AQ18" s="573"/>
      <c r="AR18" s="573"/>
      <c r="AS18" s="573"/>
      <c r="AT18" s="573"/>
      <c r="AU18" s="573"/>
      <c r="AV18" s="573"/>
      <c r="AW18" s="574"/>
      <c r="AZ18" s="174"/>
      <c r="BA18" s="175"/>
      <c r="BB18" s="175"/>
      <c r="BC18" s="175"/>
      <c r="BD18" s="175"/>
      <c r="BE18" s="177"/>
      <c r="BG18" s="572"/>
      <c r="BH18" s="573"/>
      <c r="BI18" s="573"/>
      <c r="BJ18" s="573"/>
      <c r="BK18" s="573"/>
      <c r="BL18" s="579"/>
    </row>
    <row r="19" spans="1:64" ht="12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538">
        <v>0.11799999999999999</v>
      </c>
      <c r="S19" s="353"/>
    </row>
    <row r="20" spans="1:64">
      <c r="B20" s="283"/>
      <c r="C20" s="283"/>
      <c r="D20" s="283"/>
      <c r="E20" s="283"/>
      <c r="F20" s="283"/>
      <c r="G20" s="171" t="s">
        <v>125</v>
      </c>
      <c r="H20" s="283"/>
    </row>
    <row r="23" spans="1:64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4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4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428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4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4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4" ht="12">
      <c r="B28" s="3"/>
      <c r="C28" s="7">
        <f>+G13</f>
        <v>2006</v>
      </c>
      <c r="D28" s="7"/>
      <c r="E28" s="330">
        <v>3.1E-2</v>
      </c>
      <c r="F28" s="7"/>
      <c r="G28" s="23">
        <f>G29</f>
        <v>305473.07679881854</v>
      </c>
      <c r="H28" s="7"/>
      <c r="I28" s="331">
        <f>$G$15</f>
        <v>187.53573564552991</v>
      </c>
      <c r="J28" s="331"/>
      <c r="K28" s="331">
        <f>$G$16</f>
        <v>12.630108405506199</v>
      </c>
      <c r="L28" s="332"/>
      <c r="M28" s="331">
        <f>$G$17</f>
        <v>3.0220510108288803</v>
      </c>
      <c r="N28" s="7"/>
      <c r="O28" s="333">
        <v>4.9466537342386037</v>
      </c>
      <c r="P28" s="7"/>
      <c r="Q28" s="39">
        <v>-30.620467365028201</v>
      </c>
      <c r="R28" s="7"/>
      <c r="S28" s="23">
        <f>(I28*$G$11*1000+(K28+M28+O28+Q28)*G28)/1000</f>
        <v>15785.995884872487</v>
      </c>
      <c r="T28" s="7"/>
      <c r="U28" s="23">
        <f t="shared" ref="U28:U71" si="0">AX28</f>
        <v>19141.802578211958</v>
      </c>
      <c r="V28" s="7"/>
      <c r="W28" s="23">
        <f t="shared" ref="W28:W71" si="1">S28-U28</f>
        <v>-3355.8066933394712</v>
      </c>
      <c r="X28" s="7"/>
      <c r="Y28" s="334">
        <f>+W28*1000/G28</f>
        <v>-10.985605437004098</v>
      </c>
      <c r="Z28" s="290"/>
      <c r="AB28" s="182">
        <f>$C$28</f>
        <v>2006</v>
      </c>
      <c r="AC28" s="152"/>
      <c r="AD28" s="187">
        <f t="shared" ref="AD28:AD71" si="2">G28</f>
        <v>305473.07679881854</v>
      </c>
      <c r="AE28" s="4"/>
      <c r="AF28" s="188">
        <f>$AF$15*$AF$16</f>
        <v>56.124791362126246</v>
      </c>
      <c r="AG28" s="335"/>
      <c r="AH28" s="188">
        <f>$AJ$11</f>
        <v>7.9126910299003335</v>
      </c>
      <c r="AI28" s="335"/>
      <c r="AJ28" s="188">
        <f>$AJ$13</f>
        <v>2.2243013100436677</v>
      </c>
      <c r="AK28" s="336"/>
      <c r="AL28" s="189">
        <f>((AF28+AH28)*$AF$11*1000+AJ28*AD28)/1000</f>
        <v>5265.6761171542521</v>
      </c>
      <c r="AM28" s="4"/>
      <c r="AN28" s="190">
        <v>7.2485597127461476</v>
      </c>
      <c r="AO28" s="348"/>
      <c r="AP28" s="190">
        <f>AN28*$AF$14/1000</f>
        <v>52.668189489255148</v>
      </c>
      <c r="AQ28" s="335"/>
      <c r="AR28" s="188">
        <f>$AJ$15</f>
        <v>2.302423580786026</v>
      </c>
      <c r="AS28" s="188"/>
      <c r="AT28" s="189">
        <f t="shared" ref="AT28:AT71" si="3">AL28-BF28</f>
        <v>2349.7602701891287</v>
      </c>
      <c r="AU28" s="336"/>
      <c r="AV28" s="189">
        <f t="shared" ref="AV28:AV71" si="4">(AP28+AR28)*AD28/1000</f>
        <v>16792.042308022828</v>
      </c>
      <c r="AW28" s="337"/>
      <c r="AX28" s="191">
        <f>AT28+AV28</f>
        <v>19141.802578211958</v>
      </c>
      <c r="AZ28" s="182">
        <f>$C$28</f>
        <v>2006</v>
      </c>
      <c r="BA28" s="152"/>
      <c r="BB28" s="188">
        <f>$BD$14*$BD$15</f>
        <v>37.818199999999997</v>
      </c>
      <c r="BC28" s="4"/>
      <c r="BD28" s="188">
        <f>$BB$16</f>
        <v>5.75</v>
      </c>
      <c r="BE28" s="335"/>
      <c r="BF28" s="189">
        <f>(BB28+BD28)*$BD$11</f>
        <v>2915.9158469651234</v>
      </c>
      <c r="BG28" s="335"/>
      <c r="BH28" s="192"/>
    </row>
    <row r="29" spans="1:64" ht="12">
      <c r="B29" s="3"/>
      <c r="C29" s="7">
        <f>+IF(C28&gt;$G$13+$G$14,XX,C28+1)</f>
        <v>2007</v>
      </c>
      <c r="D29" s="7"/>
      <c r="E29" s="330">
        <v>1.9E-2</v>
      </c>
      <c r="F29" s="7"/>
      <c r="G29" s="23">
        <v>305473.07679881854</v>
      </c>
      <c r="H29" s="7"/>
      <c r="I29" s="39">
        <f>I28*(1+$E29)</f>
        <v>191.09891462279495</v>
      </c>
      <c r="J29" s="7"/>
      <c r="K29" s="39">
        <f>K28*(1+$E29)</f>
        <v>12.870080465210815</v>
      </c>
      <c r="L29" s="7"/>
      <c r="M29" s="39">
        <f>M28*(1+$E29)</f>
        <v>3.0794699800346286</v>
      </c>
      <c r="N29" s="7"/>
      <c r="O29" s="333">
        <v>5.0999999999999996</v>
      </c>
      <c r="P29" s="7"/>
      <c r="Q29" s="39">
        <v>-31.232876712328764</v>
      </c>
      <c r="R29" s="7"/>
      <c r="S29" s="23">
        <f t="shared" ref="S29:S39" si="5">(I29*$G$11*1000+(K29+M29+O29+Q29)*G29)/1000</f>
        <v>16094.708912738723</v>
      </c>
      <c r="T29" s="7"/>
      <c r="U29" s="23">
        <f t="shared" si="0"/>
        <v>20932.347502540681</v>
      </c>
      <c r="V29" s="7"/>
      <c r="W29" s="23">
        <f t="shared" si="1"/>
        <v>-4837.638589801958</v>
      </c>
      <c r="X29" s="7"/>
      <c r="Y29" s="334">
        <f t="shared" ref="Y29:Y71" si="6">+W29*1000/G29</f>
        <v>-15.836546514991163</v>
      </c>
      <c r="Z29" s="290"/>
      <c r="AB29" s="182">
        <f>+IF(AB28&gt;$G$13+$G$14,XX,AB28+1)</f>
        <v>2007</v>
      </c>
      <c r="AC29" s="152"/>
      <c r="AD29" s="187">
        <f t="shared" si="2"/>
        <v>305473.07679881854</v>
      </c>
      <c r="AE29" s="4"/>
      <c r="AF29" s="190">
        <f>AF28*(1+$E29)</f>
        <v>57.191162398006639</v>
      </c>
      <c r="AG29" s="4"/>
      <c r="AH29" s="190">
        <f>AH28*(1+$E29)</f>
        <v>8.0630321594684382</v>
      </c>
      <c r="AI29" s="4"/>
      <c r="AJ29" s="190">
        <f>AJ28*(1+$E29)</f>
        <v>2.2665630349344972</v>
      </c>
      <c r="AK29" s="4"/>
      <c r="AL29" s="189">
        <f t="shared" ref="AL29:AL40" si="7">((AF29+AH29)*$AF$11*1000+AJ29*AD29)/1000</f>
        <v>5365.7239633801828</v>
      </c>
      <c r="AM29" s="4"/>
      <c r="AN29" s="190">
        <v>8.0291312655031408</v>
      </c>
      <c r="AO29" s="4"/>
      <c r="AP29" s="190">
        <f t="shared" ref="AP29:AP40" si="8">AN29*$AF$14/1000</f>
        <v>58.339839041680825</v>
      </c>
      <c r="AQ29" s="4"/>
      <c r="AR29" s="190">
        <f>AR28*(1+$E29)</f>
        <v>2.3461696288209604</v>
      </c>
      <c r="AS29" s="190"/>
      <c r="AT29" s="189">
        <f t="shared" si="3"/>
        <v>2394.4057153227227</v>
      </c>
      <c r="AU29" s="4"/>
      <c r="AV29" s="189">
        <f t="shared" si="4"/>
        <v>18537.941787217958</v>
      </c>
      <c r="AW29" s="337"/>
      <c r="AX29" s="191">
        <f t="shared" ref="AX29:AX71" si="9">AT29+AV29</f>
        <v>20932.347502540681</v>
      </c>
      <c r="AZ29" s="182">
        <f>+IF(AZ28&gt;$G$13+$G$14,XX,AZ28+1)</f>
        <v>2007</v>
      </c>
      <c r="BA29" s="152"/>
      <c r="BB29" s="190">
        <f>BB28*(1+$E29)</f>
        <v>38.536745799999991</v>
      </c>
      <c r="BC29" s="4"/>
      <c r="BD29" s="190">
        <f>BD28*(1+$E29)</f>
        <v>5.8592499999999994</v>
      </c>
      <c r="BE29" s="4"/>
      <c r="BF29" s="189">
        <f t="shared" ref="BF29:BF40" si="10">(BB29+BD29)*$BD$11</f>
        <v>2971.3182480574601</v>
      </c>
      <c r="BG29" s="4"/>
      <c r="BH29" s="193"/>
    </row>
    <row r="30" spans="1:64" ht="12">
      <c r="B30" s="3"/>
      <c r="C30" s="7">
        <f>+IF(C29&gt;$G$13+$G$14,XX,C29+1)</f>
        <v>2008</v>
      </c>
      <c r="D30" s="7"/>
      <c r="E30" s="330">
        <v>1.7000000000000001E-2</v>
      </c>
      <c r="F30" s="7"/>
      <c r="G30" s="23">
        <v>306096.90139893163</v>
      </c>
      <c r="H30" s="7"/>
      <c r="I30" s="39">
        <f t="shared" ref="I30:I40" si="11">I29*(1+$E30)</f>
        <v>194.34759617138243</v>
      </c>
      <c r="J30" s="7"/>
      <c r="K30" s="39">
        <f t="shared" ref="K30:K40" si="12">K29*(1+$E30)</f>
        <v>13.088871833119399</v>
      </c>
      <c r="L30" s="7"/>
      <c r="M30" s="39">
        <f t="shared" ref="M30:M71" si="13">M29*(1+$E30)</f>
        <v>3.1318209696952168</v>
      </c>
      <c r="N30" s="7"/>
      <c r="O30" s="333">
        <v>5.1866999999999992</v>
      </c>
      <c r="P30" s="7"/>
      <c r="Q30" s="39">
        <v>-31.857534246575337</v>
      </c>
      <c r="R30" s="7"/>
      <c r="S30" s="23">
        <f t="shared" si="5"/>
        <v>16333.177500108217</v>
      </c>
      <c r="T30" s="7"/>
      <c r="U30" s="23">
        <f t="shared" si="0"/>
        <v>20894.644842978014</v>
      </c>
      <c r="V30" s="7"/>
      <c r="W30" s="23">
        <f t="shared" si="1"/>
        <v>-4561.467342869797</v>
      </c>
      <c r="X30" s="7"/>
      <c r="Y30" s="334">
        <f t="shared" si="6"/>
        <v>-14.902036975947375</v>
      </c>
      <c r="Z30" s="290"/>
      <c r="AB30" s="182">
        <f>+IF(AB29&gt;$G$13+$G$14,XX,AB29+1)</f>
        <v>2008</v>
      </c>
      <c r="AC30" s="152"/>
      <c r="AD30" s="187">
        <f t="shared" si="2"/>
        <v>306096.90139893163</v>
      </c>
      <c r="AE30" s="4"/>
      <c r="AF30" s="190">
        <f t="shared" ref="AF30:AF71" si="14">AF29*(1+$E30)</f>
        <v>58.163412158772744</v>
      </c>
      <c r="AG30" s="4"/>
      <c r="AH30" s="190">
        <f t="shared" ref="AH30:AH71" si="15">AH29*(1+$E30)</f>
        <v>8.2001037061794015</v>
      </c>
      <c r="AI30" s="4"/>
      <c r="AJ30" s="190">
        <f t="shared" ref="AJ30:AJ71" si="16">AJ29*(1+$E30)</f>
        <v>2.3050946065283835</v>
      </c>
      <c r="AK30" s="4"/>
      <c r="AL30" s="189">
        <f t="shared" si="7"/>
        <v>5458.3792454787863</v>
      </c>
      <c r="AM30" s="4"/>
      <c r="AN30" s="190">
        <v>7.9707205782722266</v>
      </c>
      <c r="AO30" s="4"/>
      <c r="AP30" s="190">
        <f t="shared" si="8"/>
        <v>57.915425742323464</v>
      </c>
      <c r="AQ30" s="4"/>
      <c r="AR30" s="190">
        <f t="shared" ref="AR30:AR71" si="17">AR29*(1+$E30)</f>
        <v>2.3860545125109165</v>
      </c>
      <c r="AS30" s="190"/>
      <c r="AT30" s="189">
        <f t="shared" si="3"/>
        <v>2436.5485872043496</v>
      </c>
      <c r="AU30" s="4"/>
      <c r="AV30" s="189">
        <f t="shared" si="4"/>
        <v>18458.096255773664</v>
      </c>
      <c r="AW30" s="337"/>
      <c r="AX30" s="191">
        <f t="shared" si="9"/>
        <v>20894.644842978014</v>
      </c>
      <c r="AZ30" s="182">
        <f>+IF(AZ29&gt;$G$13+$G$14,XX,AZ29+1)</f>
        <v>2008</v>
      </c>
      <c r="BA30" s="152"/>
      <c r="BB30" s="190">
        <f t="shared" ref="BB30:BB71" si="18">BB29*(1+$E30)</f>
        <v>39.191870478599988</v>
      </c>
      <c r="BC30" s="4"/>
      <c r="BD30" s="190">
        <f t="shared" ref="BD30:BD71" si="19">BD29*(1+$E30)</f>
        <v>5.9588572499999986</v>
      </c>
      <c r="BE30" s="4"/>
      <c r="BF30" s="189">
        <f t="shared" si="10"/>
        <v>3021.8306582744367</v>
      </c>
      <c r="BG30" s="4"/>
      <c r="BH30" s="193"/>
    </row>
    <row r="31" spans="1:64" ht="12">
      <c r="B31" s="3"/>
      <c r="C31" s="7">
        <f>+IF(C30&gt;$G$13+$G$14,XX,C30+1)</f>
        <v>2009</v>
      </c>
      <c r="D31" s="7"/>
      <c r="E31" s="330">
        <v>1.7000000000000001E-2</v>
      </c>
      <c r="F31" s="7"/>
      <c r="G31" s="23">
        <v>305473.07679881854</v>
      </c>
      <c r="H31" s="7"/>
      <c r="I31" s="39">
        <f t="shared" si="11"/>
        <v>197.65150530629592</v>
      </c>
      <c r="J31" s="7"/>
      <c r="K31" s="39">
        <f t="shared" si="12"/>
        <v>13.311382654282427</v>
      </c>
      <c r="L31" s="7"/>
      <c r="M31" s="39">
        <f t="shared" si="13"/>
        <v>3.185061926180035</v>
      </c>
      <c r="N31" s="7"/>
      <c r="O31" s="333">
        <v>5.2748738999999985</v>
      </c>
      <c r="P31" s="7"/>
      <c r="Q31" s="39">
        <v>-32.494684931506839</v>
      </c>
      <c r="R31" s="7"/>
      <c r="S31" s="23">
        <f t="shared" si="5"/>
        <v>16588.27653984099</v>
      </c>
      <c r="T31" s="7"/>
      <c r="U31" s="23">
        <f t="shared" si="0"/>
        <v>20476.7978363478</v>
      </c>
      <c r="V31" s="7"/>
      <c r="W31" s="23">
        <f t="shared" si="1"/>
        <v>-3888.5212965068094</v>
      </c>
      <c r="X31" s="7"/>
      <c r="Y31" s="334">
        <f t="shared" si="6"/>
        <v>-12.729505779220439</v>
      </c>
      <c r="Z31" s="290"/>
      <c r="AB31" s="182">
        <f>+IF(AB30&gt;$G$13+$G$14,XX,AB30+1)</f>
        <v>2009</v>
      </c>
      <c r="AC31" s="152"/>
      <c r="AD31" s="187">
        <f t="shared" si="2"/>
        <v>305473.07679881854</v>
      </c>
      <c r="AE31" s="4"/>
      <c r="AF31" s="190">
        <f t="shared" si="14"/>
        <v>59.152190165471872</v>
      </c>
      <c r="AG31" s="4"/>
      <c r="AH31" s="190">
        <f t="shared" si="15"/>
        <v>8.3395054691844503</v>
      </c>
      <c r="AI31" s="4"/>
      <c r="AJ31" s="190">
        <f t="shared" si="16"/>
        <v>2.3442812148393659</v>
      </c>
      <c r="AK31" s="4"/>
      <c r="AL31" s="189">
        <f t="shared" si="7"/>
        <v>5549.7092723605238</v>
      </c>
      <c r="AM31" s="4"/>
      <c r="AN31" s="190">
        <v>7.7758276535043622</v>
      </c>
      <c r="AO31" s="4"/>
      <c r="AP31" s="190">
        <f t="shared" si="8"/>
        <v>56.499329593768707</v>
      </c>
      <c r="AQ31" s="4"/>
      <c r="AR31" s="190">
        <f t="shared" si="17"/>
        <v>2.4266174392236017</v>
      </c>
      <c r="AS31" s="190"/>
      <c r="AT31" s="189">
        <f t="shared" si="3"/>
        <v>2476.5074928954223</v>
      </c>
      <c r="AU31" s="4"/>
      <c r="AV31" s="189">
        <f t="shared" si="4"/>
        <v>18000.290343452376</v>
      </c>
      <c r="AW31" s="337"/>
      <c r="AX31" s="191">
        <f t="shared" si="9"/>
        <v>20476.7978363478</v>
      </c>
      <c r="AZ31" s="182">
        <f>+IF(AZ30&gt;$G$13+$G$14,XX,AZ30+1)</f>
        <v>2009</v>
      </c>
      <c r="BA31" s="152"/>
      <c r="BB31" s="190">
        <f t="shared" si="18"/>
        <v>39.858132276736185</v>
      </c>
      <c r="BC31" s="4"/>
      <c r="BD31" s="190">
        <f t="shared" si="19"/>
        <v>6.0601578232499982</v>
      </c>
      <c r="BE31" s="4"/>
      <c r="BF31" s="189">
        <f t="shared" si="10"/>
        <v>3073.2017794651015</v>
      </c>
      <c r="BG31" s="4"/>
      <c r="BH31" s="193"/>
    </row>
    <row r="32" spans="1:64" ht="12">
      <c r="B32" s="3"/>
      <c r="C32" s="7">
        <f>+IF(C31&gt;$G$13+$G$14,XX,C31+1)</f>
        <v>2010</v>
      </c>
      <c r="D32" s="7"/>
      <c r="E32" s="330">
        <v>1.9E-2</v>
      </c>
      <c r="F32" s="7"/>
      <c r="G32" s="23">
        <v>305473.07679881854</v>
      </c>
      <c r="H32" s="7"/>
      <c r="I32" s="39">
        <f t="shared" si="11"/>
        <v>201.40688390711551</v>
      </c>
      <c r="J32" s="7"/>
      <c r="K32" s="39">
        <f t="shared" si="12"/>
        <v>13.564298924713793</v>
      </c>
      <c r="L32" s="7"/>
      <c r="M32" s="39">
        <f t="shared" si="13"/>
        <v>3.2455781027774555</v>
      </c>
      <c r="N32" s="7"/>
      <c r="O32" s="333">
        <v>5.3750965040999983</v>
      </c>
      <c r="P32" s="7"/>
      <c r="Q32" s="39">
        <v>-33.144578630136984</v>
      </c>
      <c r="R32" s="7"/>
      <c r="S32" s="23">
        <f t="shared" si="5"/>
        <v>16893.527542712323</v>
      </c>
      <c r="T32" s="7"/>
      <c r="U32" s="23">
        <f t="shared" si="0"/>
        <v>19875.654862083324</v>
      </c>
      <c r="V32" s="7"/>
      <c r="W32" s="23">
        <f t="shared" si="1"/>
        <v>-2982.1273193710003</v>
      </c>
      <c r="X32" s="7"/>
      <c r="Y32" s="334">
        <f t="shared" si="6"/>
        <v>-9.7623245577710893</v>
      </c>
      <c r="Z32" s="290"/>
      <c r="AB32" s="182">
        <f>+IF(AB31&gt;$G$13+$G$14,XX,AB31+1)</f>
        <v>2010</v>
      </c>
      <c r="AC32" s="152"/>
      <c r="AD32" s="187">
        <f t="shared" si="2"/>
        <v>305473.07679881854</v>
      </c>
      <c r="AE32" s="4"/>
      <c r="AF32" s="190">
        <f t="shared" si="14"/>
        <v>60.276081778615833</v>
      </c>
      <c r="AG32" s="4"/>
      <c r="AH32" s="190">
        <f t="shared" si="15"/>
        <v>8.4979560730989547</v>
      </c>
      <c r="AI32" s="4"/>
      <c r="AJ32" s="190">
        <f t="shared" si="16"/>
        <v>2.3888225579213138</v>
      </c>
      <c r="AK32" s="4"/>
      <c r="AL32" s="189">
        <f t="shared" si="7"/>
        <v>5655.1537485353738</v>
      </c>
      <c r="AM32" s="4"/>
      <c r="AN32" s="190">
        <v>7.4774457529777205</v>
      </c>
      <c r="AO32" s="4"/>
      <c r="AP32" s="190">
        <f t="shared" si="8"/>
        <v>54.331280339864243</v>
      </c>
      <c r="AQ32" s="4"/>
      <c r="AR32" s="190">
        <f t="shared" si="17"/>
        <v>2.4727231705688499</v>
      </c>
      <c r="AS32" s="190"/>
      <c r="AT32" s="189">
        <f t="shared" si="3"/>
        <v>2523.5611352604351</v>
      </c>
      <c r="AU32" s="4"/>
      <c r="AV32" s="189">
        <f t="shared" si="4"/>
        <v>17352.093726822888</v>
      </c>
      <c r="AW32" s="337"/>
      <c r="AX32" s="191">
        <f t="shared" si="9"/>
        <v>19875.654862083324</v>
      </c>
      <c r="AZ32" s="182">
        <f>+IF(AZ31&gt;$G$13+$G$14,XX,AZ31+1)</f>
        <v>2010</v>
      </c>
      <c r="BA32" s="152"/>
      <c r="BB32" s="190">
        <f t="shared" si="18"/>
        <v>40.61543678999417</v>
      </c>
      <c r="BC32" s="4"/>
      <c r="BD32" s="190">
        <f t="shared" si="19"/>
        <v>6.1753008218917476</v>
      </c>
      <c r="BE32" s="4"/>
      <c r="BF32" s="189">
        <f t="shared" si="10"/>
        <v>3131.5926132749387</v>
      </c>
      <c r="BG32" s="4"/>
      <c r="BH32" s="193"/>
    </row>
    <row r="33" spans="2:60" ht="12">
      <c r="B33" s="3"/>
      <c r="C33" s="7">
        <f>+IF(C32&gt;$G$13+$G$14,XX,C32+1)</f>
        <v>2011</v>
      </c>
      <c r="D33" s="7"/>
      <c r="E33" s="330">
        <v>1.9E-2</v>
      </c>
      <c r="F33" s="7"/>
      <c r="G33" s="23">
        <v>305473.07679881854</v>
      </c>
      <c r="H33" s="7"/>
      <c r="I33" s="39">
        <f t="shared" si="11"/>
        <v>205.23361470135069</v>
      </c>
      <c r="J33" s="7"/>
      <c r="K33" s="39">
        <f t="shared" si="12"/>
        <v>13.822020604283354</v>
      </c>
      <c r="L33" s="7"/>
      <c r="M33" s="39">
        <f t="shared" si="13"/>
        <v>3.3072440867302269</v>
      </c>
      <c r="N33" s="7"/>
      <c r="O33" s="333">
        <v>5.4772233376778976</v>
      </c>
      <c r="P33" s="7"/>
      <c r="Q33" s="39">
        <v>-33.807470202739722</v>
      </c>
      <c r="R33" s="7"/>
      <c r="S33" s="23">
        <f t="shared" si="5"/>
        <v>17204.379789610506</v>
      </c>
      <c r="T33" s="7"/>
      <c r="U33" s="23">
        <f t="shared" si="0"/>
        <v>19060.551893977183</v>
      </c>
      <c r="V33" s="7"/>
      <c r="W33" s="23">
        <f t="shared" si="1"/>
        <v>-1856.1721043666766</v>
      </c>
      <c r="X33" s="7"/>
      <c r="Y33" s="334">
        <f t="shared" si="6"/>
        <v>-6.076385270408406</v>
      </c>
      <c r="Z33" s="290"/>
      <c r="AB33" s="182">
        <f>+IF(AB32&gt;$G$13+$G$14,XX,AB32+1)</f>
        <v>2011</v>
      </c>
      <c r="AC33" s="152"/>
      <c r="AD33" s="187">
        <f t="shared" si="2"/>
        <v>305473.07679881854</v>
      </c>
      <c r="AE33" s="4"/>
      <c r="AF33" s="190">
        <f t="shared" si="14"/>
        <v>61.421327332409525</v>
      </c>
      <c r="AG33" s="4"/>
      <c r="AH33" s="190">
        <f t="shared" si="15"/>
        <v>8.6594172384878334</v>
      </c>
      <c r="AI33" s="4"/>
      <c r="AJ33" s="190">
        <f t="shared" si="16"/>
        <v>2.4342101865218186</v>
      </c>
      <c r="AK33" s="4"/>
      <c r="AL33" s="189">
        <f t="shared" si="7"/>
        <v>5762.6016697575469</v>
      </c>
      <c r="AM33" s="4"/>
      <c r="AN33" s="190">
        <v>7.0821436233211914</v>
      </c>
      <c r="AO33" s="4"/>
      <c r="AP33" s="190">
        <f t="shared" si="8"/>
        <v>51.459006633731178</v>
      </c>
      <c r="AQ33" s="4"/>
      <c r="AR33" s="190">
        <f t="shared" si="17"/>
        <v>2.5197049108096579</v>
      </c>
      <c r="AS33" s="190"/>
      <c r="AT33" s="189">
        <f t="shared" si="3"/>
        <v>2571.5087968303851</v>
      </c>
      <c r="AU33" s="4"/>
      <c r="AV33" s="189">
        <f t="shared" si="4"/>
        <v>16489.043097146798</v>
      </c>
      <c r="AW33" s="337"/>
      <c r="AX33" s="191">
        <f t="shared" si="9"/>
        <v>19060.551893977183</v>
      </c>
      <c r="AZ33" s="182">
        <f>+IF(AZ32&gt;$G$13+$G$14,XX,AZ32+1)</f>
        <v>2011</v>
      </c>
      <c r="BA33" s="152"/>
      <c r="BB33" s="190">
        <f t="shared" si="18"/>
        <v>41.387130089004053</v>
      </c>
      <c r="BC33" s="4"/>
      <c r="BD33" s="190">
        <f t="shared" si="19"/>
        <v>6.29263153750769</v>
      </c>
      <c r="BE33" s="4"/>
      <c r="BF33" s="189">
        <f t="shared" si="10"/>
        <v>3191.0928729271618</v>
      </c>
      <c r="BG33" s="4"/>
      <c r="BH33" s="193"/>
    </row>
    <row r="34" spans="2:60" ht="12">
      <c r="B34" s="3"/>
      <c r="C34" s="7">
        <f>+IF(C33&gt;$G$13+$G$14,XX,C33+1)</f>
        <v>2012</v>
      </c>
      <c r="D34" s="7"/>
      <c r="E34" s="330">
        <v>0.02</v>
      </c>
      <c r="F34" s="7"/>
      <c r="G34" s="23">
        <v>306096.90139893163</v>
      </c>
      <c r="H34" s="7"/>
      <c r="I34" s="39">
        <f t="shared" si="11"/>
        <v>209.3382869953777</v>
      </c>
      <c r="J34" s="7"/>
      <c r="K34" s="39">
        <f t="shared" si="12"/>
        <v>14.098461016369022</v>
      </c>
      <c r="L34" s="7"/>
      <c r="M34" s="39">
        <f t="shared" si="13"/>
        <v>3.3733889684648313</v>
      </c>
      <c r="N34" s="7"/>
      <c r="O34" s="333">
        <v>5.5867678044314557</v>
      </c>
      <c r="P34" s="7"/>
      <c r="Q34" s="39">
        <v>-34.48361960679452</v>
      </c>
      <c r="R34" s="7"/>
      <c r="S34" s="23">
        <f t="shared" si="5"/>
        <v>17541.340188212605</v>
      </c>
      <c r="T34" s="7"/>
      <c r="U34" s="23">
        <f t="shared" si="0"/>
        <v>18318.194854876459</v>
      </c>
      <c r="V34" s="7"/>
      <c r="W34" s="23">
        <f t="shared" si="1"/>
        <v>-776.854666663854</v>
      </c>
      <c r="X34" s="7"/>
      <c r="Y34" s="334">
        <f t="shared" si="6"/>
        <v>-2.5379370490633968</v>
      </c>
      <c r="Z34" s="290"/>
      <c r="AB34" s="182">
        <f>+IF(AB33&gt;$G$13+$G$14,XX,AB33+1)</f>
        <v>2012</v>
      </c>
      <c r="AC34" s="152"/>
      <c r="AD34" s="187">
        <f t="shared" si="2"/>
        <v>306096.90139893163</v>
      </c>
      <c r="AE34" s="4"/>
      <c r="AF34" s="190">
        <f t="shared" si="14"/>
        <v>62.64975387905772</v>
      </c>
      <c r="AG34" s="4"/>
      <c r="AH34" s="190">
        <f t="shared" si="15"/>
        <v>8.8326055832575907</v>
      </c>
      <c r="AI34" s="4"/>
      <c r="AJ34" s="190">
        <f t="shared" si="16"/>
        <v>2.4828943902522549</v>
      </c>
      <c r="AK34" s="4"/>
      <c r="AL34" s="189">
        <f t="shared" si="7"/>
        <v>5879.4025937528195</v>
      </c>
      <c r="AM34" s="4"/>
      <c r="AN34" s="190">
        <v>6.7024699037828679</v>
      </c>
      <c r="AO34" s="4"/>
      <c r="AP34" s="190">
        <f t="shared" si="8"/>
        <v>48.700289288881038</v>
      </c>
      <c r="AQ34" s="4"/>
      <c r="AR34" s="190">
        <f t="shared" si="17"/>
        <v>2.5700990090258511</v>
      </c>
      <c r="AS34" s="190"/>
      <c r="AT34" s="189">
        <f t="shared" si="3"/>
        <v>2624.4878633671146</v>
      </c>
      <c r="AU34" s="4"/>
      <c r="AV34" s="189">
        <f t="shared" si="4"/>
        <v>15693.706991509345</v>
      </c>
      <c r="AW34" s="337"/>
      <c r="AX34" s="191">
        <f t="shared" si="9"/>
        <v>18318.194854876459</v>
      </c>
      <c r="AZ34" s="182">
        <f>+IF(AZ33&gt;$G$13+$G$14,XX,AZ33+1)</f>
        <v>2012</v>
      </c>
      <c r="BA34" s="152"/>
      <c r="BB34" s="190">
        <f t="shared" si="18"/>
        <v>42.214872690784134</v>
      </c>
      <c r="BC34" s="4"/>
      <c r="BD34" s="190">
        <f t="shared" si="19"/>
        <v>6.4184841682578435</v>
      </c>
      <c r="BE34" s="4"/>
      <c r="BF34" s="189">
        <f t="shared" si="10"/>
        <v>3254.9147303857048</v>
      </c>
      <c r="BG34" s="4"/>
      <c r="BH34" s="193"/>
    </row>
    <row r="35" spans="2:60" ht="12">
      <c r="B35" s="3"/>
      <c r="C35" s="7">
        <f>+IF(C34&gt;$G$13+$G$14,XX,C34+1)</f>
        <v>2013</v>
      </c>
      <c r="D35" s="7"/>
      <c r="E35" s="330">
        <v>1.9E-2</v>
      </c>
      <c r="F35" s="7"/>
      <c r="G35" s="23">
        <v>305473.07679881854</v>
      </c>
      <c r="H35" s="7"/>
      <c r="I35" s="39">
        <f t="shared" si="11"/>
        <v>213.31571444828987</v>
      </c>
      <c r="J35" s="7"/>
      <c r="K35" s="39">
        <f t="shared" si="12"/>
        <v>14.366331775680033</v>
      </c>
      <c r="L35" s="7"/>
      <c r="M35" s="39">
        <f t="shared" si="13"/>
        <v>3.4374833588656628</v>
      </c>
      <c r="N35" s="7"/>
      <c r="O35" s="333">
        <v>5.6929163927156532</v>
      </c>
      <c r="P35" s="7"/>
      <c r="Q35" s="39">
        <v>-35.173291998930409</v>
      </c>
      <c r="R35" s="7"/>
      <c r="S35" s="23">
        <f t="shared" si="5"/>
        <v>17871.354448344919</v>
      </c>
      <c r="T35" s="7"/>
      <c r="U35" s="23">
        <f t="shared" si="0"/>
        <v>18342.811616613639</v>
      </c>
      <c r="V35" s="7"/>
      <c r="W35" s="23">
        <f t="shared" si="1"/>
        <v>-471.45716826872012</v>
      </c>
      <c r="X35" s="7"/>
      <c r="Y35" s="334">
        <f t="shared" si="6"/>
        <v>-1.5433673343959444</v>
      </c>
      <c r="Z35" s="290"/>
      <c r="AB35" s="182">
        <f>+IF(AB34&gt;$G$13+$G$14,XX,AB34+1)</f>
        <v>2013</v>
      </c>
      <c r="AC35" s="152"/>
      <c r="AD35" s="187">
        <f t="shared" si="2"/>
        <v>305473.07679881854</v>
      </c>
      <c r="AE35" s="4"/>
      <c r="AF35" s="190">
        <f t="shared" si="14"/>
        <v>63.840099202759809</v>
      </c>
      <c r="AG35" s="4"/>
      <c r="AH35" s="190">
        <f t="shared" si="15"/>
        <v>9.0004250893394833</v>
      </c>
      <c r="AI35" s="4"/>
      <c r="AJ35" s="190">
        <f t="shared" si="16"/>
        <v>2.5300693836670476</v>
      </c>
      <c r="AK35" s="4"/>
      <c r="AL35" s="189">
        <f t="shared" si="7"/>
        <v>5989.5329235125964</v>
      </c>
      <c r="AM35" s="4"/>
      <c r="AN35" s="190">
        <v>6.6994948806584134</v>
      </c>
      <c r="AO35" s="4"/>
      <c r="AP35" s="190">
        <f t="shared" si="8"/>
        <v>48.678672707399592</v>
      </c>
      <c r="AQ35" s="4"/>
      <c r="AR35" s="190">
        <f t="shared" si="17"/>
        <v>2.6189308901973418</v>
      </c>
      <c r="AS35" s="190"/>
      <c r="AT35" s="189">
        <f t="shared" si="3"/>
        <v>2672.7748132495635</v>
      </c>
      <c r="AU35" s="4"/>
      <c r="AV35" s="189">
        <f t="shared" si="4"/>
        <v>15670.036803364077</v>
      </c>
      <c r="AW35" s="337"/>
      <c r="AX35" s="191">
        <f t="shared" si="9"/>
        <v>18342.811616613639</v>
      </c>
      <c r="AZ35" s="182">
        <f>+IF(AZ34&gt;$G$13+$G$14,XX,AZ34+1)</f>
        <v>2013</v>
      </c>
      <c r="BA35" s="152"/>
      <c r="BB35" s="190">
        <f t="shared" si="18"/>
        <v>43.016955271909026</v>
      </c>
      <c r="BC35" s="4"/>
      <c r="BD35" s="190">
        <f t="shared" si="19"/>
        <v>6.5404353674547417</v>
      </c>
      <c r="BE35" s="4"/>
      <c r="BF35" s="189">
        <f t="shared" si="10"/>
        <v>3316.7581102630329</v>
      </c>
      <c r="BG35" s="4"/>
      <c r="BH35" s="193"/>
    </row>
    <row r="36" spans="2:60" ht="12">
      <c r="B36" s="3"/>
      <c r="C36" s="7">
        <f>+IF(C35&gt;$G$13+$G$14,XX,C35+1)</f>
        <v>2014</v>
      </c>
      <c r="D36" s="7"/>
      <c r="E36" s="330">
        <v>1.7999999999999999E-2</v>
      </c>
      <c r="F36" s="7"/>
      <c r="G36" s="23">
        <v>305473.07679881854</v>
      </c>
      <c r="H36" s="7"/>
      <c r="I36" s="39">
        <f t="shared" si="11"/>
        <v>217.15539730835908</v>
      </c>
      <c r="J36" s="7"/>
      <c r="K36" s="39">
        <f t="shared" si="12"/>
        <v>14.624925747642274</v>
      </c>
      <c r="L36" s="7"/>
      <c r="M36" s="39">
        <f t="shared" si="13"/>
        <v>3.4993580593252447</v>
      </c>
      <c r="N36" s="7"/>
      <c r="O36" s="333">
        <v>5.7953888877845348</v>
      </c>
      <c r="P36" s="7"/>
      <c r="Q36" s="39">
        <v>-35.876757838909015</v>
      </c>
      <c r="R36" s="7"/>
      <c r="S36" s="23">
        <f t="shared" si="5"/>
        <v>18171.549840959015</v>
      </c>
      <c r="T36" s="7"/>
      <c r="U36" s="23">
        <f t="shared" si="0"/>
        <v>18881.450804220665</v>
      </c>
      <c r="V36" s="7"/>
      <c r="W36" s="23">
        <f t="shared" si="1"/>
        <v>-709.90096326165076</v>
      </c>
      <c r="X36" s="7"/>
      <c r="Y36" s="334">
        <f t="shared" si="6"/>
        <v>-2.3239395455108611</v>
      </c>
      <c r="Z36" s="290"/>
      <c r="AB36" s="182">
        <f>+IF(AB35&gt;$G$13+$G$14,XX,AB35+1)</f>
        <v>2014</v>
      </c>
      <c r="AC36" s="152"/>
      <c r="AD36" s="187">
        <f t="shared" si="2"/>
        <v>305473.07679881854</v>
      </c>
      <c r="AE36" s="4"/>
      <c r="AF36" s="190">
        <f t="shared" si="14"/>
        <v>64.989220988409485</v>
      </c>
      <c r="AG36" s="4"/>
      <c r="AH36" s="190">
        <f t="shared" si="15"/>
        <v>9.1624327409475939</v>
      </c>
      <c r="AI36" s="4"/>
      <c r="AJ36" s="190">
        <f t="shared" si="16"/>
        <v>2.5756106325730546</v>
      </c>
      <c r="AK36" s="4"/>
      <c r="AL36" s="189">
        <f t="shared" si="7"/>
        <v>6097.3445161358241</v>
      </c>
      <c r="AM36" s="4"/>
      <c r="AN36" s="190">
        <v>6.9140085811973453</v>
      </c>
      <c r="AO36" s="4"/>
      <c r="AP36" s="190">
        <f t="shared" si="8"/>
        <v>50.2373338312307</v>
      </c>
      <c r="AQ36" s="4"/>
      <c r="AR36" s="190">
        <f t="shared" si="17"/>
        <v>2.6660716462208942</v>
      </c>
      <c r="AS36" s="190"/>
      <c r="AT36" s="189">
        <f t="shared" si="3"/>
        <v>2720.8847598880566</v>
      </c>
      <c r="AU36" s="4"/>
      <c r="AV36" s="189">
        <f t="shared" si="4"/>
        <v>16160.566044332609</v>
      </c>
      <c r="AW36" s="337"/>
      <c r="AX36" s="191">
        <f t="shared" si="9"/>
        <v>18881.450804220665</v>
      </c>
      <c r="AZ36" s="182">
        <f>+IF(AZ35&gt;$G$13+$G$14,XX,AZ35+1)</f>
        <v>2014</v>
      </c>
      <c r="BA36" s="152"/>
      <c r="BB36" s="190">
        <f t="shared" si="18"/>
        <v>43.791260466803386</v>
      </c>
      <c r="BC36" s="4"/>
      <c r="BD36" s="190">
        <f t="shared" si="19"/>
        <v>6.6581632040689271</v>
      </c>
      <c r="BE36" s="4"/>
      <c r="BF36" s="189">
        <f t="shared" si="10"/>
        <v>3376.4597562477675</v>
      </c>
      <c r="BG36" s="4"/>
      <c r="BH36" s="193"/>
    </row>
    <row r="37" spans="2:60" ht="12">
      <c r="B37" s="3"/>
      <c r="C37" s="7">
        <f>+IF(C36&gt;$G$13+$G$14,XX,C36+1)</f>
        <v>2015</v>
      </c>
      <c r="D37" s="7"/>
      <c r="E37" s="330">
        <v>1.7999999999999999E-2</v>
      </c>
      <c r="F37" s="7"/>
      <c r="G37" s="23">
        <v>305473.07679881854</v>
      </c>
      <c r="H37" s="7"/>
      <c r="I37" s="39">
        <f t="shared" si="11"/>
        <v>221.06419445990954</v>
      </c>
      <c r="J37" s="7"/>
      <c r="K37" s="39">
        <f t="shared" si="12"/>
        <v>14.888174411099836</v>
      </c>
      <c r="L37" s="7"/>
      <c r="M37" s="39">
        <f t="shared" si="13"/>
        <v>3.5623465043930991</v>
      </c>
      <c r="N37" s="7"/>
      <c r="O37" s="333">
        <v>5.8997058877646564</v>
      </c>
      <c r="P37" s="7"/>
      <c r="Q37" s="39">
        <v>-36.594292995687191</v>
      </c>
      <c r="R37" s="7"/>
      <c r="S37" s="23">
        <f t="shared" si="5"/>
        <v>18476.718970891045</v>
      </c>
      <c r="T37" s="7"/>
      <c r="U37" s="23">
        <f t="shared" si="0"/>
        <v>19838.226285512537</v>
      </c>
      <c r="V37" s="7"/>
      <c r="W37" s="23">
        <f t="shared" si="1"/>
        <v>-1361.5073146214927</v>
      </c>
      <c r="X37" s="7"/>
      <c r="Y37" s="334">
        <f t="shared" si="6"/>
        <v>-4.4570452129179543</v>
      </c>
      <c r="Z37" s="290"/>
      <c r="AB37" s="182">
        <f>+IF(AB36&gt;$G$13+$G$14,XX,AB36+1)</f>
        <v>2015</v>
      </c>
      <c r="AC37" s="152"/>
      <c r="AD37" s="187">
        <f t="shared" si="2"/>
        <v>305473.07679881854</v>
      </c>
      <c r="AE37" s="4"/>
      <c r="AF37" s="190">
        <f t="shared" si="14"/>
        <v>66.159026966200855</v>
      </c>
      <c r="AG37" s="4"/>
      <c r="AH37" s="190">
        <f t="shared" si="15"/>
        <v>9.3273565302846499</v>
      </c>
      <c r="AI37" s="4"/>
      <c r="AJ37" s="190">
        <f t="shared" si="16"/>
        <v>2.6219716239593698</v>
      </c>
      <c r="AK37" s="4"/>
      <c r="AL37" s="189">
        <f t="shared" si="7"/>
        <v>6207.0967174262696</v>
      </c>
      <c r="AM37" s="4"/>
      <c r="AN37" s="190">
        <v>7.3164011858738007</v>
      </c>
      <c r="AO37" s="4"/>
      <c r="AP37" s="190">
        <f t="shared" si="8"/>
        <v>53.161127080102943</v>
      </c>
      <c r="AQ37" s="4"/>
      <c r="AR37" s="190">
        <f t="shared" si="17"/>
        <v>2.7140609358528702</v>
      </c>
      <c r="AS37" s="190"/>
      <c r="AT37" s="189">
        <f t="shared" si="3"/>
        <v>2769.8606855660423</v>
      </c>
      <c r="AU37" s="4"/>
      <c r="AV37" s="189">
        <f t="shared" si="4"/>
        <v>17068.365599946494</v>
      </c>
      <c r="AW37" s="337"/>
      <c r="AX37" s="191">
        <f t="shared" si="9"/>
        <v>19838.226285512537</v>
      </c>
      <c r="AZ37" s="182">
        <f>+IF(AZ36&gt;$G$13+$G$14,XX,AZ36+1)</f>
        <v>2015</v>
      </c>
      <c r="BA37" s="152"/>
      <c r="BB37" s="190">
        <f t="shared" si="18"/>
        <v>44.579503155205849</v>
      </c>
      <c r="BC37" s="4"/>
      <c r="BD37" s="190">
        <f t="shared" si="19"/>
        <v>6.7780101417421683</v>
      </c>
      <c r="BE37" s="4"/>
      <c r="BF37" s="189">
        <f>(BB37+BD37)*$BD$11</f>
        <v>3437.2360318602273</v>
      </c>
      <c r="BG37" s="4"/>
      <c r="BH37" s="193"/>
    </row>
    <row r="38" spans="2:60" ht="12">
      <c r="B38" s="3"/>
      <c r="C38" s="7">
        <f>+IF(C37&gt;$G$13+$G$14,XX,C37+1)</f>
        <v>2016</v>
      </c>
      <c r="D38" s="7"/>
      <c r="E38" s="330">
        <v>1.7999999999999999E-2</v>
      </c>
      <c r="F38" s="7"/>
      <c r="G38" s="23">
        <v>306096.90139893163</v>
      </c>
      <c r="H38" s="7"/>
      <c r="I38" s="39">
        <f t="shared" si="11"/>
        <v>225.04334996018792</v>
      </c>
      <c r="J38" s="7"/>
      <c r="K38" s="39">
        <f t="shared" si="12"/>
        <v>15.156161550499634</v>
      </c>
      <c r="L38" s="7"/>
      <c r="M38" s="39">
        <f t="shared" si="13"/>
        <v>3.6264687414721748</v>
      </c>
      <c r="N38" s="7"/>
      <c r="O38" s="333">
        <v>6.0059005937444203</v>
      </c>
      <c r="P38" s="7"/>
      <c r="Q38" s="39">
        <v>0</v>
      </c>
      <c r="R38" s="7"/>
      <c r="S38" s="23">
        <f t="shared" si="5"/>
        <v>30204.549165348344</v>
      </c>
      <c r="T38" s="7"/>
      <c r="U38" s="23">
        <f t="shared" si="0"/>
        <v>21284.657849604559</v>
      </c>
      <c r="V38" s="7"/>
      <c r="W38" s="23">
        <f t="shared" si="1"/>
        <v>8919.8913157437855</v>
      </c>
      <c r="X38" s="7"/>
      <c r="Y38" s="334">
        <f t="shared" si="6"/>
        <v>29.140743584720646</v>
      </c>
      <c r="Z38" s="290"/>
      <c r="AB38" s="182">
        <f>+IF(AB37&gt;$G$13+$G$14,XX,AB37+1)</f>
        <v>2016</v>
      </c>
      <c r="AC38" s="152"/>
      <c r="AD38" s="187">
        <f t="shared" si="2"/>
        <v>306096.90139893163</v>
      </c>
      <c r="AE38" s="4"/>
      <c r="AF38" s="190">
        <f t="shared" si="14"/>
        <v>67.349889451592475</v>
      </c>
      <c r="AG38" s="4"/>
      <c r="AH38" s="190">
        <f t="shared" si="15"/>
        <v>9.4952489478297739</v>
      </c>
      <c r="AI38" s="4"/>
      <c r="AJ38" s="190">
        <f t="shared" si="16"/>
        <v>2.6691671131906385</v>
      </c>
      <c r="AK38" s="4"/>
      <c r="AL38" s="189">
        <f t="shared" si="7"/>
        <v>6320.4895504469632</v>
      </c>
      <c r="AM38" s="4"/>
      <c r="AN38" s="190">
        <v>7.9211828417083421</v>
      </c>
      <c r="AO38" s="4"/>
      <c r="AP38" s="190">
        <f t="shared" si="8"/>
        <v>57.555483491778489</v>
      </c>
      <c r="AQ38" s="4"/>
      <c r="AR38" s="190">
        <f t="shared" si="17"/>
        <v>2.7629140326982218</v>
      </c>
      <c r="AS38" s="190"/>
      <c r="AT38" s="189">
        <f t="shared" si="3"/>
        <v>2821.3832700132511</v>
      </c>
      <c r="AU38" s="4"/>
      <c r="AV38" s="189">
        <f t="shared" si="4"/>
        <v>18463.274579591307</v>
      </c>
      <c r="AW38" s="337"/>
      <c r="AX38" s="191">
        <f t="shared" si="9"/>
        <v>21284.657849604559</v>
      </c>
      <c r="AZ38" s="182">
        <f>+IF(AZ37&gt;$G$13+$G$14,XX,AZ37+1)</f>
        <v>2016</v>
      </c>
      <c r="BA38" s="152"/>
      <c r="BB38" s="190">
        <f t="shared" si="18"/>
        <v>45.381934211999557</v>
      </c>
      <c r="BC38" s="4"/>
      <c r="BD38" s="190">
        <f t="shared" si="19"/>
        <v>6.9000143242935277</v>
      </c>
      <c r="BE38" s="4"/>
      <c r="BF38" s="189">
        <f t="shared" si="10"/>
        <v>3499.1062804337121</v>
      </c>
      <c r="BG38" s="4"/>
      <c r="BH38" s="193"/>
    </row>
    <row r="39" spans="2:60" ht="12">
      <c r="B39" s="3"/>
      <c r="C39" s="7">
        <f>+IF(C38&gt;$G$13+$G$14,XX,C38+1)</f>
        <v>2017</v>
      </c>
      <c r="D39" s="7"/>
      <c r="E39" s="330">
        <v>1.7999999999999999E-2</v>
      </c>
      <c r="F39" s="7"/>
      <c r="G39" s="23">
        <v>305473.07679881854</v>
      </c>
      <c r="H39" s="7"/>
      <c r="I39" s="39">
        <f t="shared" si="11"/>
        <v>229.09413025947131</v>
      </c>
      <c r="J39" s="7"/>
      <c r="K39" s="39">
        <f t="shared" si="12"/>
        <v>15.428972458408628</v>
      </c>
      <c r="L39" s="7"/>
      <c r="M39" s="39">
        <f t="shared" si="13"/>
        <v>3.6917451788186741</v>
      </c>
      <c r="N39" s="7"/>
      <c r="O39" s="333">
        <v>6.1140068044318197</v>
      </c>
      <c r="P39" s="7"/>
      <c r="Q39" s="39">
        <v>0</v>
      </c>
      <c r="R39" s="7"/>
      <c r="S39" s="23">
        <f t="shared" si="5"/>
        <v>30732.489008440829</v>
      </c>
      <c r="T39" s="7"/>
      <c r="U39" s="23">
        <f t="shared" si="0"/>
        <v>22699.814172911068</v>
      </c>
      <c r="V39" s="7"/>
      <c r="W39" s="23">
        <f t="shared" si="1"/>
        <v>8032.6748355297605</v>
      </c>
      <c r="X39" s="7"/>
      <c r="Y39" s="334">
        <f t="shared" si="6"/>
        <v>26.295852059067052</v>
      </c>
      <c r="Z39" s="290"/>
      <c r="AB39" s="182">
        <f>+IF(AB38&gt;$G$13+$G$14,XX,AB38+1)</f>
        <v>2017</v>
      </c>
      <c r="AC39" s="152"/>
      <c r="AD39" s="187">
        <f t="shared" si="2"/>
        <v>305473.07679881854</v>
      </c>
      <c r="AE39" s="4"/>
      <c r="AF39" s="190">
        <f t="shared" si="14"/>
        <v>68.562187461721138</v>
      </c>
      <c r="AG39" s="4"/>
      <c r="AH39" s="190">
        <f t="shared" si="15"/>
        <v>9.6661634288907106</v>
      </c>
      <c r="AI39" s="4"/>
      <c r="AJ39" s="190">
        <f t="shared" si="16"/>
        <v>2.7172121212280702</v>
      </c>
      <c r="AK39" s="4"/>
      <c r="AL39" s="189">
        <f t="shared" si="7"/>
        <v>6432.5632985900611</v>
      </c>
      <c r="AM39" s="4"/>
      <c r="AN39" s="190">
        <v>8.5467545643478058</v>
      </c>
      <c r="AO39" s="4"/>
      <c r="AP39" s="190">
        <f t="shared" si="8"/>
        <v>62.100900972324112</v>
      </c>
      <c r="AQ39" s="4"/>
      <c r="AR39" s="190">
        <f t="shared" si="17"/>
        <v>2.8126464852867898</v>
      </c>
      <c r="AS39" s="190"/>
      <c r="AT39" s="189">
        <f t="shared" si="3"/>
        <v>2870.4731051085428</v>
      </c>
      <c r="AU39" s="4"/>
      <c r="AV39" s="189">
        <f t="shared" si="4"/>
        <v>19829.341067802525</v>
      </c>
      <c r="AW39" s="337"/>
      <c r="AX39" s="191">
        <f t="shared" si="9"/>
        <v>22699.814172911068</v>
      </c>
      <c r="AZ39" s="182">
        <f>+IF(AZ38&gt;$G$13+$G$14,XX,AZ38+1)</f>
        <v>2017</v>
      </c>
      <c r="BA39" s="152"/>
      <c r="BB39" s="190">
        <f t="shared" si="18"/>
        <v>46.19880902781555</v>
      </c>
      <c r="BC39" s="4"/>
      <c r="BD39" s="190">
        <f t="shared" si="19"/>
        <v>7.0242145821308108</v>
      </c>
      <c r="BE39" s="4"/>
      <c r="BF39" s="189">
        <f t="shared" si="10"/>
        <v>3562.0901934815183</v>
      </c>
      <c r="BG39" s="4"/>
      <c r="BH39" s="193"/>
    </row>
    <row r="40" spans="2:60" ht="12">
      <c r="B40" s="3"/>
      <c r="C40" s="7">
        <f>+IF(C39&gt;$G$13+$G$14,XX,C39+1)</f>
        <v>2018</v>
      </c>
      <c r="D40" s="7"/>
      <c r="E40" s="330">
        <v>1.7999999999999999E-2</v>
      </c>
      <c r="F40" s="7"/>
      <c r="G40" s="23">
        <v>305473.07679881854</v>
      </c>
      <c r="H40" s="7"/>
      <c r="I40" s="39">
        <f t="shared" si="11"/>
        <v>233.21782460414181</v>
      </c>
      <c r="J40" s="7"/>
      <c r="K40" s="39">
        <f t="shared" si="12"/>
        <v>15.706693962659983</v>
      </c>
      <c r="L40" s="7"/>
      <c r="M40" s="39">
        <f t="shared" si="13"/>
        <v>3.7581965920374105</v>
      </c>
      <c r="N40" s="7"/>
      <c r="O40" s="333">
        <v>6.2240589269115922</v>
      </c>
      <c r="P40" s="7"/>
      <c r="Q40" s="39">
        <v>0</v>
      </c>
      <c r="R40" s="7"/>
      <c r="S40" s="23">
        <f>(I40*$G$11*1000+(K40+M40+O40+Q40)*G40)/1000</f>
        <v>31285.673810592762</v>
      </c>
      <c r="T40" s="7"/>
      <c r="U40" s="23">
        <f t="shared" si="0"/>
        <v>24010.784566859322</v>
      </c>
      <c r="V40" s="7"/>
      <c r="W40" s="23">
        <f t="shared" si="1"/>
        <v>7274.8892437334398</v>
      </c>
      <c r="X40" s="7"/>
      <c r="Y40" s="334">
        <f t="shared" si="6"/>
        <v>23.815156870680973</v>
      </c>
      <c r="Z40" s="290"/>
      <c r="AB40" s="182">
        <f>+IF(AB39&gt;$G$13+$G$14,XX,AB39+1)</f>
        <v>2018</v>
      </c>
      <c r="AC40" s="152"/>
      <c r="AD40" s="187">
        <f t="shared" si="2"/>
        <v>305473.07679881854</v>
      </c>
      <c r="AE40" s="4"/>
      <c r="AF40" s="190">
        <f t="shared" si="14"/>
        <v>69.796306836032116</v>
      </c>
      <c r="AG40" s="4"/>
      <c r="AH40" s="190">
        <f t="shared" si="15"/>
        <v>9.8401543706107439</v>
      </c>
      <c r="AI40" s="4"/>
      <c r="AJ40" s="190">
        <f t="shared" si="16"/>
        <v>2.7661219394101755</v>
      </c>
      <c r="AK40" s="4"/>
      <c r="AL40" s="189">
        <f t="shared" si="7"/>
        <v>6548.3494379646818</v>
      </c>
      <c r="AM40" s="4"/>
      <c r="AN40" s="190">
        <v>9.1071488375904099</v>
      </c>
      <c r="AO40" s="4"/>
      <c r="AP40" s="190">
        <f t="shared" si="8"/>
        <v>66.172737715275218</v>
      </c>
      <c r="AQ40" s="4"/>
      <c r="AR40" s="190">
        <f t="shared" si="17"/>
        <v>2.8632741220219522</v>
      </c>
      <c r="AS40" s="190"/>
      <c r="AT40" s="189">
        <f t="shared" si="3"/>
        <v>2922.1416210004959</v>
      </c>
      <c r="AU40" s="4"/>
      <c r="AV40" s="189">
        <f t="shared" si="4"/>
        <v>21088.642945858825</v>
      </c>
      <c r="AW40" s="337"/>
      <c r="AX40" s="191">
        <f t="shared" si="9"/>
        <v>24010.784566859322</v>
      </c>
      <c r="AZ40" s="182">
        <f>+IF(AZ39&gt;$G$13+$G$14,XX,AZ39+1)</f>
        <v>2018</v>
      </c>
      <c r="BA40" s="152"/>
      <c r="BB40" s="190">
        <f t="shared" si="18"/>
        <v>47.030387590316231</v>
      </c>
      <c r="BC40" s="4"/>
      <c r="BD40" s="190">
        <f t="shared" si="19"/>
        <v>7.1506504446091652</v>
      </c>
      <c r="BE40" s="4"/>
      <c r="BF40" s="189">
        <f t="shared" si="10"/>
        <v>3626.2078169641859</v>
      </c>
      <c r="BG40" s="4"/>
      <c r="BH40" s="193"/>
    </row>
    <row r="41" spans="2:60" ht="12">
      <c r="B41" s="3"/>
      <c r="C41" s="498">
        <f>+IF(C40&gt;$G$13+$G$14,XX,C40+1)</f>
        <v>2019</v>
      </c>
      <c r="D41" s="7"/>
      <c r="E41" s="500">
        <f>'(2.2)_Forward_Price_Curve'!M28</f>
        <v>2.3E-2</v>
      </c>
      <c r="F41" s="7"/>
      <c r="G41" s="502">
        <f>G40</f>
        <v>305473.07679881854</v>
      </c>
      <c r="H41" s="7"/>
      <c r="I41" s="505">
        <f>'(3.4a)_Leaning Juniper-orig'!I41+'[16]Data for NPC'!$L$49</f>
        <v>243.60175692578935</v>
      </c>
      <c r="J41" s="7"/>
      <c r="K41" s="507">
        <f>'[16]Data for NPC'!$M$86</f>
        <v>1.6105570387117911</v>
      </c>
      <c r="L41" s="7"/>
      <c r="M41" s="39">
        <f>M40*(1+$E41)</f>
        <v>3.8446351136542707</v>
      </c>
      <c r="N41" s="7"/>
      <c r="O41" s="507">
        <f>'[16]Data for NPC'!$L$160</f>
        <v>0.60999999999999988</v>
      </c>
      <c r="P41" s="7"/>
      <c r="Q41" s="507">
        <f>'[16]Data for NPC'!L197</f>
        <v>-4.5124346875317691</v>
      </c>
      <c r="R41" s="7"/>
      <c r="S41" s="507">
        <f>(I41*$I$11*1000+(K41*I11+M41+O41+Q41)*G41)/1000</f>
        <v>73908.49266188794</v>
      </c>
      <c r="T41" s="7"/>
      <c r="U41" s="23">
        <f>AX41</f>
        <v>9534.79827460056</v>
      </c>
      <c r="V41" s="7"/>
      <c r="W41" s="23">
        <f t="shared" si="1"/>
        <v>64373.694387287382</v>
      </c>
      <c r="X41" s="7"/>
      <c r="Y41" s="334">
        <f t="shared" si="6"/>
        <v>210.73442891231701</v>
      </c>
      <c r="Z41" s="290"/>
      <c r="AB41" s="539">
        <f>+IF(AB40&gt;$G$13+$G$14,XX,AB40+1)</f>
        <v>2019</v>
      </c>
      <c r="AC41" s="152"/>
      <c r="AD41" s="187">
        <f t="shared" si="2"/>
        <v>305473.07679881854</v>
      </c>
      <c r="AE41" s="4"/>
      <c r="AF41" s="580">
        <f>AR15*AR16*(1+E41)</f>
        <v>101.14988775589339</v>
      </c>
      <c r="AG41" s="4"/>
      <c r="AH41" s="580">
        <f>AV11*(1+E41)</f>
        <v>20.230785888529535</v>
      </c>
      <c r="AI41" s="4"/>
      <c r="AJ41" s="580">
        <f>AV13*(1+E41)</f>
        <v>2.0676516575367789</v>
      </c>
      <c r="AK41" s="4"/>
      <c r="AL41" s="602">
        <f>((AF41+AH41)*$AR$11*1000+AJ41*AD41)/1000</f>
        <v>5332.3455501954422</v>
      </c>
      <c r="AM41" s="4"/>
      <c r="AN41" s="580">
        <f>INDEX('(2.2)_Forward_Price_Curve'!$G:$G,MATCH($AB41,'(2.2)_Forward_Price_Curve'!$C:$C,0),1)</f>
        <v>2.6163124999999998</v>
      </c>
      <c r="AO41" s="4"/>
      <c r="AP41" s="580">
        <f>AN41*$AR$14/1000</f>
        <v>16.783340028828679</v>
      </c>
      <c r="AQ41" s="4"/>
      <c r="AR41" s="190">
        <f>AR40*(1+$E41)</f>
        <v>2.9291294268284567</v>
      </c>
      <c r="AS41" s="190"/>
      <c r="AT41" s="189">
        <f>AL41-BF41</f>
        <v>3513.1695786782429</v>
      </c>
      <c r="AU41" s="4"/>
      <c r="AV41" s="189">
        <f>(AP41+AR41)*AD41/1000</f>
        <v>6021.6286959223171</v>
      </c>
      <c r="AW41" s="337"/>
      <c r="AX41" s="191">
        <f>AT41+AV41</f>
        <v>9534.79827460056</v>
      </c>
      <c r="AZ41" s="539">
        <f>+IF(AZ40&gt;$G$13+$G$14,XX,AZ40+1)</f>
        <v>2019</v>
      </c>
      <c r="BA41" s="152"/>
      <c r="BB41" s="580">
        <f>BK14*BK15</f>
        <v>51.737400000000001</v>
      </c>
      <c r="BC41" s="4"/>
      <c r="BD41" s="580">
        <f>BI16</f>
        <v>15.97</v>
      </c>
      <c r="BE41" s="4"/>
      <c r="BF41" s="602">
        <f>(BB41+BD41)*$BK$11</f>
        <v>1819.1759715171991</v>
      </c>
      <c r="BG41" s="4"/>
      <c r="BH41" s="193"/>
    </row>
    <row r="42" spans="2:60" ht="12">
      <c r="B42" s="3"/>
      <c r="C42" s="499">
        <f>+IF(C41&gt;$I$13+$I$14,XX,C41+1)</f>
        <v>2020</v>
      </c>
      <c r="D42" s="7"/>
      <c r="E42" s="501">
        <f>'(2.2)_Forward_Price_Curve'!M29</f>
        <v>2.5999999999999999E-2</v>
      </c>
      <c r="F42" s="7"/>
      <c r="G42" s="613">
        <f>'[16]Data for NPC'!L13</f>
        <v>238484</v>
      </c>
      <c r="H42" s="7"/>
      <c r="I42" s="614">
        <f>'(3.4a)_Leaning Juniper-orig'!I42+'[16]Data for NPC'!L50</f>
        <v>317.33177722749872</v>
      </c>
      <c r="J42" s="7"/>
      <c r="K42" s="614">
        <f>'[16]Data for NPC'!M87</f>
        <v>2.222548469383288</v>
      </c>
      <c r="L42" s="7"/>
      <c r="M42" s="39">
        <f t="shared" si="13"/>
        <v>3.9445956266092819</v>
      </c>
      <c r="N42" s="7"/>
      <c r="O42" s="614">
        <f>'[16]Data for NPC'!L161</f>
        <v>0.63</v>
      </c>
      <c r="P42" s="7"/>
      <c r="Q42" s="614">
        <f>'[16]Data for NPC'!L198</f>
        <v>-40.290737965156566</v>
      </c>
      <c r="R42" s="7"/>
      <c r="S42" s="614">
        <f t="shared" ref="S42:S71" si="20">(I42*$I$11*1000+(K42+M42+O42+Q42)*G42)/1000</f>
        <v>23904.157371069916</v>
      </c>
      <c r="T42" s="7"/>
      <c r="U42" s="23">
        <f>AX42</f>
        <v>8301.1653352154372</v>
      </c>
      <c r="V42" s="7"/>
      <c r="W42" s="23">
        <f t="shared" si="1"/>
        <v>15602.992035854479</v>
      </c>
      <c r="X42" s="7"/>
      <c r="Y42" s="334">
        <f t="shared" si="6"/>
        <v>65.425739403291118</v>
      </c>
      <c r="Z42" s="290"/>
      <c r="AB42" s="540">
        <f>+IF(AB41&gt;$I$13+$I$14,XX,AB41+1)</f>
        <v>2020</v>
      </c>
      <c r="AC42" s="152"/>
      <c r="AD42" s="187">
        <f t="shared" si="2"/>
        <v>238484</v>
      </c>
      <c r="AE42" s="4"/>
      <c r="AF42" s="190">
        <f t="shared" si="14"/>
        <v>103.77978483754661</v>
      </c>
      <c r="AG42" s="4"/>
      <c r="AH42" s="190">
        <f t="shared" si="15"/>
        <v>20.756786321631303</v>
      </c>
      <c r="AI42" s="4"/>
      <c r="AJ42" s="190">
        <f t="shared" si="16"/>
        <v>2.1214106006327351</v>
      </c>
      <c r="AK42" s="4"/>
      <c r="AL42" s="189">
        <f t="shared" ref="AL42:AL71" si="21">((AF42+AH42)*$AR$11*1000+AJ42*AD42)/1000</f>
        <v>5328.8751968529095</v>
      </c>
      <c r="AM42" s="4"/>
      <c r="AN42" s="190">
        <f>INDEX('(2.2)_Forward_Price_Curve'!$G:$G,MATCH($AB42,'(2.2)_Forward_Price_Curve'!$C:$C,0),1)</f>
        <v>2.6944208333333339</v>
      </c>
      <c r="AO42" s="4"/>
      <c r="AP42" s="190">
        <f>AN42*$AR$14/1000</f>
        <v>17.28439589177259</v>
      </c>
      <c r="AQ42" s="4"/>
      <c r="AR42" s="190">
        <f t="shared" si="17"/>
        <v>3.0052867919259967</v>
      </c>
      <c r="AS42" s="190"/>
      <c r="AT42" s="189">
        <f t="shared" si="3"/>
        <v>3462.4006500762634</v>
      </c>
      <c r="AU42" s="4"/>
      <c r="AV42" s="189">
        <f t="shared" si="4"/>
        <v>4838.7646851391737</v>
      </c>
      <c r="AW42" s="337"/>
      <c r="AX42" s="191">
        <f t="shared" si="9"/>
        <v>8301.1653352154372</v>
      </c>
      <c r="AZ42" s="540">
        <f>+IF(AZ41&gt;$I$13+$I$14,XX,AZ41+1)</f>
        <v>2020</v>
      </c>
      <c r="BA42" s="152"/>
      <c r="BB42" s="190">
        <f t="shared" si="18"/>
        <v>53.082572400000004</v>
      </c>
      <c r="BC42" s="4"/>
      <c r="BD42" s="190">
        <f t="shared" si="19"/>
        <v>16.38522</v>
      </c>
      <c r="BE42" s="4"/>
      <c r="BF42" s="189">
        <f>(BB42+BD42)*$BK$11</f>
        <v>1866.4745467766463</v>
      </c>
      <c r="BG42" s="4"/>
      <c r="BH42" s="193"/>
    </row>
    <row r="43" spans="2:60" ht="12">
      <c r="B43" s="3"/>
      <c r="C43" s="499">
        <f>+IF(C42&gt;$I$13+$I$14,XX,C42+1)</f>
        <v>2021</v>
      </c>
      <c r="D43" s="7"/>
      <c r="E43" s="501">
        <f>'(2.2)_Forward_Price_Curve'!M30</f>
        <v>2.4E-2</v>
      </c>
      <c r="F43" s="7"/>
      <c r="G43" s="613">
        <f>'[16]Data for NPC'!L14</f>
        <v>238444</v>
      </c>
      <c r="H43" s="7"/>
      <c r="I43" s="614">
        <f>'(3.4a)_Leaning Juniper-orig'!I43+'[16]Data for NPC'!L51</f>
        <v>323.1193917659561</v>
      </c>
      <c r="J43" s="7"/>
      <c r="K43" s="614">
        <f>'[16]Data for NPC'!M88</f>
        <v>2.2696713549636556</v>
      </c>
      <c r="L43" s="7"/>
      <c r="M43" s="39">
        <f t="shared" si="13"/>
        <v>4.039265921647905</v>
      </c>
      <c r="N43" s="7"/>
      <c r="O43" s="614">
        <f>'[16]Data for NPC'!L162</f>
        <v>0.6399999999999999</v>
      </c>
      <c r="P43" s="7"/>
      <c r="Q43" s="614">
        <f>'[16]Data for NPC'!L199</f>
        <v>-41.902367483762823</v>
      </c>
      <c r="R43" s="7"/>
      <c r="S43" s="614">
        <f t="shared" si="20"/>
        <v>24139.063160164609</v>
      </c>
      <c r="T43" s="7"/>
      <c r="U43" s="23">
        <f t="shared" si="0"/>
        <v>8679.4707730515966</v>
      </c>
      <c r="V43" s="7"/>
      <c r="W43" s="23">
        <f t="shared" si="1"/>
        <v>15459.592387113013</v>
      </c>
      <c r="X43" s="7"/>
      <c r="Y43" s="334">
        <f t="shared" si="6"/>
        <v>64.835317253162216</v>
      </c>
      <c r="Z43" s="290"/>
      <c r="AB43" s="540">
        <f>+IF(AB42&gt;$I$13+$I$14,XX,AB42+1)</f>
        <v>2021</v>
      </c>
      <c r="AC43" s="152"/>
      <c r="AD43" s="187">
        <f t="shared" si="2"/>
        <v>238444</v>
      </c>
      <c r="AE43" s="4"/>
      <c r="AF43" s="190">
        <f t="shared" si="14"/>
        <v>106.27049967364773</v>
      </c>
      <c r="AG43" s="4"/>
      <c r="AH43" s="190">
        <f t="shared" si="15"/>
        <v>21.254949193350456</v>
      </c>
      <c r="AI43" s="4"/>
      <c r="AJ43" s="190">
        <f t="shared" si="16"/>
        <v>2.1723244550479208</v>
      </c>
      <c r="AK43" s="4"/>
      <c r="AL43" s="189">
        <f t="shared" si="21"/>
        <v>5456.6813085991789</v>
      </c>
      <c r="AM43" s="4"/>
      <c r="AN43" s="190">
        <f>INDEX('(2.2)_Forward_Price_Curve'!$G:$G,MATCH($AB43,'(2.2)_Forward_Price_Curve'!$C:$C,0),1)</f>
        <v>2.8767624999999999</v>
      </c>
      <c r="AO43" s="4"/>
      <c r="AP43" s="190">
        <f t="shared" ref="AP43:AP71" si="22">AN43*$AR$14/1000</f>
        <v>18.45409645051318</v>
      </c>
      <c r="AQ43" s="4"/>
      <c r="AR43" s="190">
        <f t="shared" si="17"/>
        <v>3.0774136749322207</v>
      </c>
      <c r="AS43" s="190"/>
      <c r="AT43" s="189">
        <f t="shared" si="3"/>
        <v>3545.411372699893</v>
      </c>
      <c r="AU43" s="4"/>
      <c r="AV43" s="189">
        <f t="shared" si="4"/>
        <v>5134.0594003517035</v>
      </c>
      <c r="AW43" s="337"/>
      <c r="AX43" s="191">
        <f t="shared" si="9"/>
        <v>8679.4707730515966</v>
      </c>
      <c r="AZ43" s="540">
        <f>+IF(AZ42&gt;$I$13+$I$14,XX,AZ42+1)</f>
        <v>2021</v>
      </c>
      <c r="BA43" s="152"/>
      <c r="BB43" s="190">
        <f t="shared" si="18"/>
        <v>54.356554137600007</v>
      </c>
      <c r="BC43" s="4"/>
      <c r="BD43" s="190">
        <f t="shared" si="19"/>
        <v>16.778465279999999</v>
      </c>
      <c r="BE43" s="4"/>
      <c r="BF43" s="189">
        <f t="shared" ref="BF43:BF71" si="23">(BB43+BD43)*$BK$11</f>
        <v>1911.2699358992857</v>
      </c>
      <c r="BG43" s="4"/>
      <c r="BH43" s="193"/>
    </row>
    <row r="44" spans="2:60" ht="12">
      <c r="B44" s="3"/>
      <c r="C44" s="499">
        <f>+IF(C43&gt;$I$13+$I$14,XX,C43+1)</f>
        <v>2022</v>
      </c>
      <c r="D44" s="7"/>
      <c r="E44" s="501">
        <f>'(2.2)_Forward_Price_Curve'!M31</f>
        <v>2.3E-2</v>
      </c>
      <c r="F44" s="7"/>
      <c r="G44" s="613">
        <f>'[16]Data for NPC'!L15</f>
        <v>238444</v>
      </c>
      <c r="H44" s="7"/>
      <c r="I44" s="614">
        <f>'(3.4a)_Leaning Juniper-orig'!I44+'[16]Data for NPC'!L52</f>
        <v>329.25866020950923</v>
      </c>
      <c r="J44" s="7"/>
      <c r="K44" s="614">
        <f>'[16]Data for NPC'!M89</f>
        <v>2.3218737961278193</v>
      </c>
      <c r="L44" s="7"/>
      <c r="M44" s="39">
        <f t="shared" si="13"/>
        <v>4.1321690378458067</v>
      </c>
      <c r="N44" s="7"/>
      <c r="O44" s="614">
        <f>'[16]Data for NPC'!L163</f>
        <v>0.66</v>
      </c>
      <c r="P44" s="7"/>
      <c r="Q44" s="614">
        <f>'[16]Data for NPC'!L200</f>
        <v>-41.902367483762823</v>
      </c>
      <c r="R44" s="7"/>
      <c r="S44" s="614">
        <f t="shared" si="20"/>
        <v>24795.428068261346</v>
      </c>
      <c r="T44" s="7"/>
      <c r="U44" s="23">
        <f t="shared" si="0"/>
        <v>8981.4681718181382</v>
      </c>
      <c r="V44" s="7"/>
      <c r="W44" s="23">
        <f t="shared" si="1"/>
        <v>15813.959896443208</v>
      </c>
      <c r="X44" s="7"/>
      <c r="Y44" s="334">
        <f t="shared" si="6"/>
        <v>66.321483855509925</v>
      </c>
      <c r="Z44" s="290"/>
      <c r="AB44" s="540">
        <f>+IF(AB43&gt;$I$13+$I$14,XX,AB43+1)</f>
        <v>2022</v>
      </c>
      <c r="AC44" s="152"/>
      <c r="AD44" s="187">
        <f t="shared" si="2"/>
        <v>238444</v>
      </c>
      <c r="AE44" s="4"/>
      <c r="AF44" s="190">
        <f t="shared" si="14"/>
        <v>108.71472116614163</v>
      </c>
      <c r="AG44" s="4"/>
      <c r="AH44" s="190">
        <f t="shared" si="15"/>
        <v>21.743813024797515</v>
      </c>
      <c r="AI44" s="4"/>
      <c r="AJ44" s="190">
        <f t="shared" si="16"/>
        <v>2.2222879175140227</v>
      </c>
      <c r="AK44" s="4"/>
      <c r="AL44" s="189">
        <f t="shared" si="21"/>
        <v>5582.1849786969578</v>
      </c>
      <c r="AM44" s="4"/>
      <c r="AN44" s="190">
        <f>INDEX('(2.2)_Forward_Price_Curve'!$G:$G,MATCH($AB44,'(2.2)_Forward_Price_Curve'!$C:$C,0),1)</f>
        <v>3.0098541666666665</v>
      </c>
      <c r="AO44" s="4"/>
      <c r="AP44" s="190">
        <f t="shared" si="22"/>
        <v>19.307863994210731</v>
      </c>
      <c r="AQ44" s="4"/>
      <c r="AR44" s="190">
        <f t="shared" si="17"/>
        <v>3.1481941894556615</v>
      </c>
      <c r="AS44" s="190"/>
      <c r="AT44" s="189">
        <f t="shared" si="3"/>
        <v>3626.9558342719884</v>
      </c>
      <c r="AU44" s="4"/>
      <c r="AV44" s="189">
        <f t="shared" si="4"/>
        <v>5354.512337546149</v>
      </c>
      <c r="AW44" s="337"/>
      <c r="AX44" s="191">
        <f t="shared" si="9"/>
        <v>8981.4681718181382</v>
      </c>
      <c r="AZ44" s="540">
        <f>+IF(AZ43&gt;$I$13+$I$14,XX,AZ43+1)</f>
        <v>2022</v>
      </c>
      <c r="BA44" s="152"/>
      <c r="BB44" s="190">
        <f t="shared" si="18"/>
        <v>55.606754882764804</v>
      </c>
      <c r="BC44" s="4"/>
      <c r="BD44" s="190">
        <f t="shared" si="19"/>
        <v>17.164369981439997</v>
      </c>
      <c r="BE44" s="4"/>
      <c r="BF44" s="189">
        <f t="shared" si="23"/>
        <v>1955.2291444249695</v>
      </c>
      <c r="BG44" s="4"/>
      <c r="BH44" s="193"/>
    </row>
    <row r="45" spans="2:60" ht="12">
      <c r="B45" s="3"/>
      <c r="C45" s="499">
        <f>+IF(C44&gt;$I$13+$I$14,XX,C44+1)</f>
        <v>2023</v>
      </c>
      <c r="D45" s="7"/>
      <c r="E45" s="501">
        <f>'(2.2)_Forward_Price_Curve'!M32</f>
        <v>2.3E-2</v>
      </c>
      <c r="F45" s="7"/>
      <c r="G45" s="613">
        <f>'[16]Data for NPC'!L16</f>
        <v>238444</v>
      </c>
      <c r="H45" s="7"/>
      <c r="I45" s="614">
        <f>'(3.4a)_Leaning Juniper-orig'!I45+'[16]Data for NPC'!L53</f>
        <v>335.51457475348991</v>
      </c>
      <c r="J45" s="7"/>
      <c r="K45" s="614">
        <f>'[16]Data for NPC'!M90</f>
        <v>2.3752768934387585</v>
      </c>
      <c r="L45" s="7"/>
      <c r="M45" s="39">
        <f t="shared" si="13"/>
        <v>4.2272089257162602</v>
      </c>
      <c r="N45" s="7"/>
      <c r="O45" s="614">
        <f>'[16]Data for NPC'!L164</f>
        <v>0.67</v>
      </c>
      <c r="P45" s="7"/>
      <c r="Q45" s="614">
        <f>'[16]Data for NPC'!L201</f>
        <v>-43.513997002369095</v>
      </c>
      <c r="R45" s="7"/>
      <c r="S45" s="614">
        <f t="shared" si="20"/>
        <v>25077.64387015544</v>
      </c>
      <c r="T45" s="7"/>
      <c r="U45" s="23">
        <f t="shared" si="0"/>
        <v>9796.8483054757235</v>
      </c>
      <c r="V45" s="7"/>
      <c r="W45" s="23">
        <f t="shared" si="1"/>
        <v>15280.795564679716</v>
      </c>
      <c r="X45" s="7"/>
      <c r="Y45" s="334">
        <f t="shared" si="6"/>
        <v>64.08546897669774</v>
      </c>
      <c r="Z45" s="290"/>
      <c r="AB45" s="540">
        <f>+IF(AB44&gt;$I$13+$I$14,XX,AB44+1)</f>
        <v>2023</v>
      </c>
      <c r="AC45" s="152"/>
      <c r="AD45" s="187">
        <f t="shared" si="2"/>
        <v>238444</v>
      </c>
      <c r="AE45" s="4"/>
      <c r="AF45" s="190">
        <f t="shared" si="14"/>
        <v>111.21515975296288</v>
      </c>
      <c r="AG45" s="4"/>
      <c r="AH45" s="190">
        <f t="shared" si="15"/>
        <v>22.243920724367854</v>
      </c>
      <c r="AI45" s="4"/>
      <c r="AJ45" s="190">
        <f t="shared" si="16"/>
        <v>2.2734005396168451</v>
      </c>
      <c r="AK45" s="4"/>
      <c r="AL45" s="189">
        <f t="shared" si="21"/>
        <v>5710.5752332069887</v>
      </c>
      <c r="AM45" s="4"/>
      <c r="AN45" s="190">
        <f>INDEX('(2.2)_Forward_Price_Curve'!$G:$G,MATCH($AB45,'(2.2)_Forward_Price_Curve'!$C:$C,0),1)</f>
        <v>3.4771000000000001</v>
      </c>
      <c r="AO45" s="4"/>
      <c r="AP45" s="190">
        <f t="shared" si="22"/>
        <v>22.305191606216844</v>
      </c>
      <c r="AQ45" s="4"/>
      <c r="AR45" s="190">
        <f t="shared" si="17"/>
        <v>3.2206026558131415</v>
      </c>
      <c r="AS45" s="190"/>
      <c r="AT45" s="189">
        <f t="shared" si="3"/>
        <v>3710.3758184602457</v>
      </c>
      <c r="AU45" s="4"/>
      <c r="AV45" s="189">
        <f t="shared" si="4"/>
        <v>6086.4724870154787</v>
      </c>
      <c r="AW45" s="337"/>
      <c r="AX45" s="191">
        <f t="shared" si="9"/>
        <v>9796.8483054757235</v>
      </c>
      <c r="AZ45" s="540">
        <f>+IF(AZ44&gt;$I$13+$I$14,XX,AZ44+1)</f>
        <v>2023</v>
      </c>
      <c r="BA45" s="152"/>
      <c r="BB45" s="190">
        <f t="shared" si="18"/>
        <v>56.885710245068388</v>
      </c>
      <c r="BC45" s="4"/>
      <c r="BD45" s="190">
        <f t="shared" si="19"/>
        <v>17.559150491013114</v>
      </c>
      <c r="BE45" s="4"/>
      <c r="BF45" s="189">
        <f t="shared" si="23"/>
        <v>2000.1994147467431</v>
      </c>
      <c r="BG45" s="4"/>
      <c r="BH45" s="193"/>
    </row>
    <row r="46" spans="2:60" ht="12">
      <c r="B46" s="3"/>
      <c r="C46" s="499">
        <f>+IF(C45&gt;$I$13+$I$14,XX,C45+1)</f>
        <v>2024</v>
      </c>
      <c r="D46" s="7"/>
      <c r="E46" s="501">
        <f>'(2.2)_Forward_Price_Curve'!M33</f>
        <v>2.3E-2</v>
      </c>
      <c r="F46" s="7"/>
      <c r="G46" s="613">
        <f>'[16]Data for NPC'!L17</f>
        <v>238484</v>
      </c>
      <c r="H46" s="7"/>
      <c r="I46" s="614">
        <f>'(3.4a)_Leaning Juniper-orig'!I46+'[16]Data for NPC'!L54</f>
        <v>341.88935167380617</v>
      </c>
      <c r="J46" s="7"/>
      <c r="K46" s="614">
        <f>'[16]Data for NPC'!M91</f>
        <v>2.4365655448974057</v>
      </c>
      <c r="L46" s="7"/>
      <c r="M46" s="39">
        <f t="shared" si="13"/>
        <v>4.3244347310077336</v>
      </c>
      <c r="N46" s="7"/>
      <c r="O46" s="614">
        <f>'[16]Data for NPC'!L165</f>
        <v>0.69</v>
      </c>
      <c r="P46" s="7"/>
      <c r="Q46" s="614">
        <f>'[16]Data for NPC'!L202</f>
        <v>-43.513997002369088</v>
      </c>
      <c r="R46" s="7"/>
      <c r="S46" s="614">
        <f t="shared" si="20"/>
        <v>25759.432131903486</v>
      </c>
      <c r="T46" s="7"/>
      <c r="U46" s="23">
        <f t="shared" si="0"/>
        <v>10630.219049436695</v>
      </c>
      <c r="V46" s="7"/>
      <c r="W46" s="23">
        <f t="shared" si="1"/>
        <v>15129.213082466791</v>
      </c>
      <c r="X46" s="7"/>
      <c r="Y46" s="334">
        <f t="shared" si="6"/>
        <v>63.439111564997191</v>
      </c>
      <c r="Z46" s="290"/>
      <c r="AB46" s="540">
        <f>+IF(AB45&gt;$I$13+$I$14,XX,AB45+1)</f>
        <v>2024</v>
      </c>
      <c r="AC46" s="152"/>
      <c r="AD46" s="187">
        <f t="shared" si="2"/>
        <v>238484</v>
      </c>
      <c r="AE46" s="4"/>
      <c r="AF46" s="190">
        <f t="shared" si="14"/>
        <v>113.77310842728102</v>
      </c>
      <c r="AG46" s="4"/>
      <c r="AH46" s="190">
        <f t="shared" si="15"/>
        <v>22.755530901028312</v>
      </c>
      <c r="AI46" s="4"/>
      <c r="AJ46" s="190">
        <f t="shared" si="16"/>
        <v>2.3256887520280323</v>
      </c>
      <c r="AK46" s="4"/>
      <c r="AL46" s="189">
        <f t="shared" si="21"/>
        <v>5842.0114911208302</v>
      </c>
      <c r="AM46" s="4"/>
      <c r="AN46" s="190">
        <f>INDEX('(2.2)_Forward_Price_Curve'!$G:$G,MATCH($AB46,'(2.2)_Forward_Price_Curve'!$C:$C,0),1)</f>
        <v>3.9537833333333325</v>
      </c>
      <c r="AO46" s="4"/>
      <c r="AP46" s="190">
        <f t="shared" si="22"/>
        <v>25.363059681765467</v>
      </c>
      <c r="AQ46" s="4"/>
      <c r="AR46" s="190">
        <f t="shared" si="17"/>
        <v>3.2946765168968435</v>
      </c>
      <c r="AS46" s="190"/>
      <c r="AT46" s="189">
        <f t="shared" si="3"/>
        <v>3795.8074898349123</v>
      </c>
      <c r="AU46" s="4"/>
      <c r="AV46" s="189">
        <f t="shared" si="4"/>
        <v>6834.4115596017818</v>
      </c>
      <c r="AW46" s="337"/>
      <c r="AX46" s="191">
        <f t="shared" si="9"/>
        <v>10630.219049436695</v>
      </c>
      <c r="AZ46" s="540">
        <f>+IF(AZ45&gt;$I$13+$I$14,XX,AZ45+1)</f>
        <v>2024</v>
      </c>
      <c r="BA46" s="152"/>
      <c r="BB46" s="190">
        <f t="shared" si="18"/>
        <v>58.194081580704953</v>
      </c>
      <c r="BC46" s="4"/>
      <c r="BD46" s="190">
        <f t="shared" si="19"/>
        <v>17.963010952306412</v>
      </c>
      <c r="BE46" s="4"/>
      <c r="BF46" s="189">
        <f t="shared" si="23"/>
        <v>2046.2040012859181</v>
      </c>
      <c r="BG46" s="4"/>
      <c r="BH46" s="193"/>
    </row>
    <row r="47" spans="2:60" ht="12">
      <c r="B47" s="3"/>
      <c r="C47" s="499">
        <f>+IF(C46&gt;$I$13+$I$14,XX,C46+1)</f>
        <v>2025</v>
      </c>
      <c r="D47" s="7"/>
      <c r="E47" s="501">
        <f>'(2.2)_Forward_Price_Curve'!M34</f>
        <v>2.3E-2</v>
      </c>
      <c r="F47" s="7"/>
      <c r="G47" s="613">
        <f>'[16]Data for NPC'!L18</f>
        <v>238444</v>
      </c>
      <c r="H47" s="7"/>
      <c r="I47" s="614">
        <f>'(3.4a)_Leaning Juniper-orig'!I47+'[16]Data for NPC'!L55</f>
        <v>348.38524935560849</v>
      </c>
      <c r="J47" s="7"/>
      <c r="K47" s="614">
        <f>'[16]Data for NPC'!M92</f>
        <v>2.4833662437515831</v>
      </c>
      <c r="L47" s="7"/>
      <c r="M47" s="39">
        <f t="shared" si="13"/>
        <v>4.4238967298209113</v>
      </c>
      <c r="N47" s="7"/>
      <c r="O47" s="614">
        <f>'[16]Data for NPC'!L166</f>
        <v>0.69999999999999984</v>
      </c>
      <c r="P47" s="7"/>
      <c r="Q47" s="614">
        <f>'[16]Data for NPC'!L203</f>
        <v>-45.125626520975359</v>
      </c>
      <c r="R47" s="7"/>
      <c r="S47" s="614">
        <f t="shared" si="20"/>
        <v>26066.68888254173</v>
      </c>
      <c r="T47" s="7"/>
      <c r="U47" s="23">
        <f t="shared" si="0"/>
        <v>10971.264297230367</v>
      </c>
      <c r="V47" s="7"/>
      <c r="W47" s="23">
        <f t="shared" si="1"/>
        <v>15095.424585311363</v>
      </c>
      <c r="X47" s="7"/>
      <c r="Y47" s="334">
        <f t="shared" si="6"/>
        <v>63.308049627213776</v>
      </c>
      <c r="Z47" s="290"/>
      <c r="AB47" s="540">
        <f>+IF(AB46&gt;$I$13+$I$14,XX,AB46+1)</f>
        <v>2025</v>
      </c>
      <c r="AC47" s="152"/>
      <c r="AD47" s="187">
        <f t="shared" si="2"/>
        <v>238444</v>
      </c>
      <c r="AE47" s="4"/>
      <c r="AF47" s="190">
        <f t="shared" si="14"/>
        <v>116.38988992110846</v>
      </c>
      <c r="AG47" s="4"/>
      <c r="AH47" s="190">
        <f t="shared" si="15"/>
        <v>23.27890811175196</v>
      </c>
      <c r="AI47" s="4"/>
      <c r="AJ47" s="190">
        <f t="shared" si="16"/>
        <v>2.3791795933246767</v>
      </c>
      <c r="AK47" s="4"/>
      <c r="AL47" s="189">
        <f t="shared" si="21"/>
        <v>5976.2825882328752</v>
      </c>
      <c r="AM47" s="4"/>
      <c r="AN47" s="190">
        <f>INDEX('(2.2)_Forward_Price_Curve'!$G:$G,MATCH($AB47,'(2.2)_Forward_Price_Curve'!$C:$C,0),1)</f>
        <v>4.1086708333333339</v>
      </c>
      <c r="AO47" s="4"/>
      <c r="AP47" s="190">
        <f t="shared" si="22"/>
        <v>26.356644958262532</v>
      </c>
      <c r="AQ47" s="4"/>
      <c r="AR47" s="190">
        <f t="shared" si="17"/>
        <v>3.3704540767854705</v>
      </c>
      <c r="AS47" s="190"/>
      <c r="AT47" s="189">
        <f t="shared" si="3"/>
        <v>3883.0158949173815</v>
      </c>
      <c r="AU47" s="4"/>
      <c r="AV47" s="189">
        <f t="shared" si="4"/>
        <v>7088.2484023129855</v>
      </c>
      <c r="AW47" s="337"/>
      <c r="AX47" s="191">
        <f t="shared" si="9"/>
        <v>10971.264297230367</v>
      </c>
      <c r="AZ47" s="540">
        <f>+IF(AZ46&gt;$I$13+$I$14,XX,AZ46+1)</f>
        <v>2025</v>
      </c>
      <c r="BA47" s="152"/>
      <c r="BB47" s="190">
        <f t="shared" si="18"/>
        <v>59.532545457061161</v>
      </c>
      <c r="BC47" s="4"/>
      <c r="BD47" s="190">
        <f t="shared" si="19"/>
        <v>18.376160204209459</v>
      </c>
      <c r="BE47" s="4"/>
      <c r="BF47" s="189">
        <f t="shared" si="23"/>
        <v>2093.2666933154937</v>
      </c>
      <c r="BG47" s="4"/>
      <c r="BH47" s="193"/>
    </row>
    <row r="48" spans="2:60" ht="12">
      <c r="B48" s="3"/>
      <c r="C48" s="499">
        <f>+IF(C47&gt;$I$13+$I$14,XX,C47+1)</f>
        <v>2026</v>
      </c>
      <c r="D48" s="7"/>
      <c r="E48" s="501">
        <f>'(2.2)_Forward_Price_Curve'!M35</f>
        <v>2.1999999999999999E-2</v>
      </c>
      <c r="F48" s="7"/>
      <c r="G48" s="613">
        <f>'[16]Data for NPC'!L19</f>
        <v>238444</v>
      </c>
      <c r="H48" s="7"/>
      <c r="I48" s="614">
        <f>'(3.4a)_Leaning Juniper-orig'!I48+'[16]Data for NPC'!L56</f>
        <v>355.00456909336503</v>
      </c>
      <c r="J48" s="7"/>
      <c r="K48" s="614">
        <f>'[16]Data for NPC'!M93</f>
        <v>2.5380003011141175</v>
      </c>
      <c r="L48" s="7"/>
      <c r="M48" s="39">
        <f t="shared" si="13"/>
        <v>4.5212224578769717</v>
      </c>
      <c r="N48" s="7"/>
      <c r="O48" s="614">
        <f>'[16]Data for NPC'!L167</f>
        <v>0.72</v>
      </c>
      <c r="P48" s="7"/>
      <c r="Q48" s="614">
        <f>'[16]Data for NPC'!L204</f>
        <v>-46.737256039581631</v>
      </c>
      <c r="R48" s="7"/>
      <c r="S48" s="614">
        <f t="shared" si="20"/>
        <v>26388.649906326056</v>
      </c>
      <c r="T48" s="7"/>
      <c r="U48" s="23">
        <f t="shared" si="0"/>
        <v>11193.418020564186</v>
      </c>
      <c r="V48" s="7"/>
      <c r="W48" s="23">
        <f t="shared" si="1"/>
        <v>15195.23188576187</v>
      </c>
      <c r="X48" s="7"/>
      <c r="Y48" s="334">
        <f t="shared" si="6"/>
        <v>63.726627156740662</v>
      </c>
      <c r="Z48" s="290"/>
      <c r="AB48" s="540">
        <f>+IF(AB47&gt;$I$13+$I$14,XX,AB47+1)</f>
        <v>2026</v>
      </c>
      <c r="AC48" s="152"/>
      <c r="AD48" s="187">
        <f t="shared" si="2"/>
        <v>238444</v>
      </c>
      <c r="AE48" s="4"/>
      <c r="AF48" s="190">
        <f t="shared" si="14"/>
        <v>118.95046749937285</v>
      </c>
      <c r="AG48" s="4"/>
      <c r="AH48" s="190">
        <f t="shared" si="15"/>
        <v>23.791044090210505</v>
      </c>
      <c r="AI48" s="4"/>
      <c r="AJ48" s="190">
        <f t="shared" si="16"/>
        <v>2.4315215443778198</v>
      </c>
      <c r="AK48" s="4"/>
      <c r="AL48" s="189">
        <f t="shared" si="21"/>
        <v>6107.7608051739981</v>
      </c>
      <c r="AM48" s="4"/>
      <c r="AN48" s="190">
        <f>INDEX('(2.2)_Forward_Price_Curve'!$G:$G,MATCH($AB48,'(2.2)_Forward_Price_Curve'!$C:$C,0),1)</f>
        <v>4.1864999999999997</v>
      </c>
      <c r="AO48" s="4"/>
      <c r="AP48" s="190">
        <f t="shared" si="22"/>
        <v>26.855909999547556</v>
      </c>
      <c r="AQ48" s="4"/>
      <c r="AR48" s="190">
        <f t="shared" si="17"/>
        <v>3.444604066474751</v>
      </c>
      <c r="AS48" s="190"/>
      <c r="AT48" s="189">
        <f t="shared" si="3"/>
        <v>3968.4422446055632</v>
      </c>
      <c r="AU48" s="4"/>
      <c r="AV48" s="189">
        <f t="shared" si="4"/>
        <v>7224.9757759586237</v>
      </c>
      <c r="AW48" s="337"/>
      <c r="AX48" s="191">
        <f t="shared" si="9"/>
        <v>11193.418020564186</v>
      </c>
      <c r="AZ48" s="540">
        <f>+IF(AZ47&gt;$I$13+$I$14,XX,AZ47+1)</f>
        <v>2026</v>
      </c>
      <c r="BA48" s="152"/>
      <c r="BB48" s="190">
        <f t="shared" si="18"/>
        <v>60.842261457116507</v>
      </c>
      <c r="BC48" s="4"/>
      <c r="BD48" s="190">
        <f t="shared" si="19"/>
        <v>18.780435728702066</v>
      </c>
      <c r="BE48" s="4"/>
      <c r="BF48" s="189">
        <f t="shared" si="23"/>
        <v>2139.3185605684348</v>
      </c>
      <c r="BG48" s="4"/>
      <c r="BH48" s="193"/>
    </row>
    <row r="49" spans="2:60" ht="12">
      <c r="B49" s="3"/>
      <c r="C49" s="499">
        <f>+IF(C48&gt;$I$13+$I$14,XX,C48+1)</f>
        <v>2027</v>
      </c>
      <c r="D49" s="7"/>
      <c r="E49" s="501">
        <f>'(2.2)_Forward_Price_Curve'!M36</f>
        <v>2.1999999999999999E-2</v>
      </c>
      <c r="F49" s="7"/>
      <c r="G49" s="613">
        <f>'[16]Data for NPC'!L20</f>
        <v>238444</v>
      </c>
      <c r="H49" s="7"/>
      <c r="I49" s="614">
        <f>'(3.4a)_Leaning Juniper-orig'!I49+'[16]Data for NPC'!L57</f>
        <v>361.74965590613891</v>
      </c>
      <c r="J49" s="7"/>
      <c r="K49" s="614">
        <f>'[16]Data for NPC'!M94</f>
        <v>2.5938363077386275</v>
      </c>
      <c r="L49" s="7"/>
      <c r="M49" s="39">
        <f t="shared" si="13"/>
        <v>4.620689351950265</v>
      </c>
      <c r="N49" s="7"/>
      <c r="O49" s="614">
        <f>'[16]Data for NPC'!L168</f>
        <v>0.74</v>
      </c>
      <c r="P49" s="7"/>
      <c r="Q49" s="614">
        <f>'[16]Data for NPC'!L205</f>
        <v>-46.737256039581631</v>
      </c>
      <c r="R49" s="7"/>
      <c r="S49" s="614">
        <f t="shared" si="20"/>
        <v>27108.331055863819</v>
      </c>
      <c r="T49" s="7"/>
      <c r="U49" s="23">
        <f t="shared" si="0"/>
        <v>11713.02556943829</v>
      </c>
      <c r="V49" s="7"/>
      <c r="W49" s="23">
        <f t="shared" si="1"/>
        <v>15395.305486425528</v>
      </c>
      <c r="X49" s="7"/>
      <c r="Y49" s="334">
        <f t="shared" si="6"/>
        <v>64.565707195087853</v>
      </c>
      <c r="Z49" s="290"/>
      <c r="AB49" s="540">
        <f>+IF(AB48&gt;$I$13+$I$14,XX,AB48+1)</f>
        <v>2027</v>
      </c>
      <c r="AC49" s="152"/>
      <c r="AD49" s="187">
        <f t="shared" si="2"/>
        <v>238444</v>
      </c>
      <c r="AE49" s="4"/>
      <c r="AF49" s="190">
        <f t="shared" si="14"/>
        <v>121.56737778435905</v>
      </c>
      <c r="AG49" s="4"/>
      <c r="AH49" s="190">
        <f t="shared" si="15"/>
        <v>24.314447060195135</v>
      </c>
      <c r="AI49" s="4"/>
      <c r="AJ49" s="190">
        <f t="shared" si="16"/>
        <v>2.4850150183541317</v>
      </c>
      <c r="AK49" s="4"/>
      <c r="AL49" s="189">
        <f t="shared" si="21"/>
        <v>6242.1315428878261</v>
      </c>
      <c r="AM49" s="4"/>
      <c r="AN49" s="190">
        <f>INDEX('(2.2)_Forward_Price_Curve'!$G:$G,MATCH($AB49,'(2.2)_Forward_Price_Curve'!$C:$C,0),1)</f>
        <v>4.4573125000000005</v>
      </c>
      <c r="AO49" s="4"/>
      <c r="AP49" s="190">
        <f t="shared" si="22"/>
        <v>28.593140652062186</v>
      </c>
      <c r="AQ49" s="4"/>
      <c r="AR49" s="190">
        <f t="shared" si="17"/>
        <v>3.5203853559371958</v>
      </c>
      <c r="AS49" s="190"/>
      <c r="AT49" s="189">
        <f t="shared" si="3"/>
        <v>4055.7479739868854</v>
      </c>
      <c r="AU49" s="4"/>
      <c r="AV49" s="189">
        <f t="shared" si="4"/>
        <v>7657.2775954514054</v>
      </c>
      <c r="AW49" s="337"/>
      <c r="AX49" s="191">
        <f t="shared" si="9"/>
        <v>11713.02556943829</v>
      </c>
      <c r="AZ49" s="540">
        <f>+IF(AZ48&gt;$I$13+$I$14,XX,AZ48+1)</f>
        <v>2027</v>
      </c>
      <c r="BA49" s="152"/>
      <c r="BB49" s="190">
        <f t="shared" si="18"/>
        <v>62.180791209173073</v>
      </c>
      <c r="BC49" s="4"/>
      <c r="BD49" s="190">
        <f t="shared" si="19"/>
        <v>19.193605314733514</v>
      </c>
      <c r="BE49" s="4"/>
      <c r="BF49" s="189">
        <f t="shared" si="23"/>
        <v>2186.3835689009406</v>
      </c>
      <c r="BG49" s="4"/>
      <c r="BH49" s="193"/>
    </row>
    <row r="50" spans="2:60" ht="12">
      <c r="B50" s="3"/>
      <c r="C50" s="499">
        <f>+IF(C49&gt;$I$13+$I$14,XX,C49+1)</f>
        <v>2028</v>
      </c>
      <c r="D50" s="7"/>
      <c r="E50" s="501">
        <f>'(2.2)_Forward_Price_Curve'!M37</f>
        <v>2.1999999999999999E-2</v>
      </c>
      <c r="F50" s="7"/>
      <c r="G50" s="613">
        <f>'[16]Data for NPC'!L21</f>
        <v>238484</v>
      </c>
      <c r="H50" s="7"/>
      <c r="I50" s="614">
        <f>'(3.4a)_Leaning Juniper-orig'!I50+'[16]Data for NPC'!L58</f>
        <v>368.62289936835555</v>
      </c>
      <c r="J50" s="7"/>
      <c r="K50" s="614">
        <f>'[16]Data for NPC'!M95</f>
        <v>2.6581634481705465</v>
      </c>
      <c r="L50" s="7"/>
      <c r="M50" s="39">
        <f t="shared" si="13"/>
        <v>4.7223445176931707</v>
      </c>
      <c r="N50" s="7"/>
      <c r="O50" s="614">
        <f>'[16]Data for NPC'!L169</f>
        <v>0.75000000000000011</v>
      </c>
      <c r="P50" s="7"/>
      <c r="Q50" s="614">
        <f>'[16]Data for NPC'!L206</f>
        <v>-48.348885558187881</v>
      </c>
      <c r="R50" s="7"/>
      <c r="S50" s="614">
        <f t="shared" si="20"/>
        <v>27455.161824791892</v>
      </c>
      <c r="T50" s="7"/>
      <c r="U50" s="23">
        <f t="shared" si="0"/>
        <v>12061.210727475573</v>
      </c>
      <c r="V50" s="7"/>
      <c r="W50" s="23">
        <f t="shared" si="1"/>
        <v>15393.95109731632</v>
      </c>
      <c r="X50" s="7"/>
      <c r="Y50" s="334">
        <f t="shared" si="6"/>
        <v>64.54919867712853</v>
      </c>
      <c r="Z50" s="290"/>
      <c r="AB50" s="540">
        <f>+IF(AB49&gt;$I$13+$I$14,XX,AB49+1)</f>
        <v>2028</v>
      </c>
      <c r="AC50" s="152"/>
      <c r="AD50" s="187">
        <f t="shared" si="2"/>
        <v>238484</v>
      </c>
      <c r="AE50" s="4"/>
      <c r="AF50" s="190">
        <f t="shared" si="14"/>
        <v>124.24186009561495</v>
      </c>
      <c r="AG50" s="4"/>
      <c r="AH50" s="190">
        <f t="shared" si="15"/>
        <v>24.849364895519429</v>
      </c>
      <c r="AI50" s="4"/>
      <c r="AJ50" s="190">
        <f t="shared" si="16"/>
        <v>2.5396853487579225</v>
      </c>
      <c r="AK50" s="4"/>
      <c r="AL50" s="189">
        <f t="shared" si="21"/>
        <v>6379.5600242453074</v>
      </c>
      <c r="AM50" s="4"/>
      <c r="AN50" s="190">
        <f>INDEX('(2.2)_Forward_Price_Curve'!$G:$G,MATCH($AB50,'(2.2)_Forward_Price_Curve'!$C:$C,0),1)</f>
        <v>4.6136041666666676</v>
      </c>
      <c r="AO50" s="4"/>
      <c r="AP50" s="190">
        <f t="shared" si="22"/>
        <v>29.59573349421656</v>
      </c>
      <c r="AQ50" s="4"/>
      <c r="AR50" s="190">
        <f t="shared" si="17"/>
        <v>3.5978338337678144</v>
      </c>
      <c r="AS50" s="190"/>
      <c r="AT50" s="189">
        <f t="shared" si="3"/>
        <v>4145.076016828546</v>
      </c>
      <c r="AU50" s="4"/>
      <c r="AV50" s="189">
        <f>(AP50+AR50)*AD50/1000</f>
        <v>7916.1347106470257</v>
      </c>
      <c r="AW50" s="337"/>
      <c r="AX50" s="191">
        <f t="shared" si="9"/>
        <v>12061.210727475573</v>
      </c>
      <c r="AZ50" s="540">
        <f>+IF(AZ49&gt;$I$13+$I$14,XX,AZ49+1)</f>
        <v>2028</v>
      </c>
      <c r="BA50" s="152"/>
      <c r="BB50" s="190">
        <f t="shared" si="18"/>
        <v>63.548768615774883</v>
      </c>
      <c r="BC50" s="4"/>
      <c r="BD50" s="190">
        <f t="shared" si="19"/>
        <v>19.615864631657651</v>
      </c>
      <c r="BE50" s="4"/>
      <c r="BF50" s="189">
        <f t="shared" si="23"/>
        <v>2234.4840074167614</v>
      </c>
      <c r="BG50" s="4"/>
      <c r="BH50" s="193"/>
    </row>
    <row r="51" spans="2:60" ht="12">
      <c r="B51" s="3"/>
      <c r="C51" s="499">
        <f>+IF(C50&gt;$I$13+$I$14,XX,C50+1)</f>
        <v>2029</v>
      </c>
      <c r="D51" s="7"/>
      <c r="E51" s="501">
        <f>'(2.2)_Forward_Price_Curve'!M38</f>
        <v>2.1999999999999999E-2</v>
      </c>
      <c r="F51" s="7"/>
      <c r="G51" s="613">
        <f>'[16]Data for NPC'!L22</f>
        <v>238444</v>
      </c>
      <c r="H51" s="7"/>
      <c r="I51" s="614">
        <f>'(3.4a)_Leaning Juniper-orig'!I51+'[16]Data for NPC'!L59</f>
        <v>375.62673445635426</v>
      </c>
      <c r="J51" s="7"/>
      <c r="K51" s="614">
        <f>'[16]Data for NPC'!M96</f>
        <v>2.7065696213455639</v>
      </c>
      <c r="L51" s="7"/>
      <c r="M51" s="39">
        <f t="shared" si="13"/>
        <v>4.8262360970824201</v>
      </c>
      <c r="N51" s="7"/>
      <c r="O51" s="614">
        <f>'[16]Data for NPC'!L170</f>
        <v>0.76999999999999991</v>
      </c>
      <c r="P51" s="7"/>
      <c r="Q51" s="614">
        <f>'[16]Data for NPC'!L207</f>
        <v>-48.348885558187881</v>
      </c>
      <c r="R51" s="7"/>
      <c r="S51" s="614">
        <f t="shared" si="20"/>
        <v>28201.739351551892</v>
      </c>
      <c r="T51" s="7"/>
      <c r="U51" s="23">
        <f t="shared" si="0"/>
        <v>12384.847300249894</v>
      </c>
      <c r="V51" s="7"/>
      <c r="W51" s="23">
        <f t="shared" si="1"/>
        <v>15816.892051301998</v>
      </c>
      <c r="X51" s="7"/>
      <c r="Y51" s="334">
        <f t="shared" si="6"/>
        <v>66.333780893216016</v>
      </c>
      <c r="Z51" s="290"/>
      <c r="AB51" s="540">
        <f>+IF(AB50&gt;$I$13+$I$14,XX,AB50+1)</f>
        <v>2029</v>
      </c>
      <c r="AC51" s="152"/>
      <c r="AD51" s="187">
        <f t="shared" si="2"/>
        <v>238444</v>
      </c>
      <c r="AE51" s="4"/>
      <c r="AF51" s="190">
        <f t="shared" si="14"/>
        <v>126.97518101771848</v>
      </c>
      <c r="AG51" s="4"/>
      <c r="AH51" s="190">
        <f t="shared" si="15"/>
        <v>25.396050923220855</v>
      </c>
      <c r="AI51" s="4"/>
      <c r="AJ51" s="190">
        <f t="shared" si="16"/>
        <v>2.5955584264305966</v>
      </c>
      <c r="AK51" s="4"/>
      <c r="AL51" s="189">
        <f t="shared" si="21"/>
        <v>6519.8065224416487</v>
      </c>
      <c r="AM51" s="4"/>
      <c r="AN51" s="190">
        <f>INDEX('(2.2)_Forward_Price_Curve'!$G:$G,MATCH($AB51,'(2.2)_Forward_Price_Curve'!$C:$C,0),1)</f>
        <v>4.7541666666666673</v>
      </c>
      <c r="AO51" s="4"/>
      <c r="AP51" s="190">
        <f t="shared" si="22"/>
        <v>30.497425563800078</v>
      </c>
      <c r="AQ51" s="4"/>
      <c r="AR51" s="190">
        <f t="shared" si="17"/>
        <v>3.6769861781107065</v>
      </c>
      <c r="AS51" s="190"/>
      <c r="AT51" s="189">
        <f t="shared" si="3"/>
        <v>4236.1638668617188</v>
      </c>
      <c r="AU51" s="4"/>
      <c r="AV51" s="189">
        <f t="shared" si="4"/>
        <v>8148.6834333881761</v>
      </c>
      <c r="AW51" s="337"/>
      <c r="AX51" s="191">
        <f t="shared" si="9"/>
        <v>12384.847300249894</v>
      </c>
      <c r="AZ51" s="540">
        <f>+IF(AZ50&gt;$I$13+$I$14,XX,AZ50+1)</f>
        <v>2029</v>
      </c>
      <c r="BA51" s="152"/>
      <c r="BB51" s="190">
        <f t="shared" si="18"/>
        <v>64.946841525321929</v>
      </c>
      <c r="BC51" s="4"/>
      <c r="BD51" s="190">
        <f t="shared" si="19"/>
        <v>20.04741365355412</v>
      </c>
      <c r="BE51" s="4"/>
      <c r="BF51" s="189">
        <f t="shared" si="23"/>
        <v>2283.6426555799299</v>
      </c>
      <c r="BG51" s="4"/>
      <c r="BH51" s="193"/>
    </row>
    <row r="52" spans="2:60" ht="12">
      <c r="B52" s="3"/>
      <c r="C52" s="499">
        <f>+IF(C51&gt;$I$13+$I$14,XX,C51+1)</f>
        <v>2030</v>
      </c>
      <c r="D52" s="7"/>
      <c r="E52" s="501">
        <f>'(2.2)_Forward_Price_Curve'!M39</f>
        <v>2.1999999999999999E-2</v>
      </c>
      <c r="F52" s="7"/>
      <c r="G52" s="613">
        <f>'[16]Data for NPC'!L23</f>
        <v>238444</v>
      </c>
      <c r="H52" s="7"/>
      <c r="I52" s="614">
        <f>'(3.4a)_Leaning Juniper-orig'!I52+'[16]Data for NPC'!L60</f>
        <v>383.04966382289695</v>
      </c>
      <c r="J52" s="7"/>
      <c r="K52" s="614">
        <f>'[16]Data for NPC'!M97</f>
        <v>2.7661141530151663</v>
      </c>
      <c r="L52" s="7"/>
      <c r="M52" s="39">
        <f t="shared" si="13"/>
        <v>4.932413291218233</v>
      </c>
      <c r="N52" s="7"/>
      <c r="O52" s="614">
        <f>'[16]Data for NPC'!L171</f>
        <v>0.78</v>
      </c>
      <c r="P52" s="7"/>
      <c r="Q52" s="614">
        <f>'[16]Data for NPC'!L208</f>
        <v>0</v>
      </c>
      <c r="R52" s="7"/>
      <c r="S52" s="614">
        <f t="shared" si="20"/>
        <v>40518.14521211393</v>
      </c>
      <c r="T52" s="7"/>
      <c r="U52" s="23">
        <f t="shared" si="0"/>
        <v>12953.703965573597</v>
      </c>
      <c r="V52" s="7"/>
      <c r="W52" s="23">
        <f t="shared" si="1"/>
        <v>27564.441246540333</v>
      </c>
      <c r="X52" s="7"/>
      <c r="Y52" s="334">
        <f>+W52*1000/G52</f>
        <v>115.60132042131626</v>
      </c>
      <c r="Z52" s="290"/>
      <c r="AB52" s="540">
        <f>+IF(AB51&gt;$I$13+$I$14,XX,AB51+1)</f>
        <v>2030</v>
      </c>
      <c r="AC52" s="152"/>
      <c r="AD52" s="187">
        <f t="shared" si="2"/>
        <v>238444</v>
      </c>
      <c r="AE52" s="4"/>
      <c r="AF52" s="190">
        <f t="shared" si="14"/>
        <v>129.7686350001083</v>
      </c>
      <c r="AG52" s="4"/>
      <c r="AH52" s="190">
        <f t="shared" si="15"/>
        <v>25.954764043531714</v>
      </c>
      <c r="AI52" s="4"/>
      <c r="AJ52" s="190">
        <f t="shared" si="16"/>
        <v>2.6526607118120697</v>
      </c>
      <c r="AK52" s="4"/>
      <c r="AL52" s="189">
        <f t="shared" si="21"/>
        <v>6663.2422659353651</v>
      </c>
      <c r="AM52" s="4"/>
      <c r="AN52" s="190">
        <f>INDEX('(2.2)_Forward_Price_Curve'!$G:$G,MATCH($AB52,'(2.2)_Forward_Price_Curve'!$C:$C,0),1)</f>
        <v>5.052529166666667</v>
      </c>
      <c r="AO52" s="4"/>
      <c r="AP52" s="190">
        <f t="shared" si="22"/>
        <v>32.411386258232184</v>
      </c>
      <c r="AQ52" s="4"/>
      <c r="AR52" s="190">
        <f t="shared" si="17"/>
        <v>3.7578798740291419</v>
      </c>
      <c r="AS52" s="190"/>
      <c r="AT52" s="189">
        <f t="shared" si="3"/>
        <v>4329.3594719326766</v>
      </c>
      <c r="AU52" s="4"/>
      <c r="AV52" s="189">
        <f t="shared" si="4"/>
        <v>8624.3444936409196</v>
      </c>
      <c r="AW52" s="337"/>
      <c r="AX52" s="191">
        <f t="shared" si="9"/>
        <v>12953.703965573597</v>
      </c>
      <c r="AZ52" s="540">
        <f>+IF(AZ51&gt;$I$13+$I$14,XX,AZ51+1)</f>
        <v>2030</v>
      </c>
      <c r="BA52" s="152"/>
      <c r="BB52" s="190">
        <f t="shared" si="18"/>
        <v>66.375672038879017</v>
      </c>
      <c r="BC52" s="4"/>
      <c r="BD52" s="190">
        <f t="shared" si="19"/>
        <v>20.488456753932311</v>
      </c>
      <c r="BE52" s="4"/>
      <c r="BF52" s="189">
        <f t="shared" si="23"/>
        <v>2333.8827940026886</v>
      </c>
      <c r="BG52" s="4"/>
      <c r="BH52" s="193"/>
    </row>
    <row r="53" spans="2:60" ht="12">
      <c r="B53" s="3"/>
      <c r="C53" s="499">
        <f>+IF(C52&gt;$I$13+$I$14,XX,C52+1)</f>
        <v>2031</v>
      </c>
      <c r="D53" s="7"/>
      <c r="E53" s="501">
        <f>'(2.2)_Forward_Price_Curve'!M40</f>
        <v>2.1999999999999999E-2</v>
      </c>
      <c r="F53" s="7"/>
      <c r="G53" s="613">
        <f>'[16]Data for NPC'!L24</f>
        <v>238444</v>
      </c>
      <c r="H53" s="7"/>
      <c r="I53" s="614">
        <f>'(3.4a)_Leaning Juniper-orig'!I53+'[16]Data for NPC'!L61</f>
        <v>93.042672364042517</v>
      </c>
      <c r="J53" s="7"/>
      <c r="K53" s="614">
        <f>'[16]Data for NPC'!M98</f>
        <v>2.8269686643815</v>
      </c>
      <c r="L53" s="7"/>
      <c r="M53" s="39">
        <f t="shared" si="13"/>
        <v>5.0409263836250346</v>
      </c>
      <c r="N53" s="7"/>
      <c r="O53" s="614">
        <f>'[16]Data for NPC'!L172</f>
        <v>0.8</v>
      </c>
      <c r="P53" s="7"/>
      <c r="Q53" s="614">
        <f>'[16]Data for NPC'!L209</f>
        <v>0</v>
      </c>
      <c r="R53" s="7"/>
      <c r="S53" s="614">
        <f t="shared" si="20"/>
        <v>11417.596139413143</v>
      </c>
      <c r="T53" s="7"/>
      <c r="U53" s="23">
        <f t="shared" si="0"/>
        <v>13278.752094324322</v>
      </c>
      <c r="V53" s="7"/>
      <c r="W53" s="23">
        <f t="shared" si="1"/>
        <v>-1861.1559549111789</v>
      </c>
      <c r="X53" s="7"/>
      <c r="Y53" s="334">
        <f t="shared" si="6"/>
        <v>-7.8054216290247558</v>
      </c>
      <c r="Z53" s="290"/>
      <c r="AB53" s="540">
        <f>+IF(AB52&gt;$I$13+$I$14,XX,AB52+1)</f>
        <v>2031</v>
      </c>
      <c r="AC53" s="152"/>
      <c r="AD53" s="187">
        <f t="shared" si="2"/>
        <v>238444</v>
      </c>
      <c r="AE53" s="4"/>
      <c r="AF53" s="190">
        <f t="shared" si="14"/>
        <v>132.62354497011069</v>
      </c>
      <c r="AG53" s="4"/>
      <c r="AH53" s="190">
        <f t="shared" si="15"/>
        <v>26.525768852489414</v>
      </c>
      <c r="AI53" s="4"/>
      <c r="AJ53" s="190">
        <f t="shared" si="16"/>
        <v>2.7110192474719352</v>
      </c>
      <c r="AK53" s="4"/>
      <c r="AL53" s="189">
        <f t="shared" si="21"/>
        <v>6809.8335957859435</v>
      </c>
      <c r="AM53" s="4"/>
      <c r="AN53" s="190">
        <f>INDEX('(2.2)_Forward_Price_Curve'!$G:$G,MATCH($AB53,'(2.2)_Forward_Price_Curve'!$C:$C,0),1)</f>
        <v>5.1898791666666666</v>
      </c>
      <c r="AO53" s="4"/>
      <c r="AP53" s="190">
        <f t="shared" si="22"/>
        <v>33.292470514397912</v>
      </c>
      <c r="AQ53" s="4"/>
      <c r="AR53" s="190">
        <f t="shared" si="17"/>
        <v>3.840553231257783</v>
      </c>
      <c r="AS53" s="190"/>
      <c r="AT53" s="189">
        <f t="shared" si="3"/>
        <v>4424.6053803151954</v>
      </c>
      <c r="AU53" s="4"/>
      <c r="AV53" s="189">
        <f t="shared" si="4"/>
        <v>8854.1467140091263</v>
      </c>
      <c r="AW53" s="337"/>
      <c r="AX53" s="191">
        <f t="shared" si="9"/>
        <v>13278.752094324322</v>
      </c>
      <c r="AZ53" s="540">
        <f>+IF(AZ52&gt;$I$13+$I$14,XX,AZ52+1)</f>
        <v>2031</v>
      </c>
      <c r="BA53" s="152"/>
      <c r="BB53" s="190">
        <f t="shared" si="18"/>
        <v>67.835936823734357</v>
      </c>
      <c r="BC53" s="4"/>
      <c r="BD53" s="190">
        <f t="shared" si="19"/>
        <v>20.939202802518821</v>
      </c>
      <c r="BE53" s="4"/>
      <c r="BF53" s="189">
        <f t="shared" si="23"/>
        <v>2385.2282154707477</v>
      </c>
      <c r="BG53" s="4"/>
      <c r="BH53" s="193"/>
    </row>
    <row r="54" spans="2:60" ht="12">
      <c r="B54" s="3"/>
      <c r="C54" s="499">
        <f>+IF(C53&gt;$I$13+$I$14,XX,C53+1)</f>
        <v>2032</v>
      </c>
      <c r="D54" s="7"/>
      <c r="E54" s="501">
        <f>'(2.2)_Forward_Price_Curve'!M41</f>
        <v>2.1999999999999999E-2</v>
      </c>
      <c r="F54" s="7"/>
      <c r="G54" s="613">
        <f>'[16]Data for NPC'!L25</f>
        <v>238484</v>
      </c>
      <c r="H54" s="7"/>
      <c r="I54" s="614">
        <f>'(3.4a)_Leaning Juniper-orig'!I54+'[16]Data for NPC'!L62</f>
        <v>315.78385809248942</v>
      </c>
      <c r="J54" s="7"/>
      <c r="K54" s="614">
        <f>'[16]Data for NPC'!M99</f>
        <v>2.8970774872581617</v>
      </c>
      <c r="L54" s="7"/>
      <c r="M54" s="39">
        <f t="shared" si="13"/>
        <v>5.1518267640647855</v>
      </c>
      <c r="N54" s="7"/>
      <c r="O54" s="614">
        <f>'[16]Data for NPC'!L173</f>
        <v>0.82</v>
      </c>
      <c r="P54" s="7"/>
      <c r="Q54" s="614">
        <f>'[16]Data for NPC'!L210</f>
        <v>0</v>
      </c>
      <c r="R54" s="7"/>
      <c r="S54" s="614">
        <f t="shared" si="20"/>
        <v>33851.369499767694</v>
      </c>
      <c r="T54" s="7"/>
      <c r="U54" s="23">
        <f t="shared" si="0"/>
        <v>13616.314504148724</v>
      </c>
      <c r="V54" s="7"/>
      <c r="W54" s="23">
        <f t="shared" si="1"/>
        <v>20235.054995618972</v>
      </c>
      <c r="X54" s="7"/>
      <c r="Y54" s="334">
        <f t="shared" si="6"/>
        <v>84.848690040501552</v>
      </c>
      <c r="Z54" s="290"/>
      <c r="AB54" s="540">
        <f>+IF(AB53&gt;$I$13+$I$14,XX,AB53+1)</f>
        <v>2032</v>
      </c>
      <c r="AC54" s="152"/>
      <c r="AD54" s="187">
        <f t="shared" si="2"/>
        <v>238484</v>
      </c>
      <c r="AE54" s="4"/>
      <c r="AF54" s="190">
        <f t="shared" si="14"/>
        <v>135.54126295945312</v>
      </c>
      <c r="AG54" s="4"/>
      <c r="AH54" s="190">
        <f t="shared" si="15"/>
        <v>27.109335767244183</v>
      </c>
      <c r="AI54" s="4"/>
      <c r="AJ54" s="190">
        <f t="shared" si="16"/>
        <v>2.7706616709163177</v>
      </c>
      <c r="AK54" s="4"/>
      <c r="AL54" s="189">
        <f t="shared" si="21"/>
        <v>6959.7607613600703</v>
      </c>
      <c r="AM54" s="4"/>
      <c r="AN54" s="190">
        <f>INDEX('(2.2)_Forward_Price_Curve'!$G:$G,MATCH($AB54,'(2.2)_Forward_Price_Curve'!$C:$C,0),1)</f>
        <v>5.3326874999999996</v>
      </c>
      <c r="AO54" s="4"/>
      <c r="AP54" s="190">
        <f t="shared" si="22"/>
        <v>34.208569343296844</v>
      </c>
      <c r="AQ54" s="4"/>
      <c r="AR54" s="190">
        <f t="shared" si="17"/>
        <v>3.9250454023454542</v>
      </c>
      <c r="AS54" s="190"/>
      <c r="AT54" s="189">
        <f t="shared" si="3"/>
        <v>4522.0575251489663</v>
      </c>
      <c r="AU54" s="4"/>
      <c r="AV54" s="189">
        <f t="shared" si="4"/>
        <v>9094.2569789997578</v>
      </c>
      <c r="AW54" s="337"/>
      <c r="AX54" s="191">
        <f t="shared" si="9"/>
        <v>13616.314504148724</v>
      </c>
      <c r="AZ54" s="540">
        <f>+IF(AZ53&gt;$I$13+$I$14,XX,AZ53+1)</f>
        <v>2032</v>
      </c>
      <c r="BA54" s="152"/>
      <c r="BB54" s="190">
        <f t="shared" si="18"/>
        <v>69.328327433856515</v>
      </c>
      <c r="BC54" s="4"/>
      <c r="BD54" s="190">
        <f t="shared" si="19"/>
        <v>21.399865264174235</v>
      </c>
      <c r="BE54" s="4"/>
      <c r="BF54" s="189">
        <f t="shared" si="23"/>
        <v>2437.7032362111045</v>
      </c>
      <c r="BG54" s="4"/>
      <c r="BH54" s="193"/>
    </row>
    <row r="55" spans="2:60" ht="12">
      <c r="B55" s="3"/>
      <c r="C55" s="499">
        <f>+IF(C54&gt;$I$13+$I$14,XX,C54+1)</f>
        <v>2033</v>
      </c>
      <c r="D55" s="7"/>
      <c r="E55" s="501">
        <f>'(2.2)_Forward_Price_Curve'!M42</f>
        <v>2.1999999999999999E-2</v>
      </c>
      <c r="F55" s="7"/>
      <c r="G55" s="613">
        <f>'[16]Data for NPC'!L26</f>
        <v>238444</v>
      </c>
      <c r="H55" s="7"/>
      <c r="I55" s="614">
        <f>'[16]Data for NPC'!L63</f>
        <v>96.611882318599555</v>
      </c>
      <c r="J55" s="7"/>
      <c r="K55" s="614">
        <f>'[16]Data for NPC'!M100</f>
        <v>2.952723538447847</v>
      </c>
      <c r="L55" s="7"/>
      <c r="M55" s="39">
        <f t="shared" si="13"/>
        <v>5.2651669528742104</v>
      </c>
      <c r="N55" s="7"/>
      <c r="O55" s="614">
        <f>'[16]Data for NPC'!L174</f>
        <v>0.84000000000000008</v>
      </c>
      <c r="P55" s="7"/>
      <c r="Q55" s="614">
        <f>'[16]Data for NPC'!L211</f>
        <v>0</v>
      </c>
      <c r="R55" s="7"/>
      <c r="S55" s="614">
        <f t="shared" si="20"/>
        <v>11869.293813332051</v>
      </c>
      <c r="T55" s="7"/>
      <c r="U55" s="23">
        <f t="shared" si="0"/>
        <v>14016.431500832308</v>
      </c>
      <c r="V55" s="7"/>
      <c r="W55" s="23">
        <f t="shared" si="1"/>
        <v>-2147.137687500257</v>
      </c>
      <c r="X55" s="7"/>
      <c r="Y55" s="334">
        <f t="shared" si="6"/>
        <v>-9.0047880739303867</v>
      </c>
      <c r="Z55" s="290"/>
      <c r="AB55" s="540">
        <f>+IF(AB54&gt;$I$13+$I$14,XX,AB54+1)</f>
        <v>2033</v>
      </c>
      <c r="AC55" s="152"/>
      <c r="AD55" s="187">
        <f t="shared" si="2"/>
        <v>238444</v>
      </c>
      <c r="AE55" s="4"/>
      <c r="AF55" s="190">
        <f t="shared" si="14"/>
        <v>138.5231707445611</v>
      </c>
      <c r="AG55" s="4"/>
      <c r="AH55" s="190">
        <f t="shared" si="15"/>
        <v>27.705741154123555</v>
      </c>
      <c r="AI55" s="4"/>
      <c r="AJ55" s="190">
        <f t="shared" si="16"/>
        <v>2.8316162276764767</v>
      </c>
      <c r="AK55" s="4"/>
      <c r="AL55" s="189">
        <f t="shared" si="21"/>
        <v>7112.7622334608868</v>
      </c>
      <c r="AM55" s="4"/>
      <c r="AN55" s="190">
        <f>INDEX('(2.2)_Forward_Price_Curve'!$G:$G,MATCH($AB55,'(2.2)_Forward_Price_Curve'!$C:$C,0),1)</f>
        <v>5.5168416666666671</v>
      </c>
      <c r="AO55" s="4"/>
      <c r="AP55" s="190">
        <f t="shared" si="22"/>
        <v>35.389896878479391</v>
      </c>
      <c r="AQ55" s="4"/>
      <c r="AR55" s="190">
        <f t="shared" si="17"/>
        <v>4.0113964011970547</v>
      </c>
      <c r="AS55" s="190"/>
      <c r="AT55" s="189">
        <f t="shared" si="3"/>
        <v>4621.429526053138</v>
      </c>
      <c r="AU55" s="4"/>
      <c r="AV55" s="189">
        <f t="shared" si="4"/>
        <v>9395.0019747791703</v>
      </c>
      <c r="AW55" s="337"/>
      <c r="AX55" s="191">
        <f t="shared" si="9"/>
        <v>14016.431500832308</v>
      </c>
      <c r="AZ55" s="540">
        <f>+IF(AZ54&gt;$I$13+$I$14,XX,AZ54+1)</f>
        <v>2033</v>
      </c>
      <c r="BA55" s="152"/>
      <c r="BB55" s="190">
        <f t="shared" si="18"/>
        <v>70.853550637401355</v>
      </c>
      <c r="BC55" s="4"/>
      <c r="BD55" s="190">
        <f t="shared" si="19"/>
        <v>21.870662299986069</v>
      </c>
      <c r="BE55" s="4"/>
      <c r="BF55" s="189">
        <f t="shared" si="23"/>
        <v>2491.3327074077483</v>
      </c>
      <c r="BG55" s="4"/>
      <c r="BH55" s="193"/>
    </row>
    <row r="56" spans="2:60" ht="12">
      <c r="B56" s="3"/>
      <c r="C56" s="499">
        <f>+IF(C55&gt;$I$13+$I$14,XX,C55+1)</f>
        <v>2034</v>
      </c>
      <c r="D56" s="7"/>
      <c r="E56" s="501">
        <f>'(2.2)_Forward_Price_Curve'!M43</f>
        <v>2.1999999999999999E-2</v>
      </c>
      <c r="F56" s="7"/>
      <c r="G56" s="613">
        <f>'[16]Data for NPC'!L27</f>
        <v>238444</v>
      </c>
      <c r="H56" s="7"/>
      <c r="I56" s="614">
        <f>'[16]Data for NPC'!L64</f>
        <v>98.447508082652945</v>
      </c>
      <c r="J56" s="7"/>
      <c r="K56" s="614">
        <f>'[16]Data for NPC'!M101</f>
        <v>3.0176834562937001</v>
      </c>
      <c r="L56" s="7"/>
      <c r="M56" s="39">
        <f t="shared" si="13"/>
        <v>5.3810006258374434</v>
      </c>
      <c r="N56" s="7"/>
      <c r="O56" s="614">
        <f>'[16]Data for NPC'!L175</f>
        <v>0.85999999999999988</v>
      </c>
      <c r="P56" s="7"/>
      <c r="Q56" s="614">
        <f>'[16]Data for NPC'!L212</f>
        <v>0</v>
      </c>
      <c r="R56" s="7"/>
      <c r="S56" s="614">
        <f t="shared" si="20"/>
        <v>12101.6522295863</v>
      </c>
      <c r="T56" s="7"/>
      <c r="U56" s="23">
        <f t="shared" si="0"/>
        <v>14401.400468805025</v>
      </c>
      <c r="V56" s="7"/>
      <c r="W56" s="23">
        <f t="shared" si="1"/>
        <v>-2299.7482392187248</v>
      </c>
      <c r="X56" s="7"/>
      <c r="Y56" s="334">
        <f t="shared" si="6"/>
        <v>-9.6448148798825919</v>
      </c>
      <c r="Z56" s="290"/>
      <c r="AB56" s="540">
        <f>+IF(AB55&gt;$I$13+$I$14,XX,AB55+1)</f>
        <v>2034</v>
      </c>
      <c r="AC56" s="152"/>
      <c r="AD56" s="187">
        <f t="shared" si="2"/>
        <v>238444</v>
      </c>
      <c r="AE56" s="4"/>
      <c r="AF56" s="190">
        <f t="shared" si="14"/>
        <v>141.57068050094145</v>
      </c>
      <c r="AG56" s="4"/>
      <c r="AH56" s="190">
        <f t="shared" si="15"/>
        <v>28.315267459514274</v>
      </c>
      <c r="AI56" s="4"/>
      <c r="AJ56" s="190">
        <f t="shared" si="16"/>
        <v>2.893911784685359</v>
      </c>
      <c r="AK56" s="4"/>
      <c r="AL56" s="189">
        <f t="shared" si="21"/>
        <v>7269.2430025970252</v>
      </c>
      <c r="AM56" s="4"/>
      <c r="AN56" s="190">
        <f>INDEX('(2.2)_Forward_Price_Curve'!$G:$G,MATCH($AB56,'(2.2)_Forward_Price_Curve'!$C:$C,0),1)</f>
        <v>5.688295833333334</v>
      </c>
      <c r="AO56" s="4"/>
      <c r="AP56" s="190">
        <f t="shared" si="22"/>
        <v>36.489755392523918</v>
      </c>
      <c r="AQ56" s="4"/>
      <c r="AR56" s="190">
        <f t="shared" si="17"/>
        <v>4.0996471220233897</v>
      </c>
      <c r="AS56" s="190"/>
      <c r="AT56" s="189">
        <f t="shared" si="3"/>
        <v>4723.1009756263065</v>
      </c>
      <c r="AU56" s="4"/>
      <c r="AV56" s="189">
        <f t="shared" si="4"/>
        <v>9678.299493178718</v>
      </c>
      <c r="AW56" s="337"/>
      <c r="AX56" s="191">
        <f t="shared" si="9"/>
        <v>14401.400468805025</v>
      </c>
      <c r="AZ56" s="540">
        <f>+IF(AZ55&gt;$I$13+$I$14,XX,AZ55+1)</f>
        <v>2034</v>
      </c>
      <c r="BA56" s="152"/>
      <c r="BB56" s="190">
        <f t="shared" si="18"/>
        <v>72.412328751424184</v>
      </c>
      <c r="BC56" s="4"/>
      <c r="BD56" s="190">
        <f t="shared" si="19"/>
        <v>22.351816870585765</v>
      </c>
      <c r="BE56" s="4"/>
      <c r="BF56" s="189">
        <f t="shared" si="23"/>
        <v>2546.1420269707191</v>
      </c>
      <c r="BG56" s="4"/>
      <c r="BH56" s="193"/>
    </row>
    <row r="57" spans="2:60" ht="12">
      <c r="B57" s="3"/>
      <c r="C57" s="499">
        <f>+IF(C56&gt;$I$13+$I$14,XX,C56+1)</f>
        <v>2035</v>
      </c>
      <c r="D57" s="7"/>
      <c r="E57" s="501">
        <f>'(2.2)_Forward_Price_Curve'!M44</f>
        <v>2.1999999999999999E-2</v>
      </c>
      <c r="F57" s="7"/>
      <c r="G57" s="613">
        <f>'[16]Data for NPC'!L28</f>
        <v>238444</v>
      </c>
      <c r="H57" s="7"/>
      <c r="I57" s="614">
        <f>'[16]Data for NPC'!L65</f>
        <v>100.31801073622334</v>
      </c>
      <c r="J57" s="7"/>
      <c r="K57" s="614">
        <f>'[16]Data for NPC'!M102</f>
        <v>3.0840724923321612</v>
      </c>
      <c r="L57" s="7"/>
      <c r="M57" s="39">
        <f t="shared" si="13"/>
        <v>5.4993826396058676</v>
      </c>
      <c r="N57" s="7"/>
      <c r="O57" s="614">
        <f>'[16]Data for NPC'!L176</f>
        <v>0.86999999999999988</v>
      </c>
      <c r="P57" s="7"/>
      <c r="Q57" s="614">
        <f>'[16]Data for NPC'!L213</f>
        <v>0</v>
      </c>
      <c r="R57" s="7"/>
      <c r="S57" s="614">
        <f t="shared" si="20"/>
        <v>12336.079734470277</v>
      </c>
      <c r="T57" s="7"/>
      <c r="U57" s="23">
        <f t="shared" si="0"/>
        <v>14768.03728218051</v>
      </c>
      <c r="V57" s="7"/>
      <c r="W57" s="23">
        <f t="shared" si="1"/>
        <v>-2431.9575477102335</v>
      </c>
      <c r="X57" s="7"/>
      <c r="Y57" s="334">
        <f t="shared" si="6"/>
        <v>-10.199281792413453</v>
      </c>
      <c r="Z57" s="290"/>
      <c r="AB57" s="540">
        <f>+IF(AB56&gt;$I$13+$I$14,XX,AB56+1)</f>
        <v>2035</v>
      </c>
      <c r="AC57" s="152"/>
      <c r="AD57" s="187">
        <f t="shared" si="2"/>
        <v>238444</v>
      </c>
      <c r="AE57" s="4"/>
      <c r="AF57" s="190">
        <f t="shared" si="14"/>
        <v>144.68523547196216</v>
      </c>
      <c r="AG57" s="4"/>
      <c r="AH57" s="190">
        <f t="shared" si="15"/>
        <v>28.938203343623588</v>
      </c>
      <c r="AI57" s="4"/>
      <c r="AJ57" s="190">
        <f t="shared" si="16"/>
        <v>2.957577843948437</v>
      </c>
      <c r="AK57" s="4"/>
      <c r="AL57" s="189">
        <f t="shared" si="21"/>
        <v>7429.1663486541593</v>
      </c>
      <c r="AM57" s="4"/>
      <c r="AN57" s="190">
        <f>INDEX('(2.2)_Forward_Price_Curve'!$G:$G,MATCH($AB57,'(2.2)_Forward_Price_Curve'!$C:$C,0),1)</f>
        <v>5.846000000000001</v>
      </c>
      <c r="AO57" s="4"/>
      <c r="AP57" s="190">
        <f t="shared" si="22"/>
        <v>37.501409257698562</v>
      </c>
      <c r="AQ57" s="4"/>
      <c r="AR57" s="190">
        <f t="shared" si="17"/>
        <v>4.1898393587079044</v>
      </c>
      <c r="AS57" s="190"/>
      <c r="AT57" s="189">
        <f t="shared" si="3"/>
        <v>4827.0091970900849</v>
      </c>
      <c r="AU57" s="4"/>
      <c r="AV57" s="189">
        <f t="shared" si="4"/>
        <v>9941.0280850904255</v>
      </c>
      <c r="AW57" s="337"/>
      <c r="AX57" s="191">
        <f t="shared" si="9"/>
        <v>14768.03728218051</v>
      </c>
      <c r="AZ57" s="540">
        <f>+IF(AZ56&gt;$I$13+$I$14,XX,AZ56+1)</f>
        <v>2035</v>
      </c>
      <c r="BA57" s="152"/>
      <c r="BB57" s="190">
        <f t="shared" si="18"/>
        <v>74.005399983955513</v>
      </c>
      <c r="BC57" s="4"/>
      <c r="BD57" s="190">
        <f t="shared" si="19"/>
        <v>22.843556841738653</v>
      </c>
      <c r="BE57" s="4"/>
      <c r="BF57" s="189">
        <f t="shared" si="23"/>
        <v>2602.1571515640744</v>
      </c>
      <c r="BG57" s="4"/>
      <c r="BH57" s="193"/>
    </row>
    <row r="58" spans="2:60" ht="12">
      <c r="B58" s="3"/>
      <c r="C58" s="499">
        <f>+IF(C57&gt;$I$13+$I$14,XX,C57+1)</f>
        <v>2036</v>
      </c>
      <c r="D58" s="7"/>
      <c r="E58" s="501">
        <f>'(2.2)_Forward_Price_Curve'!M45</f>
        <v>2.1999999999999999E-2</v>
      </c>
      <c r="F58" s="7"/>
      <c r="G58" s="613">
        <f>'[16]Data for NPC'!L29</f>
        <v>238901</v>
      </c>
      <c r="H58" s="7"/>
      <c r="I58" s="614">
        <f>'[16]Data for NPC'!L66</f>
        <v>102.22405294021156</v>
      </c>
      <c r="J58" s="7"/>
      <c r="K58" s="614">
        <f>'[16]Data for NPC'!M103</f>
        <v>3.1605574901419988</v>
      </c>
      <c r="L58" s="7"/>
      <c r="M58" s="39">
        <f t="shared" si="13"/>
        <v>5.6203690576771965</v>
      </c>
      <c r="N58" s="7"/>
      <c r="O58" s="614">
        <f>'[16]Data for NPC'!L177</f>
        <v>0.89000000000000024</v>
      </c>
      <c r="P58" s="7"/>
      <c r="Q58" s="614">
        <f>'[16]Data for NPC'!L214</f>
        <v>0</v>
      </c>
      <c r="R58" s="7"/>
      <c r="S58" s="614">
        <f t="shared" si="20"/>
        <v>12583.911343691814</v>
      </c>
      <c r="T58" s="7"/>
      <c r="U58" s="23">
        <f t="shared" si="0"/>
        <v>15262.660032249707</v>
      </c>
      <c r="V58" s="7"/>
      <c r="W58" s="23">
        <f t="shared" si="1"/>
        <v>-2678.7486885578928</v>
      </c>
      <c r="X58" s="7"/>
      <c r="Y58" s="334">
        <f t="shared" si="6"/>
        <v>-11.212798140476151</v>
      </c>
      <c r="Z58" s="290"/>
      <c r="AB58" s="540">
        <f>+IF(AB57&gt;$I$13+$I$14,XX,AB57+1)</f>
        <v>2036</v>
      </c>
      <c r="AC58" s="152"/>
      <c r="AD58" s="187">
        <f t="shared" si="2"/>
        <v>238901</v>
      </c>
      <c r="AE58" s="4"/>
      <c r="AF58" s="190">
        <f t="shared" si="14"/>
        <v>147.86831065234534</v>
      </c>
      <c r="AG58" s="4"/>
      <c r="AH58" s="190">
        <f t="shared" si="15"/>
        <v>29.574843817183307</v>
      </c>
      <c r="AI58" s="4"/>
      <c r="AJ58" s="190">
        <f t="shared" si="16"/>
        <v>3.0226445565153028</v>
      </c>
      <c r="AK58" s="4"/>
      <c r="AL58" s="189">
        <f t="shared" si="21"/>
        <v>7593.9893568868792</v>
      </c>
      <c r="AM58" s="4"/>
      <c r="AN58" s="190">
        <f>INDEX('(2.2)_Forward_Price_Curve'!$G:$G,MATCH($AB58,'(2.2)_Forward_Price_Curve'!$C:$C,0),1)</f>
        <v>6.0717541666666675</v>
      </c>
      <c r="AO58" s="4"/>
      <c r="AP58" s="190">
        <f t="shared" si="22"/>
        <v>38.949595948734718</v>
      </c>
      <c r="AQ58" s="4"/>
      <c r="AR58" s="190">
        <f t="shared" si="17"/>
        <v>4.2820158245994779</v>
      </c>
      <c r="AS58" s="190"/>
      <c r="AT58" s="189">
        <f t="shared" si="3"/>
        <v>4934.5847479883942</v>
      </c>
      <c r="AU58" s="4"/>
      <c r="AV58" s="189">
        <f t="shared" si="4"/>
        <v>10328.075284261313</v>
      </c>
      <c r="AW58" s="337"/>
      <c r="AX58" s="191">
        <f t="shared" si="9"/>
        <v>15262.660032249707</v>
      </c>
      <c r="AZ58" s="540">
        <f>+IF(AZ57&gt;$I$13+$I$14,XX,AZ57+1)</f>
        <v>2036</v>
      </c>
      <c r="BA58" s="152"/>
      <c r="BB58" s="190">
        <f t="shared" si="18"/>
        <v>75.63351878360254</v>
      </c>
      <c r="BC58" s="4"/>
      <c r="BD58" s="190">
        <f t="shared" si="19"/>
        <v>23.346115092256905</v>
      </c>
      <c r="BE58" s="4"/>
      <c r="BF58" s="189">
        <f t="shared" si="23"/>
        <v>2659.4046088984846</v>
      </c>
      <c r="BG58" s="4"/>
      <c r="BH58" s="193"/>
    </row>
    <row r="59" spans="2:60" ht="12">
      <c r="B59" s="3"/>
      <c r="C59" s="499">
        <f>+IF(C58&gt;$I$13+$I$14,XX,C58+1)</f>
        <v>2037</v>
      </c>
      <c r="D59" s="7"/>
      <c r="E59" s="501">
        <f>'(2.2)_Forward_Price_Curve'!M46</f>
        <v>2.1999999999999999E-2</v>
      </c>
      <c r="F59" s="7"/>
      <c r="G59" s="613">
        <f>'[16]Data for NPC'!L30</f>
        <v>238901</v>
      </c>
      <c r="H59" s="7"/>
      <c r="I59" s="614">
        <f>'[16]Data for NPC'!L67</f>
        <v>104.1663099460756</v>
      </c>
      <c r="J59" s="7"/>
      <c r="K59" s="614">
        <f>'[16]Data for NPC'!M104</f>
        <v>3.2212643730810648</v>
      </c>
      <c r="L59" s="7"/>
      <c r="M59" s="39">
        <f t="shared" si="13"/>
        <v>5.7440171769460946</v>
      </c>
      <c r="N59" s="7"/>
      <c r="O59" s="614">
        <f>'[16]Data for NPC'!L178</f>
        <v>0.91000000000000025</v>
      </c>
      <c r="P59" s="7"/>
      <c r="Q59" s="614">
        <f>'[16]Data for NPC'!L215</f>
        <v>0</v>
      </c>
      <c r="R59" s="7"/>
      <c r="S59" s="614">
        <f t="shared" si="20"/>
        <v>12827.928787163635</v>
      </c>
      <c r="T59" s="7"/>
      <c r="U59" s="23">
        <f t="shared" si="0"/>
        <v>15651.649878433424</v>
      </c>
      <c r="V59" s="7"/>
      <c r="W59" s="23">
        <f t="shared" si="1"/>
        <v>-2823.7210912697883</v>
      </c>
      <c r="X59" s="7"/>
      <c r="Y59" s="334">
        <f t="shared" si="6"/>
        <v>-11.819628596237724</v>
      </c>
      <c r="Z59" s="290"/>
      <c r="AB59" s="540">
        <f>+IF(AB58&gt;$I$13+$I$14,XX,AB58+1)</f>
        <v>2037</v>
      </c>
      <c r="AC59" s="152"/>
      <c r="AD59" s="187">
        <f t="shared" si="2"/>
        <v>238901</v>
      </c>
      <c r="AE59" s="4"/>
      <c r="AF59" s="190">
        <f t="shared" si="14"/>
        <v>151.12141348669695</v>
      </c>
      <c r="AG59" s="4"/>
      <c r="AH59" s="190">
        <f t="shared" si="15"/>
        <v>30.22549038116134</v>
      </c>
      <c r="AI59" s="4"/>
      <c r="AJ59" s="190">
        <f t="shared" si="16"/>
        <v>3.0891427367586397</v>
      </c>
      <c r="AK59" s="4"/>
      <c r="AL59" s="189">
        <f t="shared" si="21"/>
        <v>7761.0571227383907</v>
      </c>
      <c r="AM59" s="4"/>
      <c r="AN59" s="190">
        <f>INDEX('(2.2)_Forward_Price_Curve'!$G:$G,MATCH($AB59,'(2.2)_Forward_Price_Curve'!$C:$C,0),1)</f>
        <v>6.240054166666666</v>
      </c>
      <c r="AO59" s="4"/>
      <c r="AP59" s="190">
        <f t="shared" si="22"/>
        <v>40.029220850902121</v>
      </c>
      <c r="AQ59" s="4"/>
      <c r="AR59" s="190">
        <f t="shared" si="17"/>
        <v>4.3762201727406662</v>
      </c>
      <c r="AS59" s="190"/>
      <c r="AT59" s="189">
        <f t="shared" si="3"/>
        <v>5043.1456124441393</v>
      </c>
      <c r="AU59" s="4"/>
      <c r="AV59" s="189">
        <f t="shared" si="4"/>
        <v>10608.504265989284</v>
      </c>
      <c r="AW59" s="337"/>
      <c r="AX59" s="191">
        <f t="shared" si="9"/>
        <v>15651.649878433424</v>
      </c>
      <c r="AZ59" s="540">
        <f>+IF(AZ58&gt;$I$13+$I$14,XX,AZ58+1)</f>
        <v>2037</v>
      </c>
      <c r="BA59" s="152"/>
      <c r="BB59" s="190">
        <f t="shared" si="18"/>
        <v>77.297456196841793</v>
      </c>
      <c r="BC59" s="4"/>
      <c r="BD59" s="190">
        <f t="shared" si="19"/>
        <v>23.859729624286558</v>
      </c>
      <c r="BE59" s="4"/>
      <c r="BF59" s="189">
        <f t="shared" si="23"/>
        <v>2717.9115102942515</v>
      </c>
      <c r="BG59" s="4"/>
      <c r="BH59" s="193"/>
    </row>
    <row r="60" spans="2:60" ht="12">
      <c r="B60" s="3"/>
      <c r="C60" s="499">
        <f>+IF(C59&gt;$I$13+$I$14,XX,C59+1)</f>
        <v>2038</v>
      </c>
      <c r="D60" s="7"/>
      <c r="E60" s="501">
        <f>'(2.2)_Forward_Price_Curve'!M47</f>
        <v>2.1999999999999999E-2</v>
      </c>
      <c r="F60" s="7"/>
      <c r="G60" s="613">
        <f>'[16]Data for NPC'!L31</f>
        <v>238901</v>
      </c>
      <c r="H60" s="7"/>
      <c r="I60" s="614">
        <f>'[16]Data for NPC'!L68</f>
        <v>106.14546983505102</v>
      </c>
      <c r="J60" s="7"/>
      <c r="K60" s="614">
        <f>'[16]Data for NPC'!M105</f>
        <v>3.2953534536619293</v>
      </c>
      <c r="L60" s="7"/>
      <c r="M60" s="39">
        <f t="shared" si="13"/>
        <v>5.8703855548389088</v>
      </c>
      <c r="N60" s="7"/>
      <c r="O60" s="614">
        <f>'[16]Data for NPC'!L179</f>
        <v>0.92999999999999994</v>
      </c>
      <c r="P60" s="7"/>
      <c r="Q60" s="614">
        <f>'[16]Data for NPC'!L216</f>
        <v>0</v>
      </c>
      <c r="R60" s="7"/>
      <c r="S60" s="614">
        <f t="shared" si="20"/>
        <v>13079.501863292486</v>
      </c>
      <c r="T60" s="7"/>
      <c r="U60" s="23">
        <f t="shared" si="0"/>
        <v>16276.54316961372</v>
      </c>
      <c r="V60" s="7"/>
      <c r="W60" s="23">
        <f t="shared" si="1"/>
        <v>-3197.0413063212345</v>
      </c>
      <c r="X60" s="7"/>
      <c r="Y60" s="334">
        <f t="shared" si="6"/>
        <v>-13.382285157120458</v>
      </c>
      <c r="Z60" s="290"/>
      <c r="AB60" s="540">
        <f>+IF(AB59&gt;$I$13+$I$14,XX,AB59+1)</f>
        <v>2038</v>
      </c>
      <c r="AC60" s="152"/>
      <c r="AD60" s="187">
        <f t="shared" si="2"/>
        <v>238901</v>
      </c>
      <c r="AE60" s="4"/>
      <c r="AF60" s="190">
        <f t="shared" si="14"/>
        <v>154.44608458340429</v>
      </c>
      <c r="AG60" s="4"/>
      <c r="AH60" s="190">
        <f t="shared" si="15"/>
        <v>30.890451169546889</v>
      </c>
      <c r="AI60" s="4"/>
      <c r="AJ60" s="190">
        <f t="shared" si="16"/>
        <v>3.1571038769673296</v>
      </c>
      <c r="AK60" s="4"/>
      <c r="AL60" s="189">
        <f t="shared" si="21"/>
        <v>7931.800379438635</v>
      </c>
      <c r="AM60" s="4"/>
      <c r="AN60" s="190">
        <f>INDEX('(2.2)_Forward_Price_Curve'!$G:$G,MATCH($AB60,'(2.2)_Forward_Price_Curve'!$C:$C,0),1)</f>
        <v>6.5604041666666673</v>
      </c>
      <c r="AO60" s="4"/>
      <c r="AP60" s="190">
        <f t="shared" si="22"/>
        <v>42.084228797481622</v>
      </c>
      <c r="AQ60" s="4"/>
      <c r="AR60" s="190">
        <f t="shared" si="17"/>
        <v>4.4724970165409612</v>
      </c>
      <c r="AS60" s="190"/>
      <c r="AT60" s="189">
        <f t="shared" si="3"/>
        <v>5154.0948159179097</v>
      </c>
      <c r="AU60" s="4"/>
      <c r="AV60" s="189">
        <f t="shared" si="4"/>
        <v>11122.448353695811</v>
      </c>
      <c r="AW60" s="337"/>
      <c r="AX60" s="191">
        <f t="shared" si="9"/>
        <v>16276.54316961372</v>
      </c>
      <c r="AZ60" s="540">
        <f>+IF(AZ59&gt;$I$13+$I$14,XX,AZ59+1)</f>
        <v>2038</v>
      </c>
      <c r="BA60" s="152"/>
      <c r="BB60" s="190">
        <f t="shared" si="18"/>
        <v>78.99800023317232</v>
      </c>
      <c r="BC60" s="4"/>
      <c r="BD60" s="190">
        <f t="shared" si="19"/>
        <v>24.384643676020865</v>
      </c>
      <c r="BE60" s="4"/>
      <c r="BF60" s="189">
        <f t="shared" si="23"/>
        <v>2777.7055635207248</v>
      </c>
      <c r="BG60" s="4"/>
      <c r="BH60" s="193"/>
    </row>
    <row r="61" spans="2:60" ht="12">
      <c r="B61" s="3"/>
      <c r="C61" s="499">
        <f>+IF(C60&gt;$I$13+$I$14,XX,C60+1)</f>
        <v>2039</v>
      </c>
      <c r="D61" s="7"/>
      <c r="E61" s="501">
        <f>'(2.2)_Forward_Price_Curve'!M48</f>
        <v>2.1999999999999999E-2</v>
      </c>
      <c r="F61" s="7"/>
      <c r="G61" s="613">
        <f>'[16]Data for NPC'!L32</f>
        <v>238901</v>
      </c>
      <c r="H61" s="7"/>
      <c r="I61" s="614">
        <f>'[16]Data for NPC'!L69</f>
        <v>108.16223376191699</v>
      </c>
      <c r="J61" s="7"/>
      <c r="K61" s="614">
        <f>'[16]Data for NPC'!M106</f>
        <v>3.3711465830961536</v>
      </c>
      <c r="L61" s="7"/>
      <c r="M61" s="39">
        <f t="shared" si="13"/>
        <v>5.9995340370453647</v>
      </c>
      <c r="N61" s="7"/>
      <c r="O61" s="614">
        <f>'[16]Data for NPC'!L180</f>
        <v>0.95999999999999985</v>
      </c>
      <c r="P61" s="7"/>
      <c r="Q61" s="614">
        <f>'[16]Data for NPC'!L217</f>
        <v>0</v>
      </c>
      <c r="R61" s="7"/>
      <c r="S61" s="614">
        <f t="shared" si="20"/>
        <v>13338.314423905085</v>
      </c>
      <c r="T61" s="7"/>
      <c r="U61" s="23">
        <f t="shared" si="0"/>
        <v>16738.098324302082</v>
      </c>
      <c r="V61" s="7"/>
      <c r="W61" s="23">
        <f t="shared" si="1"/>
        <v>-3399.7839003969966</v>
      </c>
      <c r="X61" s="7"/>
      <c r="Y61" s="334">
        <f t="shared" si="6"/>
        <v>-14.230932061385246</v>
      </c>
      <c r="Z61" s="290"/>
      <c r="AB61" s="540">
        <f>+IF(AB60&gt;$I$13+$I$14,XX,AB60+1)</f>
        <v>2039</v>
      </c>
      <c r="AC61" s="152"/>
      <c r="AD61" s="187">
        <f t="shared" si="2"/>
        <v>238901</v>
      </c>
      <c r="AE61" s="4"/>
      <c r="AF61" s="190">
        <f t="shared" si="14"/>
        <v>157.84389844423919</v>
      </c>
      <c r="AG61" s="4"/>
      <c r="AH61" s="190">
        <f t="shared" si="15"/>
        <v>31.57004109527692</v>
      </c>
      <c r="AI61" s="4"/>
      <c r="AJ61" s="190">
        <f t="shared" si="16"/>
        <v>3.2265601622606108</v>
      </c>
      <c r="AK61" s="4"/>
      <c r="AL61" s="189">
        <f t="shared" si="21"/>
        <v>8106.2999877862858</v>
      </c>
      <c r="AM61" s="4"/>
      <c r="AN61" s="190">
        <f>INDEX('(2.2)_Forward_Price_Curve'!$G:$G,MATCH($AB61,'(2.2)_Forward_Price_Curve'!$C:$C,0),1)</f>
        <v>6.7722499999999988</v>
      </c>
      <c r="AO61" s="4"/>
      <c r="AP61" s="190">
        <f t="shared" si="22"/>
        <v>43.443195149751801</v>
      </c>
      <c r="AQ61" s="4"/>
      <c r="AR61" s="190">
        <f t="shared" si="17"/>
        <v>4.5708919509048629</v>
      </c>
      <c r="AS61" s="190"/>
      <c r="AT61" s="189">
        <f t="shared" si="3"/>
        <v>5267.4849018681052</v>
      </c>
      <c r="AU61" s="4"/>
      <c r="AV61" s="189">
        <f t="shared" si="4"/>
        <v>11470.613422433978</v>
      </c>
      <c r="AW61" s="337"/>
      <c r="AX61" s="191">
        <f t="shared" si="9"/>
        <v>16738.098324302082</v>
      </c>
      <c r="AZ61" s="540">
        <f>+IF(AZ60&gt;$I$13+$I$14,XX,AZ60+1)</f>
        <v>2039</v>
      </c>
      <c r="BA61" s="152"/>
      <c r="BB61" s="190">
        <f t="shared" si="18"/>
        <v>80.735956238302109</v>
      </c>
      <c r="BC61" s="4"/>
      <c r="BD61" s="190">
        <f t="shared" si="19"/>
        <v>24.921105836893325</v>
      </c>
      <c r="BE61" s="4"/>
      <c r="BF61" s="189">
        <f t="shared" si="23"/>
        <v>2838.815085918181</v>
      </c>
      <c r="BG61" s="4"/>
      <c r="BH61" s="193"/>
    </row>
    <row r="62" spans="2:60" ht="12">
      <c r="B62" s="3"/>
      <c r="C62" s="499">
        <f>+IF(C61&gt;$I$13+$I$14,XX,C61+1)</f>
        <v>2040</v>
      </c>
      <c r="D62" s="7"/>
      <c r="E62" s="501">
        <f>'(2.2)_Forward_Price_Curve'!M49</f>
        <v>2.1999999999999999E-2</v>
      </c>
      <c r="F62" s="7"/>
      <c r="G62" s="613">
        <f>'[16]Data for NPC'!L33</f>
        <v>238901</v>
      </c>
      <c r="H62" s="7"/>
      <c r="I62" s="614">
        <f>'[16]Data for NPC'!L70</f>
        <v>110.21731620339342</v>
      </c>
      <c r="J62" s="7"/>
      <c r="K62" s="614">
        <f>'[16]Data for NPC'!M107</f>
        <v>3.4581314009580693</v>
      </c>
      <c r="L62" s="7"/>
      <c r="M62" s="39">
        <f t="shared" si="13"/>
        <v>6.1315237858603631</v>
      </c>
      <c r="N62" s="7"/>
      <c r="O62" s="614">
        <f>'[16]Data for NPC'!L181</f>
        <v>0.9800000000000002</v>
      </c>
      <c r="P62" s="7"/>
      <c r="Q62" s="614">
        <f>'[16]Data for NPC'!L218</f>
        <v>0</v>
      </c>
      <c r="R62" s="7"/>
      <c r="S62" s="614">
        <f t="shared" si="20"/>
        <v>13601.94147222715</v>
      </c>
      <c r="T62" s="7"/>
      <c r="U62" s="23">
        <f t="shared" si="0"/>
        <v>17343.171941308101</v>
      </c>
      <c r="V62" s="7"/>
      <c r="W62" s="23">
        <f t="shared" si="1"/>
        <v>-3741.2304690809506</v>
      </c>
      <c r="X62" s="7"/>
      <c r="Y62" s="334">
        <f t="shared" si="6"/>
        <v>-15.660170820050777</v>
      </c>
      <c r="Z62" s="290"/>
      <c r="AB62" s="540">
        <f>+IF(AB61&gt;$I$13+$I$14,XX,AB61+1)</f>
        <v>2040</v>
      </c>
      <c r="AC62" s="152"/>
      <c r="AD62" s="187">
        <f t="shared" si="2"/>
        <v>238901</v>
      </c>
      <c r="AE62" s="4"/>
      <c r="AF62" s="190">
        <f t="shared" si="14"/>
        <v>161.31646421001244</v>
      </c>
      <c r="AG62" s="4"/>
      <c r="AH62" s="190">
        <f t="shared" si="15"/>
        <v>32.264581999373014</v>
      </c>
      <c r="AI62" s="4"/>
      <c r="AJ62" s="190">
        <f t="shared" si="16"/>
        <v>3.2975444858303442</v>
      </c>
      <c r="AK62" s="4"/>
      <c r="AL62" s="189">
        <f t="shared" si="21"/>
        <v>8284.6385875175838</v>
      </c>
      <c r="AM62" s="4"/>
      <c r="AN62" s="190">
        <f>INDEX('(2.2)_Forward_Price_Curve'!$G:$G,MATCH($AB62,'(2.2)_Forward_Price_Curve'!$C:$C,0),1)</f>
        <v>7.075779166666667</v>
      </c>
      <c r="AO62" s="4"/>
      <c r="AP62" s="190">
        <f t="shared" si="22"/>
        <v>45.39029940921381</v>
      </c>
      <c r="AQ62" s="4"/>
      <c r="AR62" s="190">
        <f t="shared" si="17"/>
        <v>4.6714515738247702</v>
      </c>
      <c r="AS62" s="190"/>
      <c r="AT62" s="189">
        <f t="shared" si="3"/>
        <v>5383.3695697092026</v>
      </c>
      <c r="AU62" s="4"/>
      <c r="AV62" s="189">
        <f t="shared" si="4"/>
        <v>11959.8023715989</v>
      </c>
      <c r="AW62" s="337"/>
      <c r="AX62" s="191">
        <f t="shared" si="9"/>
        <v>17343.171941308101</v>
      </c>
      <c r="AZ62" s="540">
        <f>+IF(AZ61&gt;$I$13+$I$14,XX,AZ61+1)</f>
        <v>2040</v>
      </c>
      <c r="BA62" s="152"/>
      <c r="BB62" s="190">
        <f t="shared" si="18"/>
        <v>82.512147275544763</v>
      </c>
      <c r="BC62" s="4"/>
      <c r="BD62" s="190">
        <f t="shared" si="19"/>
        <v>25.46937016530498</v>
      </c>
      <c r="BE62" s="4"/>
      <c r="BF62" s="189">
        <f t="shared" si="23"/>
        <v>2901.2690178083812</v>
      </c>
      <c r="BG62" s="4"/>
      <c r="BH62" s="193"/>
    </row>
    <row r="63" spans="2:60" ht="12">
      <c r="B63" s="3"/>
      <c r="C63" s="499">
        <f>+IF(C62&gt;$I$13+$I$14,XX,C62+1)</f>
        <v>2041</v>
      </c>
      <c r="D63" s="7"/>
      <c r="E63" s="501">
        <f>'(2.2)_Forward_Price_Curve'!M50</f>
        <v>2.1999999999999999E-2</v>
      </c>
      <c r="F63" s="7"/>
      <c r="G63" s="613">
        <f>'[16]Data for NPC'!L34</f>
        <v>238901</v>
      </c>
      <c r="H63" s="7"/>
      <c r="I63" s="614">
        <f>'[16]Data for NPC'!L71</f>
        <v>112.31144521125788</v>
      </c>
      <c r="J63" s="7"/>
      <c r="K63" s="614">
        <f>'[16]Data for NPC'!M108</f>
        <v>3.5280026624610334</v>
      </c>
      <c r="L63" s="7"/>
      <c r="M63" s="39">
        <f t="shared" si="13"/>
        <v>6.2664173091492907</v>
      </c>
      <c r="N63" s="7"/>
      <c r="O63" s="614">
        <f>'[16]Data for NPC'!L182</f>
        <v>1</v>
      </c>
      <c r="P63" s="7"/>
      <c r="Q63" s="614">
        <f>'[16]Data for NPC'!L219</f>
        <v>0</v>
      </c>
      <c r="R63" s="7"/>
      <c r="S63" s="614">
        <f t="shared" si="20"/>
        <v>13866.097969369095</v>
      </c>
      <c r="T63" s="7"/>
      <c r="U63" s="23">
        <f t="shared" si="0"/>
        <v>17735.57636091538</v>
      </c>
      <c r="V63" s="7"/>
      <c r="W63" s="23">
        <f t="shared" si="1"/>
        <v>-3869.4783915462849</v>
      </c>
      <c r="X63" s="7"/>
      <c r="Y63" s="334">
        <f t="shared" si="6"/>
        <v>-16.196995372753921</v>
      </c>
      <c r="Z63" s="290"/>
      <c r="AB63" s="540">
        <f>+IF(AB62&gt;$I$13+$I$14,XX,AB62+1)</f>
        <v>2041</v>
      </c>
      <c r="AC63" s="152"/>
      <c r="AD63" s="187">
        <f t="shared" si="2"/>
        <v>238901</v>
      </c>
      <c r="AE63" s="4"/>
      <c r="AF63" s="190">
        <f t="shared" si="14"/>
        <v>164.86542642263271</v>
      </c>
      <c r="AG63" s="4"/>
      <c r="AH63" s="190">
        <f t="shared" si="15"/>
        <v>32.974402803359219</v>
      </c>
      <c r="AI63" s="4"/>
      <c r="AJ63" s="190">
        <f t="shared" si="16"/>
        <v>3.3700904645186118</v>
      </c>
      <c r="AK63" s="4"/>
      <c r="AL63" s="189">
        <f t="shared" si="21"/>
        <v>8466.9006364429697</v>
      </c>
      <c r="AM63" s="4"/>
      <c r="AN63" s="190">
        <f>INDEX('(2.2)_Forward_Price_Curve'!$G:$G,MATCH($AB63,'(2.2)_Forward_Price_Curve'!$C:$C,0),1)</f>
        <v>7.2385291666666687</v>
      </c>
      <c r="AO63" s="4"/>
      <c r="AP63" s="190">
        <f t="shared" si="22"/>
        <v>46.434321707655563</v>
      </c>
      <c r="AQ63" s="4"/>
      <c r="AR63" s="190">
        <f t="shared" si="17"/>
        <v>4.7742235084489151</v>
      </c>
      <c r="AS63" s="190"/>
      <c r="AT63" s="189">
        <f t="shared" si="3"/>
        <v>5501.8037002428046</v>
      </c>
      <c r="AU63" s="4"/>
      <c r="AV63" s="189">
        <f t="shared" si="4"/>
        <v>12233.772660672576</v>
      </c>
      <c r="AW63" s="337"/>
      <c r="AX63" s="191">
        <f t="shared" si="9"/>
        <v>17735.57636091538</v>
      </c>
      <c r="AZ63" s="540">
        <f>+IF(AZ62&gt;$I$13+$I$14,XX,AZ62+1)</f>
        <v>2041</v>
      </c>
      <c r="BA63" s="152"/>
      <c r="BB63" s="190">
        <f t="shared" si="18"/>
        <v>84.327414515606748</v>
      </c>
      <c r="BC63" s="4"/>
      <c r="BD63" s="190">
        <f t="shared" si="19"/>
        <v>26.029696308941691</v>
      </c>
      <c r="BE63" s="4"/>
      <c r="BF63" s="189">
        <f t="shared" si="23"/>
        <v>2965.0969362001656</v>
      </c>
      <c r="BG63" s="4"/>
      <c r="BH63" s="193"/>
    </row>
    <row r="64" spans="2:60" ht="12">
      <c r="B64" s="3"/>
      <c r="C64" s="499">
        <f>+IF(C63&gt;$I$13+$I$14,XX,C63+1)</f>
        <v>2042</v>
      </c>
      <c r="D64" s="7"/>
      <c r="E64" s="501">
        <f>'(2.2)_Forward_Price_Curve'!M51</f>
        <v>2.1999999999999999E-2</v>
      </c>
      <c r="F64" s="7"/>
      <c r="G64" s="613">
        <f>'[16]Data for NPC'!L35</f>
        <v>238901</v>
      </c>
      <c r="H64" s="7"/>
      <c r="I64" s="614">
        <f>'[16]Data for NPC'!L72</f>
        <v>114.44536267027178</v>
      </c>
      <c r="J64" s="7"/>
      <c r="K64" s="614">
        <f>'[16]Data for NPC'!M109</f>
        <v>3.6091467236976369</v>
      </c>
      <c r="L64" s="7"/>
      <c r="M64" s="39">
        <f t="shared" si="13"/>
        <v>6.4042784899505749</v>
      </c>
      <c r="N64" s="7"/>
      <c r="O64" s="614">
        <f>'[16]Data for NPC'!L183</f>
        <v>1.0199999999999998</v>
      </c>
      <c r="P64" s="7"/>
      <c r="Q64" s="614">
        <f>'[16]Data for NPC'!L220</f>
        <v>0</v>
      </c>
      <c r="R64" s="7"/>
      <c r="S64" s="614">
        <f t="shared" si="20"/>
        <v>14137.655265328087</v>
      </c>
      <c r="T64" s="7"/>
      <c r="U64" s="23">
        <f t="shared" si="0"/>
        <v>18136.82874168815</v>
      </c>
      <c r="V64" s="7"/>
      <c r="W64" s="23">
        <f t="shared" si="1"/>
        <v>-3999.1734763600634</v>
      </c>
      <c r="X64" s="7"/>
      <c r="Y64" s="334">
        <f t="shared" si="6"/>
        <v>-16.739877507252224</v>
      </c>
      <c r="Z64" s="290"/>
      <c r="AB64" s="540">
        <f>+IF(AB63&gt;$I$13+$I$14,XX,AB63+1)</f>
        <v>2042</v>
      </c>
      <c r="AC64" s="152"/>
      <c r="AD64" s="187">
        <f t="shared" si="2"/>
        <v>238901</v>
      </c>
      <c r="AE64" s="4"/>
      <c r="AF64" s="190">
        <f t="shared" si="14"/>
        <v>168.49246580393063</v>
      </c>
      <c r="AG64" s="4"/>
      <c r="AH64" s="190">
        <f t="shared" si="15"/>
        <v>33.699839665033124</v>
      </c>
      <c r="AI64" s="4"/>
      <c r="AJ64" s="190">
        <f t="shared" si="16"/>
        <v>3.4442324547380214</v>
      </c>
      <c r="AK64" s="4"/>
      <c r="AL64" s="189">
        <f t="shared" si="21"/>
        <v>8653.1724504447157</v>
      </c>
      <c r="AM64" s="4"/>
      <c r="AN64" s="190">
        <f>INDEX('(2.2)_Forward_Price_Curve'!$G:$G,MATCH($AB64,'(2.2)_Forward_Price_Curve'!$C:$C,0),1)</f>
        <v>7.4050000000000002</v>
      </c>
      <c r="AO64" s="4"/>
      <c r="AP64" s="190">
        <f t="shared" si="22"/>
        <v>47.502212718655123</v>
      </c>
      <c r="AQ64" s="4"/>
      <c r="AR64" s="190">
        <f t="shared" si="17"/>
        <v>4.8792564256347912</v>
      </c>
      <c r="AS64" s="190"/>
      <c r="AT64" s="189">
        <f t="shared" si="3"/>
        <v>5622.8433816481465</v>
      </c>
      <c r="AU64" s="4"/>
      <c r="AV64" s="189">
        <f t="shared" si="4"/>
        <v>12513.985360040006</v>
      </c>
      <c r="AW64" s="337"/>
      <c r="AX64" s="191">
        <f t="shared" si="9"/>
        <v>18136.82874168815</v>
      </c>
      <c r="AZ64" s="540">
        <f>+IF(AZ63&gt;$I$13+$I$14,XX,AZ63+1)</f>
        <v>2042</v>
      </c>
      <c r="BA64" s="152"/>
      <c r="BB64" s="190">
        <f t="shared" si="18"/>
        <v>86.182617634950091</v>
      </c>
      <c r="BC64" s="4"/>
      <c r="BD64" s="190">
        <f t="shared" si="19"/>
        <v>26.602349627738409</v>
      </c>
      <c r="BE64" s="4"/>
      <c r="BF64" s="189">
        <f t="shared" si="23"/>
        <v>3030.3290687965691</v>
      </c>
      <c r="BG64" s="4"/>
      <c r="BH64" s="193"/>
    </row>
    <row r="65" spans="2:60" ht="12">
      <c r="B65" s="3"/>
      <c r="C65" s="499">
        <f>+IF(C64&gt;$I$13+$I$14,XX,C64+1)</f>
        <v>2043</v>
      </c>
      <c r="D65" s="7"/>
      <c r="E65" s="501">
        <f>'(2.2)_Forward_Price_Curve'!M52</f>
        <v>2.3E-2</v>
      </c>
      <c r="F65" s="7"/>
      <c r="G65" s="613">
        <f>'[16]Data for NPC'!L36</f>
        <v>238901</v>
      </c>
      <c r="H65" s="7"/>
      <c r="I65" s="614">
        <f>'[16]Data for NPC'!L73</f>
        <v>116.61982456100694</v>
      </c>
      <c r="J65" s="7"/>
      <c r="K65" s="614">
        <f>'[16]Data for NPC'!M110</f>
        <v>3.6921570983426824</v>
      </c>
      <c r="L65" s="7"/>
      <c r="M65" s="39">
        <f t="shared" si="13"/>
        <v>6.551576895219438</v>
      </c>
      <c r="N65" s="7"/>
      <c r="O65" s="614">
        <f>'[16]Data for NPC'!L184</f>
        <v>1.05</v>
      </c>
      <c r="P65" s="7"/>
      <c r="Q65" s="614">
        <f>'[16]Data for NPC'!L221</f>
        <v>0</v>
      </c>
      <c r="R65" s="7"/>
      <c r="S65" s="614">
        <f t="shared" si="20"/>
        <v>14418.376713177182</v>
      </c>
      <c r="T65" s="7"/>
      <c r="U65" s="23">
        <f t="shared" si="0"/>
        <v>18542.62747662628</v>
      </c>
      <c r="V65" s="7"/>
      <c r="W65" s="23">
        <f t="shared" si="1"/>
        <v>-4124.2507634490976</v>
      </c>
      <c r="X65" s="7"/>
      <c r="Y65" s="334">
        <f t="shared" si="6"/>
        <v>-17.263430305645844</v>
      </c>
      <c r="Z65" s="290"/>
      <c r="AB65" s="540">
        <f>+IF(AB64&gt;$I$13+$I$14,XX,AB64+1)</f>
        <v>2043</v>
      </c>
      <c r="AC65" s="152"/>
      <c r="AD65" s="187">
        <f t="shared" si="2"/>
        <v>238901</v>
      </c>
      <c r="AE65" s="4"/>
      <c r="AF65" s="190">
        <f t="shared" si="14"/>
        <v>172.36779251742101</v>
      </c>
      <c r="AG65" s="4"/>
      <c r="AH65" s="190">
        <f t="shared" si="15"/>
        <v>34.474935977328883</v>
      </c>
      <c r="AI65" s="4"/>
      <c r="AJ65" s="190">
        <f t="shared" si="16"/>
        <v>3.5234498011969957</v>
      </c>
      <c r="AK65" s="4"/>
      <c r="AL65" s="189">
        <f t="shared" si="21"/>
        <v>8852.1954168049433</v>
      </c>
      <c r="AM65" s="4"/>
      <c r="AN65" s="190">
        <f>INDEX('(2.2)_Forward_Price_Curve'!$G:$G,MATCH($AB65,'(2.2)_Forward_Price_Curve'!$C:$C,0),1)</f>
        <v>7.5679100000000004</v>
      </c>
      <c r="AO65" s="4"/>
      <c r="AP65" s="190">
        <f t="shared" si="22"/>
        <v>48.547261398465537</v>
      </c>
      <c r="AQ65" s="4"/>
      <c r="AR65" s="190">
        <f t="shared" si="17"/>
        <v>4.9914793234243913</v>
      </c>
      <c r="AS65" s="190"/>
      <c r="AT65" s="189">
        <f t="shared" si="3"/>
        <v>5752.1687794260533</v>
      </c>
      <c r="AU65" s="4"/>
      <c r="AV65" s="189">
        <f t="shared" si="4"/>
        <v>12790.458697200225</v>
      </c>
      <c r="AW65" s="337"/>
      <c r="AX65" s="191">
        <f t="shared" si="9"/>
        <v>18542.62747662628</v>
      </c>
      <c r="AZ65" s="540">
        <f>+IF(AZ64&gt;$I$13+$I$14,XX,AZ64+1)</f>
        <v>2043</v>
      </c>
      <c r="BA65" s="152"/>
      <c r="BB65" s="190">
        <f t="shared" si="18"/>
        <v>88.164817840553937</v>
      </c>
      <c r="BC65" s="4"/>
      <c r="BD65" s="190">
        <f t="shared" si="19"/>
        <v>27.214203669176388</v>
      </c>
      <c r="BE65" s="4"/>
      <c r="BF65" s="189">
        <f t="shared" si="23"/>
        <v>3100.02663737889</v>
      </c>
      <c r="BG65" s="4"/>
      <c r="BH65" s="193"/>
    </row>
    <row r="66" spans="2:60" ht="12">
      <c r="B66" s="3"/>
      <c r="C66" s="499">
        <f>+IF(C65&gt;$I$13+$I$14,XX,C65+1)</f>
        <v>2044</v>
      </c>
      <c r="D66" s="7"/>
      <c r="E66" s="501">
        <f>'(2.2)_Forward_Price_Curve'!M53</f>
        <v>2.3E-2</v>
      </c>
      <c r="F66" s="7"/>
      <c r="G66" s="613">
        <f>'[16]Data for NPC'!L37</f>
        <v>238901</v>
      </c>
      <c r="H66" s="7"/>
      <c r="I66" s="614">
        <f>'[16]Data for NPC'!L74</f>
        <v>118.83560122766605</v>
      </c>
      <c r="J66" s="7"/>
      <c r="K66" s="614">
        <f>'[16]Data for NPC'!M111</f>
        <v>3.7874248669788226</v>
      </c>
      <c r="L66" s="7"/>
      <c r="M66" s="39">
        <f t="shared" si="13"/>
        <v>6.7022631638094845</v>
      </c>
      <c r="N66" s="7"/>
      <c r="O66" s="614">
        <f>'[16]Data for NPC'!L185</f>
        <v>1.0700000000000003</v>
      </c>
      <c r="P66" s="7"/>
      <c r="Q66" s="614">
        <f>'[16]Data for NPC'!L222</f>
        <v>0</v>
      </c>
      <c r="R66" s="7"/>
      <c r="S66" s="614">
        <f t="shared" si="20"/>
        <v>14704.598953623796</v>
      </c>
      <c r="T66" s="7"/>
      <c r="U66" s="23">
        <f t="shared" si="0"/>
        <v>18957.509919293327</v>
      </c>
      <c r="V66" s="7"/>
      <c r="W66" s="23">
        <f t="shared" si="1"/>
        <v>-4252.9109656695309</v>
      </c>
      <c r="X66" s="7"/>
      <c r="Y66" s="334">
        <f t="shared" si="6"/>
        <v>-17.801980593088899</v>
      </c>
      <c r="Z66" s="290"/>
      <c r="AB66" s="540">
        <f>+IF(AB65&gt;$I$13+$I$14,XX,AB65+1)</f>
        <v>2044</v>
      </c>
      <c r="AC66" s="152"/>
      <c r="AD66" s="187">
        <f t="shared" si="2"/>
        <v>238901</v>
      </c>
      <c r="AE66" s="4"/>
      <c r="AF66" s="190">
        <f t="shared" si="14"/>
        <v>176.33225174532168</v>
      </c>
      <c r="AG66" s="4"/>
      <c r="AH66" s="190">
        <f t="shared" si="15"/>
        <v>35.267859504807447</v>
      </c>
      <c r="AI66" s="4"/>
      <c r="AJ66" s="190">
        <f t="shared" si="16"/>
        <v>3.6044891466245264</v>
      </c>
      <c r="AK66" s="4"/>
      <c r="AL66" s="189">
        <f t="shared" si="21"/>
        <v>9055.7959113914549</v>
      </c>
      <c r="AM66" s="4"/>
      <c r="AN66" s="190">
        <f>INDEX('(2.2)_Forward_Price_Curve'!$G:$G,MATCH($AB66,'(2.2)_Forward_Price_Curve'!$C:$C,0),1)</f>
        <v>7.7344040200000004</v>
      </c>
      <c r="AO66" s="4"/>
      <c r="AP66" s="190">
        <f t="shared" si="22"/>
        <v>49.615301149231783</v>
      </c>
      <c r="AQ66" s="4"/>
      <c r="AR66" s="190">
        <f t="shared" si="17"/>
        <v>5.106283347863152</v>
      </c>
      <c r="AS66" s="190"/>
      <c r="AT66" s="189">
        <f t="shared" si="3"/>
        <v>5884.4686613528502</v>
      </c>
      <c r="AU66" s="4"/>
      <c r="AV66" s="189">
        <f t="shared" si="4"/>
        <v>13073.041257940478</v>
      </c>
      <c r="AW66" s="337"/>
      <c r="AX66" s="191">
        <f t="shared" si="9"/>
        <v>18957.509919293327</v>
      </c>
      <c r="AZ66" s="540">
        <f>+IF(AZ65&gt;$I$13+$I$14,XX,AZ65+1)</f>
        <v>2044</v>
      </c>
      <c r="BA66" s="152"/>
      <c r="BB66" s="190">
        <f t="shared" si="18"/>
        <v>90.192608650886669</v>
      </c>
      <c r="BC66" s="4"/>
      <c r="BD66" s="190">
        <f t="shared" si="19"/>
        <v>27.840130353567442</v>
      </c>
      <c r="BE66" s="4"/>
      <c r="BF66" s="189">
        <f t="shared" si="23"/>
        <v>3171.3272500386042</v>
      </c>
      <c r="BG66" s="4"/>
      <c r="BH66" s="193"/>
    </row>
    <row r="67" spans="2:60" ht="12">
      <c r="B67" s="3"/>
      <c r="C67" s="499">
        <f>+IF(C66&gt;$I$13+$I$14,XX,C66+1)</f>
        <v>2045</v>
      </c>
      <c r="D67" s="7"/>
      <c r="E67" s="501">
        <f>'(2.2)_Forward_Price_Curve'!M54</f>
        <v>2.3E-2</v>
      </c>
      <c r="F67" s="7"/>
      <c r="G67" s="613">
        <f>'[16]Data for NPC'!L38</f>
        <v>238901</v>
      </c>
      <c r="H67" s="7"/>
      <c r="I67" s="614">
        <f>'[16]Data for NPC'!L75</f>
        <v>121.0934776509917</v>
      </c>
      <c r="J67" s="7"/>
      <c r="K67" s="614">
        <f>'[16]Data for NPC'!M112</f>
        <v>3.8639494759714688</v>
      </c>
      <c r="L67" s="7"/>
      <c r="M67" s="39">
        <f>M66*(1+$E67)</f>
        <v>6.8564152165771022</v>
      </c>
      <c r="N67" s="7"/>
      <c r="O67" s="614">
        <f>'[16]Data for NPC'!L186</f>
        <v>1.1000000000000001</v>
      </c>
      <c r="P67" s="7"/>
      <c r="Q67" s="614">
        <f>'[16]Data for NPC'!L223</f>
        <v>0</v>
      </c>
      <c r="R67" s="7"/>
      <c r="S67" s="614">
        <f t="shared" si="20"/>
        <v>14993.791449339211</v>
      </c>
      <c r="T67" s="7"/>
      <c r="U67" s="23">
        <f t="shared" si="0"/>
        <v>19381.679502377221</v>
      </c>
      <c r="V67" s="7"/>
      <c r="W67" s="23">
        <f t="shared" si="1"/>
        <v>-4387.8880530380102</v>
      </c>
      <c r="X67" s="7"/>
      <c r="Y67" s="334">
        <f t="shared" si="6"/>
        <v>-18.366972315051047</v>
      </c>
      <c r="Z67" s="290"/>
      <c r="AB67" s="540">
        <f>+IF(AB66&gt;$I$13+$I$14,XX,AB66+1)</f>
        <v>2045</v>
      </c>
      <c r="AC67" s="152"/>
      <c r="AD67" s="187">
        <f t="shared" si="2"/>
        <v>238901</v>
      </c>
      <c r="AE67" s="4"/>
      <c r="AF67" s="190">
        <f t="shared" si="14"/>
        <v>180.38789353546406</v>
      </c>
      <c r="AG67" s="4"/>
      <c r="AH67" s="190">
        <f t="shared" si="15"/>
        <v>36.079020273418017</v>
      </c>
      <c r="AI67" s="4"/>
      <c r="AJ67" s="190">
        <f t="shared" si="16"/>
        <v>3.68739239699689</v>
      </c>
      <c r="AK67" s="4"/>
      <c r="AL67" s="189">
        <f t="shared" si="21"/>
        <v>9264.0792173534592</v>
      </c>
      <c r="AM67" s="4"/>
      <c r="AN67" s="190">
        <f>INDEX('(2.2)_Forward_Price_Curve'!$G:$G,MATCH($AB67,'(2.2)_Forward_Price_Curve'!$C:$C,0),1)</f>
        <v>7.9045609084400006</v>
      </c>
      <c r="AO67" s="4"/>
      <c r="AP67" s="190">
        <f t="shared" si="22"/>
        <v>50.706837774514881</v>
      </c>
      <c r="AQ67" s="4"/>
      <c r="AR67" s="190">
        <f t="shared" si="17"/>
        <v>5.2237278648640038</v>
      </c>
      <c r="AS67" s="190"/>
      <c r="AT67" s="189">
        <f t="shared" si="3"/>
        <v>6019.8114405639672</v>
      </c>
      <c r="AU67" s="4"/>
      <c r="AV67" s="189">
        <f t="shared" si="4"/>
        <v>13361.868061813253</v>
      </c>
      <c r="AW67" s="337"/>
      <c r="AX67" s="191">
        <f t="shared" si="9"/>
        <v>19381.679502377221</v>
      </c>
      <c r="AZ67" s="540">
        <f>+IF(AZ66&gt;$I$13+$I$14,XX,AZ66+1)</f>
        <v>2045</v>
      </c>
      <c r="BA67" s="152"/>
      <c r="BB67" s="190">
        <f t="shared" si="18"/>
        <v>92.267038649857056</v>
      </c>
      <c r="BC67" s="4"/>
      <c r="BD67" s="190">
        <f t="shared" si="19"/>
        <v>28.480453351699492</v>
      </c>
      <c r="BE67" s="4"/>
      <c r="BF67" s="189">
        <f t="shared" si="23"/>
        <v>3244.267776789492</v>
      </c>
      <c r="BG67" s="4"/>
      <c r="BH67" s="193"/>
    </row>
    <row r="68" spans="2:60" ht="12">
      <c r="B68" s="3"/>
      <c r="C68" s="499">
        <f>+IF(C67&gt;$I$13+$I$14,XX,C67+1)</f>
        <v>2046</v>
      </c>
      <c r="D68" s="7"/>
      <c r="E68" s="501">
        <f>'(2.2)_Forward_Price_Curve'!M55</f>
        <v>2.3E-2</v>
      </c>
      <c r="F68" s="7"/>
      <c r="G68" s="613">
        <f>'[16]Data for NPC'!L39</f>
        <v>238901</v>
      </c>
      <c r="H68" s="7"/>
      <c r="I68" s="614">
        <f>'[16]Data for NPC'!L76</f>
        <v>123.39425372636053</v>
      </c>
      <c r="J68" s="7"/>
      <c r="K68" s="614">
        <f>'[16]Data for NPC'!M113</f>
        <v>3.9528203139188123</v>
      </c>
      <c r="L68" s="7"/>
      <c r="M68" s="39">
        <f t="shared" si="13"/>
        <v>7.0141127665583749</v>
      </c>
      <c r="N68" s="7"/>
      <c r="O68" s="614">
        <f>'[16]Data for NPC'!L187</f>
        <v>1.1200000000000001</v>
      </c>
      <c r="P68" s="7"/>
      <c r="Q68" s="614">
        <f>'[16]Data for NPC'!L224</f>
        <v>0</v>
      </c>
      <c r="R68" s="7"/>
      <c r="S68" s="614">
        <f t="shared" si="20"/>
        <v>15288.702899358314</v>
      </c>
      <c r="T68" s="7"/>
      <c r="U68" s="23">
        <f t="shared" si="0"/>
        <v>19815.344216680729</v>
      </c>
      <c r="V68" s="7"/>
      <c r="W68" s="23">
        <f t="shared" si="1"/>
        <v>-4526.6413173224155</v>
      </c>
      <c r="X68" s="7"/>
      <c r="Y68" s="334">
        <f t="shared" si="6"/>
        <v>-18.947770487869096</v>
      </c>
      <c r="Z68" s="290"/>
      <c r="AB68" s="540">
        <f>+IF(AB67&gt;$I$13+$I$14,XX,AB67+1)</f>
        <v>2046</v>
      </c>
      <c r="AC68" s="152"/>
      <c r="AD68" s="187">
        <f t="shared" si="2"/>
        <v>238901</v>
      </c>
      <c r="AE68" s="4"/>
      <c r="AF68" s="190">
        <f t="shared" si="14"/>
        <v>184.53681508677971</v>
      </c>
      <c r="AG68" s="4"/>
      <c r="AH68" s="190">
        <f t="shared" si="15"/>
        <v>36.908837739706627</v>
      </c>
      <c r="AI68" s="4"/>
      <c r="AJ68" s="190">
        <f t="shared" si="16"/>
        <v>3.7722024221278181</v>
      </c>
      <c r="AK68" s="4"/>
      <c r="AL68" s="189">
        <f t="shared" si="21"/>
        <v>9477.1530393525882</v>
      </c>
      <c r="AM68" s="4"/>
      <c r="AN68" s="190">
        <f>INDEX('(2.2)_Forward_Price_Curve'!$G:$G,MATCH($AB68,'(2.2)_Forward_Price_Curve'!$C:$C,0),1)</f>
        <v>8.0784612484256808</v>
      </c>
      <c r="AO68" s="4"/>
      <c r="AP68" s="190">
        <f t="shared" si="22"/>
        <v>51.822388205554205</v>
      </c>
      <c r="AQ68" s="4"/>
      <c r="AR68" s="190">
        <f t="shared" si="17"/>
        <v>5.3438736057558751</v>
      </c>
      <c r="AS68" s="190"/>
      <c r="AT68" s="189">
        <f t="shared" si="3"/>
        <v>6158.2671036969386</v>
      </c>
      <c r="AU68" s="4"/>
      <c r="AV68" s="189">
        <f t="shared" si="4"/>
        <v>13657.077112983789</v>
      </c>
      <c r="AW68" s="337"/>
      <c r="AX68" s="191">
        <f t="shared" si="9"/>
        <v>19815.344216680729</v>
      </c>
      <c r="AZ68" s="540">
        <f>+IF(AZ67&gt;$I$13+$I$14,XX,AZ67+1)</f>
        <v>2046</v>
      </c>
      <c r="BA68" s="152"/>
      <c r="BB68" s="190">
        <f t="shared" si="18"/>
        <v>94.389180538803757</v>
      </c>
      <c r="BC68" s="4"/>
      <c r="BD68" s="190">
        <f t="shared" si="19"/>
        <v>29.135503778788578</v>
      </c>
      <c r="BE68" s="4"/>
      <c r="BF68" s="189">
        <f t="shared" si="23"/>
        <v>3318.8859356556495</v>
      </c>
      <c r="BG68" s="4"/>
      <c r="BH68" s="193"/>
    </row>
    <row r="69" spans="2:60" ht="12">
      <c r="B69" s="3"/>
      <c r="C69" s="499">
        <f>+IF(C68&gt;$I$13+$I$14,XX,C68+1)</f>
        <v>2047</v>
      </c>
      <c r="D69" s="7"/>
      <c r="E69" s="501">
        <f>'(2.2)_Forward_Price_Curve'!M56</f>
        <v>2.1999999999999999E-2</v>
      </c>
      <c r="F69" s="7"/>
      <c r="G69" s="613">
        <f>'[16]Data for NPC'!L40</f>
        <v>238901</v>
      </c>
      <c r="H69" s="7"/>
      <c r="I69" s="614">
        <f>'[16]Data for NPC'!L77</f>
        <v>125.73874454716137</v>
      </c>
      <c r="J69" s="7"/>
      <c r="K69" s="614">
        <f>'[16]Data for NPC'!M114</f>
        <v>4.0437351811389437</v>
      </c>
      <c r="L69" s="7"/>
      <c r="M69" s="39">
        <f t="shared" si="13"/>
        <v>7.168423247422659</v>
      </c>
      <c r="N69" s="7"/>
      <c r="O69" s="614">
        <f>'[16]Data for NPC'!L188</f>
        <v>1.1499999999999997</v>
      </c>
      <c r="P69" s="7"/>
      <c r="Q69" s="614">
        <f>'[16]Data for NPC'!L225</f>
        <v>0</v>
      </c>
      <c r="R69" s="7"/>
      <c r="S69" s="614">
        <f t="shared" si="20"/>
        <v>15590.075837731514</v>
      </c>
      <c r="T69" s="7"/>
      <c r="U69" s="23">
        <f t="shared" si="0"/>
        <v>20251.281789447708</v>
      </c>
      <c r="V69" s="7"/>
      <c r="W69" s="23">
        <f t="shared" si="1"/>
        <v>-4661.2059517161942</v>
      </c>
      <c r="X69" s="7"/>
      <c r="Y69" s="334">
        <f t="shared" si="6"/>
        <v>-19.511035750022788</v>
      </c>
      <c r="Z69" s="290"/>
      <c r="AB69" s="540">
        <f>+IF(AB68&gt;$I$13+$I$14,XX,AB68+1)</f>
        <v>2047</v>
      </c>
      <c r="AC69" s="152"/>
      <c r="AD69" s="187">
        <f t="shared" si="2"/>
        <v>238901</v>
      </c>
      <c r="AE69" s="4"/>
      <c r="AF69" s="190">
        <f t="shared" si="14"/>
        <v>188.59662501868885</v>
      </c>
      <c r="AG69" s="4"/>
      <c r="AH69" s="190">
        <f t="shared" si="15"/>
        <v>37.72083216998017</v>
      </c>
      <c r="AI69" s="4"/>
      <c r="AJ69" s="190">
        <f t="shared" si="16"/>
        <v>3.85519087541463</v>
      </c>
      <c r="AK69" s="4"/>
      <c r="AL69" s="189">
        <f t="shared" si="21"/>
        <v>9685.6504062183467</v>
      </c>
      <c r="AM69" s="4"/>
      <c r="AN69" s="190">
        <f>INDEX('(2.2)_Forward_Price_Curve'!$G:$G,MATCH($AB69,'(2.2)_Forward_Price_Curve'!$C:$C,0),1)</f>
        <v>8.2561873958910468</v>
      </c>
      <c r="AO69" s="4"/>
      <c r="AP69" s="190">
        <f t="shared" si="22"/>
        <v>52.962480746076409</v>
      </c>
      <c r="AQ69" s="4"/>
      <c r="AR69" s="190">
        <f t="shared" si="17"/>
        <v>5.4614388250825048</v>
      </c>
      <c r="AS69" s="190"/>
      <c r="AT69" s="189">
        <f t="shared" si="3"/>
        <v>6293.7489799782725</v>
      </c>
      <c r="AU69" s="4"/>
      <c r="AV69" s="189">
        <f t="shared" si="4"/>
        <v>13957.532809469436</v>
      </c>
      <c r="AW69" s="337"/>
      <c r="AX69" s="191">
        <f t="shared" si="9"/>
        <v>20251.281789447708</v>
      </c>
      <c r="AZ69" s="540">
        <f>+IF(AZ68&gt;$I$13+$I$14,XX,AZ68+1)</f>
        <v>2047</v>
      </c>
      <c r="BA69" s="152"/>
      <c r="BB69" s="190">
        <f t="shared" si="18"/>
        <v>96.465742510657435</v>
      </c>
      <c r="BC69" s="4"/>
      <c r="BD69" s="190">
        <f t="shared" si="19"/>
        <v>29.776484861921929</v>
      </c>
      <c r="BE69" s="4"/>
      <c r="BF69" s="189">
        <f t="shared" si="23"/>
        <v>3391.9014262400742</v>
      </c>
      <c r="BG69" s="4"/>
      <c r="BH69" s="193"/>
    </row>
    <row r="70" spans="2:60" ht="12">
      <c r="B70" s="3"/>
      <c r="C70" s="499">
        <f>+IF(C69&gt;$I$13+$I$14,XX,C69+1)</f>
        <v>2048</v>
      </c>
      <c r="D70" s="7"/>
      <c r="E70" s="501">
        <f>'(2.2)_Forward_Price_Curve'!M57</f>
        <v>2.1999999999999999E-2</v>
      </c>
      <c r="F70" s="7"/>
      <c r="G70" s="613">
        <f>'[16]Data for NPC'!L41</f>
        <v>238901</v>
      </c>
      <c r="H70" s="7"/>
      <c r="I70" s="614">
        <f>'[16]Data for NPC'!L78</f>
        <v>128.12778069355747</v>
      </c>
      <c r="J70" s="7"/>
      <c r="K70" s="614">
        <f>'[16]Data for NPC'!M115</f>
        <v>4.1480746275388523</v>
      </c>
      <c r="L70" s="7"/>
      <c r="M70" s="39">
        <f>M69*(1+$E70)</f>
        <v>7.3261285588659577</v>
      </c>
      <c r="N70" s="7"/>
      <c r="O70" s="614">
        <f>'[16]Data for NPC'!L189</f>
        <v>1.17</v>
      </c>
      <c r="P70" s="7"/>
      <c r="Q70" s="614">
        <f>'[16]Data for NPC'!L226</f>
        <v>0</v>
      </c>
      <c r="R70" s="7"/>
      <c r="S70" s="614">
        <f t="shared" si="20"/>
        <v>15897.554745137822</v>
      </c>
      <c r="T70" s="7"/>
      <c r="U70" s="23">
        <f t="shared" si="0"/>
        <v>20696.809988815559</v>
      </c>
      <c r="V70" s="7"/>
      <c r="W70" s="23">
        <f t="shared" si="1"/>
        <v>-4799.2552436777369</v>
      </c>
      <c r="X70" s="7"/>
      <c r="Y70" s="334">
        <f t="shared" si="6"/>
        <v>-20.08888721134586</v>
      </c>
      <c r="Z70" s="290"/>
      <c r="AB70" s="540">
        <f>+IF(AB69&gt;$I$13+$I$14,XX,AB69+1)</f>
        <v>2048</v>
      </c>
      <c r="AC70" s="152"/>
      <c r="AD70" s="187">
        <f t="shared" si="2"/>
        <v>238901</v>
      </c>
      <c r="AE70" s="4"/>
      <c r="AF70" s="190">
        <f t="shared" si="14"/>
        <v>192.7457507691</v>
      </c>
      <c r="AG70" s="4"/>
      <c r="AH70" s="190">
        <f t="shared" si="15"/>
        <v>38.550690477719733</v>
      </c>
      <c r="AI70" s="4"/>
      <c r="AJ70" s="190">
        <f t="shared" si="16"/>
        <v>3.9400050746737518</v>
      </c>
      <c r="AK70" s="4"/>
      <c r="AL70" s="189">
        <f t="shared" si="21"/>
        <v>9898.7347151551494</v>
      </c>
      <c r="AM70" s="4"/>
      <c r="AN70" s="190">
        <f>INDEX('(2.2)_Forward_Price_Curve'!$G:$G,MATCH($AB70,'(2.2)_Forward_Price_Curve'!$C:$C,0),1)</f>
        <v>8.4378235186006503</v>
      </c>
      <c r="AO70" s="4"/>
      <c r="AP70" s="190">
        <f t="shared" si="22"/>
        <v>54.127655322490092</v>
      </c>
      <c r="AQ70" s="4"/>
      <c r="AR70" s="190">
        <f t="shared" si="17"/>
        <v>5.5815904792343201</v>
      </c>
      <c r="AS70" s="190"/>
      <c r="AT70" s="189">
        <f t="shared" si="3"/>
        <v>6432.2114575377946</v>
      </c>
      <c r="AU70" s="4"/>
      <c r="AV70" s="189">
        <f t="shared" si="4"/>
        <v>14264.598531277765</v>
      </c>
      <c r="AW70" s="337"/>
      <c r="AX70" s="191">
        <f t="shared" si="9"/>
        <v>20696.809988815559</v>
      </c>
      <c r="AZ70" s="540">
        <f>+IF(AZ69&gt;$I$13+$I$14,XX,AZ69+1)</f>
        <v>2048</v>
      </c>
      <c r="BA70" s="152"/>
      <c r="BB70" s="190">
        <f t="shared" si="18"/>
        <v>98.5879888458919</v>
      </c>
      <c r="BC70" s="4"/>
      <c r="BD70" s="190">
        <f t="shared" si="19"/>
        <v>30.431567528884212</v>
      </c>
      <c r="BE70" s="4"/>
      <c r="BF70" s="189">
        <f t="shared" si="23"/>
        <v>3466.5232576173553</v>
      </c>
      <c r="BG70" s="4"/>
      <c r="BH70" s="193"/>
    </row>
    <row r="71" spans="2:60" ht="12">
      <c r="B71" s="3"/>
      <c r="C71" s="499">
        <f>+IF(C70&gt;$I$13+$I$14,XX,C70+1)</f>
        <v>2049</v>
      </c>
      <c r="D71" s="7"/>
      <c r="E71" s="501">
        <f>'(2.2)_Forward_Price_Curve'!M58</f>
        <v>2.1999999999999999E-2</v>
      </c>
      <c r="F71" s="7"/>
      <c r="G71" s="613">
        <f>'[16]Data for NPC'!L42</f>
        <v>218394.24294171217</v>
      </c>
      <c r="H71" s="7"/>
      <c r="I71" s="614">
        <f>'[16]Data for NPC'!L79</f>
        <v>119.68202448284046</v>
      </c>
      <c r="J71" s="7"/>
      <c r="K71" s="614">
        <f>'[16]Data for NPC'!M116</f>
        <v>3.8792289574336447</v>
      </c>
      <c r="L71" s="7"/>
      <c r="M71" s="39">
        <f t="shared" si="13"/>
        <v>7.4873033871610088</v>
      </c>
      <c r="N71" s="7"/>
      <c r="O71" s="614">
        <f>'[16]Data for NPC'!L190</f>
        <v>1.2000000000000002</v>
      </c>
      <c r="P71" s="7"/>
      <c r="Q71" s="614">
        <f>'[16]Data for NPC'!L227</f>
        <v>0</v>
      </c>
      <c r="R71" s="7"/>
      <c r="S71" s="614">
        <f t="shared" si="20"/>
        <v>14772.501778325755</v>
      </c>
      <c r="T71" s="7"/>
      <c r="U71" s="23">
        <f t="shared" si="0"/>
        <v>19818.184809962575</v>
      </c>
      <c r="V71" s="7"/>
      <c r="W71" s="23">
        <f t="shared" si="1"/>
        <v>-5045.6830316368196</v>
      </c>
      <c r="X71" s="7"/>
      <c r="Y71" s="334">
        <f t="shared" si="6"/>
        <v>-23.103553297343442</v>
      </c>
      <c r="Z71" s="290"/>
      <c r="AB71" s="540">
        <f>+IF(AB70&gt;$I$13+$I$14,XX,AB70+1)</f>
        <v>2049</v>
      </c>
      <c r="AC71" s="152"/>
      <c r="AD71" s="187">
        <f t="shared" si="2"/>
        <v>218394.24294171217</v>
      </c>
      <c r="AE71" s="4"/>
      <c r="AF71" s="190">
        <f t="shared" si="14"/>
        <v>196.98615728602022</v>
      </c>
      <c r="AG71" s="4"/>
      <c r="AH71" s="190">
        <f t="shared" si="15"/>
        <v>39.398805668229571</v>
      </c>
      <c r="AI71" s="4"/>
      <c r="AJ71" s="190">
        <f t="shared" si="16"/>
        <v>4.0266851863165742</v>
      </c>
      <c r="AK71" s="4"/>
      <c r="AL71" s="189">
        <f t="shared" si="21"/>
        <v>10033.93262402256</v>
      </c>
      <c r="AM71" s="4"/>
      <c r="AN71" s="190">
        <f>INDEX('(2.2)_Forward_Price_Curve'!$G:$G,MATCH($AB71,'(2.2)_Forward_Price_Curve'!$C:$C,0),1)</f>
        <v>8.6234556360098651</v>
      </c>
      <c r="AO71" s="4"/>
      <c r="AP71" s="190">
        <f t="shared" si="22"/>
        <v>55.318463739584878</v>
      </c>
      <c r="AQ71" s="4"/>
      <c r="AR71" s="190">
        <f t="shared" si="17"/>
        <v>5.704385469777475</v>
      </c>
      <c r="AS71" s="190"/>
      <c r="AT71" s="189">
        <f t="shared" si="3"/>
        <v>6491.1458547376224</v>
      </c>
      <c r="AU71" s="4"/>
      <c r="AV71" s="189">
        <f t="shared" si="4"/>
        <v>13327.038955224953</v>
      </c>
      <c r="AW71" s="337"/>
      <c r="AX71" s="191">
        <f t="shared" si="9"/>
        <v>19818.184809962575</v>
      </c>
      <c r="AZ71" s="540">
        <f>+IF(AZ70&gt;$I$13+$I$14,XX,AZ70+1)</f>
        <v>2049</v>
      </c>
      <c r="BA71" s="152"/>
      <c r="BB71" s="190">
        <f t="shared" si="18"/>
        <v>100.75692460050152</v>
      </c>
      <c r="BC71" s="4"/>
      <c r="BD71" s="190">
        <f t="shared" si="19"/>
        <v>31.101062014519666</v>
      </c>
      <c r="BE71" s="4"/>
      <c r="BF71" s="189">
        <f t="shared" si="23"/>
        <v>3542.7867692849377</v>
      </c>
      <c r="BG71" s="4"/>
      <c r="BH71" s="193"/>
    </row>
    <row r="72" spans="2:60">
      <c r="B72" s="3"/>
      <c r="C72" s="4"/>
      <c r="D72" s="4"/>
      <c r="E72" s="210"/>
      <c r="F72" s="4"/>
      <c r="G72" s="328"/>
      <c r="H72" s="328"/>
      <c r="I72" s="328"/>
      <c r="J72" s="4"/>
      <c r="K72" s="328"/>
      <c r="L72" s="4"/>
      <c r="M72" s="328"/>
      <c r="N72" s="4"/>
      <c r="O72" s="328"/>
      <c r="P72" s="4"/>
      <c r="Q72" s="328"/>
      <c r="R72" s="4"/>
      <c r="S72" s="328"/>
      <c r="T72" s="4"/>
      <c r="U72" s="328"/>
      <c r="V72" s="4"/>
      <c r="W72" s="328"/>
      <c r="X72" s="4"/>
      <c r="Y72" s="338"/>
      <c r="Z72" s="290"/>
      <c r="AB72" s="3"/>
      <c r="AC72" s="4"/>
      <c r="AD72" s="4"/>
      <c r="AE72" s="4"/>
      <c r="AF72" s="339"/>
      <c r="AG72" s="4"/>
      <c r="AH72" s="339"/>
      <c r="AI72" s="4"/>
      <c r="AJ72" s="339"/>
      <c r="AK72" s="4"/>
      <c r="AL72" s="337"/>
      <c r="AM72" s="4"/>
      <c r="AN72" s="339"/>
      <c r="AO72" s="4"/>
      <c r="AP72" s="339"/>
      <c r="AQ72" s="4"/>
      <c r="AR72" s="339"/>
      <c r="AS72" s="339"/>
      <c r="AT72" s="339"/>
      <c r="AU72" s="4"/>
      <c r="AV72" s="337"/>
      <c r="AW72" s="337"/>
      <c r="AX72" s="340"/>
      <c r="AZ72" s="3"/>
      <c r="BA72" s="4"/>
      <c r="BB72" s="339"/>
      <c r="BC72" s="4"/>
      <c r="BD72" s="4"/>
      <c r="BE72" s="4"/>
      <c r="BF72" s="337"/>
      <c r="BG72" s="4"/>
      <c r="BH72" s="290"/>
    </row>
    <row r="73" spans="2:60" ht="12">
      <c r="B73" s="3"/>
      <c r="C73" s="289" t="s">
        <v>281</v>
      </c>
      <c r="E73" s="210"/>
      <c r="F73" s="4"/>
      <c r="G73" s="541">
        <f>+-PMT($I$18,44,NPV($I$18,G28:G71))</f>
        <v>280574.27984254091</v>
      </c>
      <c r="H73" s="7"/>
      <c r="I73" s="541">
        <f>+-PMT($I$18,44,NPV($I$18,I28:I71))</f>
        <v>225.45785842199547</v>
      </c>
      <c r="J73" s="39"/>
      <c r="K73" s="541">
        <f>+-PMT($I$18,44,NPV($I$18,K28:K71))</f>
        <v>9.4168815444413756</v>
      </c>
      <c r="L73" s="7"/>
      <c r="M73" s="541">
        <f>+-PMT($I$18,44,NPV($I$18,M28:M71))</f>
        <v>3.9653932818884812</v>
      </c>
      <c r="N73" s="7"/>
      <c r="O73" s="541">
        <f>+-PMT($I$18,44,NPV($I$18,O28:O71))</f>
        <v>3.6091301361115211</v>
      </c>
      <c r="P73" s="7"/>
      <c r="Q73" s="541">
        <f>+-PMT($I$18,44,NPV($I$18,Q28:Q71))</f>
        <v>-25.844435393474253</v>
      </c>
      <c r="R73" s="7"/>
      <c r="S73" s="541">
        <f>+-PMT($I$18,44,NPV($I$18,S28:S71))</f>
        <v>21752.206130388346</v>
      </c>
      <c r="T73" s="7"/>
      <c r="U73" s="541">
        <f>+-PMT($I$18,44,NPV($I$18,U28:U71))</f>
        <v>17110.705092721386</v>
      </c>
      <c r="V73" s="4"/>
      <c r="W73" s="541">
        <f>+-PMT($I$18,44,NPV($I$18,W28:W71))</f>
        <v>4641.5010376669461</v>
      </c>
      <c r="X73" s="4"/>
      <c r="Y73" s="541">
        <f>+-PMT($I$18,44,NPV($I$18,Y28:Y71))</f>
        <v>18.285241636752332</v>
      </c>
      <c r="Z73" s="290"/>
      <c r="AB73" s="3"/>
      <c r="AC73" s="4"/>
      <c r="AD73" s="541">
        <f>+-PMT($I$18,44,NPV($I$18,AD28:AD71))</f>
        <v>280574.27984254091</v>
      </c>
      <c r="AE73" s="4"/>
      <c r="AF73" s="541">
        <f>+-PMT($I$18,44,NPV($I$18,AF28:AF71))</f>
        <v>88.914773843283513</v>
      </c>
      <c r="AG73" s="4"/>
      <c r="AH73" s="541">
        <f>+-PMT($I$18,44,NPV($I$18,AH28:AH71))</f>
        <v>15.600231462774449</v>
      </c>
      <c r="AI73" s="4"/>
      <c r="AJ73" s="541">
        <f>+-PMT($I$18,44,NPV($I$18,AJ28:AJ71))</f>
        <v>2.5274249522994765</v>
      </c>
      <c r="AK73" s="4"/>
      <c r="AL73" s="601">
        <f>+-PMT($I$18,44,NPV($I$18,AL28:AL71))</f>
        <v>6140.7047532703882</v>
      </c>
      <c r="AM73" s="4"/>
      <c r="AN73" s="541">
        <f>+-PMT($I$18,44,NPV($I$18,AN28:AN71))</f>
        <v>6.4321243230359855</v>
      </c>
      <c r="AO73" s="4"/>
      <c r="AP73" s="541">
        <f>+-PMT($I$18,44,NPV($I$18,AP28:AP71))</f>
        <v>45.116628561727744</v>
      </c>
      <c r="AQ73" s="4"/>
      <c r="AR73" s="541">
        <f>+-PMT($I$18,44,NPV($I$18,AR28:AR71))</f>
        <v>3.0211319949911659</v>
      </c>
      <c r="AS73" s="190"/>
      <c r="AT73" s="542">
        <f>+-PMT($I$18,44,NPV($I$18,AT28:AT71))</f>
        <v>3284.9800927859933</v>
      </c>
      <c r="AU73" s="4"/>
      <c r="AV73" s="601">
        <f>+-PMT($I$18,44,NPV($I$18,AV28:AV71))</f>
        <v>13825.72499993539</v>
      </c>
      <c r="AW73" s="337"/>
      <c r="AX73" s="542">
        <f>+-PMT($I$18,44,NPV($I$18,AX28:AX71))</f>
        <v>17110.705092721386</v>
      </c>
      <c r="AY73" s="438"/>
      <c r="AZ73" s="3"/>
      <c r="BA73" s="4"/>
      <c r="BB73" s="541">
        <f>+-PMT($I$18,44,NPV($I$18,BB28:BB71))</f>
        <v>51.484220150708985</v>
      </c>
      <c r="BC73" s="4"/>
      <c r="BD73" s="541">
        <f>+-PMT($I$18,44,NPV($I$18,BD28:BD71))</f>
        <v>11.987628638080135</v>
      </c>
      <c r="BE73" s="4"/>
      <c r="BF73" s="542">
        <f>+-PMT($I$18,44,NPV($I$18,BF28:BF71))</f>
        <v>2855.7246604843949</v>
      </c>
      <c r="BG73" s="4"/>
      <c r="BH73" s="193"/>
    </row>
    <row r="74" spans="2:60">
      <c r="B74" s="3"/>
      <c r="C74" s="4"/>
      <c r="D74" s="4"/>
      <c r="E74" s="210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342"/>
      <c r="X74" s="4"/>
      <c r="Y74" s="343"/>
      <c r="Z74" s="290"/>
      <c r="AB74" s="3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337"/>
      <c r="AU74" s="4"/>
      <c r="AV74" s="4"/>
      <c r="AW74" s="4"/>
      <c r="AX74" s="290"/>
      <c r="AZ74" s="3"/>
      <c r="BA74" s="4"/>
      <c r="BB74" s="4"/>
      <c r="BC74" s="4"/>
      <c r="BD74" s="4"/>
      <c r="BE74" s="4"/>
      <c r="BF74" s="4"/>
      <c r="BG74" s="4"/>
      <c r="BH74" s="290"/>
    </row>
    <row r="75" spans="2:60">
      <c r="B75" s="294"/>
      <c r="C75" s="344"/>
      <c r="D75" s="344"/>
      <c r="E75" s="345"/>
      <c r="F75" s="344"/>
      <c r="G75" s="344"/>
      <c r="H75" s="344"/>
      <c r="I75" s="344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297"/>
      <c r="AB75" s="294"/>
      <c r="AC75" s="344"/>
      <c r="AD75" s="344"/>
      <c r="AE75" s="344"/>
      <c r="AF75" s="344"/>
      <c r="AG75" s="344"/>
      <c r="AH75" s="344"/>
      <c r="AI75" s="344"/>
      <c r="AJ75" s="344"/>
      <c r="AK75" s="344"/>
      <c r="AL75" s="344"/>
      <c r="AM75" s="344"/>
      <c r="AN75" s="344"/>
      <c r="AO75" s="344"/>
      <c r="AP75" s="344"/>
      <c r="AQ75" s="344"/>
      <c r="AR75" s="344"/>
      <c r="AS75" s="344"/>
      <c r="AT75" s="344"/>
      <c r="AU75" s="344"/>
      <c r="AV75" s="344"/>
      <c r="AW75" s="344"/>
      <c r="AX75" s="297"/>
      <c r="AZ75" s="294"/>
      <c r="BA75" s="344"/>
      <c r="BB75" s="344"/>
      <c r="BC75" s="344"/>
      <c r="BD75" s="344"/>
      <c r="BE75" s="344"/>
      <c r="BF75" s="344"/>
      <c r="BG75" s="344"/>
      <c r="BH75" s="297"/>
    </row>
    <row r="76" spans="2:60">
      <c r="E76" s="346"/>
    </row>
    <row r="77" spans="2:60">
      <c r="E77" s="346"/>
      <c r="G77" s="347"/>
      <c r="I77" s="347"/>
      <c r="K77" s="347"/>
      <c r="O77" s="347"/>
      <c r="Q77" s="347"/>
      <c r="S77" s="347"/>
      <c r="U77" s="347"/>
      <c r="W77" s="347"/>
    </row>
    <row r="78" spans="2:60">
      <c r="E78" s="346"/>
    </row>
    <row r="79" spans="2:60">
      <c r="E79" s="346"/>
    </row>
    <row r="80" spans="2:60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  <row r="85" spans="5:5">
      <c r="E85" s="346"/>
    </row>
    <row r="86" spans="5:5">
      <c r="E86" s="346"/>
    </row>
    <row r="87" spans="5:5">
      <c r="E87" s="346"/>
    </row>
    <row r="88" spans="5:5">
      <c r="E88" s="346"/>
    </row>
    <row r="89" spans="5:5">
      <c r="E89" s="346"/>
    </row>
    <row r="90" spans="5:5">
      <c r="E90" s="346"/>
    </row>
    <row r="91" spans="5:5">
      <c r="E91" s="346"/>
    </row>
    <row r="92" spans="5:5">
      <c r="E92" s="346"/>
    </row>
    <row r="93" spans="5:5">
      <c r="E93" s="346"/>
    </row>
    <row r="94" spans="5:5">
      <c r="E94" s="346"/>
    </row>
    <row r="95" spans="5:5">
      <c r="E95" s="346"/>
    </row>
    <row r="96" spans="5:5">
      <c r="E96" s="346"/>
    </row>
    <row r="97" spans="5:5">
      <c r="E97" s="346"/>
    </row>
    <row r="98" spans="5:5">
      <c r="E98" s="346"/>
    </row>
    <row r="99" spans="5:5">
      <c r="E99" s="346"/>
    </row>
  </sheetData>
  <pageMargins left="0.25" right="0.25" top="0.25" bottom="0.75" header="0.3" footer="0.3"/>
  <pageSetup paperSize="5" scale="46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80"/>
  <sheetViews>
    <sheetView topLeftCell="A13" workbookViewId="0">
      <selection activeCell="E72" sqref="E72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Index'!$C$4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232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165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3.8999999999999986</v>
      </c>
      <c r="H11" s="313"/>
      <c r="AB11" s="157" t="s">
        <v>111</v>
      </c>
      <c r="AC11" s="158"/>
      <c r="AD11" s="158"/>
      <c r="AE11" s="158"/>
      <c r="AF11" s="169">
        <f>+G11*(G12/AJ16)</f>
        <v>1.944065484311051</v>
      </c>
      <c r="AG11" s="162"/>
      <c r="AH11" s="158" t="s">
        <v>112</v>
      </c>
      <c r="AI11" s="159"/>
      <c r="AJ11" s="164">
        <f>'(2.1)_Resources'!$N$81</f>
        <v>6.6035087719298247</v>
      </c>
      <c r="AK11" s="290"/>
      <c r="AZ11" s="157" t="s">
        <v>111</v>
      </c>
      <c r="BA11" s="158"/>
      <c r="BB11" s="158"/>
      <c r="BC11" s="158"/>
      <c r="BD11" s="169">
        <f>(AF11*AF13-G11*G19)</f>
        <v>0.44406548431105097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0.38461538461538475</v>
      </c>
      <c r="H12" s="313"/>
      <c r="AB12" s="157" t="s">
        <v>40</v>
      </c>
      <c r="AC12" s="158"/>
      <c r="AD12" s="158"/>
      <c r="AE12" s="158"/>
      <c r="AF12" s="166">
        <f>+AD66/8760/AF11</f>
        <v>0.77157894736842125</v>
      </c>
      <c r="AG12" s="162"/>
      <c r="AH12" s="152" t="s">
        <v>113</v>
      </c>
      <c r="AI12" s="153"/>
      <c r="AJ12" s="152">
        <v>2002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2003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f>'(2.1)_Resources'!$O$81</f>
        <v>1.5426421100500227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35</v>
      </c>
      <c r="H14" s="313"/>
      <c r="AB14" s="157" t="s">
        <v>116</v>
      </c>
      <c r="AC14" s="158"/>
      <c r="AD14" s="158"/>
      <c r="AE14" s="158"/>
      <c r="AF14" s="169">
        <f>'(2.1)_Resources'!$H$81</f>
        <v>7163.7407912687586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f>'(2.1)_Resources'!$J$82</f>
        <v>482</v>
      </c>
      <c r="BE14" s="167"/>
    </row>
    <row r="15" spans="1:57" ht="12">
      <c r="A15" s="171" t="s">
        <v>222</v>
      </c>
      <c r="B15" s="310"/>
      <c r="C15" s="311" t="s">
        <v>119</v>
      </c>
      <c r="D15" s="311"/>
      <c r="E15" s="311"/>
      <c r="F15" s="311"/>
      <c r="G15" s="316">
        <f>S28*1000/(G11*1000)</f>
        <v>155.6371642434062</v>
      </c>
      <c r="H15" s="313"/>
      <c r="AB15" s="157" t="s">
        <v>218</v>
      </c>
      <c r="AC15" s="158"/>
      <c r="AD15" s="158"/>
      <c r="AE15" s="158"/>
      <c r="AF15" s="170">
        <f>'(2.1)_Resources'!$J$81</f>
        <v>625</v>
      </c>
      <c r="AG15" s="162"/>
      <c r="AH15" s="152" t="s">
        <v>166</v>
      </c>
      <c r="AI15" s="153"/>
      <c r="AJ15" s="164">
        <f>'(2.1)_Resources'!$P$81</f>
        <v>3.1491524416152528</v>
      </c>
      <c r="AK15" s="290"/>
      <c r="AZ15" s="157" t="s">
        <v>120</v>
      </c>
      <c r="BA15" s="158"/>
      <c r="BB15" s="158"/>
      <c r="BC15" s="158"/>
      <c r="BD15" s="172">
        <f>'(2.1)_Resources'!$K$82</f>
        <v>9.5899999999999999E-2</v>
      </c>
      <c r="BE15" s="167"/>
    </row>
    <row r="16" spans="1:57" ht="12">
      <c r="A16" s="171" t="s">
        <v>222</v>
      </c>
      <c r="B16" s="310"/>
      <c r="C16" s="311" t="s">
        <v>121</v>
      </c>
      <c r="D16" s="311"/>
      <c r="E16" s="311"/>
      <c r="F16" s="311"/>
      <c r="G16" s="316">
        <v>0</v>
      </c>
      <c r="H16" s="313"/>
      <c r="AB16" s="157" t="s">
        <v>120</v>
      </c>
      <c r="AC16" s="158"/>
      <c r="AD16" s="158"/>
      <c r="AE16" s="158"/>
      <c r="AF16" s="172">
        <f>'(2.1)_Resources'!$K$79</f>
        <v>8.6099999999999996E-2</v>
      </c>
      <c r="AG16" s="162"/>
      <c r="AH16" s="152" t="s">
        <v>122</v>
      </c>
      <c r="AI16" s="159"/>
      <c r="AJ16" s="173">
        <f>'(2.1)_Resources'!$D$81</f>
        <v>0.77157894736842092</v>
      </c>
      <c r="AK16" s="290"/>
      <c r="AZ16" s="157" t="s">
        <v>112</v>
      </c>
      <c r="BA16" s="159"/>
      <c r="BB16" s="164">
        <f>'(2.1)_Resources'!N82</f>
        <v>10.050000000000001</v>
      </c>
      <c r="BC16" s="4"/>
      <c r="BD16" s="4"/>
      <c r="BE16" s="165"/>
    </row>
    <row r="17" spans="1:60" ht="12">
      <c r="A17" s="171" t="s">
        <v>222</v>
      </c>
      <c r="B17" s="310"/>
      <c r="C17" s="311" t="s">
        <v>123</v>
      </c>
      <c r="D17" s="311"/>
      <c r="E17" s="311"/>
      <c r="F17" s="311"/>
      <c r="G17" s="316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2002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8.6999999999999994E-2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v>0.38461538461538475</v>
      </c>
      <c r="H19" s="320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2003</v>
      </c>
      <c r="D28" s="7"/>
      <c r="E28" s="330">
        <f>'(2.2)_Forward_Price_Curve'!$BR$37</f>
        <v>2.5000000000000001E-2</v>
      </c>
      <c r="F28" s="7"/>
      <c r="G28" s="23">
        <v>13140</v>
      </c>
      <c r="H28" s="7"/>
      <c r="I28" s="331">
        <f>$G$15</f>
        <v>155.6371642434062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v>606.98494054928403</v>
      </c>
      <c r="T28" s="7"/>
      <c r="U28" s="23">
        <f t="shared" ref="U28:U62" si="0">AX28</f>
        <v>507.86031953152184</v>
      </c>
      <c r="V28" s="7"/>
      <c r="W28" s="23">
        <f t="shared" ref="W28:W62" si="1">S28-U28</f>
        <v>99.124621017762195</v>
      </c>
      <c r="X28" s="7"/>
      <c r="Y28" s="334">
        <f>+W28*1000/G28</f>
        <v>7.5437306710625718</v>
      </c>
      <c r="Z28" s="290"/>
      <c r="AB28" s="182">
        <f>$C$28</f>
        <v>2003</v>
      </c>
      <c r="AC28" s="152"/>
      <c r="AD28" s="187">
        <f t="shared" ref="AD28:AD62" si="2">G28</f>
        <v>13140</v>
      </c>
      <c r="AE28" s="4"/>
      <c r="AF28" s="188">
        <f>$AF$15*$AF$16*(1+$E$28)</f>
        <v>55.157812499999999</v>
      </c>
      <c r="AG28" s="335"/>
      <c r="AH28" s="188">
        <f>$AJ$11*(1+$E$28)</f>
        <v>6.7685964912280694</v>
      </c>
      <c r="AI28" s="335"/>
      <c r="AJ28" s="188">
        <f>$AJ$13*(1+$E$28)</f>
        <v>1.5812081628012731</v>
      </c>
      <c r="AK28" s="336"/>
      <c r="AL28" s="189">
        <f>((AF28+AH28)*$AF$11*1000+AJ28*AD28)/1000</f>
        <v>141.16606954638473</v>
      </c>
      <c r="AM28" s="4"/>
      <c r="AN28" s="190">
        <f>INDEX('(2.2)_Forward_Price_Curve'!$J:$J,MATCH($AB28,'(2.2)_Forward_Price_Curve'!$C:$C,0),1)</f>
        <v>3.7170731707317075</v>
      </c>
      <c r="AO28" s="348"/>
      <c r="AP28" s="190">
        <f>AN28*$AF$14/1000</f>
        <v>26.628148697301437</v>
      </c>
      <c r="AQ28" s="335"/>
      <c r="AR28" s="188">
        <f>$AJ$15*(1+$E$28)</f>
        <v>3.2278812526556337</v>
      </c>
      <c r="AS28" s="188"/>
      <c r="AT28" s="189">
        <f t="shared" ref="AT28:AT62" si="3">AL28-BF28</f>
        <v>115.55208598908594</v>
      </c>
      <c r="AU28" s="336"/>
      <c r="AV28" s="189">
        <f t="shared" ref="AV28:AV62" si="4">(AP28+AR28)*AD28/1000</f>
        <v>392.30823354243591</v>
      </c>
      <c r="AW28" s="337"/>
      <c r="AX28" s="191">
        <f>AT28+AV28</f>
        <v>507.86031953152184</v>
      </c>
      <c r="AZ28" s="182">
        <f>$C$28</f>
        <v>2003</v>
      </c>
      <c r="BA28" s="152"/>
      <c r="BB28" s="188">
        <f>$BD$14*$BD$15*(1+$E$28)</f>
        <v>47.379394999999995</v>
      </c>
      <c r="BC28" s="4"/>
      <c r="BD28" s="188">
        <f>$BB$16*(1+$E$28)</f>
        <v>10.30125</v>
      </c>
      <c r="BE28" s="335"/>
      <c r="BF28" s="189">
        <f>(BB28+BD28)*$BD$11</f>
        <v>25.613983557298798</v>
      </c>
      <c r="BG28" s="335"/>
      <c r="BH28" s="192"/>
    </row>
    <row r="29" spans="1:60" ht="12">
      <c r="B29" s="3"/>
      <c r="C29" s="7">
        <f>+IF(C28&gt;$G$13+$G$14,XX,C28+1)</f>
        <v>2004</v>
      </c>
      <c r="D29" s="7"/>
      <c r="E29" s="330">
        <f>E28</f>
        <v>2.5000000000000001E-2</v>
      </c>
      <c r="F29" s="7"/>
      <c r="G29" s="23">
        <f>$G$28</f>
        <v>13140</v>
      </c>
      <c r="H29" s="7"/>
      <c r="I29" s="39">
        <f>I28*(1+$E29)</f>
        <v>159.52809334949134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v>0</v>
      </c>
      <c r="T29" s="7"/>
      <c r="U29" s="23">
        <f t="shared" si="0"/>
        <v>520.55682751980976</v>
      </c>
      <c r="V29" s="7"/>
      <c r="W29" s="23">
        <f t="shared" si="1"/>
        <v>-520.55682751980976</v>
      </c>
      <c r="X29" s="7"/>
      <c r="Y29" s="334">
        <f t="shared" ref="Y29:Y62" si="5">+W29*1000/G29</f>
        <v>-39.616196919315811</v>
      </c>
      <c r="Z29" s="290"/>
      <c r="AB29" s="182">
        <f>+IF(AB28&gt;$G$13+$G$14,XX,AB28+1)</f>
        <v>2004</v>
      </c>
      <c r="AC29" s="152"/>
      <c r="AD29" s="187">
        <f t="shared" si="2"/>
        <v>13140</v>
      </c>
      <c r="AE29" s="4"/>
      <c r="AF29" s="190">
        <f>AF28*(1+$E29)</f>
        <v>56.536757812499992</v>
      </c>
      <c r="AG29" s="4"/>
      <c r="AH29" s="190">
        <f>AH28*(1+$E29)</f>
        <v>6.9378114035087703</v>
      </c>
      <c r="AI29" s="4"/>
      <c r="AJ29" s="190">
        <f>AJ28*(1+$E29)</f>
        <v>1.6207383668713047</v>
      </c>
      <c r="AK29" s="4"/>
      <c r="AL29" s="189">
        <f t="shared" ref="AL29:AL62" si="6">((AF29+AH29)*$AF$11*1000+AJ29*AD29)/1000</f>
        <v>144.69522128504434</v>
      </c>
      <c r="AM29" s="4"/>
      <c r="AN29" s="190">
        <f>INDEX('(2.2)_Forward_Price_Curve'!$J:$J,MATCH($AB29,'(2.2)_Forward_Price_Curve'!$C:$C,0),1)</f>
        <v>3.81</v>
      </c>
      <c r="AO29" s="4"/>
      <c r="AP29" s="190">
        <f t="shared" ref="AP29:AP62" si="7">AN29*$AF$14/1000</f>
        <v>27.293852414733969</v>
      </c>
      <c r="AQ29" s="4"/>
      <c r="AR29" s="190">
        <f>AR28*(1+$E29)</f>
        <v>3.3085782839720244</v>
      </c>
      <c r="AS29" s="190"/>
      <c r="AT29" s="189">
        <f t="shared" si="3"/>
        <v>118.44088813881308</v>
      </c>
      <c r="AU29" s="4"/>
      <c r="AV29" s="189">
        <f t="shared" si="4"/>
        <v>402.11593938099674</v>
      </c>
      <c r="AW29" s="337"/>
      <c r="AX29" s="191">
        <f t="shared" ref="AX29:AX62" si="8">AT29+AV29</f>
        <v>520.55682751980976</v>
      </c>
      <c r="AZ29" s="182">
        <f>+IF(AZ28&gt;$G$13+$G$14,XX,AZ28+1)</f>
        <v>2004</v>
      </c>
      <c r="BA29" s="152"/>
      <c r="BB29" s="190">
        <f>BB28*(1+$E29)</f>
        <v>48.563879874999991</v>
      </c>
      <c r="BC29" s="4"/>
      <c r="BD29" s="190">
        <f>BD28*(1+$E29)</f>
        <v>10.558781249999999</v>
      </c>
      <c r="BE29" s="4"/>
      <c r="BF29" s="189">
        <f t="shared" ref="BF29:BF62" si="9">(BB29+BD29)*$BD$11</f>
        <v>26.254333146231268</v>
      </c>
      <c r="BG29" s="4"/>
      <c r="BH29" s="193"/>
    </row>
    <row r="30" spans="1:60" ht="12">
      <c r="B30" s="3"/>
      <c r="C30" s="7">
        <f>+IF(C29&gt;$G$13+$G$14,XX,C29+1)</f>
        <v>2005</v>
      </c>
      <c r="D30" s="7"/>
      <c r="E30" s="330">
        <f t="shared" ref="E30:E62" si="10">E29</f>
        <v>2.5000000000000001E-2</v>
      </c>
      <c r="F30" s="7"/>
      <c r="G30" s="23">
        <f t="shared" ref="G30:G62" si="11">$G$28</f>
        <v>13140</v>
      </c>
      <c r="H30" s="7"/>
      <c r="I30" s="39">
        <f t="shared" ref="I30:I62" si="12">I29*(1+$E30)</f>
        <v>163.51629568322861</v>
      </c>
      <c r="J30" s="7"/>
      <c r="K30" s="39">
        <f t="shared" ref="K30:K62" si="13">K29*(1+$E30)</f>
        <v>0</v>
      </c>
      <c r="L30" s="7"/>
      <c r="M30" s="39">
        <f t="shared" ref="M30:M62" si="14">M29*(1+$E30)</f>
        <v>0</v>
      </c>
      <c r="N30" s="7"/>
      <c r="O30" s="333"/>
      <c r="P30" s="7"/>
      <c r="Q30" s="39"/>
      <c r="R30" s="7"/>
      <c r="S30" s="23">
        <v>0</v>
      </c>
      <c r="T30" s="7"/>
      <c r="U30" s="23">
        <f t="shared" si="0"/>
        <v>538.72445078915564</v>
      </c>
      <c r="V30" s="7"/>
      <c r="W30" s="23">
        <f t="shared" si="1"/>
        <v>-538.72445078915564</v>
      </c>
      <c r="X30" s="7"/>
      <c r="Y30" s="334">
        <f t="shared" si="5"/>
        <v>-40.998816650620675</v>
      </c>
      <c r="Z30" s="290"/>
      <c r="AB30" s="182">
        <f>+IF(AB29&gt;$G$13+$G$14,XX,AB29+1)</f>
        <v>2005</v>
      </c>
      <c r="AC30" s="152"/>
      <c r="AD30" s="187">
        <f t="shared" si="2"/>
        <v>13140</v>
      </c>
      <c r="AE30" s="4"/>
      <c r="AF30" s="190">
        <f t="shared" ref="AF30:AF62" si="15">AF29*(1+$E30)</f>
        <v>57.950176757812486</v>
      </c>
      <c r="AG30" s="4"/>
      <c r="AH30" s="190">
        <f t="shared" ref="AH30:AH62" si="16">AH29*(1+$E30)</f>
        <v>7.1112566885964892</v>
      </c>
      <c r="AI30" s="4"/>
      <c r="AJ30" s="190">
        <f t="shared" ref="AJ30:AJ62" si="17">AJ29*(1+$E30)</f>
        <v>1.6612568260430871</v>
      </c>
      <c r="AK30" s="4"/>
      <c r="AL30" s="189">
        <f t="shared" si="6"/>
        <v>148.31260181717045</v>
      </c>
      <c r="AM30" s="4"/>
      <c r="AN30" s="190">
        <f>INDEX('(2.2)_Forward_Price_Curve'!$J:$J,MATCH($AB30,'(2.2)_Forward_Price_Curve'!$C:$C,0),1)</f>
        <v>3.96</v>
      </c>
      <c r="AO30" s="4"/>
      <c r="AP30" s="190">
        <f t="shared" si="7"/>
        <v>28.368413533424281</v>
      </c>
      <c r="AQ30" s="4"/>
      <c r="AR30" s="190">
        <f t="shared" ref="AR30:AR62" si="18">AR29*(1+$E30)</f>
        <v>3.3912927410713247</v>
      </c>
      <c r="AS30" s="190"/>
      <c r="AT30" s="189">
        <f t="shared" si="3"/>
        <v>121.4019103422834</v>
      </c>
      <c r="AU30" s="4"/>
      <c r="AV30" s="189">
        <f t="shared" si="4"/>
        <v>417.32254044687227</v>
      </c>
      <c r="AW30" s="337"/>
      <c r="AX30" s="191">
        <f t="shared" si="8"/>
        <v>538.72445078915564</v>
      </c>
      <c r="AZ30" s="182">
        <f>+IF(AZ29&gt;$G$13+$G$14,XX,AZ29+1)</f>
        <v>2005</v>
      </c>
      <c r="BA30" s="152"/>
      <c r="BB30" s="190">
        <f t="shared" ref="BB30:BB62" si="19">BB29*(1+$E30)</f>
        <v>49.777976871874984</v>
      </c>
      <c r="BC30" s="4"/>
      <c r="BD30" s="190">
        <f t="shared" ref="BD30:BD62" si="20">BD29*(1+$E30)</f>
        <v>10.822750781249999</v>
      </c>
      <c r="BE30" s="4"/>
      <c r="BF30" s="189">
        <f t="shared" si="9"/>
        <v>26.910691474887045</v>
      </c>
      <c r="BG30" s="4"/>
      <c r="BH30" s="193"/>
    </row>
    <row r="31" spans="1:60" ht="12">
      <c r="B31" s="3"/>
      <c r="C31" s="7">
        <f>+IF(C30&gt;$G$13+$G$14,XX,C30+1)</f>
        <v>2006</v>
      </c>
      <c r="D31" s="7"/>
      <c r="E31" s="330">
        <f t="shared" si="10"/>
        <v>2.5000000000000001E-2</v>
      </c>
      <c r="F31" s="7"/>
      <c r="G31" s="23">
        <f t="shared" si="11"/>
        <v>13140</v>
      </c>
      <c r="H31" s="7"/>
      <c r="I31" s="39">
        <f t="shared" si="12"/>
        <v>167.6042030753093</v>
      </c>
      <c r="J31" s="7"/>
      <c r="K31" s="39">
        <f t="shared" si="13"/>
        <v>0</v>
      </c>
      <c r="L31" s="7"/>
      <c r="M31" s="39">
        <f t="shared" si="14"/>
        <v>0</v>
      </c>
      <c r="N31" s="7"/>
      <c r="O31" s="333"/>
      <c r="P31" s="7"/>
      <c r="Q31" s="39"/>
      <c r="R31" s="7"/>
      <c r="S31" s="23">
        <v>0</v>
      </c>
      <c r="T31" s="7"/>
      <c r="U31" s="23">
        <f t="shared" si="0"/>
        <v>546.63880037304557</v>
      </c>
      <c r="V31" s="7"/>
      <c r="W31" s="23">
        <f t="shared" si="1"/>
        <v>-546.63880037304557</v>
      </c>
      <c r="X31" s="7"/>
      <c r="Y31" s="334">
        <f t="shared" si="5"/>
        <v>-41.601126360201341</v>
      </c>
      <c r="Z31" s="290"/>
      <c r="AB31" s="182">
        <f>+IF(AB30&gt;$G$13+$G$14,XX,AB30+1)</f>
        <v>2006</v>
      </c>
      <c r="AC31" s="152"/>
      <c r="AD31" s="187">
        <f t="shared" si="2"/>
        <v>13140</v>
      </c>
      <c r="AE31" s="4"/>
      <c r="AF31" s="190">
        <f t="shared" si="15"/>
        <v>59.398931176757792</v>
      </c>
      <c r="AG31" s="4"/>
      <c r="AH31" s="190">
        <f t="shared" si="16"/>
        <v>7.2890381058114011</v>
      </c>
      <c r="AI31" s="4"/>
      <c r="AJ31" s="190">
        <f t="shared" si="17"/>
        <v>1.7027882466941642</v>
      </c>
      <c r="AK31" s="4"/>
      <c r="AL31" s="189">
        <f t="shared" si="6"/>
        <v>152.02041686259969</v>
      </c>
      <c r="AM31" s="4"/>
      <c r="AN31" s="190">
        <f>INDEX('(2.2)_Forward_Price_Curve'!$J:$J,MATCH($AB31,'(2.2)_Forward_Price_Curve'!$C:$C,0),1)</f>
        <v>4</v>
      </c>
      <c r="AO31" s="4"/>
      <c r="AP31" s="190">
        <f t="shared" si="7"/>
        <v>28.654963165075035</v>
      </c>
      <c r="AQ31" s="4"/>
      <c r="AR31" s="190">
        <f t="shared" si="18"/>
        <v>3.4760750595981076</v>
      </c>
      <c r="AS31" s="190"/>
      <c r="AT31" s="189">
        <f t="shared" si="3"/>
        <v>124.43695810084047</v>
      </c>
      <c r="AU31" s="4"/>
      <c r="AV31" s="189">
        <f t="shared" si="4"/>
        <v>422.20184227220506</v>
      </c>
      <c r="AW31" s="337"/>
      <c r="AX31" s="191">
        <f t="shared" si="8"/>
        <v>546.63880037304557</v>
      </c>
      <c r="AZ31" s="182">
        <f>+IF(AZ30&gt;$G$13+$G$14,XX,AZ30+1)</f>
        <v>2006</v>
      </c>
      <c r="BA31" s="152"/>
      <c r="BB31" s="190">
        <f t="shared" si="19"/>
        <v>51.022426293671856</v>
      </c>
      <c r="BC31" s="4"/>
      <c r="BD31" s="190">
        <f t="shared" si="20"/>
        <v>11.093319550781247</v>
      </c>
      <c r="BE31" s="4"/>
      <c r="BF31" s="189">
        <f t="shared" si="9"/>
        <v>27.583458761759218</v>
      </c>
      <c r="BG31" s="4"/>
      <c r="BH31" s="193"/>
    </row>
    <row r="32" spans="1:60" ht="12">
      <c r="B32" s="3"/>
      <c r="C32" s="7">
        <f>+IF(C31&gt;$G$13+$G$14,XX,C31+1)</f>
        <v>2007</v>
      </c>
      <c r="D32" s="7"/>
      <c r="E32" s="330">
        <f t="shared" si="10"/>
        <v>2.5000000000000001E-2</v>
      </c>
      <c r="F32" s="7"/>
      <c r="G32" s="23">
        <f t="shared" si="11"/>
        <v>13140</v>
      </c>
      <c r="H32" s="7"/>
      <c r="I32" s="39">
        <f t="shared" si="12"/>
        <v>171.79430815219203</v>
      </c>
      <c r="J32" s="7"/>
      <c r="K32" s="39">
        <f t="shared" si="13"/>
        <v>0</v>
      </c>
      <c r="L32" s="7"/>
      <c r="M32" s="39">
        <f t="shared" si="14"/>
        <v>0</v>
      </c>
      <c r="N32" s="7"/>
      <c r="O32" s="333"/>
      <c r="P32" s="7"/>
      <c r="Q32" s="39"/>
      <c r="R32" s="7"/>
      <c r="S32" s="23">
        <v>0</v>
      </c>
      <c r="T32" s="7"/>
      <c r="U32" s="23">
        <f t="shared" si="0"/>
        <v>571.6005568620443</v>
      </c>
      <c r="V32" s="7"/>
      <c r="W32" s="23">
        <f t="shared" si="1"/>
        <v>-571.6005568620443</v>
      </c>
      <c r="X32" s="7"/>
      <c r="Y32" s="334">
        <f t="shared" si="5"/>
        <v>-43.500803414158618</v>
      </c>
      <c r="Z32" s="290"/>
      <c r="AB32" s="182">
        <f>+IF(AB31&gt;$G$13+$G$14,XX,AB31+1)</f>
        <v>2007</v>
      </c>
      <c r="AC32" s="152"/>
      <c r="AD32" s="187">
        <f t="shared" si="2"/>
        <v>13140</v>
      </c>
      <c r="AE32" s="4"/>
      <c r="AF32" s="190">
        <f t="shared" si="15"/>
        <v>60.88390445617673</v>
      </c>
      <c r="AG32" s="4"/>
      <c r="AH32" s="190">
        <f t="shared" si="16"/>
        <v>7.4712640584566854</v>
      </c>
      <c r="AI32" s="4"/>
      <c r="AJ32" s="190">
        <f t="shared" si="17"/>
        <v>1.7453579528615182</v>
      </c>
      <c r="AK32" s="4"/>
      <c r="AL32" s="189">
        <f t="shared" si="6"/>
        <v>155.82092728416467</v>
      </c>
      <c r="AM32" s="4"/>
      <c r="AN32" s="190">
        <f>INDEX('(2.2)_Forward_Price_Curve'!$J:$J,MATCH($AB32,'(2.2)_Forward_Price_Curve'!$C:$C,0),1)</f>
        <v>4.22</v>
      </c>
      <c r="AO32" s="4"/>
      <c r="AP32" s="190">
        <f t="shared" si="7"/>
        <v>30.230986139154162</v>
      </c>
      <c r="AQ32" s="4"/>
      <c r="AR32" s="190">
        <f t="shared" si="18"/>
        <v>3.5629769360880599</v>
      </c>
      <c r="AS32" s="190"/>
      <c r="AT32" s="189">
        <f t="shared" si="3"/>
        <v>127.54788205336148</v>
      </c>
      <c r="AU32" s="4"/>
      <c r="AV32" s="189">
        <f t="shared" si="4"/>
        <v>444.05267480868281</v>
      </c>
      <c r="AW32" s="337"/>
      <c r="AX32" s="191">
        <f t="shared" si="8"/>
        <v>571.6005568620443</v>
      </c>
      <c r="AZ32" s="182">
        <f>+IF(AZ31&gt;$G$13+$G$14,XX,AZ31+1)</f>
        <v>2007</v>
      </c>
      <c r="BA32" s="152"/>
      <c r="BB32" s="190">
        <f t="shared" si="19"/>
        <v>52.297986951013648</v>
      </c>
      <c r="BC32" s="4"/>
      <c r="BD32" s="190">
        <f t="shared" si="20"/>
        <v>11.370652539550777</v>
      </c>
      <c r="BE32" s="4"/>
      <c r="BF32" s="189">
        <f t="shared" si="9"/>
        <v>28.273045230803195</v>
      </c>
      <c r="BG32" s="4"/>
      <c r="BH32" s="193"/>
    </row>
    <row r="33" spans="2:60" ht="12">
      <c r="B33" s="3"/>
      <c r="C33" s="7">
        <f>+IF(C32&gt;$G$13+$G$14,XX,C32+1)</f>
        <v>2008</v>
      </c>
      <c r="D33" s="7"/>
      <c r="E33" s="330">
        <f t="shared" si="10"/>
        <v>2.5000000000000001E-2</v>
      </c>
      <c r="F33" s="7"/>
      <c r="G33" s="23">
        <f t="shared" si="11"/>
        <v>13140</v>
      </c>
      <c r="H33" s="7"/>
      <c r="I33" s="39">
        <f t="shared" si="12"/>
        <v>176.08916585599681</v>
      </c>
      <c r="J33" s="7"/>
      <c r="K33" s="39">
        <f t="shared" si="13"/>
        <v>0</v>
      </c>
      <c r="L33" s="7"/>
      <c r="M33" s="39">
        <f t="shared" si="14"/>
        <v>0</v>
      </c>
      <c r="N33" s="7"/>
      <c r="O33" s="333"/>
      <c r="P33" s="7"/>
      <c r="Q33" s="39"/>
      <c r="R33" s="7"/>
      <c r="S33" s="23">
        <v>0</v>
      </c>
      <c r="T33" s="7"/>
      <c r="U33" s="23">
        <f t="shared" si="0"/>
        <v>594.78600263633746</v>
      </c>
      <c r="V33" s="7"/>
      <c r="W33" s="23">
        <f t="shared" si="1"/>
        <v>-594.78600263633746</v>
      </c>
      <c r="X33" s="7"/>
      <c r="Y33" s="334">
        <f t="shared" si="5"/>
        <v>-45.265297004287476</v>
      </c>
      <c r="Z33" s="290"/>
      <c r="AB33" s="182">
        <f>+IF(AB32&gt;$G$13+$G$14,XX,AB32+1)</f>
        <v>2008</v>
      </c>
      <c r="AC33" s="152"/>
      <c r="AD33" s="187">
        <f t="shared" si="2"/>
        <v>13140</v>
      </c>
      <c r="AE33" s="4"/>
      <c r="AF33" s="190">
        <f t="shared" si="15"/>
        <v>62.406002067581142</v>
      </c>
      <c r="AG33" s="4"/>
      <c r="AH33" s="190">
        <f t="shared" si="16"/>
        <v>7.6580456599181019</v>
      </c>
      <c r="AI33" s="4"/>
      <c r="AJ33" s="190">
        <f t="shared" si="17"/>
        <v>1.788991901683056</v>
      </c>
      <c r="AK33" s="4"/>
      <c r="AL33" s="189">
        <f t="shared" si="6"/>
        <v>159.71645046626878</v>
      </c>
      <c r="AM33" s="4"/>
      <c r="AN33" s="190">
        <f>INDEX('(2.2)_Forward_Price_Curve'!$J:$J,MATCH($AB33,'(2.2)_Forward_Price_Curve'!$C:$C,0),1)</f>
        <v>4.42</v>
      </c>
      <c r="AO33" s="4"/>
      <c r="AP33" s="190">
        <f t="shared" si="7"/>
        <v>31.66373429740791</v>
      </c>
      <c r="AQ33" s="4"/>
      <c r="AR33" s="190">
        <f t="shared" si="18"/>
        <v>3.6520513594902613</v>
      </c>
      <c r="AS33" s="190"/>
      <c r="AT33" s="189">
        <f t="shared" si="3"/>
        <v>130.73657910469552</v>
      </c>
      <c r="AU33" s="4"/>
      <c r="AV33" s="189">
        <f t="shared" si="4"/>
        <v>464.04942353164193</v>
      </c>
      <c r="AW33" s="337"/>
      <c r="AX33" s="191">
        <f t="shared" si="8"/>
        <v>594.78600263633746</v>
      </c>
      <c r="AZ33" s="182">
        <f>+IF(AZ32&gt;$G$13+$G$14,XX,AZ32+1)</f>
        <v>2008</v>
      </c>
      <c r="BA33" s="152"/>
      <c r="BB33" s="190">
        <f t="shared" si="19"/>
        <v>53.605436624788986</v>
      </c>
      <c r="BC33" s="4"/>
      <c r="BD33" s="190">
        <f t="shared" si="20"/>
        <v>11.654918853039545</v>
      </c>
      <c r="BE33" s="4"/>
      <c r="BF33" s="189">
        <f t="shared" si="9"/>
        <v>28.979871361573274</v>
      </c>
      <c r="BG33" s="4"/>
      <c r="BH33" s="193"/>
    </row>
    <row r="34" spans="2:60" ht="12">
      <c r="B34" s="3"/>
      <c r="C34" s="7">
        <f>+IF(C33&gt;$G$13+$G$14,XX,C33+1)</f>
        <v>2009</v>
      </c>
      <c r="D34" s="7"/>
      <c r="E34" s="330">
        <f t="shared" si="10"/>
        <v>2.5000000000000001E-2</v>
      </c>
      <c r="F34" s="7"/>
      <c r="G34" s="23">
        <f t="shared" si="11"/>
        <v>13140</v>
      </c>
      <c r="H34" s="7"/>
      <c r="I34" s="39">
        <f t="shared" si="12"/>
        <v>180.49139500239673</v>
      </c>
      <c r="J34" s="7"/>
      <c r="K34" s="39">
        <f t="shared" si="13"/>
        <v>0</v>
      </c>
      <c r="L34" s="7"/>
      <c r="M34" s="39">
        <f t="shared" si="14"/>
        <v>0</v>
      </c>
      <c r="N34" s="7"/>
      <c r="O34" s="333"/>
      <c r="P34" s="7"/>
      <c r="Q34" s="39"/>
      <c r="R34" s="7"/>
      <c r="S34" s="23">
        <v>0</v>
      </c>
      <c r="T34" s="7"/>
      <c r="U34" s="23">
        <f t="shared" si="0"/>
        <v>587.01701396590204</v>
      </c>
      <c r="V34" s="7"/>
      <c r="W34" s="23">
        <f t="shared" si="1"/>
        <v>-587.01701396590204</v>
      </c>
      <c r="X34" s="7"/>
      <c r="Y34" s="334">
        <f t="shared" si="5"/>
        <v>-44.674049769094523</v>
      </c>
      <c r="Z34" s="290"/>
      <c r="AB34" s="182">
        <f>+IF(AB33&gt;$G$13+$G$14,XX,AB33+1)</f>
        <v>2009</v>
      </c>
      <c r="AC34" s="152"/>
      <c r="AD34" s="187">
        <f t="shared" si="2"/>
        <v>13140</v>
      </c>
      <c r="AE34" s="4"/>
      <c r="AF34" s="190">
        <f t="shared" si="15"/>
        <v>63.966152119270667</v>
      </c>
      <c r="AG34" s="4"/>
      <c r="AH34" s="190">
        <f t="shared" si="16"/>
        <v>7.8494968014160538</v>
      </c>
      <c r="AI34" s="4"/>
      <c r="AJ34" s="190">
        <f t="shared" si="17"/>
        <v>1.8337166992251321</v>
      </c>
      <c r="AK34" s="4"/>
      <c r="AL34" s="189">
        <f t="shared" si="6"/>
        <v>163.70936172792548</v>
      </c>
      <c r="AM34" s="4"/>
      <c r="AN34" s="190">
        <f>INDEX('(2.2)_Forward_Price_Curve'!$J:$J,MATCH($AB34,'(2.2)_Forward_Price_Curve'!$C:$C,0),1)</f>
        <v>4.29</v>
      </c>
      <c r="AO34" s="4"/>
      <c r="AP34" s="190">
        <f t="shared" si="7"/>
        <v>30.732447994542973</v>
      </c>
      <c r="AQ34" s="4"/>
      <c r="AR34" s="190">
        <f t="shared" si="18"/>
        <v>3.7433526434775173</v>
      </c>
      <c r="AS34" s="190"/>
      <c r="AT34" s="189">
        <f t="shared" si="3"/>
        <v>134.00499358231289</v>
      </c>
      <c r="AU34" s="4"/>
      <c r="AV34" s="189">
        <f t="shared" si="4"/>
        <v>453.01202038358917</v>
      </c>
      <c r="AW34" s="337"/>
      <c r="AX34" s="191">
        <f t="shared" si="8"/>
        <v>587.01701396590204</v>
      </c>
      <c r="AZ34" s="182">
        <f>+IF(AZ33&gt;$G$13+$G$14,XX,AZ33+1)</f>
        <v>2009</v>
      </c>
      <c r="BA34" s="152"/>
      <c r="BB34" s="190">
        <f t="shared" si="19"/>
        <v>54.945572540408705</v>
      </c>
      <c r="BC34" s="4"/>
      <c r="BD34" s="190">
        <f t="shared" si="20"/>
        <v>11.946291824365533</v>
      </c>
      <c r="BE34" s="4"/>
      <c r="BF34" s="189">
        <f t="shared" si="9"/>
        <v>29.704368145612602</v>
      </c>
      <c r="BG34" s="4"/>
      <c r="BH34" s="193"/>
    </row>
    <row r="35" spans="2:60" ht="12">
      <c r="B35" s="3"/>
      <c r="C35" s="7">
        <f>+IF(C34&gt;$G$13+$G$14,XX,C34+1)</f>
        <v>2010</v>
      </c>
      <c r="D35" s="7"/>
      <c r="E35" s="330">
        <f t="shared" si="10"/>
        <v>2.5000000000000001E-2</v>
      </c>
      <c r="F35" s="7"/>
      <c r="G35" s="23">
        <f t="shared" si="11"/>
        <v>13140</v>
      </c>
      <c r="H35" s="7"/>
      <c r="I35" s="39">
        <f t="shared" si="12"/>
        <v>185.00367987745662</v>
      </c>
      <c r="J35" s="7"/>
      <c r="K35" s="39">
        <f t="shared" si="13"/>
        <v>0</v>
      </c>
      <c r="L35" s="7"/>
      <c r="M35" s="39">
        <f t="shared" si="14"/>
        <v>0</v>
      </c>
      <c r="N35" s="7"/>
      <c r="O35" s="333"/>
      <c r="P35" s="7"/>
      <c r="Q35" s="39"/>
      <c r="R35" s="7"/>
      <c r="S35" s="23">
        <v>0</v>
      </c>
      <c r="T35" s="7"/>
      <c r="U35" s="23">
        <f t="shared" si="0"/>
        <v>542.64842207026118</v>
      </c>
      <c r="V35" s="7"/>
      <c r="W35" s="23">
        <f t="shared" si="1"/>
        <v>-542.64842207026118</v>
      </c>
      <c r="X35" s="7"/>
      <c r="Y35" s="334">
        <f t="shared" si="5"/>
        <v>-41.297444601998571</v>
      </c>
      <c r="Z35" s="290"/>
      <c r="AB35" s="182">
        <f>+IF(AB34&gt;$G$13+$G$14,XX,AB34+1)</f>
        <v>2010</v>
      </c>
      <c r="AC35" s="152"/>
      <c r="AD35" s="187">
        <f t="shared" si="2"/>
        <v>13140</v>
      </c>
      <c r="AE35" s="4"/>
      <c r="AF35" s="190">
        <f t="shared" si="15"/>
        <v>65.565305922252435</v>
      </c>
      <c r="AG35" s="4"/>
      <c r="AH35" s="190">
        <f t="shared" si="16"/>
        <v>8.045734221451454</v>
      </c>
      <c r="AI35" s="4"/>
      <c r="AJ35" s="190">
        <f t="shared" si="17"/>
        <v>1.8795596167057602</v>
      </c>
      <c r="AK35" s="4"/>
      <c r="AL35" s="189">
        <f t="shared" si="6"/>
        <v>167.80209577112359</v>
      </c>
      <c r="AM35" s="4"/>
      <c r="AN35" s="190">
        <f>INDEX('(2.2)_Forward_Price_Curve'!$J:$J,MATCH($AB35,'(2.2)_Forward_Price_Curve'!$C:$C,0),1)</f>
        <v>3.77</v>
      </c>
      <c r="AO35" s="4"/>
      <c r="AP35" s="190">
        <f t="shared" si="7"/>
        <v>27.007302783083222</v>
      </c>
      <c r="AQ35" s="4"/>
      <c r="AR35" s="190">
        <f t="shared" si="18"/>
        <v>3.8369364595644551</v>
      </c>
      <c r="AS35" s="190"/>
      <c r="AT35" s="189">
        <f t="shared" si="3"/>
        <v>137.35511842187066</v>
      </c>
      <c r="AU35" s="4"/>
      <c r="AV35" s="189">
        <f t="shared" si="4"/>
        <v>405.29330364839052</v>
      </c>
      <c r="AW35" s="337"/>
      <c r="AX35" s="191">
        <f t="shared" si="8"/>
        <v>542.64842207026118</v>
      </c>
      <c r="AZ35" s="182">
        <f>+IF(AZ34&gt;$G$13+$G$14,XX,AZ34+1)</f>
        <v>2010</v>
      </c>
      <c r="BA35" s="152"/>
      <c r="BB35" s="190">
        <f t="shared" si="19"/>
        <v>56.319211853918915</v>
      </c>
      <c r="BC35" s="4"/>
      <c r="BD35" s="190">
        <f t="shared" si="20"/>
        <v>12.24494911997467</v>
      </c>
      <c r="BE35" s="4"/>
      <c r="BF35" s="189">
        <f t="shared" si="9"/>
        <v>30.446977349252919</v>
      </c>
      <c r="BG35" s="4"/>
      <c r="BH35" s="193"/>
    </row>
    <row r="36" spans="2:60" ht="12">
      <c r="B36" s="3"/>
      <c r="C36" s="7">
        <f>+IF(C35&gt;$G$13+$G$14,XX,C35+1)</f>
        <v>2011</v>
      </c>
      <c r="D36" s="7"/>
      <c r="E36" s="330">
        <f t="shared" si="10"/>
        <v>2.5000000000000001E-2</v>
      </c>
      <c r="F36" s="7"/>
      <c r="G36" s="23">
        <f t="shared" si="11"/>
        <v>13140</v>
      </c>
      <c r="H36" s="7"/>
      <c r="I36" s="39">
        <f t="shared" si="12"/>
        <v>189.62877187439301</v>
      </c>
      <c r="J36" s="7"/>
      <c r="K36" s="39">
        <f t="shared" si="13"/>
        <v>0</v>
      </c>
      <c r="L36" s="7"/>
      <c r="M36" s="39">
        <f t="shared" si="14"/>
        <v>0</v>
      </c>
      <c r="N36" s="7"/>
      <c r="O36" s="333"/>
      <c r="P36" s="7"/>
      <c r="Q36" s="39"/>
      <c r="R36" s="7"/>
      <c r="S36" s="23">
        <v>0</v>
      </c>
      <c r="T36" s="7"/>
      <c r="U36" s="23">
        <f t="shared" si="0"/>
        <v>560.5211512173928</v>
      </c>
      <c r="V36" s="7"/>
      <c r="W36" s="23">
        <f t="shared" si="1"/>
        <v>-560.5211512173928</v>
      </c>
      <c r="X36" s="7"/>
      <c r="Y36" s="334">
        <f t="shared" si="5"/>
        <v>-42.657621858249065</v>
      </c>
      <c r="Z36" s="290"/>
      <c r="AB36" s="182">
        <f>+IF(AB35&gt;$G$13+$G$14,XX,AB35+1)</f>
        <v>2011</v>
      </c>
      <c r="AC36" s="152"/>
      <c r="AD36" s="187">
        <f t="shared" si="2"/>
        <v>13140</v>
      </c>
      <c r="AE36" s="4"/>
      <c r="AF36" s="190">
        <f t="shared" si="15"/>
        <v>67.204438570308739</v>
      </c>
      <c r="AG36" s="4"/>
      <c r="AH36" s="190">
        <f t="shared" si="16"/>
        <v>8.2468775769877389</v>
      </c>
      <c r="AI36" s="4"/>
      <c r="AJ36" s="190">
        <f t="shared" si="17"/>
        <v>1.9265486071234041</v>
      </c>
      <c r="AK36" s="4"/>
      <c r="AL36" s="189">
        <f t="shared" si="6"/>
        <v>171.99714816540168</v>
      </c>
      <c r="AM36" s="4"/>
      <c r="AN36" s="190">
        <f>INDEX('(2.2)_Forward_Price_Curve'!$J:$J,MATCH($AB36,'(2.2)_Forward_Price_Curve'!$C:$C,0),1)</f>
        <v>3.91</v>
      </c>
      <c r="AO36" s="4"/>
      <c r="AP36" s="190">
        <f t="shared" si="7"/>
        <v>28.010226493860845</v>
      </c>
      <c r="AQ36" s="4"/>
      <c r="AR36" s="190">
        <f t="shared" si="18"/>
        <v>3.9328598710535663</v>
      </c>
      <c r="AS36" s="190"/>
      <c r="AT36" s="189">
        <f t="shared" si="3"/>
        <v>140.78899638241745</v>
      </c>
      <c r="AU36" s="4"/>
      <c r="AV36" s="189">
        <f t="shared" si="4"/>
        <v>419.73215483497535</v>
      </c>
      <c r="AW36" s="337"/>
      <c r="AX36" s="191">
        <f t="shared" si="8"/>
        <v>560.5211512173928</v>
      </c>
      <c r="AZ36" s="182">
        <f>+IF(AZ35&gt;$G$13+$G$14,XX,AZ35+1)</f>
        <v>2011</v>
      </c>
      <c r="BA36" s="152"/>
      <c r="BB36" s="190">
        <f t="shared" si="19"/>
        <v>57.72719215026688</v>
      </c>
      <c r="BC36" s="4"/>
      <c r="BD36" s="190">
        <f t="shared" si="20"/>
        <v>12.551072847974035</v>
      </c>
      <c r="BE36" s="4"/>
      <c r="BF36" s="189">
        <f t="shared" si="9"/>
        <v>31.208151782984235</v>
      </c>
      <c r="BG36" s="4"/>
      <c r="BH36" s="193"/>
    </row>
    <row r="37" spans="2:60" ht="12">
      <c r="B37" s="3"/>
      <c r="C37" s="7">
        <f>+IF(C36&gt;$G$13+$G$14,XX,C36+1)</f>
        <v>2012</v>
      </c>
      <c r="D37" s="7"/>
      <c r="E37" s="330">
        <f t="shared" si="10"/>
        <v>2.5000000000000001E-2</v>
      </c>
      <c r="F37" s="7"/>
      <c r="G37" s="23">
        <f t="shared" si="11"/>
        <v>13140</v>
      </c>
      <c r="H37" s="7"/>
      <c r="I37" s="39">
        <f t="shared" si="12"/>
        <v>194.36949117125283</v>
      </c>
      <c r="J37" s="7"/>
      <c r="K37" s="39">
        <f t="shared" si="13"/>
        <v>0</v>
      </c>
      <c r="L37" s="7"/>
      <c r="M37" s="39">
        <f t="shared" si="14"/>
        <v>0</v>
      </c>
      <c r="N37" s="7"/>
      <c r="O37" s="333"/>
      <c r="P37" s="7"/>
      <c r="Q37" s="39"/>
      <c r="R37" s="7"/>
      <c r="S37" s="23">
        <v>0</v>
      </c>
      <c r="T37" s="7"/>
      <c r="U37" s="23">
        <f t="shared" si="0"/>
        <v>611.45728205325747</v>
      </c>
      <c r="V37" s="7"/>
      <c r="W37" s="23">
        <f t="shared" si="1"/>
        <v>-611.45728205325747</v>
      </c>
      <c r="X37" s="7"/>
      <c r="Y37" s="334">
        <f t="shared" si="5"/>
        <v>-46.53403973008048</v>
      </c>
      <c r="Z37" s="290"/>
      <c r="AB37" s="182">
        <f>+IF(AB36&gt;$G$13+$G$14,XX,AB36+1)</f>
        <v>2012</v>
      </c>
      <c r="AC37" s="152"/>
      <c r="AD37" s="187">
        <f t="shared" si="2"/>
        <v>13140</v>
      </c>
      <c r="AE37" s="4"/>
      <c r="AF37" s="190">
        <f t="shared" si="15"/>
        <v>68.884549534566446</v>
      </c>
      <c r="AG37" s="4"/>
      <c r="AH37" s="190">
        <f t="shared" si="16"/>
        <v>8.4530495164124311</v>
      </c>
      <c r="AI37" s="4"/>
      <c r="AJ37" s="190">
        <f t="shared" si="17"/>
        <v>1.9747123223014891</v>
      </c>
      <c r="AK37" s="4"/>
      <c r="AL37" s="189">
        <f t="shared" si="6"/>
        <v>176.29707686953668</v>
      </c>
      <c r="AM37" s="4"/>
      <c r="AN37" s="190">
        <f>INDEX('(2.2)_Forward_Price_Curve'!$J:$J,MATCH($AB37,'(2.2)_Forward_Price_Curve'!$C:$C,0),1)</f>
        <v>4.4000000000000004</v>
      </c>
      <c r="AO37" s="4"/>
      <c r="AP37" s="190">
        <f t="shared" si="7"/>
        <v>31.520459481582542</v>
      </c>
      <c r="AQ37" s="4"/>
      <c r="AR37" s="190">
        <f t="shared" si="18"/>
        <v>4.0311813678299053</v>
      </c>
      <c r="AS37" s="190"/>
      <c r="AT37" s="189">
        <f t="shared" si="3"/>
        <v>144.30872129197783</v>
      </c>
      <c r="AU37" s="4"/>
      <c r="AV37" s="189">
        <f t="shared" si="4"/>
        <v>467.14856076127961</v>
      </c>
      <c r="AW37" s="337"/>
      <c r="AX37" s="191">
        <f t="shared" si="8"/>
        <v>611.45728205325747</v>
      </c>
      <c r="AZ37" s="182">
        <f>+IF(AZ36&gt;$G$13+$G$14,XX,AZ36+1)</f>
        <v>2012</v>
      </c>
      <c r="BA37" s="152"/>
      <c r="BB37" s="190">
        <f t="shared" si="19"/>
        <v>59.170371954023544</v>
      </c>
      <c r="BC37" s="4"/>
      <c r="BD37" s="190">
        <f t="shared" si="20"/>
        <v>12.864849669173385</v>
      </c>
      <c r="BE37" s="4"/>
      <c r="BF37" s="189">
        <f t="shared" si="9"/>
        <v>31.988355577558838</v>
      </c>
      <c r="BG37" s="4"/>
      <c r="BH37" s="193"/>
    </row>
    <row r="38" spans="2:60" ht="12">
      <c r="B38" s="3"/>
      <c r="C38" s="7">
        <f>+IF(C37&gt;$G$13+$G$14,XX,C37+1)</f>
        <v>2013</v>
      </c>
      <c r="D38" s="7"/>
      <c r="E38" s="330">
        <f t="shared" si="10"/>
        <v>2.5000000000000001E-2</v>
      </c>
      <c r="F38" s="7"/>
      <c r="G38" s="23">
        <f t="shared" si="11"/>
        <v>13140</v>
      </c>
      <c r="H38" s="7"/>
      <c r="I38" s="39">
        <f t="shared" si="12"/>
        <v>199.22872845053413</v>
      </c>
      <c r="J38" s="7"/>
      <c r="K38" s="39">
        <f t="shared" si="13"/>
        <v>0</v>
      </c>
      <c r="L38" s="7"/>
      <c r="M38" s="39">
        <f t="shared" si="14"/>
        <v>0</v>
      </c>
      <c r="N38" s="7"/>
      <c r="O38" s="333"/>
      <c r="P38" s="7"/>
      <c r="Q38" s="39"/>
      <c r="R38" s="7"/>
      <c r="S38" s="23">
        <v>0</v>
      </c>
      <c r="T38" s="7"/>
      <c r="U38" s="23">
        <f t="shared" si="0"/>
        <v>638.98081612423414</v>
      </c>
      <c r="V38" s="7"/>
      <c r="W38" s="23">
        <f t="shared" si="1"/>
        <v>-638.98081612423414</v>
      </c>
      <c r="X38" s="7"/>
      <c r="Y38" s="334">
        <f t="shared" si="5"/>
        <v>-48.628677026197423</v>
      </c>
      <c r="Z38" s="290"/>
      <c r="AB38" s="182">
        <f>+IF(AB37&gt;$G$13+$G$14,XX,AB37+1)</f>
        <v>2013</v>
      </c>
      <c r="AC38" s="152"/>
      <c r="AD38" s="187">
        <f t="shared" si="2"/>
        <v>13140</v>
      </c>
      <c r="AE38" s="4"/>
      <c r="AF38" s="190">
        <f t="shared" si="15"/>
        <v>70.606663272930604</v>
      </c>
      <c r="AG38" s="4"/>
      <c r="AH38" s="190">
        <f t="shared" si="16"/>
        <v>8.6643757543227409</v>
      </c>
      <c r="AI38" s="4"/>
      <c r="AJ38" s="190">
        <f t="shared" si="17"/>
        <v>2.0240801303590263</v>
      </c>
      <c r="AK38" s="4"/>
      <c r="AL38" s="189">
        <f t="shared" si="6"/>
        <v>180.7045037912751</v>
      </c>
      <c r="AM38" s="4"/>
      <c r="AN38" s="190">
        <f>INDEX('(2.2)_Forward_Price_Curve'!$J:$J,MATCH($AB38,'(2.2)_Forward_Price_Curve'!$C:$C,0),1)</f>
        <v>4.6399999999999997</v>
      </c>
      <c r="AO38" s="4"/>
      <c r="AP38" s="190">
        <f t="shared" si="7"/>
        <v>33.239757271487044</v>
      </c>
      <c r="AQ38" s="4"/>
      <c r="AR38" s="190">
        <f t="shared" si="18"/>
        <v>4.1319609020256527</v>
      </c>
      <c r="AS38" s="190"/>
      <c r="AT38" s="189">
        <f t="shared" si="3"/>
        <v>147.91643932427729</v>
      </c>
      <c r="AU38" s="4"/>
      <c r="AV38" s="189">
        <f t="shared" si="4"/>
        <v>491.06437679995685</v>
      </c>
      <c r="AW38" s="337"/>
      <c r="AX38" s="191">
        <f t="shared" si="8"/>
        <v>638.98081612423414</v>
      </c>
      <c r="AZ38" s="182">
        <f>+IF(AZ37&gt;$G$13+$G$14,XX,AZ37+1)</f>
        <v>2013</v>
      </c>
      <c r="BA38" s="152"/>
      <c r="BB38" s="190">
        <f t="shared" si="19"/>
        <v>60.64963125287413</v>
      </c>
      <c r="BC38" s="4"/>
      <c r="BD38" s="190">
        <f t="shared" si="20"/>
        <v>13.186470910902719</v>
      </c>
      <c r="BE38" s="4"/>
      <c r="BF38" s="189">
        <f t="shared" si="9"/>
        <v>32.788064466997803</v>
      </c>
      <c r="BG38" s="4"/>
      <c r="BH38" s="193"/>
    </row>
    <row r="39" spans="2:60" ht="12">
      <c r="B39" s="3"/>
      <c r="C39" s="7">
        <f>+IF(C38&gt;$G$13+$G$14,XX,C38+1)</f>
        <v>2014</v>
      </c>
      <c r="D39" s="7"/>
      <c r="E39" s="330">
        <f t="shared" si="10"/>
        <v>2.5000000000000001E-2</v>
      </c>
      <c r="F39" s="7"/>
      <c r="G39" s="23">
        <f t="shared" si="11"/>
        <v>13140</v>
      </c>
      <c r="H39" s="7"/>
      <c r="I39" s="39">
        <f t="shared" si="12"/>
        <v>204.20944666179747</v>
      </c>
      <c r="J39" s="7"/>
      <c r="K39" s="39">
        <f t="shared" si="13"/>
        <v>0</v>
      </c>
      <c r="L39" s="7"/>
      <c r="M39" s="39">
        <f t="shared" si="14"/>
        <v>0</v>
      </c>
      <c r="N39" s="7"/>
      <c r="O39" s="333"/>
      <c r="P39" s="7"/>
      <c r="Q39" s="39"/>
      <c r="R39" s="7"/>
      <c r="S39" s="23">
        <v>0</v>
      </c>
      <c r="T39" s="7"/>
      <c r="U39" s="23">
        <f t="shared" si="0"/>
        <v>626.15108100417501</v>
      </c>
      <c r="V39" s="7"/>
      <c r="W39" s="23">
        <f t="shared" si="1"/>
        <v>-626.15108100417501</v>
      </c>
      <c r="X39" s="7"/>
      <c r="Y39" s="334">
        <f t="shared" si="5"/>
        <v>-47.652289269724129</v>
      </c>
      <c r="Z39" s="290"/>
      <c r="AB39" s="182">
        <f>+IF(AB38&gt;$G$13+$G$14,XX,AB38+1)</f>
        <v>2014</v>
      </c>
      <c r="AC39" s="152"/>
      <c r="AD39" s="187">
        <f t="shared" si="2"/>
        <v>13140</v>
      </c>
      <c r="AE39" s="4"/>
      <c r="AF39" s="190">
        <f t="shared" si="15"/>
        <v>72.371829854753869</v>
      </c>
      <c r="AG39" s="4"/>
      <c r="AH39" s="190">
        <f t="shared" si="16"/>
        <v>8.8809851481808089</v>
      </c>
      <c r="AI39" s="4"/>
      <c r="AJ39" s="190">
        <f t="shared" si="17"/>
        <v>2.0746821336180017</v>
      </c>
      <c r="AK39" s="4"/>
      <c r="AL39" s="189">
        <f t="shared" si="6"/>
        <v>185.222116386057</v>
      </c>
      <c r="AM39" s="4"/>
      <c r="AN39" s="190">
        <f>INDEX('(2.2)_Forward_Price_Curve'!$J:$J,MATCH($AB39,'(2.2)_Forward_Price_Curve'!$C:$C,0),1)</f>
        <v>4.45</v>
      </c>
      <c r="AO39" s="4"/>
      <c r="AP39" s="190">
        <f t="shared" si="7"/>
        <v>31.878646521145978</v>
      </c>
      <c r="AQ39" s="4"/>
      <c r="AR39" s="190">
        <f t="shared" si="18"/>
        <v>4.2352599245762939</v>
      </c>
      <c r="AS39" s="190"/>
      <c r="AT39" s="189">
        <f t="shared" si="3"/>
        <v>151.61435030738426</v>
      </c>
      <c r="AU39" s="4"/>
      <c r="AV39" s="189">
        <f t="shared" si="4"/>
        <v>474.5367306967907</v>
      </c>
      <c r="AW39" s="337"/>
      <c r="AX39" s="191">
        <f t="shared" si="8"/>
        <v>626.15108100417501</v>
      </c>
      <c r="AZ39" s="182">
        <f>+IF(AZ38&gt;$G$13+$G$14,XX,AZ38+1)</f>
        <v>2014</v>
      </c>
      <c r="BA39" s="152"/>
      <c r="BB39" s="190">
        <f t="shared" si="19"/>
        <v>62.165872034195978</v>
      </c>
      <c r="BC39" s="4"/>
      <c r="BD39" s="190">
        <f t="shared" si="20"/>
        <v>13.516132683675286</v>
      </c>
      <c r="BE39" s="4"/>
      <c r="BF39" s="189">
        <f t="shared" si="9"/>
        <v>33.607766078672746</v>
      </c>
      <c r="BG39" s="4"/>
      <c r="BH39" s="193"/>
    </row>
    <row r="40" spans="2:60" ht="12">
      <c r="B40" s="3"/>
      <c r="C40" s="7">
        <f>+IF(C39&gt;$G$13+$G$14,XX,C39+1)</f>
        <v>2015</v>
      </c>
      <c r="D40" s="7"/>
      <c r="E40" s="330">
        <f t="shared" si="10"/>
        <v>2.5000000000000001E-2</v>
      </c>
      <c r="F40" s="7"/>
      <c r="G40" s="23">
        <f t="shared" si="11"/>
        <v>13140</v>
      </c>
      <c r="H40" s="7"/>
      <c r="I40" s="39">
        <f t="shared" si="12"/>
        <v>209.3146828283424</v>
      </c>
      <c r="J40" s="7"/>
      <c r="K40" s="39">
        <f t="shared" si="13"/>
        <v>0</v>
      </c>
      <c r="L40" s="7"/>
      <c r="M40" s="39">
        <f t="shared" si="14"/>
        <v>0</v>
      </c>
      <c r="N40" s="7"/>
      <c r="O40" s="333"/>
      <c r="P40" s="7"/>
      <c r="Q40" s="39"/>
      <c r="R40" s="7"/>
      <c r="S40" s="23">
        <v>0</v>
      </c>
      <c r="T40" s="7"/>
      <c r="U40" s="23">
        <f t="shared" si="0"/>
        <v>671.80929086590936</v>
      </c>
      <c r="V40" s="7"/>
      <c r="W40" s="23">
        <f t="shared" si="1"/>
        <v>-671.80929086590936</v>
      </c>
      <c r="X40" s="7"/>
      <c r="Y40" s="334">
        <f t="shared" si="5"/>
        <v>-51.127038878684118</v>
      </c>
      <c r="Z40" s="290"/>
      <c r="AB40" s="182">
        <f>+IF(AB39&gt;$G$13+$G$14,XX,AB39+1)</f>
        <v>2015</v>
      </c>
      <c r="AC40" s="152"/>
      <c r="AD40" s="187">
        <f t="shared" si="2"/>
        <v>13140</v>
      </c>
      <c r="AE40" s="4"/>
      <c r="AF40" s="190">
        <f t="shared" si="15"/>
        <v>74.181125601122716</v>
      </c>
      <c r="AG40" s="4"/>
      <c r="AH40" s="190">
        <f t="shared" si="16"/>
        <v>9.1030097768853278</v>
      </c>
      <c r="AI40" s="4"/>
      <c r="AJ40" s="190">
        <f t="shared" si="17"/>
        <v>2.1265491869584516</v>
      </c>
      <c r="AK40" s="4"/>
      <c r="AL40" s="189">
        <f t="shared" si="6"/>
        <v>189.85266929570838</v>
      </c>
      <c r="AM40" s="4"/>
      <c r="AN40" s="190">
        <f>INDEX('(2.2)_Forward_Price_Curve'!$J:$J,MATCH($AB40,'(2.2)_Forward_Price_Curve'!$C:$C,0),1)</f>
        <v>4.88</v>
      </c>
      <c r="AO40" s="4"/>
      <c r="AP40" s="190">
        <f t="shared" si="7"/>
        <v>34.959055061391538</v>
      </c>
      <c r="AQ40" s="4"/>
      <c r="AR40" s="190">
        <f t="shared" si="18"/>
        <v>4.3411414226907006</v>
      </c>
      <c r="AS40" s="190"/>
      <c r="AT40" s="189">
        <f t="shared" si="3"/>
        <v>155.40470906506883</v>
      </c>
      <c r="AU40" s="4"/>
      <c r="AV40" s="189">
        <f t="shared" si="4"/>
        <v>516.40458180084056</v>
      </c>
      <c r="AW40" s="337"/>
      <c r="AX40" s="191">
        <f t="shared" si="8"/>
        <v>671.80929086590936</v>
      </c>
      <c r="AZ40" s="182">
        <f>+IF(AZ39&gt;$G$13+$G$14,XX,AZ39+1)</f>
        <v>2015</v>
      </c>
      <c r="BA40" s="152"/>
      <c r="BB40" s="190">
        <f t="shared" si="19"/>
        <v>63.720018835050872</v>
      </c>
      <c r="BC40" s="4"/>
      <c r="BD40" s="190">
        <f t="shared" si="20"/>
        <v>13.854036000767167</v>
      </c>
      <c r="BE40" s="4"/>
      <c r="BF40" s="189">
        <f t="shared" si="9"/>
        <v>34.447960230639559</v>
      </c>
      <c r="BG40" s="4"/>
      <c r="BH40" s="193"/>
    </row>
    <row r="41" spans="2:60" ht="12">
      <c r="B41" s="3"/>
      <c r="C41" s="7">
        <f>+IF(C40&gt;$G$13+$G$14,XX,C40+1)</f>
        <v>2016</v>
      </c>
      <c r="D41" s="7"/>
      <c r="E41" s="330">
        <f t="shared" si="10"/>
        <v>2.5000000000000001E-2</v>
      </c>
      <c r="F41" s="7"/>
      <c r="G41" s="23">
        <f t="shared" si="11"/>
        <v>13140</v>
      </c>
      <c r="H41" s="7"/>
      <c r="I41" s="39">
        <f t="shared" si="12"/>
        <v>214.54754989905095</v>
      </c>
      <c r="J41" s="7"/>
      <c r="K41" s="39">
        <f t="shared" si="13"/>
        <v>0</v>
      </c>
      <c r="L41" s="7"/>
      <c r="M41" s="39">
        <f t="shared" si="14"/>
        <v>0</v>
      </c>
      <c r="N41" s="7"/>
      <c r="O41" s="333"/>
      <c r="P41" s="7"/>
      <c r="Q41" s="39"/>
      <c r="R41" s="7"/>
      <c r="S41" s="23">
        <v>0</v>
      </c>
      <c r="T41" s="7"/>
      <c r="U41" s="23">
        <f t="shared" si="0"/>
        <v>697.82941542928984</v>
      </c>
      <c r="V41" s="7"/>
      <c r="W41" s="23">
        <f t="shared" si="1"/>
        <v>-697.82941542928984</v>
      </c>
      <c r="X41" s="7"/>
      <c r="Y41" s="334">
        <f t="shared" si="5"/>
        <v>-53.107261448195572</v>
      </c>
      <c r="Z41" s="290"/>
      <c r="AB41" s="182">
        <f>+IF(AB40&gt;$G$13+$G$14,XX,AB40+1)</f>
        <v>2016</v>
      </c>
      <c r="AC41" s="152"/>
      <c r="AD41" s="187">
        <f t="shared" si="2"/>
        <v>13140</v>
      </c>
      <c r="AE41" s="4"/>
      <c r="AF41" s="190">
        <f t="shared" si="15"/>
        <v>76.035653741150782</v>
      </c>
      <c r="AG41" s="4"/>
      <c r="AH41" s="190">
        <f t="shared" si="16"/>
        <v>9.3305850213074599</v>
      </c>
      <c r="AI41" s="4"/>
      <c r="AJ41" s="190">
        <f t="shared" si="17"/>
        <v>2.1797129166324125</v>
      </c>
      <c r="AK41" s="4"/>
      <c r="AL41" s="189">
        <f t="shared" si="6"/>
        <v>194.59898602810108</v>
      </c>
      <c r="AM41" s="4"/>
      <c r="AN41" s="190">
        <f>INDEX('(2.2)_Forward_Price_Curve'!$J:$J,MATCH($AB41,'(2.2)_Forward_Price_Curve'!$C:$C,0),1)</f>
        <v>5.0999999999999996</v>
      </c>
      <c r="AO41" s="4"/>
      <c r="AP41" s="190">
        <f t="shared" si="7"/>
        <v>36.535078035470669</v>
      </c>
      <c r="AQ41" s="4"/>
      <c r="AR41" s="190">
        <f t="shared" si="18"/>
        <v>4.4496699582579673</v>
      </c>
      <c r="AS41" s="190"/>
      <c r="AT41" s="189">
        <f t="shared" si="3"/>
        <v>159.28982679169553</v>
      </c>
      <c r="AU41" s="4"/>
      <c r="AV41" s="189">
        <f t="shared" si="4"/>
        <v>538.53958863759431</v>
      </c>
      <c r="AW41" s="337"/>
      <c r="AX41" s="191">
        <f t="shared" si="8"/>
        <v>697.82941542928984</v>
      </c>
      <c r="AZ41" s="182">
        <f>+IF(AZ40&gt;$G$13+$G$14,XX,AZ40+1)</f>
        <v>2016</v>
      </c>
      <c r="BA41" s="152"/>
      <c r="BB41" s="190">
        <f t="shared" si="19"/>
        <v>65.313019305927142</v>
      </c>
      <c r="BC41" s="4"/>
      <c r="BD41" s="190">
        <f t="shared" si="20"/>
        <v>14.200386900786345</v>
      </c>
      <c r="BE41" s="4"/>
      <c r="BF41" s="189">
        <f t="shared" si="9"/>
        <v>35.309159236405549</v>
      </c>
      <c r="BG41" s="4"/>
      <c r="BH41" s="193"/>
    </row>
    <row r="42" spans="2:60" ht="12">
      <c r="B42" s="3"/>
      <c r="C42" s="7">
        <f>+IF(C41&gt;$G$13+$G$14,XX,C41+1)</f>
        <v>2017</v>
      </c>
      <c r="D42" s="7"/>
      <c r="E42" s="330">
        <f t="shared" si="10"/>
        <v>2.5000000000000001E-2</v>
      </c>
      <c r="F42" s="7"/>
      <c r="G42" s="23">
        <f t="shared" si="11"/>
        <v>13140</v>
      </c>
      <c r="H42" s="7"/>
      <c r="I42" s="39">
        <f t="shared" si="12"/>
        <v>219.91123864652721</v>
      </c>
      <c r="J42" s="7"/>
      <c r="K42" s="39">
        <f t="shared" si="13"/>
        <v>0</v>
      </c>
      <c r="L42" s="7"/>
      <c r="M42" s="39">
        <f t="shared" si="14"/>
        <v>0</v>
      </c>
      <c r="N42" s="7"/>
      <c r="O42" s="333"/>
      <c r="P42" s="7"/>
      <c r="Q42" s="39"/>
      <c r="R42" s="7"/>
      <c r="S42" s="23">
        <v>0</v>
      </c>
      <c r="T42" s="7"/>
      <c r="U42" s="23">
        <f t="shared" si="0"/>
        <v>714.56916416004253</v>
      </c>
      <c r="V42" s="7"/>
      <c r="W42" s="23">
        <f t="shared" si="1"/>
        <v>-714.56916416004253</v>
      </c>
      <c r="X42" s="7"/>
      <c r="Y42" s="334">
        <f t="shared" si="5"/>
        <v>-54.381214928465944</v>
      </c>
      <c r="Z42" s="290"/>
      <c r="AB42" s="182">
        <f>+IF(AB41&gt;$G$13+$G$14,XX,AB41+1)</f>
        <v>2017</v>
      </c>
      <c r="AC42" s="152"/>
      <c r="AD42" s="187">
        <f t="shared" si="2"/>
        <v>13140</v>
      </c>
      <c r="AE42" s="4"/>
      <c r="AF42" s="190">
        <f t="shared" si="15"/>
        <v>77.936545084679551</v>
      </c>
      <c r="AG42" s="4"/>
      <c r="AH42" s="190">
        <f t="shared" si="16"/>
        <v>9.5638496468401453</v>
      </c>
      <c r="AI42" s="4"/>
      <c r="AJ42" s="190">
        <f t="shared" si="17"/>
        <v>2.2342057395482224</v>
      </c>
      <c r="AK42" s="4"/>
      <c r="AL42" s="189">
        <f t="shared" si="6"/>
        <v>199.46396067880363</v>
      </c>
      <c r="AM42" s="4"/>
      <c r="AN42" s="190">
        <f>INDEX('(2.2)_Forward_Price_Curve'!$J:$J,MATCH($AB42,'(2.2)_Forward_Price_Curve'!$C:$C,0),1)</f>
        <v>5.22</v>
      </c>
      <c r="AO42" s="4"/>
      <c r="AP42" s="190">
        <f t="shared" si="7"/>
        <v>37.39472693042292</v>
      </c>
      <c r="AQ42" s="4"/>
      <c r="AR42" s="190">
        <f t="shared" si="18"/>
        <v>4.5609117072144159</v>
      </c>
      <c r="AS42" s="190"/>
      <c r="AT42" s="189">
        <f t="shared" si="3"/>
        <v>163.27207246148794</v>
      </c>
      <c r="AU42" s="4"/>
      <c r="AV42" s="189">
        <f t="shared" si="4"/>
        <v>551.2970916985546</v>
      </c>
      <c r="AW42" s="337"/>
      <c r="AX42" s="191">
        <f t="shared" si="8"/>
        <v>714.56916416004253</v>
      </c>
      <c r="AZ42" s="182">
        <f>+IF(AZ41&gt;$G$13+$G$14,XX,AZ41+1)</f>
        <v>2017</v>
      </c>
      <c r="BA42" s="152"/>
      <c r="BB42" s="190">
        <f t="shared" si="19"/>
        <v>66.945844788575315</v>
      </c>
      <c r="BC42" s="4"/>
      <c r="BD42" s="190">
        <f t="shared" si="20"/>
        <v>14.555396573306002</v>
      </c>
      <c r="BE42" s="4"/>
      <c r="BF42" s="189">
        <f t="shared" si="9"/>
        <v>36.191888217315686</v>
      </c>
      <c r="BG42" s="4"/>
      <c r="BH42" s="193"/>
    </row>
    <row r="43" spans="2:60" ht="12">
      <c r="B43" s="3"/>
      <c r="C43" s="7">
        <f>+IF(C42&gt;$G$13+$G$14,XX,C42+1)</f>
        <v>2018</v>
      </c>
      <c r="D43" s="7"/>
      <c r="E43" s="330">
        <f t="shared" si="10"/>
        <v>2.5000000000000001E-2</v>
      </c>
      <c r="F43" s="7"/>
      <c r="G43" s="23">
        <f t="shared" si="11"/>
        <v>13140</v>
      </c>
      <c r="H43" s="7"/>
      <c r="I43" s="39">
        <f t="shared" si="12"/>
        <v>225.40901961269037</v>
      </c>
      <c r="J43" s="7"/>
      <c r="K43" s="39">
        <f t="shared" si="13"/>
        <v>0</v>
      </c>
      <c r="L43" s="7"/>
      <c r="M43" s="39">
        <f t="shared" si="14"/>
        <v>0</v>
      </c>
      <c r="N43" s="7"/>
      <c r="O43" s="333"/>
      <c r="P43" s="7"/>
      <c r="Q43" s="39"/>
      <c r="R43" s="7"/>
      <c r="S43" s="23">
        <v>0</v>
      </c>
      <c r="T43" s="7"/>
      <c r="U43" s="23">
        <f t="shared" si="0"/>
        <v>731.44501194707209</v>
      </c>
      <c r="V43" s="7"/>
      <c r="W43" s="23">
        <f t="shared" si="1"/>
        <v>-731.44501194707209</v>
      </c>
      <c r="X43" s="7"/>
      <c r="Y43" s="334">
        <f t="shared" si="5"/>
        <v>-55.66552602336926</v>
      </c>
      <c r="Z43" s="290"/>
      <c r="AB43" s="182">
        <f>+IF(AB42&gt;$G$13+$G$14,XX,AB42+1)</f>
        <v>2018</v>
      </c>
      <c r="AC43" s="152"/>
      <c r="AD43" s="187">
        <f t="shared" si="2"/>
        <v>13140</v>
      </c>
      <c r="AE43" s="4"/>
      <c r="AF43" s="190">
        <f t="shared" si="15"/>
        <v>79.884958711796529</v>
      </c>
      <c r="AG43" s="4"/>
      <c r="AH43" s="190">
        <f t="shared" si="16"/>
        <v>9.8029458880111484</v>
      </c>
      <c r="AI43" s="4"/>
      <c r="AJ43" s="190">
        <f t="shared" si="17"/>
        <v>2.290060883036928</v>
      </c>
      <c r="AK43" s="4"/>
      <c r="AL43" s="189">
        <f t="shared" si="6"/>
        <v>204.45055969577368</v>
      </c>
      <c r="AM43" s="4"/>
      <c r="AN43" s="190">
        <f>INDEX('(2.2)_Forward_Price_Curve'!$J:$J,MATCH($AB43,'(2.2)_Forward_Price_Curve'!$C:$C,0),1)</f>
        <v>5.34</v>
      </c>
      <c r="AO43" s="4"/>
      <c r="AP43" s="190">
        <f t="shared" si="7"/>
        <v>38.25437582537517</v>
      </c>
      <c r="AQ43" s="4"/>
      <c r="AR43" s="190">
        <f t="shared" si="18"/>
        <v>4.6749344998947757</v>
      </c>
      <c r="AS43" s="190"/>
      <c r="AT43" s="189">
        <f t="shared" si="3"/>
        <v>167.3538742730251</v>
      </c>
      <c r="AU43" s="4"/>
      <c r="AV43" s="189">
        <f t="shared" si="4"/>
        <v>564.09113767404699</v>
      </c>
      <c r="AW43" s="337"/>
      <c r="AX43" s="191">
        <f t="shared" si="8"/>
        <v>731.44501194707209</v>
      </c>
      <c r="AZ43" s="182">
        <f>+IF(AZ42&gt;$G$13+$G$14,XX,AZ42+1)</f>
        <v>2018</v>
      </c>
      <c r="BA43" s="152"/>
      <c r="BB43" s="190">
        <f t="shared" si="19"/>
        <v>68.619490908289691</v>
      </c>
      <c r="BC43" s="4"/>
      <c r="BD43" s="190">
        <f t="shared" si="20"/>
        <v>14.919281487638651</v>
      </c>
      <c r="BE43" s="4"/>
      <c r="BF43" s="189">
        <f t="shared" si="9"/>
        <v>37.096685422748578</v>
      </c>
      <c r="BG43" s="4"/>
      <c r="BH43" s="193"/>
    </row>
    <row r="44" spans="2:60" ht="12">
      <c r="B44" s="3"/>
      <c r="C44" s="7">
        <f>+IF(C43&gt;$G$13+$G$14,XX,C43+1)</f>
        <v>2019</v>
      </c>
      <c r="D44" s="7"/>
      <c r="E44" s="330">
        <f t="shared" si="10"/>
        <v>2.5000000000000001E-2</v>
      </c>
      <c r="F44" s="7"/>
      <c r="G44" s="23">
        <f t="shared" si="11"/>
        <v>13140</v>
      </c>
      <c r="H44" s="7"/>
      <c r="I44" s="39">
        <f t="shared" si="12"/>
        <v>231.0442451030076</v>
      </c>
      <c r="J44" s="7"/>
      <c r="K44" s="39">
        <f t="shared" si="13"/>
        <v>0</v>
      </c>
      <c r="L44" s="7"/>
      <c r="M44" s="39">
        <f t="shared" si="14"/>
        <v>0</v>
      </c>
      <c r="N44" s="7"/>
      <c r="O44" s="333"/>
      <c r="P44" s="7"/>
      <c r="Q44" s="39"/>
      <c r="R44" s="7"/>
      <c r="S44" s="23">
        <v>0</v>
      </c>
      <c r="T44" s="7"/>
      <c r="U44" s="23">
        <f t="shared" si="0"/>
        <v>748.46036126678587</v>
      </c>
      <c r="V44" s="7"/>
      <c r="W44" s="23">
        <f t="shared" si="1"/>
        <v>-748.46036126678587</v>
      </c>
      <c r="X44" s="7"/>
      <c r="Y44" s="334">
        <f t="shared" si="5"/>
        <v>-56.960453673271374</v>
      </c>
      <c r="Z44" s="290"/>
      <c r="AB44" s="182">
        <f>+IF(AB43&gt;$G$13+$G$14,XX,AB43+1)</f>
        <v>2019</v>
      </c>
      <c r="AC44" s="152"/>
      <c r="AD44" s="187">
        <f t="shared" si="2"/>
        <v>13140</v>
      </c>
      <c r="AE44" s="4"/>
      <c r="AF44" s="190">
        <f t="shared" si="15"/>
        <v>81.882082679591434</v>
      </c>
      <c r="AG44" s="4"/>
      <c r="AH44" s="190">
        <f t="shared" si="16"/>
        <v>10.048019535211425</v>
      </c>
      <c r="AI44" s="4"/>
      <c r="AJ44" s="190">
        <f t="shared" si="17"/>
        <v>2.3473124051128509</v>
      </c>
      <c r="AK44" s="4"/>
      <c r="AL44" s="189">
        <f t="shared" si="6"/>
        <v>209.561823688168</v>
      </c>
      <c r="AM44" s="4"/>
      <c r="AN44" s="190">
        <f>INDEX('(2.2)_Forward_Price_Curve'!$J:$J,MATCH($AB44,'(2.2)_Forward_Price_Curve'!$C:$C,0),1)</f>
        <v>5.46</v>
      </c>
      <c r="AO44" s="4"/>
      <c r="AP44" s="190">
        <f t="shared" si="7"/>
        <v>39.114024720327421</v>
      </c>
      <c r="AQ44" s="4"/>
      <c r="AR44" s="190">
        <f t="shared" si="18"/>
        <v>4.7918078623921447</v>
      </c>
      <c r="AS44" s="190"/>
      <c r="AT44" s="189">
        <f t="shared" si="3"/>
        <v>171.53772112985072</v>
      </c>
      <c r="AU44" s="4"/>
      <c r="AV44" s="189">
        <f t="shared" si="4"/>
        <v>576.92264013693512</v>
      </c>
      <c r="AW44" s="337"/>
      <c r="AX44" s="191">
        <f t="shared" si="8"/>
        <v>748.46036126678587</v>
      </c>
      <c r="AZ44" s="182">
        <f>+IF(AZ43&gt;$G$13+$G$14,XX,AZ43+1)</f>
        <v>2019</v>
      </c>
      <c r="BA44" s="152"/>
      <c r="BB44" s="190">
        <f t="shared" si="19"/>
        <v>70.334978180996927</v>
      </c>
      <c r="BC44" s="4"/>
      <c r="BD44" s="190">
        <f t="shared" si="20"/>
        <v>15.292263524829616</v>
      </c>
      <c r="BE44" s="4"/>
      <c r="BF44" s="189">
        <f t="shared" si="9"/>
        <v>38.024102558317288</v>
      </c>
      <c r="BG44" s="4"/>
      <c r="BH44" s="193"/>
    </row>
    <row r="45" spans="2:60" ht="12">
      <c r="B45" s="3"/>
      <c r="C45" s="7">
        <f>+IF(C44&gt;$G$13+$G$14,XX,C44+1)</f>
        <v>2020</v>
      </c>
      <c r="D45" s="7"/>
      <c r="E45" s="330">
        <f t="shared" si="10"/>
        <v>2.5000000000000001E-2</v>
      </c>
      <c r="F45" s="7"/>
      <c r="G45" s="23">
        <f t="shared" si="11"/>
        <v>13140</v>
      </c>
      <c r="H45" s="7"/>
      <c r="I45" s="39">
        <f t="shared" si="12"/>
        <v>236.82035123058276</v>
      </c>
      <c r="J45" s="7"/>
      <c r="K45" s="39">
        <f t="shared" si="13"/>
        <v>0</v>
      </c>
      <c r="L45" s="7"/>
      <c r="M45" s="39">
        <f t="shared" si="14"/>
        <v>0</v>
      </c>
      <c r="N45" s="7"/>
      <c r="O45" s="333"/>
      <c r="P45" s="7"/>
      <c r="Q45" s="39"/>
      <c r="R45" s="7"/>
      <c r="S45" s="23">
        <v>0</v>
      </c>
      <c r="T45" s="7"/>
      <c r="U45" s="23">
        <f t="shared" si="0"/>
        <v>766.56001519747304</v>
      </c>
      <c r="V45" s="7"/>
      <c r="W45" s="23">
        <f t="shared" si="1"/>
        <v>-766.56001519747304</v>
      </c>
      <c r="X45" s="7"/>
      <c r="Y45" s="334">
        <f t="shared" si="5"/>
        <v>-58.337900699959896</v>
      </c>
      <c r="Z45" s="290"/>
      <c r="AB45" s="182">
        <f>+IF(AB44&gt;$G$13+$G$14,XX,AB44+1)</f>
        <v>2020</v>
      </c>
      <c r="AC45" s="152"/>
      <c r="AD45" s="187">
        <f t="shared" si="2"/>
        <v>13140</v>
      </c>
      <c r="AE45" s="4"/>
      <c r="AF45" s="190">
        <f t="shared" si="15"/>
        <v>83.929134746581212</v>
      </c>
      <c r="AG45" s="4"/>
      <c r="AH45" s="190">
        <f t="shared" si="16"/>
        <v>10.29922002359171</v>
      </c>
      <c r="AI45" s="4"/>
      <c r="AJ45" s="190">
        <f t="shared" si="17"/>
        <v>2.4059952152406718</v>
      </c>
      <c r="AK45" s="4"/>
      <c r="AL45" s="189">
        <f t="shared" si="6"/>
        <v>214.80086928037215</v>
      </c>
      <c r="AM45" s="4"/>
      <c r="AN45" s="190">
        <f>INDEX('(2.2)_Forward_Price_Curve'!$J:$J,MATCH($AB45,'(2.2)_Forward_Price_Curve'!$C:$C,0),1)</f>
        <v>5.59</v>
      </c>
      <c r="AO45" s="4"/>
      <c r="AP45" s="190">
        <f t="shared" si="7"/>
        <v>40.045311023192355</v>
      </c>
      <c r="AQ45" s="4"/>
      <c r="AR45" s="190">
        <f t="shared" si="18"/>
        <v>4.9116030589519477</v>
      </c>
      <c r="AS45" s="190"/>
      <c r="AT45" s="189">
        <f t="shared" si="3"/>
        <v>175.82616415809696</v>
      </c>
      <c r="AU45" s="4"/>
      <c r="AV45" s="189">
        <f t="shared" si="4"/>
        <v>590.73385103937608</v>
      </c>
      <c r="AW45" s="337"/>
      <c r="AX45" s="191">
        <f t="shared" si="8"/>
        <v>766.56001519747304</v>
      </c>
      <c r="AZ45" s="182">
        <f>+IF(AZ44&gt;$G$13+$G$14,XX,AZ44+1)</f>
        <v>2020</v>
      </c>
      <c r="BA45" s="152"/>
      <c r="BB45" s="190">
        <f t="shared" si="19"/>
        <v>72.093352635521839</v>
      </c>
      <c r="BC45" s="4"/>
      <c r="BD45" s="190">
        <f t="shared" si="20"/>
        <v>15.674570112950356</v>
      </c>
      <c r="BE45" s="4"/>
      <c r="BF45" s="189">
        <f t="shared" si="9"/>
        <v>38.974705122275211</v>
      </c>
      <c r="BG45" s="4"/>
      <c r="BH45" s="193"/>
    </row>
    <row r="46" spans="2:60" ht="12">
      <c r="B46" s="3"/>
      <c r="C46" s="7">
        <f>+IF(C45&gt;$G$13+$G$14,XX,C45+1)</f>
        <v>2021</v>
      </c>
      <c r="D46" s="7"/>
      <c r="E46" s="330">
        <f t="shared" si="10"/>
        <v>2.5000000000000001E-2</v>
      </c>
      <c r="F46" s="7"/>
      <c r="G46" s="23">
        <f t="shared" si="11"/>
        <v>13140</v>
      </c>
      <c r="H46" s="7"/>
      <c r="I46" s="39">
        <f t="shared" si="12"/>
        <v>242.74086001134731</v>
      </c>
      <c r="J46" s="7"/>
      <c r="K46" s="39">
        <f t="shared" si="13"/>
        <v>0</v>
      </c>
      <c r="L46" s="7"/>
      <c r="M46" s="39">
        <f t="shared" si="14"/>
        <v>0</v>
      </c>
      <c r="N46" s="7"/>
      <c r="O46" s="333"/>
      <c r="P46" s="7"/>
      <c r="Q46" s="39"/>
      <c r="R46" s="7"/>
      <c r="S46" s="23">
        <v>0</v>
      </c>
      <c r="T46" s="7"/>
      <c r="U46" s="23">
        <f t="shared" si="0"/>
        <v>781.04097076604558</v>
      </c>
      <c r="V46" s="7"/>
      <c r="W46" s="23">
        <f t="shared" si="1"/>
        <v>-781.04097076604558</v>
      </c>
      <c r="X46" s="7"/>
      <c r="Y46" s="334">
        <f t="shared" si="5"/>
        <v>-59.439952113093277</v>
      </c>
      <c r="Z46" s="290"/>
      <c r="AB46" s="182">
        <f>+IF(AB45&gt;$G$13+$G$14,XX,AB45+1)</f>
        <v>2021</v>
      </c>
      <c r="AC46" s="152"/>
      <c r="AD46" s="187">
        <f t="shared" si="2"/>
        <v>13140</v>
      </c>
      <c r="AE46" s="4"/>
      <c r="AF46" s="190">
        <f t="shared" si="15"/>
        <v>86.027363115245734</v>
      </c>
      <c r="AG46" s="4"/>
      <c r="AH46" s="190">
        <f t="shared" si="16"/>
        <v>10.556700524181501</v>
      </c>
      <c r="AI46" s="4"/>
      <c r="AJ46" s="190">
        <f t="shared" si="17"/>
        <v>2.4661450956216884</v>
      </c>
      <c r="AK46" s="4"/>
      <c r="AL46" s="189">
        <f t="shared" si="6"/>
        <v>220.17089101238142</v>
      </c>
      <c r="AM46" s="4"/>
      <c r="AN46" s="190">
        <f>INDEX('(2.2)_Forward_Price_Curve'!$J:$J,MATCH($AB46,'(2.2)_Forward_Price_Curve'!$C:$C,0),1)</f>
        <v>5.68</v>
      </c>
      <c r="AO46" s="4"/>
      <c r="AP46" s="190">
        <f t="shared" si="7"/>
        <v>40.690047694406545</v>
      </c>
      <c r="AQ46" s="4"/>
      <c r="AR46" s="190">
        <f t="shared" si="18"/>
        <v>5.0343931354257458</v>
      </c>
      <c r="AS46" s="190"/>
      <c r="AT46" s="189">
        <f t="shared" si="3"/>
        <v>180.22181826204934</v>
      </c>
      <c r="AU46" s="4"/>
      <c r="AV46" s="189">
        <f t="shared" si="4"/>
        <v>600.81915250399629</v>
      </c>
      <c r="AW46" s="337"/>
      <c r="AX46" s="191">
        <f t="shared" si="8"/>
        <v>781.04097076604558</v>
      </c>
      <c r="AZ46" s="182">
        <f>+IF(AZ45&gt;$G$13+$G$14,XX,AZ45+1)</f>
        <v>2021</v>
      </c>
      <c r="BA46" s="152"/>
      <c r="BB46" s="190">
        <f t="shared" si="19"/>
        <v>73.895686451409873</v>
      </c>
      <c r="BC46" s="4"/>
      <c r="BD46" s="190">
        <f t="shared" si="20"/>
        <v>16.066434365774114</v>
      </c>
      <c r="BE46" s="4"/>
      <c r="BF46" s="189">
        <f t="shared" si="9"/>
        <v>39.949072750332085</v>
      </c>
      <c r="BG46" s="4"/>
      <c r="BH46" s="193"/>
    </row>
    <row r="47" spans="2:60" ht="12">
      <c r="B47" s="3"/>
      <c r="C47" s="7">
        <f>+IF(C46&gt;$G$13+$G$14,XX,C46+1)</f>
        <v>2022</v>
      </c>
      <c r="D47" s="7"/>
      <c r="E47" s="330">
        <f t="shared" si="10"/>
        <v>2.5000000000000001E-2</v>
      </c>
      <c r="F47" s="7"/>
      <c r="G47" s="23">
        <f t="shared" si="11"/>
        <v>13140</v>
      </c>
      <c r="H47" s="7"/>
      <c r="I47" s="39">
        <f t="shared" si="12"/>
        <v>248.80938151163096</v>
      </c>
      <c r="J47" s="7"/>
      <c r="K47" s="39">
        <f t="shared" si="13"/>
        <v>0</v>
      </c>
      <c r="L47" s="7"/>
      <c r="M47" s="39">
        <f t="shared" si="14"/>
        <v>0</v>
      </c>
      <c r="N47" s="7"/>
      <c r="O47" s="333"/>
      <c r="P47" s="7"/>
      <c r="Q47" s="39"/>
      <c r="R47" s="7"/>
      <c r="S47" s="23">
        <v>0</v>
      </c>
      <c r="T47" s="7"/>
      <c r="U47" s="23">
        <f t="shared" si="0"/>
        <v>790.96557652747504</v>
      </c>
      <c r="V47" s="7"/>
      <c r="W47" s="23">
        <f t="shared" si="1"/>
        <v>-790.96557652747504</v>
      </c>
      <c r="X47" s="7"/>
      <c r="Y47" s="334">
        <f t="shared" si="5"/>
        <v>-60.195249355211189</v>
      </c>
      <c r="Z47" s="290"/>
      <c r="AB47" s="182">
        <f>+IF(AB46&gt;$G$13+$G$14,XX,AB46+1)</f>
        <v>2022</v>
      </c>
      <c r="AC47" s="152"/>
      <c r="AD47" s="187">
        <f t="shared" si="2"/>
        <v>13140</v>
      </c>
      <c r="AE47" s="4"/>
      <c r="AF47" s="190">
        <f t="shared" si="15"/>
        <v>88.178047193126872</v>
      </c>
      <c r="AG47" s="4"/>
      <c r="AH47" s="190">
        <f t="shared" si="16"/>
        <v>10.820618037286037</v>
      </c>
      <c r="AI47" s="4"/>
      <c r="AJ47" s="190">
        <f t="shared" si="17"/>
        <v>2.5277987230122303</v>
      </c>
      <c r="AK47" s="4"/>
      <c r="AL47" s="189">
        <f t="shared" si="6"/>
        <v>225.67516328769102</v>
      </c>
      <c r="AM47" s="4"/>
      <c r="AN47" s="190">
        <f>INDEX('(2.2)_Forward_Price_Curve'!$J:$J,MATCH($AB47,'(2.2)_Forward_Price_Curve'!$C:$C,0),1)</f>
        <v>5.72</v>
      </c>
      <c r="AO47" s="4"/>
      <c r="AP47" s="190">
        <f t="shared" si="7"/>
        <v>40.976597326057295</v>
      </c>
      <c r="AQ47" s="4"/>
      <c r="AR47" s="190">
        <f t="shared" si="18"/>
        <v>5.1602529638113888</v>
      </c>
      <c r="AS47" s="190"/>
      <c r="AT47" s="189">
        <f t="shared" si="3"/>
        <v>184.72736371860063</v>
      </c>
      <c r="AU47" s="4"/>
      <c r="AV47" s="189">
        <f t="shared" si="4"/>
        <v>606.23821280887444</v>
      </c>
      <c r="AW47" s="337"/>
      <c r="AX47" s="191">
        <f t="shared" si="8"/>
        <v>790.96557652747504</v>
      </c>
      <c r="AZ47" s="182">
        <f>+IF(AZ46&gt;$G$13+$G$14,XX,AZ46+1)</f>
        <v>2022</v>
      </c>
      <c r="BA47" s="152"/>
      <c r="BB47" s="190">
        <f t="shared" si="19"/>
        <v>75.743078612695115</v>
      </c>
      <c r="BC47" s="4"/>
      <c r="BD47" s="190">
        <f t="shared" si="20"/>
        <v>16.468095224918464</v>
      </c>
      <c r="BE47" s="4"/>
      <c r="BF47" s="189">
        <f t="shared" si="9"/>
        <v>40.947799569090392</v>
      </c>
      <c r="BG47" s="4"/>
      <c r="BH47" s="193"/>
    </row>
    <row r="48" spans="2:60" ht="12">
      <c r="B48" s="3"/>
      <c r="C48" s="7">
        <f>+IF(C47&gt;$G$13+$G$14,XX,C47+1)</f>
        <v>2023</v>
      </c>
      <c r="D48" s="7"/>
      <c r="E48" s="330">
        <f t="shared" si="10"/>
        <v>2.5000000000000001E-2</v>
      </c>
      <c r="F48" s="7"/>
      <c r="G48" s="23">
        <f t="shared" si="11"/>
        <v>13140</v>
      </c>
      <c r="H48" s="7"/>
      <c r="I48" s="39">
        <f t="shared" si="12"/>
        <v>255.02961604942172</v>
      </c>
      <c r="J48" s="7"/>
      <c r="K48" s="39">
        <f t="shared" si="13"/>
        <v>0</v>
      </c>
      <c r="L48" s="7"/>
      <c r="M48" s="39">
        <f t="shared" si="14"/>
        <v>0</v>
      </c>
      <c r="N48" s="7"/>
      <c r="O48" s="333"/>
      <c r="P48" s="7"/>
      <c r="Q48" s="39"/>
      <c r="R48" s="7"/>
      <c r="S48" s="23">
        <v>0</v>
      </c>
      <c r="T48" s="7"/>
      <c r="U48" s="23">
        <f t="shared" si="0"/>
        <v>809.51600573869746</v>
      </c>
      <c r="V48" s="7"/>
      <c r="W48" s="23">
        <f t="shared" si="1"/>
        <v>-809.51600573869746</v>
      </c>
      <c r="X48" s="7"/>
      <c r="Y48" s="334">
        <f t="shared" si="5"/>
        <v>-61.607001958804986</v>
      </c>
      <c r="Z48" s="290"/>
      <c r="AB48" s="182">
        <f>+IF(AB47&gt;$G$13+$G$14,XX,AB47+1)</f>
        <v>2023</v>
      </c>
      <c r="AC48" s="152"/>
      <c r="AD48" s="187">
        <f t="shared" si="2"/>
        <v>13140</v>
      </c>
      <c r="AE48" s="4"/>
      <c r="AF48" s="190">
        <f t="shared" si="15"/>
        <v>90.382498372955041</v>
      </c>
      <c r="AG48" s="4"/>
      <c r="AH48" s="190">
        <f t="shared" si="16"/>
        <v>11.091133488218187</v>
      </c>
      <c r="AI48" s="4"/>
      <c r="AJ48" s="190">
        <f t="shared" si="17"/>
        <v>2.5909936910875357</v>
      </c>
      <c r="AK48" s="4"/>
      <c r="AL48" s="189">
        <f t="shared" si="6"/>
        <v>231.31704236988324</v>
      </c>
      <c r="AM48" s="4"/>
      <c r="AN48" s="190">
        <f>INDEX('(2.2)_Forward_Price_Curve'!$J:$J,MATCH($AB48,'(2.2)_Forward_Price_Curve'!$C:$C,0),1)</f>
        <v>5.85</v>
      </c>
      <c r="AO48" s="4"/>
      <c r="AP48" s="190">
        <f t="shared" si="7"/>
        <v>41.907883628922235</v>
      </c>
      <c r="AQ48" s="4"/>
      <c r="AR48" s="190">
        <f t="shared" si="18"/>
        <v>5.2892592879066731</v>
      </c>
      <c r="AS48" s="190"/>
      <c r="AT48" s="189">
        <f t="shared" si="3"/>
        <v>189.34554781156561</v>
      </c>
      <c r="AU48" s="4"/>
      <c r="AV48" s="189">
        <f t="shared" si="4"/>
        <v>620.17045792713191</v>
      </c>
      <c r="AW48" s="337"/>
      <c r="AX48" s="191">
        <f t="shared" si="8"/>
        <v>809.51600573869746</v>
      </c>
      <c r="AZ48" s="182">
        <f>+IF(AZ47&gt;$G$13+$G$14,XX,AZ47+1)</f>
        <v>2023</v>
      </c>
      <c r="BA48" s="152"/>
      <c r="BB48" s="190">
        <f t="shared" si="19"/>
        <v>77.63665557801248</v>
      </c>
      <c r="BC48" s="4"/>
      <c r="BD48" s="190">
        <f t="shared" si="20"/>
        <v>16.879797605541423</v>
      </c>
      <c r="BE48" s="4"/>
      <c r="BF48" s="189">
        <f t="shared" si="9"/>
        <v>41.971494558317644</v>
      </c>
      <c r="BG48" s="4"/>
      <c r="BH48" s="193"/>
    </row>
    <row r="49" spans="1:61" ht="12">
      <c r="B49" s="3"/>
      <c r="C49" s="7">
        <f>+IF(C48&gt;$G$13+$G$14,XX,C48+1)</f>
        <v>2024</v>
      </c>
      <c r="D49" s="7"/>
      <c r="E49" s="330">
        <f t="shared" si="10"/>
        <v>2.5000000000000001E-2</v>
      </c>
      <c r="F49" s="7"/>
      <c r="G49" s="23">
        <f t="shared" si="11"/>
        <v>13140</v>
      </c>
      <c r="H49" s="7"/>
      <c r="I49" s="39">
        <f t="shared" si="12"/>
        <v>261.40535645065722</v>
      </c>
      <c r="J49" s="7"/>
      <c r="K49" s="39">
        <f t="shared" si="13"/>
        <v>0</v>
      </c>
      <c r="L49" s="7"/>
      <c r="M49" s="39">
        <f t="shared" si="14"/>
        <v>0</v>
      </c>
      <c r="N49" s="7"/>
      <c r="O49" s="333"/>
      <c r="P49" s="7"/>
      <c r="Q49" s="39"/>
      <c r="R49" s="7"/>
      <c r="S49" s="23">
        <v>0</v>
      </c>
      <c r="T49" s="7"/>
      <c r="U49" s="23">
        <f t="shared" si="0"/>
        <v>829.75390588216487</v>
      </c>
      <c r="V49" s="7"/>
      <c r="W49" s="23">
        <f t="shared" si="1"/>
        <v>-829.75390588216487</v>
      </c>
      <c r="X49" s="7"/>
      <c r="Y49" s="334">
        <f t="shared" si="5"/>
        <v>-63.147177007775099</v>
      </c>
      <c r="Z49" s="290"/>
      <c r="AB49" s="182">
        <f>+IF(AB48&gt;$G$13+$G$14,XX,AB48+1)</f>
        <v>2024</v>
      </c>
      <c r="AC49" s="152"/>
      <c r="AD49" s="187">
        <f t="shared" si="2"/>
        <v>13140</v>
      </c>
      <c r="AE49" s="4"/>
      <c r="AF49" s="190">
        <f t="shared" si="15"/>
        <v>92.642060832278915</v>
      </c>
      <c r="AG49" s="4"/>
      <c r="AH49" s="190">
        <f t="shared" si="16"/>
        <v>11.368411825423641</v>
      </c>
      <c r="AI49" s="4"/>
      <c r="AJ49" s="190">
        <f t="shared" si="17"/>
        <v>2.6557685333647241</v>
      </c>
      <c r="AK49" s="4"/>
      <c r="AL49" s="189">
        <f t="shared" si="6"/>
        <v>237.09996842913029</v>
      </c>
      <c r="AM49" s="4"/>
      <c r="AN49" s="190">
        <f>INDEX('(2.2)_Forward_Price_Curve'!$J:$J,MATCH($AB49,'(2.2)_Forward_Price_Curve'!$C:$C,0),1)</f>
        <v>5.996249999999999</v>
      </c>
      <c r="AO49" s="4"/>
      <c r="AP49" s="190">
        <f t="shared" si="7"/>
        <v>42.95558071964529</v>
      </c>
      <c r="AQ49" s="4"/>
      <c r="AR49" s="190">
        <f t="shared" si="18"/>
        <v>5.4214907701043398</v>
      </c>
      <c r="AS49" s="190"/>
      <c r="AT49" s="189">
        <f t="shared" si="3"/>
        <v>194.07918650685471</v>
      </c>
      <c r="AU49" s="4"/>
      <c r="AV49" s="189">
        <f t="shared" si="4"/>
        <v>635.67471937531013</v>
      </c>
      <c r="AW49" s="337"/>
      <c r="AX49" s="191">
        <f t="shared" si="8"/>
        <v>829.75390588216487</v>
      </c>
      <c r="AZ49" s="182">
        <f>+IF(AZ48&gt;$G$13+$G$14,XX,AZ48+1)</f>
        <v>2024</v>
      </c>
      <c r="BA49" s="152"/>
      <c r="BB49" s="190">
        <f t="shared" si="19"/>
        <v>79.577571967462788</v>
      </c>
      <c r="BC49" s="4"/>
      <c r="BD49" s="190">
        <f t="shared" si="20"/>
        <v>17.301792545679959</v>
      </c>
      <c r="BE49" s="4"/>
      <c r="BF49" s="189">
        <f t="shared" si="9"/>
        <v>43.020781922275582</v>
      </c>
      <c r="BG49" s="4"/>
      <c r="BH49" s="193"/>
    </row>
    <row r="50" spans="1:61" ht="12">
      <c r="B50" s="3"/>
      <c r="C50" s="7">
        <f>+IF(C49&gt;$G$13+$G$14,XX,C49+1)</f>
        <v>2025</v>
      </c>
      <c r="D50" s="7"/>
      <c r="E50" s="330">
        <f t="shared" si="10"/>
        <v>2.5000000000000001E-2</v>
      </c>
      <c r="F50" s="7"/>
      <c r="G50" s="23">
        <f t="shared" si="11"/>
        <v>13140</v>
      </c>
      <c r="H50" s="7"/>
      <c r="I50" s="39">
        <f t="shared" si="12"/>
        <v>267.94049036192365</v>
      </c>
      <c r="J50" s="7"/>
      <c r="K50" s="39">
        <f t="shared" si="13"/>
        <v>0</v>
      </c>
      <c r="L50" s="7"/>
      <c r="M50" s="39">
        <f t="shared" si="14"/>
        <v>0</v>
      </c>
      <c r="N50" s="7"/>
      <c r="O50" s="333"/>
      <c r="P50" s="7"/>
      <c r="Q50" s="39"/>
      <c r="R50" s="7"/>
      <c r="S50" s="23">
        <v>0</v>
      </c>
      <c r="T50" s="7"/>
      <c r="U50" s="23">
        <f t="shared" si="0"/>
        <v>850.49775352921904</v>
      </c>
      <c r="V50" s="7"/>
      <c r="W50" s="23">
        <f t="shared" si="1"/>
        <v>-850.49775352921904</v>
      </c>
      <c r="X50" s="7"/>
      <c r="Y50" s="334">
        <f t="shared" si="5"/>
        <v>-64.725856432969493</v>
      </c>
      <c r="Z50" s="290"/>
      <c r="AB50" s="182">
        <f>+IF(AB49&gt;$G$13+$G$14,XX,AB49+1)</f>
        <v>2025</v>
      </c>
      <c r="AC50" s="152"/>
      <c r="AD50" s="187">
        <f t="shared" si="2"/>
        <v>13140</v>
      </c>
      <c r="AE50" s="4"/>
      <c r="AF50" s="190">
        <f t="shared" si="15"/>
        <v>94.95811235308588</v>
      </c>
      <c r="AG50" s="4"/>
      <c r="AH50" s="190">
        <f t="shared" si="16"/>
        <v>11.652622121059231</v>
      </c>
      <c r="AI50" s="4"/>
      <c r="AJ50" s="190">
        <f t="shared" si="17"/>
        <v>2.7221627466988418</v>
      </c>
      <c r="AK50" s="4"/>
      <c r="AL50" s="189">
        <f t="shared" si="6"/>
        <v>243.0274676398586</v>
      </c>
      <c r="AM50" s="4"/>
      <c r="AN50" s="190">
        <f>INDEX('(2.2)_Forward_Price_Curve'!$J:$J,MATCH($AB50,'(2.2)_Forward_Price_Curve'!$C:$C,0),1)</f>
        <v>6.146156249999998</v>
      </c>
      <c r="AO50" s="4"/>
      <c r="AP50" s="190">
        <f t="shared" si="7"/>
        <v>44.029470237636417</v>
      </c>
      <c r="AQ50" s="4"/>
      <c r="AR50" s="190">
        <f t="shared" si="18"/>
        <v>5.5570280393569478</v>
      </c>
      <c r="AS50" s="190"/>
      <c r="AT50" s="189">
        <f t="shared" si="3"/>
        <v>198.93116616952614</v>
      </c>
      <c r="AU50" s="4"/>
      <c r="AV50" s="189">
        <f t="shared" si="4"/>
        <v>651.5665873596929</v>
      </c>
      <c r="AW50" s="337"/>
      <c r="AX50" s="191">
        <f t="shared" si="8"/>
        <v>850.49775352921904</v>
      </c>
      <c r="AZ50" s="182">
        <f>+IF(AZ49&gt;$G$13+$G$14,XX,AZ49+1)</f>
        <v>2025</v>
      </c>
      <c r="BA50" s="152"/>
      <c r="BB50" s="190">
        <f t="shared" si="19"/>
        <v>81.567011266649345</v>
      </c>
      <c r="BC50" s="4"/>
      <c r="BD50" s="190">
        <f t="shared" si="20"/>
        <v>17.734337359321955</v>
      </c>
      <c r="BE50" s="4"/>
      <c r="BF50" s="189">
        <f t="shared" si="9"/>
        <v>44.096301470332463</v>
      </c>
      <c r="BG50" s="4"/>
      <c r="BH50" s="193"/>
    </row>
    <row r="51" spans="1:61" ht="12">
      <c r="B51" s="3"/>
      <c r="C51" s="7">
        <f>+IF(C50&gt;$G$13+$G$14,XX,C50+1)</f>
        <v>2026</v>
      </c>
      <c r="D51" s="7"/>
      <c r="E51" s="330">
        <f t="shared" si="10"/>
        <v>2.5000000000000001E-2</v>
      </c>
      <c r="F51" s="7"/>
      <c r="G51" s="23">
        <f t="shared" si="11"/>
        <v>13140</v>
      </c>
      <c r="H51" s="7"/>
      <c r="I51" s="39">
        <f t="shared" si="12"/>
        <v>274.63900262097172</v>
      </c>
      <c r="J51" s="7"/>
      <c r="K51" s="39">
        <f t="shared" si="13"/>
        <v>0</v>
      </c>
      <c r="L51" s="7"/>
      <c r="M51" s="39">
        <f t="shared" si="14"/>
        <v>0</v>
      </c>
      <c r="N51" s="7"/>
      <c r="O51" s="333"/>
      <c r="P51" s="7"/>
      <c r="Q51" s="39"/>
      <c r="R51" s="7"/>
      <c r="S51" s="23">
        <v>0</v>
      </c>
      <c r="T51" s="7"/>
      <c r="U51" s="23">
        <f t="shared" si="0"/>
        <v>871.76019736744911</v>
      </c>
      <c r="V51" s="7"/>
      <c r="W51" s="23">
        <f t="shared" si="1"/>
        <v>-871.76019736744911</v>
      </c>
      <c r="X51" s="7"/>
      <c r="Y51" s="334">
        <f t="shared" si="5"/>
        <v>-66.344002843793689</v>
      </c>
      <c r="Z51" s="290"/>
      <c r="AB51" s="182">
        <f>+IF(AB50&gt;$G$13+$G$14,XX,AB50+1)</f>
        <v>2026</v>
      </c>
      <c r="AC51" s="152"/>
      <c r="AD51" s="187">
        <f t="shared" si="2"/>
        <v>13140</v>
      </c>
      <c r="AE51" s="4"/>
      <c r="AF51" s="190">
        <f t="shared" si="15"/>
        <v>97.332065161913022</v>
      </c>
      <c r="AG51" s="4"/>
      <c r="AH51" s="190">
        <f t="shared" si="16"/>
        <v>11.943937674085712</v>
      </c>
      <c r="AI51" s="4"/>
      <c r="AJ51" s="190">
        <f t="shared" si="17"/>
        <v>2.7902168153663127</v>
      </c>
      <c r="AK51" s="4"/>
      <c r="AL51" s="189">
        <f t="shared" si="6"/>
        <v>249.10315433085503</v>
      </c>
      <c r="AM51" s="4"/>
      <c r="AN51" s="190">
        <f>INDEX('(2.2)_Forward_Price_Curve'!$J:$J,MATCH($AB51,'(2.2)_Forward_Price_Curve'!$C:$C,0),1)</f>
        <v>6.2998101562499977</v>
      </c>
      <c r="AO51" s="4"/>
      <c r="AP51" s="190">
        <f t="shared" si="7"/>
        <v>45.130206993577318</v>
      </c>
      <c r="AQ51" s="4"/>
      <c r="AR51" s="190">
        <f t="shared" si="18"/>
        <v>5.6959537403408707</v>
      </c>
      <c r="AS51" s="190"/>
      <c r="AT51" s="189">
        <f t="shared" si="3"/>
        <v>203.90444532376426</v>
      </c>
      <c r="AU51" s="4"/>
      <c r="AV51" s="189">
        <f t="shared" si="4"/>
        <v>667.8557520436849</v>
      </c>
      <c r="AW51" s="337"/>
      <c r="AX51" s="191">
        <f t="shared" si="8"/>
        <v>871.76019736744911</v>
      </c>
      <c r="AZ51" s="182">
        <f>+IF(AZ50&gt;$G$13+$G$14,XX,AZ50+1)</f>
        <v>2026</v>
      </c>
      <c r="BA51" s="152"/>
      <c r="BB51" s="190">
        <f t="shared" si="19"/>
        <v>83.606186548315577</v>
      </c>
      <c r="BC51" s="4"/>
      <c r="BD51" s="190">
        <f t="shared" si="20"/>
        <v>18.177695793305002</v>
      </c>
      <c r="BE51" s="4"/>
      <c r="BF51" s="189">
        <f t="shared" si="9"/>
        <v>45.19870900709077</v>
      </c>
      <c r="BG51" s="4"/>
      <c r="BH51" s="193"/>
    </row>
    <row r="52" spans="1:61" ht="12">
      <c r="B52" s="3"/>
      <c r="C52" s="7">
        <f>+IF(C51&gt;$G$13+$G$14,XX,C51+1)</f>
        <v>2027</v>
      </c>
      <c r="D52" s="7"/>
      <c r="E52" s="330">
        <f t="shared" si="10"/>
        <v>2.5000000000000001E-2</v>
      </c>
      <c r="F52" s="7"/>
      <c r="G52" s="23">
        <f t="shared" si="11"/>
        <v>13140</v>
      </c>
      <c r="H52" s="7"/>
      <c r="I52" s="39">
        <f t="shared" si="12"/>
        <v>281.50497768649598</v>
      </c>
      <c r="J52" s="7"/>
      <c r="K52" s="39">
        <f t="shared" si="13"/>
        <v>0</v>
      </c>
      <c r="L52" s="7"/>
      <c r="M52" s="39">
        <f t="shared" si="14"/>
        <v>0</v>
      </c>
      <c r="N52" s="7"/>
      <c r="O52" s="333"/>
      <c r="P52" s="7"/>
      <c r="Q52" s="39"/>
      <c r="R52" s="7"/>
      <c r="S52" s="23">
        <v>0</v>
      </c>
      <c r="T52" s="7"/>
      <c r="U52" s="23">
        <f t="shared" si="0"/>
        <v>893.55420230163543</v>
      </c>
      <c r="V52" s="7"/>
      <c r="W52" s="23">
        <f t="shared" si="1"/>
        <v>-893.55420230163543</v>
      </c>
      <c r="X52" s="7"/>
      <c r="Y52" s="334">
        <f t="shared" si="5"/>
        <v>-68.002602914888541</v>
      </c>
      <c r="Z52" s="290"/>
      <c r="AB52" s="182">
        <f>+IF(AB51&gt;$G$13+$G$14,XX,AB51+1)</f>
        <v>2027</v>
      </c>
      <c r="AC52" s="152"/>
      <c r="AD52" s="187">
        <f t="shared" si="2"/>
        <v>13140</v>
      </c>
      <c r="AE52" s="4"/>
      <c r="AF52" s="190">
        <f t="shared" si="15"/>
        <v>99.76536679096084</v>
      </c>
      <c r="AG52" s="4"/>
      <c r="AH52" s="190">
        <f t="shared" si="16"/>
        <v>12.242536115937854</v>
      </c>
      <c r="AI52" s="4"/>
      <c r="AJ52" s="190">
        <f t="shared" si="17"/>
        <v>2.8599722357504702</v>
      </c>
      <c r="AK52" s="4"/>
      <c r="AL52" s="189">
        <f t="shared" si="6"/>
        <v>255.33073318912636</v>
      </c>
      <c r="AM52" s="4"/>
      <c r="AN52" s="190">
        <f>INDEX('(2.2)_Forward_Price_Curve'!$J:$J,MATCH($AB52,'(2.2)_Forward_Price_Curve'!$C:$C,0),1)</f>
        <v>6.4573054101562475</v>
      </c>
      <c r="AO52" s="4"/>
      <c r="AP52" s="190">
        <f t="shared" si="7"/>
        <v>46.258462168416749</v>
      </c>
      <c r="AQ52" s="4"/>
      <c r="AR52" s="190">
        <f t="shared" si="18"/>
        <v>5.8383525838493915</v>
      </c>
      <c r="AS52" s="190"/>
      <c r="AT52" s="189">
        <f t="shared" si="3"/>
        <v>209.00205645685833</v>
      </c>
      <c r="AU52" s="4"/>
      <c r="AV52" s="189">
        <f t="shared" si="4"/>
        <v>684.5521458447771</v>
      </c>
      <c r="AW52" s="337"/>
      <c r="AX52" s="191">
        <f t="shared" si="8"/>
        <v>893.55420230163543</v>
      </c>
      <c r="AZ52" s="182">
        <f>+IF(AZ51&gt;$G$13+$G$14,XX,AZ51+1)</f>
        <v>2027</v>
      </c>
      <c r="BA52" s="152"/>
      <c r="BB52" s="190">
        <f t="shared" si="19"/>
        <v>85.696341212023455</v>
      </c>
      <c r="BC52" s="4"/>
      <c r="BD52" s="190">
        <f t="shared" si="20"/>
        <v>18.632138188137624</v>
      </c>
      <c r="BE52" s="4"/>
      <c r="BF52" s="189">
        <f t="shared" si="9"/>
        <v>46.328676732268036</v>
      </c>
      <c r="BG52" s="4"/>
      <c r="BH52" s="193"/>
    </row>
    <row r="53" spans="1:61" ht="12">
      <c r="B53" s="3"/>
      <c r="C53" s="7">
        <f>+IF(C52&gt;$G$13+$G$14,XX,C52+1)</f>
        <v>2028</v>
      </c>
      <c r="D53" s="7"/>
      <c r="E53" s="330">
        <f t="shared" si="10"/>
        <v>2.5000000000000001E-2</v>
      </c>
      <c r="F53" s="7"/>
      <c r="G53" s="23">
        <f t="shared" si="11"/>
        <v>13140</v>
      </c>
      <c r="H53" s="7"/>
      <c r="I53" s="39">
        <f t="shared" si="12"/>
        <v>288.54260212865836</v>
      </c>
      <c r="J53" s="7"/>
      <c r="K53" s="39">
        <f t="shared" si="13"/>
        <v>0</v>
      </c>
      <c r="L53" s="7"/>
      <c r="M53" s="39">
        <f t="shared" si="14"/>
        <v>0</v>
      </c>
      <c r="N53" s="7"/>
      <c r="O53" s="333"/>
      <c r="P53" s="7"/>
      <c r="Q53" s="39"/>
      <c r="R53" s="7"/>
      <c r="S53" s="23">
        <v>0</v>
      </c>
      <c r="T53" s="7"/>
      <c r="U53" s="23">
        <f t="shared" si="0"/>
        <v>915.89305735917628</v>
      </c>
      <c r="V53" s="7"/>
      <c r="W53" s="23">
        <f t="shared" si="1"/>
        <v>-915.89305735917628</v>
      </c>
      <c r="X53" s="7"/>
      <c r="Y53" s="334">
        <f t="shared" si="5"/>
        <v>-69.702667987760762</v>
      </c>
      <c r="Z53" s="290"/>
      <c r="AB53" s="182">
        <f>+IF(AB52&gt;$G$13+$G$14,XX,AB52+1)</f>
        <v>2028</v>
      </c>
      <c r="AC53" s="152"/>
      <c r="AD53" s="187">
        <f t="shared" si="2"/>
        <v>13140</v>
      </c>
      <c r="AE53" s="4"/>
      <c r="AF53" s="190">
        <f t="shared" si="15"/>
        <v>102.25950096073485</v>
      </c>
      <c r="AG53" s="4"/>
      <c r="AH53" s="190">
        <f t="shared" si="16"/>
        <v>12.5485995188363</v>
      </c>
      <c r="AI53" s="4"/>
      <c r="AJ53" s="190">
        <f t="shared" si="17"/>
        <v>2.9314715416442318</v>
      </c>
      <c r="AK53" s="4"/>
      <c r="AL53" s="189">
        <f t="shared" si="6"/>
        <v>261.7140015188545</v>
      </c>
      <c r="AM53" s="4"/>
      <c r="AN53" s="190">
        <f>INDEX('(2.2)_Forward_Price_Curve'!$J:$J,MATCH($AB53,'(2.2)_Forward_Price_Curve'!$C:$C,0),1)</f>
        <v>6.6187380454101534</v>
      </c>
      <c r="AO53" s="4"/>
      <c r="AP53" s="190">
        <f t="shared" si="7"/>
        <v>47.414923722627172</v>
      </c>
      <c r="AQ53" s="4"/>
      <c r="AR53" s="190">
        <f t="shared" si="18"/>
        <v>5.9843113984456258</v>
      </c>
      <c r="AS53" s="190"/>
      <c r="AT53" s="189">
        <f t="shared" si="3"/>
        <v>214.22710786827977</v>
      </c>
      <c r="AU53" s="4"/>
      <c r="AV53" s="189">
        <f t="shared" si="4"/>
        <v>701.66594949089654</v>
      </c>
      <c r="AW53" s="337"/>
      <c r="AX53" s="191">
        <f t="shared" si="8"/>
        <v>915.89305735917628</v>
      </c>
      <c r="AZ53" s="182">
        <f>+IF(AZ52&gt;$G$13+$G$14,XX,AZ52+1)</f>
        <v>2028</v>
      </c>
      <c r="BA53" s="152"/>
      <c r="BB53" s="190">
        <f t="shared" si="19"/>
        <v>87.83874974232404</v>
      </c>
      <c r="BC53" s="4"/>
      <c r="BD53" s="190">
        <f t="shared" si="20"/>
        <v>19.097941642841064</v>
      </c>
      <c r="BE53" s="4"/>
      <c r="BF53" s="189">
        <f t="shared" si="9"/>
        <v>47.486893650574736</v>
      </c>
      <c r="BG53" s="4"/>
      <c r="BH53" s="290"/>
    </row>
    <row r="54" spans="1:61" ht="12">
      <c r="B54" s="3"/>
      <c r="C54" s="7">
        <f>+IF(C53&gt;$G$13+$G$14,XX,C53+1)</f>
        <v>2029</v>
      </c>
      <c r="D54" s="7"/>
      <c r="E54" s="330">
        <f t="shared" si="10"/>
        <v>2.5000000000000001E-2</v>
      </c>
      <c r="F54" s="7"/>
      <c r="G54" s="23">
        <f t="shared" si="11"/>
        <v>13140</v>
      </c>
      <c r="H54" s="7"/>
      <c r="I54" s="39">
        <f t="shared" si="12"/>
        <v>295.75616718187479</v>
      </c>
      <c r="J54" s="7"/>
      <c r="K54" s="39">
        <f t="shared" si="13"/>
        <v>0</v>
      </c>
      <c r="L54" s="7"/>
      <c r="M54" s="39">
        <f t="shared" si="14"/>
        <v>0</v>
      </c>
      <c r="N54" s="7"/>
      <c r="O54" s="333"/>
      <c r="P54" s="7"/>
      <c r="Q54" s="39"/>
      <c r="R54" s="7"/>
      <c r="S54" s="23">
        <v>0</v>
      </c>
      <c r="T54" s="7"/>
      <c r="U54" s="23">
        <f t="shared" si="0"/>
        <v>938.7903837931558</v>
      </c>
      <c r="V54" s="7"/>
      <c r="W54" s="23">
        <f t="shared" si="1"/>
        <v>-938.7903837931558</v>
      </c>
      <c r="X54" s="7"/>
      <c r="Y54" s="334">
        <f t="shared" si="5"/>
        <v>-71.445234687454771</v>
      </c>
      <c r="Z54" s="290"/>
      <c r="AB54" s="182">
        <f>+IF(AB53&gt;$G$13+$G$14,XX,AB53+1)</f>
        <v>2029</v>
      </c>
      <c r="AC54" s="152"/>
      <c r="AD54" s="187">
        <f t="shared" si="2"/>
        <v>13140</v>
      </c>
      <c r="AE54" s="4"/>
      <c r="AF54" s="190">
        <f t="shared" si="15"/>
        <v>104.81598848475322</v>
      </c>
      <c r="AG54" s="4"/>
      <c r="AH54" s="190">
        <f t="shared" si="16"/>
        <v>12.862314506807206</v>
      </c>
      <c r="AI54" s="4"/>
      <c r="AJ54" s="190">
        <f t="shared" si="17"/>
        <v>3.0047583301853376</v>
      </c>
      <c r="AK54" s="4"/>
      <c r="AL54" s="189">
        <f t="shared" si="6"/>
        <v>268.25685155682584</v>
      </c>
      <c r="AM54" s="4"/>
      <c r="AN54" s="190">
        <f>INDEX('(2.2)_Forward_Price_Curve'!$J:$J,MATCH($AB54,'(2.2)_Forward_Price_Curve'!$C:$C,0),1)</f>
        <v>6.7842064965454068</v>
      </c>
      <c r="AO54" s="4"/>
      <c r="AP54" s="190">
        <f t="shared" si="7"/>
        <v>48.60029681569285</v>
      </c>
      <c r="AQ54" s="4"/>
      <c r="AR54" s="190">
        <f t="shared" si="18"/>
        <v>6.1339191834067659</v>
      </c>
      <c r="AS54" s="190"/>
      <c r="AT54" s="189">
        <f t="shared" si="3"/>
        <v>219.58278556498675</v>
      </c>
      <c r="AU54" s="4"/>
      <c r="AV54" s="189">
        <f t="shared" si="4"/>
        <v>719.20759822816899</v>
      </c>
      <c r="AW54" s="337"/>
      <c r="AX54" s="191">
        <f t="shared" si="8"/>
        <v>938.7903837931558</v>
      </c>
      <c r="AZ54" s="182">
        <f>+IF(AZ53&gt;$G$13+$G$14,XX,AZ53+1)</f>
        <v>2029</v>
      </c>
      <c r="BA54" s="152"/>
      <c r="BB54" s="190">
        <f t="shared" si="19"/>
        <v>90.034718485882138</v>
      </c>
      <c r="BC54" s="4"/>
      <c r="BD54" s="190">
        <f t="shared" si="20"/>
        <v>19.575390183912088</v>
      </c>
      <c r="BE54" s="4"/>
      <c r="BF54" s="189">
        <f t="shared" si="9"/>
        <v>48.6740659918391</v>
      </c>
      <c r="BG54" s="4"/>
      <c r="BH54" s="193"/>
    </row>
    <row r="55" spans="1:61" ht="12">
      <c r="B55" s="3"/>
      <c r="C55" s="7">
        <f>+IF(C54&gt;$G$13+$G$14,XX,C54+1)</f>
        <v>2030</v>
      </c>
      <c r="D55" s="7"/>
      <c r="E55" s="330">
        <f t="shared" si="10"/>
        <v>2.5000000000000001E-2</v>
      </c>
      <c r="F55" s="7"/>
      <c r="G55" s="23">
        <f t="shared" si="11"/>
        <v>13140</v>
      </c>
      <c r="H55" s="7"/>
      <c r="I55" s="39">
        <f t="shared" si="12"/>
        <v>303.15007136142162</v>
      </c>
      <c r="J55" s="7"/>
      <c r="K55" s="39">
        <f t="shared" si="13"/>
        <v>0</v>
      </c>
      <c r="L55" s="7"/>
      <c r="M55" s="39">
        <f t="shared" si="14"/>
        <v>0</v>
      </c>
      <c r="N55" s="7"/>
      <c r="O55" s="333"/>
      <c r="P55" s="7"/>
      <c r="Q55" s="39"/>
      <c r="R55" s="7"/>
      <c r="S55" s="23">
        <v>0</v>
      </c>
      <c r="T55" s="7"/>
      <c r="U55" s="23">
        <f t="shared" si="0"/>
        <v>962.26014338798439</v>
      </c>
      <c r="V55" s="7"/>
      <c r="W55" s="23">
        <f t="shared" si="1"/>
        <v>-962.26014338798439</v>
      </c>
      <c r="X55" s="7"/>
      <c r="Y55" s="334">
        <f t="shared" si="5"/>
        <v>-73.23136555464113</v>
      </c>
      <c r="Z55" s="290"/>
      <c r="AB55" s="182">
        <f>+IF(AB54&gt;$G$13+$G$14,XX,AB54+1)</f>
        <v>2030</v>
      </c>
      <c r="AC55" s="152"/>
      <c r="AD55" s="187">
        <f t="shared" si="2"/>
        <v>13140</v>
      </c>
      <c r="AE55" s="4"/>
      <c r="AF55" s="190">
        <f t="shared" si="15"/>
        <v>107.43638819687204</v>
      </c>
      <c r="AG55" s="4"/>
      <c r="AH55" s="190">
        <f t="shared" si="16"/>
        <v>13.183872369477385</v>
      </c>
      <c r="AI55" s="4"/>
      <c r="AJ55" s="190">
        <f t="shared" si="17"/>
        <v>3.0798772884399708</v>
      </c>
      <c r="AK55" s="4"/>
      <c r="AL55" s="189">
        <f t="shared" si="6"/>
        <v>274.96327284574647</v>
      </c>
      <c r="AM55" s="4"/>
      <c r="AN55" s="190">
        <f>INDEX('(2.2)_Forward_Price_Curve'!$J:$J,MATCH($AB55,'(2.2)_Forward_Price_Curve'!$C:$C,0),1)</f>
        <v>6.9538116589590411</v>
      </c>
      <c r="AO55" s="4"/>
      <c r="AP55" s="190">
        <f t="shared" si="7"/>
        <v>49.815304236085161</v>
      </c>
      <c r="AQ55" s="4"/>
      <c r="AR55" s="190">
        <f t="shared" si="18"/>
        <v>6.2872671629919346</v>
      </c>
      <c r="AS55" s="190"/>
      <c r="AT55" s="189">
        <f t="shared" si="3"/>
        <v>225.0723552041114</v>
      </c>
      <c r="AU55" s="4"/>
      <c r="AV55" s="189">
        <f t="shared" si="4"/>
        <v>737.18778818387295</v>
      </c>
      <c r="AW55" s="337"/>
      <c r="AX55" s="191">
        <f t="shared" si="8"/>
        <v>962.26014338798439</v>
      </c>
      <c r="AZ55" s="182">
        <f>+IF(AZ54&gt;$G$13+$G$14,XX,AZ54+1)</f>
        <v>2030</v>
      </c>
      <c r="BA55" s="152"/>
      <c r="BB55" s="190">
        <f t="shared" si="19"/>
        <v>92.285586448029179</v>
      </c>
      <c r="BC55" s="4"/>
      <c r="BD55" s="190">
        <f t="shared" si="20"/>
        <v>20.064774938509888</v>
      </c>
      <c r="BE55" s="4"/>
      <c r="BF55" s="189">
        <f t="shared" si="9"/>
        <v>49.89091764163507</v>
      </c>
      <c r="BG55" s="4"/>
      <c r="BH55" s="290"/>
    </row>
    <row r="56" spans="1:61" ht="12">
      <c r="B56" s="3"/>
      <c r="C56" s="7">
        <f>+IF(C55&gt;$G$13+$G$14,XX,C55+1)</f>
        <v>2031</v>
      </c>
      <c r="D56" s="7"/>
      <c r="E56" s="330">
        <f t="shared" si="10"/>
        <v>2.5000000000000001E-2</v>
      </c>
      <c r="F56" s="7"/>
      <c r="G56" s="23">
        <f t="shared" si="11"/>
        <v>13140</v>
      </c>
      <c r="H56" s="7"/>
      <c r="I56" s="39">
        <f t="shared" si="12"/>
        <v>310.72882314545711</v>
      </c>
      <c r="J56" s="7"/>
      <c r="K56" s="39">
        <f t="shared" si="13"/>
        <v>0</v>
      </c>
      <c r="L56" s="7"/>
      <c r="M56" s="39">
        <f t="shared" si="14"/>
        <v>0</v>
      </c>
      <c r="N56" s="7"/>
      <c r="O56" s="333"/>
      <c r="P56" s="7"/>
      <c r="Q56" s="39"/>
      <c r="R56" s="7"/>
      <c r="S56" s="23">
        <v>0</v>
      </c>
      <c r="T56" s="7"/>
      <c r="U56" s="23">
        <f t="shared" si="0"/>
        <v>986.316646972684</v>
      </c>
      <c r="V56" s="7"/>
      <c r="W56" s="23">
        <f t="shared" si="1"/>
        <v>-986.316646972684</v>
      </c>
      <c r="X56" s="7"/>
      <c r="Y56" s="334">
        <f t="shared" si="5"/>
        <v>-75.062149693507152</v>
      </c>
      <c r="Z56" s="290"/>
      <c r="AB56" s="182">
        <f>+IF(AB55&gt;$G$13+$G$14,XX,AB55+1)</f>
        <v>2031</v>
      </c>
      <c r="AC56" s="152"/>
      <c r="AD56" s="187">
        <f t="shared" si="2"/>
        <v>13140</v>
      </c>
      <c r="AE56" s="4"/>
      <c r="AF56" s="190">
        <f t="shared" si="15"/>
        <v>110.12229790179384</v>
      </c>
      <c r="AG56" s="4"/>
      <c r="AH56" s="190">
        <f t="shared" si="16"/>
        <v>13.513469178714319</v>
      </c>
      <c r="AI56" s="4"/>
      <c r="AJ56" s="190">
        <f t="shared" si="17"/>
        <v>3.1568742206509697</v>
      </c>
      <c r="AK56" s="4"/>
      <c r="AL56" s="189">
        <f t="shared" si="6"/>
        <v>281.83735466689012</v>
      </c>
      <c r="AM56" s="4"/>
      <c r="AN56" s="190">
        <f>INDEX('(2.2)_Forward_Price_Curve'!$J:$J,MATCH($AB56,'(2.2)_Forward_Price_Curve'!$C:$C,0),1)</f>
        <v>7.1276569504330167</v>
      </c>
      <c r="AO56" s="4"/>
      <c r="AP56" s="190">
        <f t="shared" si="7"/>
        <v>51.060686841987284</v>
      </c>
      <c r="AQ56" s="4"/>
      <c r="AR56" s="190">
        <f t="shared" si="18"/>
        <v>6.4444488420667323</v>
      </c>
      <c r="AS56" s="190"/>
      <c r="AT56" s="189">
        <f t="shared" si="3"/>
        <v>230.69916408421417</v>
      </c>
      <c r="AU56" s="4"/>
      <c r="AV56" s="189">
        <f t="shared" si="4"/>
        <v>755.61748288846979</v>
      </c>
      <c r="AW56" s="337"/>
      <c r="AX56" s="191">
        <f t="shared" si="8"/>
        <v>986.316646972684</v>
      </c>
      <c r="AZ56" s="182">
        <f>+IF(AZ55&gt;$G$13+$G$14,XX,AZ55+1)</f>
        <v>2031</v>
      </c>
      <c r="BA56" s="152"/>
      <c r="BB56" s="190">
        <f t="shared" si="19"/>
        <v>94.592726109229901</v>
      </c>
      <c r="BC56" s="4"/>
      <c r="BD56" s="190">
        <f t="shared" si="20"/>
        <v>20.566394311972633</v>
      </c>
      <c r="BE56" s="4"/>
      <c r="BF56" s="189">
        <f t="shared" si="9"/>
        <v>51.138190582675939</v>
      </c>
      <c r="BG56" s="4"/>
      <c r="BH56" s="290"/>
    </row>
    <row r="57" spans="1:61" ht="12">
      <c r="A57" s="290"/>
      <c r="C57" s="7">
        <f>+IF(C56&gt;$G$13+$G$14,XX,C56+1)</f>
        <v>2032</v>
      </c>
      <c r="D57" s="7"/>
      <c r="E57" s="330">
        <f t="shared" si="10"/>
        <v>2.5000000000000001E-2</v>
      </c>
      <c r="F57" s="7"/>
      <c r="G57" s="23">
        <f t="shared" si="11"/>
        <v>13140</v>
      </c>
      <c r="H57" s="7"/>
      <c r="I57" s="39">
        <f t="shared" si="12"/>
        <v>318.49704372409349</v>
      </c>
      <c r="J57" s="7"/>
      <c r="K57" s="39">
        <f t="shared" si="13"/>
        <v>0</v>
      </c>
      <c r="L57" s="7"/>
      <c r="M57" s="39">
        <f t="shared" si="14"/>
        <v>0</v>
      </c>
      <c r="N57" s="7"/>
      <c r="O57" s="333"/>
      <c r="P57" s="7"/>
      <c r="Q57" s="39"/>
      <c r="R57" s="7"/>
      <c r="S57" s="23">
        <v>0</v>
      </c>
      <c r="T57" s="7"/>
      <c r="U57" s="23">
        <f t="shared" si="0"/>
        <v>1010.974563147001</v>
      </c>
      <c r="V57" s="7"/>
      <c r="W57" s="23">
        <f t="shared" si="1"/>
        <v>-1010.974563147001</v>
      </c>
      <c r="X57" s="7"/>
      <c r="Y57" s="334">
        <f t="shared" si="5"/>
        <v>-76.938703435844829</v>
      </c>
      <c r="Z57" s="290"/>
      <c r="AB57" s="182">
        <f>+IF(AB56&gt;$G$13+$G$14,XX,AB56+1)</f>
        <v>2032</v>
      </c>
      <c r="AC57" s="152"/>
      <c r="AD57" s="187">
        <f t="shared" si="2"/>
        <v>13140</v>
      </c>
      <c r="AE57" s="4"/>
      <c r="AF57" s="190">
        <f t="shared" si="15"/>
        <v>112.87535534933868</v>
      </c>
      <c r="AG57" s="4"/>
      <c r="AH57" s="190">
        <f t="shared" si="16"/>
        <v>13.851305908182175</v>
      </c>
      <c r="AI57" s="4"/>
      <c r="AJ57" s="190">
        <f t="shared" si="17"/>
        <v>3.2357960761672437</v>
      </c>
      <c r="AK57" s="4"/>
      <c r="AL57" s="189">
        <f t="shared" si="6"/>
        <v>288.88328853356234</v>
      </c>
      <c r="AM57" s="4"/>
      <c r="AN57" s="190">
        <f>INDEX('(2.2)_Forward_Price_Curve'!$J:$J,MATCH($AB57,'(2.2)_Forward_Price_Curve'!$C:$C,0),1)</f>
        <v>7.3058483741938414</v>
      </c>
      <c r="AO57" s="4"/>
      <c r="AP57" s="190">
        <f t="shared" si="7"/>
        <v>52.337204013036967</v>
      </c>
      <c r="AQ57" s="4"/>
      <c r="AR57" s="190">
        <f t="shared" si="18"/>
        <v>6.6055600631183999</v>
      </c>
      <c r="AS57" s="190"/>
      <c r="AT57" s="189">
        <f t="shared" si="3"/>
        <v>236.46664318631952</v>
      </c>
      <c r="AU57" s="4"/>
      <c r="AV57" s="189">
        <f t="shared" si="4"/>
        <v>774.50791996068153</v>
      </c>
      <c r="AW57" s="337"/>
      <c r="AX57" s="191">
        <f t="shared" si="8"/>
        <v>1010.974563147001</v>
      </c>
      <c r="AZ57" s="182">
        <f>+IF(AZ56&gt;$G$13+$G$14,XX,AZ56+1)</f>
        <v>2032</v>
      </c>
      <c r="BA57" s="152"/>
      <c r="BB57" s="190">
        <f t="shared" si="19"/>
        <v>96.957544261960635</v>
      </c>
      <c r="BC57" s="4"/>
      <c r="BD57" s="190">
        <f t="shared" si="20"/>
        <v>21.080554169771947</v>
      </c>
      <c r="BE57" s="4"/>
      <c r="BF57" s="189">
        <f t="shared" si="9"/>
        <v>52.416645347242834</v>
      </c>
      <c r="BG57" s="4"/>
      <c r="BH57" s="290"/>
      <c r="BI57" s="4"/>
    </row>
    <row r="58" spans="1:61" ht="12">
      <c r="A58" s="290"/>
      <c r="C58" s="7">
        <f>+IF(C57&gt;$G$13+$G$14,XX,C57+1)</f>
        <v>2033</v>
      </c>
      <c r="D58" s="7"/>
      <c r="E58" s="330">
        <f t="shared" si="10"/>
        <v>2.5000000000000001E-2</v>
      </c>
      <c r="F58" s="7"/>
      <c r="G58" s="23">
        <f t="shared" si="11"/>
        <v>13140</v>
      </c>
      <c r="H58" s="7"/>
      <c r="I58" s="39">
        <f t="shared" si="12"/>
        <v>326.45946981719578</v>
      </c>
      <c r="J58" s="7"/>
      <c r="K58" s="39">
        <f t="shared" si="13"/>
        <v>0</v>
      </c>
      <c r="L58" s="7"/>
      <c r="M58" s="39">
        <f t="shared" si="14"/>
        <v>0</v>
      </c>
      <c r="N58" s="7"/>
      <c r="O58" s="333"/>
      <c r="P58" s="7"/>
      <c r="Q58" s="39"/>
      <c r="R58" s="7"/>
      <c r="S58" s="23">
        <v>0</v>
      </c>
      <c r="T58" s="7"/>
      <c r="U58" s="23">
        <f t="shared" si="0"/>
        <v>1036.248927225676</v>
      </c>
      <c r="V58" s="7"/>
      <c r="W58" s="23">
        <f t="shared" si="1"/>
        <v>-1036.248927225676</v>
      </c>
      <c r="X58" s="7"/>
      <c r="Y58" s="334">
        <f t="shared" si="5"/>
        <v>-78.862171021740949</v>
      </c>
      <c r="Z58" s="290"/>
      <c r="AB58" s="182">
        <f>+IF(AB57&gt;$G$13+$G$14,XX,AB57+1)</f>
        <v>2033</v>
      </c>
      <c r="AC58" s="152"/>
      <c r="AD58" s="187">
        <f t="shared" si="2"/>
        <v>13140</v>
      </c>
      <c r="AE58" s="4"/>
      <c r="AF58" s="190">
        <f t="shared" si="15"/>
        <v>115.69723923307214</v>
      </c>
      <c r="AG58" s="4"/>
      <c r="AH58" s="190">
        <f t="shared" si="16"/>
        <v>14.197588555886728</v>
      </c>
      <c r="AI58" s="4"/>
      <c r="AJ58" s="190">
        <f t="shared" si="17"/>
        <v>3.3166909780714247</v>
      </c>
      <c r="AK58" s="4"/>
      <c r="AL58" s="189">
        <f t="shared" si="6"/>
        <v>296.10537074690143</v>
      </c>
      <c r="AM58" s="4"/>
      <c r="AN58" s="190">
        <f>INDEX('(2.2)_Forward_Price_Curve'!$J:$J,MATCH($AB58,'(2.2)_Forward_Price_Curve'!$C:$C,0),1)</f>
        <v>7.4884945835486869</v>
      </c>
      <c r="AO58" s="4"/>
      <c r="AP58" s="190">
        <f t="shared" si="7"/>
        <v>53.645634113362881</v>
      </c>
      <c r="AQ58" s="4"/>
      <c r="AR58" s="190">
        <f t="shared" si="18"/>
        <v>6.770699064696359</v>
      </c>
      <c r="AS58" s="190"/>
      <c r="AT58" s="189">
        <f t="shared" si="3"/>
        <v>242.37830926597752</v>
      </c>
      <c r="AU58" s="4"/>
      <c r="AV58" s="189">
        <f t="shared" si="4"/>
        <v>793.87061795969839</v>
      </c>
      <c r="AW58" s="337"/>
      <c r="AX58" s="191">
        <f t="shared" si="8"/>
        <v>1036.248927225676</v>
      </c>
      <c r="AZ58" s="182">
        <f>+IF(AZ57&gt;$G$13+$G$14,XX,AZ57+1)</f>
        <v>2033</v>
      </c>
      <c r="BA58" s="152"/>
      <c r="BB58" s="190">
        <f t="shared" si="19"/>
        <v>99.381482868509636</v>
      </c>
      <c r="BC58" s="4"/>
      <c r="BD58" s="190">
        <f t="shared" si="20"/>
        <v>21.607568024016242</v>
      </c>
      <c r="BE58" s="4"/>
      <c r="BF58" s="189">
        <f t="shared" si="9"/>
        <v>53.727061480923901</v>
      </c>
      <c r="BH58" s="290"/>
    </row>
    <row r="59" spans="1:61" ht="12">
      <c r="A59" s="290"/>
      <c r="C59" s="7">
        <f>+IF(C58&gt;$G$13+$G$14,XX,C58+1)</f>
        <v>2034</v>
      </c>
      <c r="D59" s="7"/>
      <c r="E59" s="330">
        <f t="shared" si="10"/>
        <v>2.5000000000000001E-2</v>
      </c>
      <c r="F59" s="7"/>
      <c r="G59" s="23">
        <f t="shared" si="11"/>
        <v>13140</v>
      </c>
      <c r="H59" s="7"/>
      <c r="I59" s="39">
        <f t="shared" si="12"/>
        <v>334.62095656262562</v>
      </c>
      <c r="J59" s="7"/>
      <c r="K59" s="39">
        <f t="shared" si="13"/>
        <v>0</v>
      </c>
      <c r="L59" s="7"/>
      <c r="M59" s="39">
        <f t="shared" si="14"/>
        <v>0</v>
      </c>
      <c r="N59" s="7"/>
      <c r="O59" s="333"/>
      <c r="P59" s="7"/>
      <c r="Q59" s="39"/>
      <c r="R59" s="7"/>
      <c r="S59" s="23">
        <v>0</v>
      </c>
      <c r="T59" s="7"/>
      <c r="U59" s="23">
        <f t="shared" si="0"/>
        <v>1062.1551504063177</v>
      </c>
      <c r="V59" s="7"/>
      <c r="W59" s="23">
        <f t="shared" si="1"/>
        <v>-1062.1551504063177</v>
      </c>
      <c r="X59" s="7"/>
      <c r="Y59" s="334">
        <f t="shared" si="5"/>
        <v>-80.83372529728446</v>
      </c>
      <c r="Z59" s="290"/>
      <c r="AB59" s="182">
        <f>+IF(AB58&gt;$G$13+$G$14,XX,AB58+1)</f>
        <v>2034</v>
      </c>
      <c r="AC59" s="152"/>
      <c r="AD59" s="187">
        <f t="shared" si="2"/>
        <v>13140</v>
      </c>
      <c r="AE59" s="4"/>
      <c r="AF59" s="190">
        <f t="shared" si="15"/>
        <v>118.58967021389893</v>
      </c>
      <c r="AG59" s="4"/>
      <c r="AH59" s="190">
        <f t="shared" si="16"/>
        <v>14.552528269783895</v>
      </c>
      <c r="AI59" s="4"/>
      <c r="AJ59" s="190">
        <f t="shared" si="17"/>
        <v>3.3996082525232101</v>
      </c>
      <c r="AK59" s="4"/>
      <c r="AL59" s="189">
        <f t="shared" si="6"/>
        <v>303.50800501557393</v>
      </c>
      <c r="AM59" s="4"/>
      <c r="AN59" s="190">
        <f>INDEX('(2.2)_Forward_Price_Curve'!$J:$J,MATCH($AB59,'(2.2)_Forward_Price_Curve'!$C:$C,0),1)</f>
        <v>7.6757069481374032</v>
      </c>
      <c r="AO59" s="4"/>
      <c r="AP59" s="190">
        <f t="shared" si="7"/>
        <v>54.986774966196947</v>
      </c>
      <c r="AQ59" s="4"/>
      <c r="AR59" s="190">
        <f t="shared" si="18"/>
        <v>6.9399665413137672</v>
      </c>
      <c r="AS59" s="190"/>
      <c r="AT59" s="189">
        <f t="shared" si="3"/>
        <v>248.43776699762694</v>
      </c>
      <c r="AU59" s="4"/>
      <c r="AV59" s="189">
        <f t="shared" si="4"/>
        <v>813.71738340869081</v>
      </c>
      <c r="AW59" s="337"/>
      <c r="AX59" s="191">
        <f t="shared" si="8"/>
        <v>1062.1551504063177</v>
      </c>
      <c r="AZ59" s="182">
        <f>+IF(AZ58&gt;$G$13+$G$14,XX,AZ58+1)</f>
        <v>2034</v>
      </c>
      <c r="BA59" s="152"/>
      <c r="BB59" s="190">
        <f t="shared" si="19"/>
        <v>101.86601994022237</v>
      </c>
      <c r="BC59" s="4"/>
      <c r="BD59" s="190">
        <f t="shared" si="20"/>
        <v>22.147757224616647</v>
      </c>
      <c r="BE59" s="4"/>
      <c r="BF59" s="189">
        <f t="shared" si="9"/>
        <v>55.070238017946991</v>
      </c>
      <c r="BH59" s="290"/>
    </row>
    <row r="60" spans="1:61" ht="12">
      <c r="A60" s="290"/>
      <c r="C60" s="7">
        <f>+IF(C59&gt;$G$13+$G$14,XX,C59+1)</f>
        <v>2035</v>
      </c>
      <c r="D60" s="7"/>
      <c r="E60" s="330">
        <f t="shared" si="10"/>
        <v>2.5000000000000001E-2</v>
      </c>
      <c r="F60" s="7"/>
      <c r="G60" s="23">
        <f t="shared" si="11"/>
        <v>13140</v>
      </c>
      <c r="H60" s="7"/>
      <c r="I60" s="39">
        <f t="shared" si="12"/>
        <v>342.98648047669121</v>
      </c>
      <c r="J60" s="7"/>
      <c r="K60" s="39">
        <f t="shared" si="13"/>
        <v>0</v>
      </c>
      <c r="L60" s="7"/>
      <c r="M60" s="39">
        <f t="shared" si="14"/>
        <v>0</v>
      </c>
      <c r="N60" s="7"/>
      <c r="O60" s="333"/>
      <c r="P60" s="7"/>
      <c r="Q60" s="39"/>
      <c r="R60" s="7"/>
      <c r="S60" s="23">
        <v>0</v>
      </c>
      <c r="T60" s="7"/>
      <c r="U60" s="23">
        <f t="shared" si="0"/>
        <v>1088.7090291664756</v>
      </c>
      <c r="V60" s="7"/>
      <c r="W60" s="23">
        <f t="shared" si="1"/>
        <v>-1088.7090291664756</v>
      </c>
      <c r="X60" s="7"/>
      <c r="Y60" s="334">
        <f t="shared" si="5"/>
        <v>-82.854568429716565</v>
      </c>
      <c r="Z60" s="290"/>
      <c r="AB60" s="182">
        <f>+IF(AB59&gt;$G$13+$G$14,XX,AB59+1)</f>
        <v>2035</v>
      </c>
      <c r="AC60" s="152"/>
      <c r="AD60" s="187">
        <f t="shared" si="2"/>
        <v>13140</v>
      </c>
      <c r="AE60" s="4"/>
      <c r="AF60" s="190">
        <f t="shared" si="15"/>
        <v>121.55441196924639</v>
      </c>
      <c r="AG60" s="4"/>
      <c r="AH60" s="190">
        <f t="shared" si="16"/>
        <v>14.916341476528492</v>
      </c>
      <c r="AI60" s="4"/>
      <c r="AJ60" s="190">
        <f t="shared" si="17"/>
        <v>3.4845984588362899</v>
      </c>
      <c r="AK60" s="4"/>
      <c r="AL60" s="189">
        <f t="shared" si="6"/>
        <v>311.09570514096328</v>
      </c>
      <c r="AM60" s="4"/>
      <c r="AN60" s="190">
        <f>INDEX('(2.2)_Forward_Price_Curve'!$J:$J,MATCH($AB60,'(2.2)_Forward_Price_Curve'!$C:$C,0),1)</f>
        <v>7.8675996218408377</v>
      </c>
      <c r="AO60" s="4"/>
      <c r="AP60" s="190">
        <f t="shared" si="7"/>
        <v>56.361444340351866</v>
      </c>
      <c r="AQ60" s="4"/>
      <c r="AR60" s="190">
        <f t="shared" si="18"/>
        <v>7.113465704846611</v>
      </c>
      <c r="AS60" s="190"/>
      <c r="AT60" s="189">
        <f t="shared" si="3"/>
        <v>254.6487111725676</v>
      </c>
      <c r="AU60" s="4"/>
      <c r="AV60" s="189">
        <f t="shared" si="4"/>
        <v>834.06031799390792</v>
      </c>
      <c r="AW60" s="337"/>
      <c r="AX60" s="191">
        <f t="shared" si="8"/>
        <v>1088.7090291664756</v>
      </c>
      <c r="AZ60" s="182">
        <f>+IF(AZ59&gt;$G$13+$G$14,XX,AZ59+1)</f>
        <v>2035</v>
      </c>
      <c r="BA60" s="152"/>
      <c r="BB60" s="190">
        <f t="shared" si="19"/>
        <v>104.41267043872793</v>
      </c>
      <c r="BC60" s="4"/>
      <c r="BD60" s="190">
        <f t="shared" si="20"/>
        <v>22.701451155232061</v>
      </c>
      <c r="BE60" s="4"/>
      <c r="BF60" s="189">
        <f t="shared" si="9"/>
        <v>56.446993968395667</v>
      </c>
      <c r="BH60" s="290"/>
    </row>
    <row r="61" spans="1:61" ht="12">
      <c r="A61" s="290"/>
      <c r="C61" s="7">
        <f>+IF(C60&gt;$G$13+$G$14,XX,C60+1)</f>
        <v>2036</v>
      </c>
      <c r="D61" s="7"/>
      <c r="E61" s="330">
        <f t="shared" si="10"/>
        <v>2.5000000000000001E-2</v>
      </c>
      <c r="F61" s="7"/>
      <c r="G61" s="23">
        <f t="shared" si="11"/>
        <v>13140</v>
      </c>
      <c r="H61" s="7"/>
      <c r="I61" s="39">
        <f t="shared" si="12"/>
        <v>351.56114248860848</v>
      </c>
      <c r="J61" s="7"/>
      <c r="K61" s="39">
        <f t="shared" si="13"/>
        <v>0</v>
      </c>
      <c r="L61" s="7"/>
      <c r="M61" s="39">
        <f t="shared" si="14"/>
        <v>0</v>
      </c>
      <c r="N61" s="7"/>
      <c r="O61" s="333"/>
      <c r="P61" s="7"/>
      <c r="Q61" s="39"/>
      <c r="R61" s="7"/>
      <c r="S61" s="23">
        <v>0</v>
      </c>
      <c r="T61" s="7"/>
      <c r="U61" s="23">
        <f t="shared" si="0"/>
        <v>1115.9267548956373</v>
      </c>
      <c r="V61" s="7"/>
      <c r="W61" s="23">
        <f t="shared" si="1"/>
        <v>-1115.9267548956373</v>
      </c>
      <c r="X61" s="7"/>
      <c r="Y61" s="334">
        <f t="shared" si="5"/>
        <v>-84.925932640459465</v>
      </c>
      <c r="Z61" s="290"/>
      <c r="AB61" s="182">
        <f>+IF(AB60&gt;$G$13+$G$14,XX,AB60+1)</f>
        <v>2036</v>
      </c>
      <c r="AC61" s="152"/>
      <c r="AD61" s="187">
        <f t="shared" si="2"/>
        <v>13140</v>
      </c>
      <c r="AE61" s="4"/>
      <c r="AF61" s="190">
        <f t="shared" si="15"/>
        <v>124.59327226847753</v>
      </c>
      <c r="AG61" s="4"/>
      <c r="AH61" s="190">
        <f t="shared" si="16"/>
        <v>15.289250013441704</v>
      </c>
      <c r="AI61" s="4"/>
      <c r="AJ61" s="190">
        <f t="shared" si="17"/>
        <v>3.571713420307197</v>
      </c>
      <c r="AK61" s="4"/>
      <c r="AL61" s="189">
        <f t="shared" si="6"/>
        <v>318.87309776948729</v>
      </c>
      <c r="AM61" s="4"/>
      <c r="AN61" s="190">
        <f>INDEX('(2.2)_Forward_Price_Curve'!$J:$J,MATCH($AB61,'(2.2)_Forward_Price_Curve'!$C:$C,0),1)</f>
        <v>8.0642896123868582</v>
      </c>
      <c r="AO61" s="4"/>
      <c r="AP61" s="190">
        <f t="shared" si="7"/>
        <v>57.77048044886066</v>
      </c>
      <c r="AQ61" s="4"/>
      <c r="AR61" s="190">
        <f t="shared" si="18"/>
        <v>7.2913023474677754</v>
      </c>
      <c r="AS61" s="190"/>
      <c r="AT61" s="189">
        <f t="shared" si="3"/>
        <v>261.01492895188176</v>
      </c>
      <c r="AU61" s="4"/>
      <c r="AV61" s="189">
        <f t="shared" si="4"/>
        <v>854.91182594375562</v>
      </c>
      <c r="AW61" s="337"/>
      <c r="AX61" s="191">
        <f t="shared" si="8"/>
        <v>1115.9267548956373</v>
      </c>
      <c r="AZ61" s="182">
        <f>+IF(AZ60&gt;$G$13+$G$14,XX,AZ60+1)</f>
        <v>2036</v>
      </c>
      <c r="BA61" s="152"/>
      <c r="BB61" s="190">
        <f t="shared" si="19"/>
        <v>107.02298719969612</v>
      </c>
      <c r="BC61" s="4"/>
      <c r="BD61" s="190">
        <f t="shared" si="20"/>
        <v>23.268987434112859</v>
      </c>
      <c r="BE61" s="4"/>
      <c r="BF61" s="189">
        <f t="shared" si="9"/>
        <v>57.858168817605559</v>
      </c>
      <c r="BH61" s="290"/>
    </row>
    <row r="62" spans="1:61" ht="12">
      <c r="A62" s="290"/>
      <c r="C62" s="7">
        <f>+IF(C61&gt;$G$13+$G$14,XX,C61+1)</f>
        <v>2037</v>
      </c>
      <c r="D62" s="7"/>
      <c r="E62" s="330">
        <f t="shared" si="10"/>
        <v>2.5000000000000001E-2</v>
      </c>
      <c r="F62" s="7"/>
      <c r="G62" s="23">
        <f t="shared" si="11"/>
        <v>13140</v>
      </c>
      <c r="H62" s="7"/>
      <c r="I62" s="39">
        <f t="shared" si="12"/>
        <v>360.35017105082369</v>
      </c>
      <c r="J62" s="7"/>
      <c r="K62" s="39">
        <f t="shared" si="13"/>
        <v>0</v>
      </c>
      <c r="L62" s="7"/>
      <c r="M62" s="39">
        <f t="shared" si="14"/>
        <v>0</v>
      </c>
      <c r="N62" s="7"/>
      <c r="O62" s="333"/>
      <c r="P62" s="7"/>
      <c r="Q62" s="39"/>
      <c r="R62" s="7"/>
      <c r="S62" s="23">
        <v>0</v>
      </c>
      <c r="T62" s="7"/>
      <c r="U62" s="23">
        <f t="shared" si="0"/>
        <v>1143.8249237680279</v>
      </c>
      <c r="V62" s="7"/>
      <c r="W62" s="23">
        <f t="shared" si="1"/>
        <v>-1143.8249237680279</v>
      </c>
      <c r="X62" s="7"/>
      <c r="Y62" s="334">
        <f t="shared" si="5"/>
        <v>-87.049080956470917</v>
      </c>
      <c r="Z62" s="290"/>
      <c r="AB62" s="182">
        <f>+IF(AB61&gt;$G$13+$G$14,XX,AB61+1)</f>
        <v>2037</v>
      </c>
      <c r="AC62" s="152"/>
      <c r="AD62" s="187">
        <f t="shared" si="2"/>
        <v>13140</v>
      </c>
      <c r="AE62" s="4"/>
      <c r="AF62" s="190">
        <f t="shared" si="15"/>
        <v>127.70810407518947</v>
      </c>
      <c r="AG62" s="4"/>
      <c r="AH62" s="190">
        <f t="shared" si="16"/>
        <v>15.671481263777745</v>
      </c>
      <c r="AI62" s="4"/>
      <c r="AJ62" s="190">
        <f t="shared" si="17"/>
        <v>3.6610062558148764</v>
      </c>
      <c r="AK62" s="4"/>
      <c r="AL62" s="189">
        <f t="shared" si="6"/>
        <v>326.84492521372437</v>
      </c>
      <c r="AM62" s="4"/>
      <c r="AN62" s="190">
        <f>INDEX('(2.2)_Forward_Price_Curve'!$J:$J,MATCH($AB62,'(2.2)_Forward_Price_Curve'!$C:$C,0),1)</f>
        <v>8.2658968526965282</v>
      </c>
      <c r="AO62" s="4"/>
      <c r="AP62" s="190">
        <f t="shared" si="7"/>
        <v>59.214742460082171</v>
      </c>
      <c r="AQ62" s="4"/>
      <c r="AR62" s="190">
        <f t="shared" si="18"/>
        <v>7.4735849061544695</v>
      </c>
      <c r="AS62" s="190"/>
      <c r="AT62" s="189">
        <f t="shared" si="3"/>
        <v>267.54030217567868</v>
      </c>
      <c r="AU62" s="4"/>
      <c r="AV62" s="189">
        <f t="shared" si="4"/>
        <v>876.28462159234937</v>
      </c>
      <c r="AW62" s="337"/>
      <c r="AX62" s="191">
        <f t="shared" si="8"/>
        <v>1143.8249237680279</v>
      </c>
      <c r="AZ62" s="182">
        <f>+IF(AZ61&gt;$G$13+$G$14,XX,AZ61+1)</f>
        <v>2037</v>
      </c>
      <c r="BA62" s="152"/>
      <c r="BB62" s="190">
        <f t="shared" si="19"/>
        <v>109.69856187968851</v>
      </c>
      <c r="BC62" s="4"/>
      <c r="BD62" s="190">
        <f t="shared" si="20"/>
        <v>23.850712119965678</v>
      </c>
      <c r="BE62" s="4"/>
      <c r="BF62" s="189">
        <f t="shared" si="9"/>
        <v>59.304623038045683</v>
      </c>
      <c r="BH62" s="290"/>
    </row>
    <row r="63" spans="1:61" ht="12">
      <c r="A63" s="290"/>
      <c r="E63" s="346"/>
      <c r="G63" s="23"/>
      <c r="H63" s="7"/>
      <c r="I63" s="39"/>
      <c r="J63" s="7"/>
      <c r="K63" s="39"/>
      <c r="L63" s="7"/>
      <c r="M63" s="39"/>
      <c r="N63" s="7"/>
      <c r="O63" s="333"/>
      <c r="P63" s="7"/>
      <c r="Q63" s="39"/>
      <c r="R63" s="7"/>
      <c r="S63" s="23"/>
      <c r="T63" s="7"/>
      <c r="U63" s="23"/>
      <c r="V63" s="7"/>
      <c r="W63" s="23"/>
      <c r="X63" s="7"/>
      <c r="Y63" s="334"/>
      <c r="Z63" s="290"/>
      <c r="AB63" s="182"/>
      <c r="AC63" s="152"/>
      <c r="AD63" s="187"/>
      <c r="AE63" s="4"/>
      <c r="AF63" s="190"/>
      <c r="AG63" s="4"/>
      <c r="AH63" s="190"/>
      <c r="AI63" s="4"/>
      <c r="AJ63" s="190"/>
      <c r="AK63" s="4"/>
      <c r="AL63" s="189"/>
      <c r="AM63" s="4"/>
      <c r="AN63" s="190"/>
      <c r="AO63" s="4"/>
      <c r="AP63" s="190"/>
      <c r="AQ63" s="4"/>
      <c r="AR63" s="190"/>
      <c r="AS63" s="190"/>
      <c r="AT63" s="189"/>
      <c r="AU63" s="4"/>
      <c r="AV63" s="189"/>
      <c r="AW63" s="337"/>
      <c r="AX63" s="191"/>
      <c r="AZ63" s="182"/>
      <c r="BA63" s="152"/>
      <c r="BB63" s="190"/>
      <c r="BC63" s="4"/>
      <c r="BD63" s="190"/>
      <c r="BE63" s="4"/>
      <c r="BF63" s="189"/>
      <c r="BH63" s="290"/>
    </row>
    <row r="64" spans="1:61" ht="12">
      <c r="A64" s="290"/>
      <c r="E64" s="346"/>
      <c r="G64" s="23"/>
      <c r="H64" s="7"/>
      <c r="I64" s="39"/>
      <c r="J64" s="7"/>
      <c r="K64" s="39"/>
      <c r="L64" s="7"/>
      <c r="M64" s="39"/>
      <c r="N64" s="7"/>
      <c r="O64" s="333"/>
      <c r="P64" s="7"/>
      <c r="Q64" s="39"/>
      <c r="R64" s="7"/>
      <c r="S64" s="23"/>
      <c r="T64" s="7"/>
      <c r="U64" s="23"/>
      <c r="V64" s="7"/>
      <c r="W64" s="23"/>
      <c r="X64" s="7"/>
      <c r="Y64" s="334"/>
      <c r="Z64" s="290"/>
      <c r="AB64" s="182"/>
      <c r="AC64" s="152"/>
      <c r="AD64" s="187"/>
      <c r="AE64" s="4"/>
      <c r="AF64" s="190"/>
      <c r="AG64" s="4"/>
      <c r="AH64" s="190"/>
      <c r="AI64" s="4"/>
      <c r="AJ64" s="190"/>
      <c r="AK64" s="4"/>
      <c r="AL64" s="189"/>
      <c r="AM64" s="4"/>
      <c r="AN64" s="190"/>
      <c r="AO64" s="4"/>
      <c r="AP64" s="190"/>
      <c r="AQ64" s="4"/>
      <c r="AR64" s="190"/>
      <c r="AS64" s="190"/>
      <c r="AT64" s="189"/>
      <c r="AU64" s="4"/>
      <c r="AV64" s="189"/>
      <c r="AW64" s="337"/>
      <c r="AX64" s="191"/>
      <c r="AZ64" s="182"/>
      <c r="BA64" s="152"/>
      <c r="BB64" s="190"/>
      <c r="BC64" s="4"/>
      <c r="BD64" s="190"/>
      <c r="BE64" s="4"/>
      <c r="BF64" s="189"/>
      <c r="BH64" s="290"/>
    </row>
    <row r="65" spans="1:60" ht="12">
      <c r="A65" s="290"/>
      <c r="E65" s="346"/>
      <c r="G65" s="23"/>
      <c r="H65" s="7"/>
      <c r="I65" s="39"/>
      <c r="J65" s="7"/>
      <c r="K65" s="39"/>
      <c r="L65" s="7"/>
      <c r="M65" s="39"/>
      <c r="N65" s="7"/>
      <c r="O65" s="333"/>
      <c r="P65" s="7"/>
      <c r="Q65" s="39"/>
      <c r="R65" s="7"/>
      <c r="S65" s="23"/>
      <c r="T65" s="7"/>
      <c r="U65" s="23"/>
      <c r="V65" s="7"/>
      <c r="W65" s="23"/>
      <c r="X65" s="7"/>
      <c r="Y65" s="334"/>
      <c r="Z65" s="290"/>
      <c r="AB65" s="182"/>
      <c r="AC65" s="152"/>
      <c r="AD65" s="187"/>
      <c r="AE65" s="4"/>
      <c r="AF65" s="190"/>
      <c r="AG65" s="4"/>
      <c r="AH65" s="190"/>
      <c r="AI65" s="4"/>
      <c r="AJ65" s="190"/>
      <c r="AK65" s="4"/>
      <c r="AL65" s="189"/>
      <c r="AM65" s="4"/>
      <c r="AN65" s="190"/>
      <c r="AO65" s="4"/>
      <c r="AP65" s="190"/>
      <c r="AQ65" s="4"/>
      <c r="AR65" s="190"/>
      <c r="AS65" s="190"/>
      <c r="AT65" s="189"/>
      <c r="AU65" s="4"/>
      <c r="AV65" s="189"/>
      <c r="AW65" s="337"/>
      <c r="AX65" s="191"/>
      <c r="AZ65" s="182"/>
      <c r="BA65" s="152"/>
      <c r="BB65" s="190"/>
      <c r="BC65" s="4"/>
      <c r="BD65" s="190"/>
      <c r="BE65" s="4"/>
      <c r="BF65" s="189"/>
      <c r="BH65" s="290"/>
    </row>
    <row r="66" spans="1:60" ht="12">
      <c r="A66" s="290"/>
      <c r="C66" s="309" t="str">
        <f>G14&amp;"-year Nominal Levelized at "&amp;TEXT($G$18,"#.00%")</f>
        <v>35-year Nominal Levelized at 8.70%</v>
      </c>
      <c r="E66" s="346"/>
      <c r="G66" s="23">
        <f>+-PMT($G$18,$G$14,NPV($G$18,G28:G62))</f>
        <v>13140.000000000005</v>
      </c>
      <c r="H66" s="7"/>
      <c r="I66" s="39">
        <f>+-PMT($G$18,$G$14,NPV($G$18,I28:I62))</f>
        <v>201.29288001746093</v>
      </c>
      <c r="J66" s="7"/>
      <c r="K66" s="39">
        <f>+-PMT($G$18,$G$14,NPV($G$18,K28:K62))</f>
        <v>0</v>
      </c>
      <c r="L66" s="7"/>
      <c r="M66" s="39">
        <f>+-PMT($G$18,$G$14,NPV($G$18,M28:M62))</f>
        <v>0</v>
      </c>
      <c r="N66" s="7"/>
      <c r="O66" s="333">
        <f>+-PMT($G$18,$G$14,NPV($G$18,O28:O62))</f>
        <v>0</v>
      </c>
      <c r="P66" s="7"/>
      <c r="Q66" s="39">
        <f>+-PMT($G$18,$G$14,NPV($G$18,Q28:Q62))</f>
        <v>0</v>
      </c>
      <c r="R66" s="7"/>
      <c r="S66" s="23">
        <f>+-PMT($G$18,$G$14,NPV($G$18,S28:S62))</f>
        <v>51.351375492717658</v>
      </c>
      <c r="T66" s="7"/>
      <c r="U66" s="23">
        <f>+-PMT($G$18,$G$14,NPV($G$18,U28:U62))</f>
        <v>645.67385605629227</v>
      </c>
      <c r="V66" s="7"/>
      <c r="W66" s="23">
        <f>+-PMT($G$18,$G$14,NPV($G$18,W28:W62))</f>
        <v>-594.32248056357446</v>
      </c>
      <c r="X66" s="7"/>
      <c r="Y66" s="334">
        <f>+-PMT($G$18,$G$14,NPV($G$18,Y28:Y62))</f>
        <v>-45.230021351870242</v>
      </c>
      <c r="Z66" s="290"/>
      <c r="AB66" s="182"/>
      <c r="AC66" s="152"/>
      <c r="AD66" s="187">
        <f>+-PMT($G$18,$G$14,NPV($G$18,AD28:AD62))</f>
        <v>13140.000000000005</v>
      </c>
      <c r="AE66" s="4"/>
      <c r="AF66" s="190">
        <f>+-PMT($G$18,$G$14,NPV($G$18,AF28:AF62))</f>
        <v>71.338198608039065</v>
      </c>
      <c r="AG66" s="4"/>
      <c r="AH66" s="190">
        <f>+-PMT($G$18,$G$14,NPV($G$18,AH28:AH62))</f>
        <v>8.7541448600577514</v>
      </c>
      <c r="AI66" s="4"/>
      <c r="AJ66" s="190">
        <f>+-PMT($G$18,$G$14,NPV($G$18,AJ28:AJ62))</f>
        <v>2.0450510425621</v>
      </c>
      <c r="AK66" s="4"/>
      <c r="AL66" s="189">
        <f>+-PMT($G$18,$G$14,NPV($G$18,AL28:AL62))</f>
        <v>182.57673119317872</v>
      </c>
      <c r="AM66" s="4"/>
      <c r="AN66" s="190">
        <f>+-PMT($G$18,$G$14,NPV($G$18,AN28:AN62))</f>
        <v>4.6888464905821561</v>
      </c>
      <c r="AO66" s="4"/>
      <c r="AP66" s="190">
        <f>+-PMT($G$18,$G$14,NPV($G$18,AP28:AP62))</f>
        <v>33.58968086858075</v>
      </c>
      <c r="AQ66" s="4"/>
      <c r="AR66" s="190">
        <f>+-PMT($G$18,$G$14,NPV($G$18,AR28:AR62))</f>
        <v>4.1747709607793713</v>
      </c>
      <c r="AS66" s="190"/>
      <c r="AT66" s="189">
        <f>+-PMT($G$18,$G$14,NPV($G$18,AT28:AT62))</f>
        <v>149.44895901850032</v>
      </c>
      <c r="AU66" s="4"/>
      <c r="AV66" s="189">
        <f>+-PMT($G$18,$G$14,NPV($G$18,AV28:AV62))</f>
        <v>496.22489703779212</v>
      </c>
      <c r="AW66" s="337"/>
      <c r="AX66" s="191">
        <f>+-PMT($G$18,$G$14,NPV($G$18,AX28:AX62))</f>
        <v>645.67385605629227</v>
      </c>
      <c r="AZ66" s="182"/>
      <c r="BA66" s="152"/>
      <c r="BB66" s="190">
        <f>+-PMT($G$18,$G$14,NPV($G$18,BB28:BB62))</f>
        <v>61.278004642383742</v>
      </c>
      <c r="BC66" s="4"/>
      <c r="BD66" s="190">
        <f>+-PMT($G$18,$G$14,NPV($G$18,BD28:BD62))</f>
        <v>13.323092144219144</v>
      </c>
      <c r="BE66" s="4"/>
      <c r="BF66" s="189">
        <f>+-PMT($G$18,$G$14,NPV($G$18,BF28:BF62))</f>
        <v>33.127772174678398</v>
      </c>
      <c r="BH66" s="290"/>
    </row>
    <row r="67" spans="1:60">
      <c r="A67" s="290"/>
      <c r="E67" s="346"/>
      <c r="Z67" s="290"/>
      <c r="AA67" s="438"/>
      <c r="AX67" s="290"/>
      <c r="AY67" s="438"/>
      <c r="BH67" s="290"/>
    </row>
    <row r="68" spans="1:60">
      <c r="A68" s="290"/>
      <c r="E68" s="346"/>
      <c r="Z68" s="290"/>
      <c r="AA68" s="438"/>
      <c r="AX68" s="290"/>
      <c r="AY68" s="438"/>
      <c r="BH68" s="290"/>
    </row>
    <row r="69" spans="1:60">
      <c r="A69" s="290"/>
      <c r="B69" s="294"/>
      <c r="C69" s="344"/>
      <c r="D69" s="344"/>
      <c r="E69" s="345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R69" s="344"/>
      <c r="S69" s="344"/>
      <c r="T69" s="344"/>
      <c r="U69" s="344"/>
      <c r="V69" s="344"/>
      <c r="W69" s="344"/>
      <c r="X69" s="344"/>
      <c r="Y69" s="344"/>
      <c r="Z69" s="297"/>
      <c r="AA69" s="438"/>
      <c r="AB69" s="294"/>
      <c r="AC69" s="344"/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297"/>
      <c r="AY69" s="438"/>
      <c r="AZ69" s="294"/>
      <c r="BA69" s="344"/>
      <c r="BB69" s="344"/>
      <c r="BC69" s="344"/>
      <c r="BD69" s="344"/>
      <c r="BE69" s="344"/>
      <c r="BF69" s="344"/>
      <c r="BG69" s="344"/>
      <c r="BH69" s="297"/>
    </row>
    <row r="70" spans="1:60">
      <c r="E70" s="346"/>
    </row>
    <row r="71" spans="1:60">
      <c r="E71" s="346"/>
    </row>
    <row r="72" spans="1:60">
      <c r="E72" s="346"/>
    </row>
    <row r="73" spans="1:60">
      <c r="E73" s="346"/>
    </row>
    <row r="74" spans="1:60">
      <c r="E74" s="346"/>
    </row>
    <row r="75" spans="1:60">
      <c r="E75" s="346"/>
    </row>
    <row r="76" spans="1:60">
      <c r="E76" s="346"/>
    </row>
    <row r="77" spans="1:60">
      <c r="E77" s="346"/>
    </row>
    <row r="78" spans="1:60">
      <c r="E78" s="346"/>
    </row>
    <row r="79" spans="1:60">
      <c r="E79" s="346"/>
    </row>
    <row r="80" spans="1:60">
      <c r="E80" s="346"/>
    </row>
  </sheetData>
  <pageMargins left="0.25" right="0.25" top="0.25" bottom="0.75" header="0.3" footer="0.3"/>
  <pageSetup paperSize="5" scale="4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84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8.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Index'!C4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231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167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49">
        <v>4.2</v>
      </c>
      <c r="H11" s="313"/>
      <c r="AB11" s="157" t="s">
        <v>111</v>
      </c>
      <c r="AC11" s="158"/>
      <c r="AD11" s="158"/>
      <c r="AE11" s="158"/>
      <c r="AF11" s="350">
        <f>+G11*(G12/AJ16)</f>
        <v>4.0329782182807907</v>
      </c>
      <c r="AG11" s="162"/>
      <c r="AH11" s="158" t="s">
        <v>112</v>
      </c>
      <c r="AI11" s="159"/>
      <c r="AJ11" s="206">
        <f>'(2.1)_Resources'!N69</f>
        <v>7.5808934397681389</v>
      </c>
      <c r="AK11" s="290"/>
      <c r="AZ11" s="157" t="s">
        <v>111</v>
      </c>
      <c r="BA11" s="158"/>
      <c r="BB11" s="158"/>
      <c r="BC11" s="158"/>
      <c r="BD11" s="169">
        <f>(AF11*AF13-G11*G19)</f>
        <v>2.0692795881438046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51">
        <v>0.4675472928897586</v>
      </c>
      <c r="H12" s="313"/>
      <c r="AB12" s="157" t="s">
        <v>40</v>
      </c>
      <c r="AC12" s="158"/>
      <c r="AD12" s="158"/>
      <c r="AE12" s="158"/>
      <c r="AF12" s="166">
        <f>+AD58/8760/AF11</f>
        <v>0.486910299003323</v>
      </c>
      <c r="AG12" s="162"/>
      <c r="AH12" s="152" t="s">
        <v>113</v>
      </c>
      <c r="AI12" s="153"/>
      <c r="AJ12" s="152">
        <v>2008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2009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206">
        <f>'(2.1)_Resources'!$O$69</f>
        <v>2.8538881199911357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29</v>
      </c>
      <c r="H14" s="313"/>
      <c r="AB14" s="157" t="s">
        <v>116</v>
      </c>
      <c r="AC14" s="158"/>
      <c r="AD14" s="158"/>
      <c r="AE14" s="158"/>
      <c r="AF14" s="169">
        <f>'(2.1)_Resources'!H69*(1+E28)</f>
        <v>7306.0698954414556</v>
      </c>
      <c r="AG14" s="162"/>
      <c r="AH14" s="152" t="s">
        <v>169</v>
      </c>
      <c r="AI14" s="153"/>
      <c r="AJ14" s="206">
        <f>'(2.1)_Resources'!P69</f>
        <v>6.0023887836530019</v>
      </c>
      <c r="AK14" s="290"/>
      <c r="AL14" s="171" t="s">
        <v>214</v>
      </c>
      <c r="AZ14" s="157" t="s">
        <v>213</v>
      </c>
      <c r="BA14" s="158"/>
      <c r="BB14" s="158"/>
      <c r="BC14" s="158"/>
      <c r="BD14" s="207">
        <f>'(2.1)_Resources'!J70</f>
        <v>747</v>
      </c>
      <c r="BE14" s="167"/>
    </row>
    <row r="15" spans="1:57" ht="12">
      <c r="A15" s="171" t="s">
        <v>150</v>
      </c>
      <c r="B15" s="310"/>
      <c r="C15" s="311" t="s">
        <v>119</v>
      </c>
      <c r="D15" s="311"/>
      <c r="E15" s="311"/>
      <c r="F15" s="311"/>
      <c r="G15" s="352">
        <v>171.69496414373259</v>
      </c>
      <c r="H15" s="313"/>
      <c r="AB15" s="157" t="s">
        <v>213</v>
      </c>
      <c r="AC15" s="158"/>
      <c r="AD15" s="158"/>
      <c r="AE15" s="158"/>
      <c r="AF15" s="207">
        <f>'(2.1)_Resources'!J69</f>
        <v>1174.8198494434653</v>
      </c>
      <c r="AG15" s="162"/>
      <c r="AH15" s="152" t="s">
        <v>166</v>
      </c>
      <c r="AI15" s="153"/>
      <c r="AJ15" s="206">
        <f>'(2.1)_Resources'!$P$56</f>
        <v>2.302423580786026</v>
      </c>
      <c r="AK15" s="290"/>
      <c r="AZ15" s="157" t="s">
        <v>120</v>
      </c>
      <c r="BA15" s="158"/>
      <c r="BB15" s="158"/>
      <c r="BC15" s="158"/>
      <c r="BD15" s="172">
        <f>'(2.1)_Resources'!K70</f>
        <v>8.6199999999999999E-2</v>
      </c>
      <c r="BE15" s="167"/>
    </row>
    <row r="16" spans="1:57" ht="12">
      <c r="A16" s="171" t="s">
        <v>150</v>
      </c>
      <c r="B16" s="310"/>
      <c r="C16" s="311" t="s">
        <v>121</v>
      </c>
      <c r="D16" s="311"/>
      <c r="E16" s="311"/>
      <c r="F16" s="311"/>
      <c r="G16" s="352">
        <v>0</v>
      </c>
      <c r="H16" s="313"/>
      <c r="AB16" s="157" t="s">
        <v>120</v>
      </c>
      <c r="AC16" s="158"/>
      <c r="AD16" s="158"/>
      <c r="AE16" s="158"/>
      <c r="AF16" s="172">
        <f>'(2.1)_Resources'!K67</f>
        <v>8.5860000000000006E-2</v>
      </c>
      <c r="AG16" s="162"/>
      <c r="AH16" s="152" t="s">
        <v>122</v>
      </c>
      <c r="AI16" s="159"/>
      <c r="AJ16" s="173">
        <f>'(2.1)_Resources'!$D$56</f>
        <v>0.48691029900332239</v>
      </c>
      <c r="AK16" s="290"/>
      <c r="AZ16" s="157" t="s">
        <v>112</v>
      </c>
      <c r="BA16" s="159"/>
      <c r="BB16" s="206">
        <f>'(2.1)_Resources'!N70</f>
        <v>4.24</v>
      </c>
      <c r="BC16" s="4"/>
      <c r="BD16" s="4"/>
      <c r="BE16" s="165"/>
    </row>
    <row r="17" spans="1:60" ht="12">
      <c r="A17" s="171" t="s">
        <v>150</v>
      </c>
      <c r="B17" s="310"/>
      <c r="C17" s="311" t="s">
        <v>123</v>
      </c>
      <c r="D17" s="311"/>
      <c r="E17" s="311"/>
      <c r="F17" s="311"/>
      <c r="G17" s="352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2008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51">
        <v>7.3599999999999999E-2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208">
        <v>0.4675472928897586</v>
      </c>
      <c r="H19" s="320"/>
      <c r="I19" s="353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215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179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2009</v>
      </c>
      <c r="D28" s="7"/>
      <c r="E28" s="330">
        <f>+INDEX('(2.2)_Forward_Price_Curve'!$P:$P,MATCH($C28,'(2.2)_Forward_Price_Curve'!C:C,0))</f>
        <v>2.1999999999999999E-2</v>
      </c>
      <c r="F28" s="7"/>
      <c r="G28" s="23">
        <v>17202</v>
      </c>
      <c r="H28" s="7"/>
      <c r="I28" s="331">
        <f>$G$15*(1+E28)</f>
        <v>175.47225335489472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f>(I28*$G$11*1000+(K28+M28+O28+Q28)*G28)/1000</f>
        <v>736.98346409055785</v>
      </c>
      <c r="T28" s="7"/>
      <c r="U28" s="23">
        <f t="shared" ref="U28:U56" si="0">AX28</f>
        <v>1983.1746272820424</v>
      </c>
      <c r="V28" s="7"/>
      <c r="W28" s="23">
        <f t="shared" ref="W28:W56" si="1">S28-U28</f>
        <v>-1246.1911631914845</v>
      </c>
      <c r="X28" s="7"/>
      <c r="Y28" s="334">
        <f>+W28*1000/G28</f>
        <v>-72.44455081917711</v>
      </c>
      <c r="Z28" s="290"/>
      <c r="AB28" s="182">
        <f>$C$28</f>
        <v>2009</v>
      </c>
      <c r="AC28" s="152"/>
      <c r="AD28" s="187">
        <f t="shared" ref="AD28:AD56" si="2">G28</f>
        <v>17202</v>
      </c>
      <c r="AE28" s="4"/>
      <c r="AF28" s="188">
        <f>$AF$15*$AF$16*(1+E28)</f>
        <v>103.08917298322669</v>
      </c>
      <c r="AG28" s="335"/>
      <c r="AH28" s="188">
        <f>$AJ$11*(1+E28)</f>
        <v>7.7476730954430382</v>
      </c>
      <c r="AI28" s="335"/>
      <c r="AJ28" s="188">
        <f>$AJ$13*(1+E28)</f>
        <v>2.9166736586309407</v>
      </c>
      <c r="AK28" s="336"/>
      <c r="AL28" s="189">
        <f>((AF28+AH28)*$AF$11*1000+AJ28*AD28)/1000</f>
        <v>497.17520629398507</v>
      </c>
      <c r="AM28" s="4"/>
      <c r="AN28" s="190">
        <f>INDEX('(2.2)_Forward_Price_Curve'!$L:$L,MATCH($AB28,'(2.2)_Forward_Price_Curve'!$C:$C,0),1)</f>
        <v>11.848729166666667</v>
      </c>
      <c r="AO28" s="348"/>
      <c r="AP28" s="190">
        <f>AN28*$AF$14/1000+$AJ$14/(1+E29)</f>
        <v>92.469697331721193</v>
      </c>
      <c r="AQ28" s="335"/>
      <c r="AR28" s="188">
        <f>$AJ$15*(1+E28)</f>
        <v>2.3530768995633187</v>
      </c>
      <c r="AS28" s="188"/>
      <c r="AT28" s="189">
        <f t="shared" ref="AT28:AT56" si="3">AL28-BF28</f>
        <v>352.03326495548623</v>
      </c>
      <c r="AU28" s="336"/>
      <c r="AV28" s="189">
        <f t="shared" ref="AV28:AV56" si="4">(AP28+AR28)*AD28/1000</f>
        <v>1631.1413623265562</v>
      </c>
      <c r="AW28" s="337"/>
      <c r="AX28" s="191">
        <f>AT28+AV28</f>
        <v>1983.1746272820424</v>
      </c>
      <c r="AZ28" s="182">
        <f>$C$28</f>
        <v>2009</v>
      </c>
      <c r="BA28" s="152"/>
      <c r="BB28" s="188">
        <f>$BD$14*$BD$15*(1+E28)</f>
        <v>65.808010800000005</v>
      </c>
      <c r="BC28" s="4"/>
      <c r="BD28" s="188">
        <f>$BB$16*(1+E28)</f>
        <v>4.3332800000000002</v>
      </c>
      <c r="BE28" s="335"/>
      <c r="BF28" s="189">
        <f>(BB28+BD28)*$BD$11</f>
        <v>145.14194133849884</v>
      </c>
      <c r="BG28" s="335"/>
      <c r="BH28" s="192"/>
    </row>
    <row r="29" spans="1:60" ht="12">
      <c r="B29" s="3"/>
      <c r="C29" s="7">
        <f>+IF(C28&gt;$G$13+$G$14,XX,C28+1)</f>
        <v>2010</v>
      </c>
      <c r="D29" s="7"/>
      <c r="E29" s="330">
        <f>+INDEX('(2.2)_Forward_Price_Curve'!$P:$P,MATCH($C29,'(2.2)_Forward_Price_Curve'!C:C,0))</f>
        <v>1.7000000000000001E-2</v>
      </c>
      <c r="F29" s="7"/>
      <c r="G29" s="23">
        <f>$G$28</f>
        <v>17202</v>
      </c>
      <c r="H29" s="7"/>
      <c r="I29" s="39">
        <f>I28*(1+$E29)</f>
        <v>178.4552816619279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f t="shared" ref="S29:S56" si="5">(I29*$G$11*1000+(K29+M29+O29+Q29)*G29)/1000</f>
        <v>749.51218298009724</v>
      </c>
      <c r="T29" s="7"/>
      <c r="U29" s="23">
        <f t="shared" si="0"/>
        <v>1864.4044393732486</v>
      </c>
      <c r="V29" s="7"/>
      <c r="W29" s="23">
        <f t="shared" si="1"/>
        <v>-1114.8922563931515</v>
      </c>
      <c r="X29" s="7"/>
      <c r="Y29" s="334">
        <f t="shared" ref="Y29:Y56" si="6">+W29*1000/G29</f>
        <v>-64.811780978557806</v>
      </c>
      <c r="Z29" s="290"/>
      <c r="AB29" s="182">
        <f>+IF(AB28&gt;$G$13+$G$14,XX,AB28+1)</f>
        <v>2010</v>
      </c>
      <c r="AC29" s="152"/>
      <c r="AD29" s="187">
        <f t="shared" si="2"/>
        <v>17202</v>
      </c>
      <c r="AE29" s="4"/>
      <c r="AF29" s="190">
        <f>AF28*(1+$E29)</f>
        <v>104.84168892394153</v>
      </c>
      <c r="AG29" s="4"/>
      <c r="AH29" s="190">
        <f>AH28*(1+$E29)</f>
        <v>7.8793835380655688</v>
      </c>
      <c r="AI29" s="4"/>
      <c r="AJ29" s="190">
        <f>AJ28*(1+$E29)</f>
        <v>2.9662571108276663</v>
      </c>
      <c r="AK29" s="4"/>
      <c r="AL29" s="189">
        <f t="shared" ref="AL29:AL56" si="7">((AF29+AH29)*$AF$11*1000+AJ29*AD29)/1000</f>
        <v>505.62718480098283</v>
      </c>
      <c r="AM29" s="4"/>
      <c r="AN29" s="190">
        <f>INDEX('(2.2)_Forward_Price_Curve'!$L:$L,MATCH($AB29,'(2.2)_Forward_Price_Curve'!$C:$C,0),1)</f>
        <v>10.836874999999999</v>
      </c>
      <c r="AO29" s="4"/>
      <c r="AP29" s="190">
        <f>AN29*$AF$14/1000+$AJ$14</f>
        <v>85.177354981815128</v>
      </c>
      <c r="AQ29" s="4"/>
      <c r="AR29" s="190">
        <f>AR28*(1+$E29)</f>
        <v>2.3930792068558948</v>
      </c>
      <c r="AS29" s="190"/>
      <c r="AT29" s="189">
        <f t="shared" si="3"/>
        <v>358.01783045972957</v>
      </c>
      <c r="AU29" s="4"/>
      <c r="AV29" s="189">
        <f t="shared" si="4"/>
        <v>1506.386608913519</v>
      </c>
      <c r="AW29" s="337"/>
      <c r="AX29" s="191">
        <f t="shared" ref="AX29:AX56" si="8">AT29+AV29</f>
        <v>1864.4044393732486</v>
      </c>
      <c r="AZ29" s="182">
        <f>+IF(AZ28&gt;$G$13+$G$14,XX,AZ28+1)</f>
        <v>2010</v>
      </c>
      <c r="BA29" s="152"/>
      <c r="BB29" s="190">
        <f>BB28*(1+$E29)</f>
        <v>66.926746983599998</v>
      </c>
      <c r="BC29" s="4"/>
      <c r="BD29" s="190">
        <f>BD28*(1+$E29)</f>
        <v>4.4069457600000002</v>
      </c>
      <c r="BE29" s="4"/>
      <c r="BF29" s="189">
        <f t="shared" ref="BF29:BF51" si="9">(BB29+BD29)*$BD$11</f>
        <v>147.60935434125329</v>
      </c>
      <c r="BG29" s="4"/>
      <c r="BH29" s="193"/>
    </row>
    <row r="30" spans="1:60" ht="12">
      <c r="B30" s="3"/>
      <c r="C30" s="7">
        <f>+IF(C29&gt;$G$13+$G$14,XX,C29+1)</f>
        <v>2011</v>
      </c>
      <c r="D30" s="7"/>
      <c r="E30" s="330">
        <f>+INDEX('(2.2)_Forward_Price_Curve'!$P:$P,MATCH($C30,'(2.2)_Forward_Price_Curve'!C:C,0))</f>
        <v>1.9E-2</v>
      </c>
      <c r="F30" s="7"/>
      <c r="G30" s="23">
        <f t="shared" ref="G30:G56" si="10">$G$28</f>
        <v>17202</v>
      </c>
      <c r="H30" s="7"/>
      <c r="I30" s="39">
        <f t="shared" ref="I30:I56" si="11">I29*(1+$E30)</f>
        <v>181.84593201350452</v>
      </c>
      <c r="J30" s="7"/>
      <c r="K30" s="39">
        <f t="shared" ref="K30:K56" si="12">K29*(1+$E30)</f>
        <v>0</v>
      </c>
      <c r="L30" s="7"/>
      <c r="M30" s="39">
        <f t="shared" ref="M30:M56" si="13">M29*(1+$E30)</f>
        <v>0</v>
      </c>
      <c r="N30" s="7"/>
      <c r="O30" s="333"/>
      <c r="P30" s="7"/>
      <c r="Q30" s="39"/>
      <c r="R30" s="7"/>
      <c r="S30" s="23">
        <f t="shared" si="5"/>
        <v>763.75291445671905</v>
      </c>
      <c r="T30" s="7"/>
      <c r="U30" s="23">
        <f t="shared" si="0"/>
        <v>1821.4928391955316</v>
      </c>
      <c r="V30" s="7"/>
      <c r="W30" s="23">
        <f t="shared" si="1"/>
        <v>-1057.7399247388125</v>
      </c>
      <c r="X30" s="7"/>
      <c r="Y30" s="334">
        <f t="shared" si="6"/>
        <v>-61.48935732698596</v>
      </c>
      <c r="Z30" s="290"/>
      <c r="AB30" s="182">
        <f>+IF(AB29&gt;$G$13+$G$14,XX,AB29+1)</f>
        <v>2011</v>
      </c>
      <c r="AC30" s="152"/>
      <c r="AD30" s="187">
        <f t="shared" si="2"/>
        <v>17202</v>
      </c>
      <c r="AE30" s="4"/>
      <c r="AF30" s="190">
        <f t="shared" ref="AF30:AF56" si="14">AF29*(1+$E30)</f>
        <v>106.83368101349642</v>
      </c>
      <c r="AG30" s="4"/>
      <c r="AH30" s="190">
        <f t="shared" ref="AH30:AH56" si="15">AH29*(1+$E30)</f>
        <v>8.0290918252888144</v>
      </c>
      <c r="AI30" s="4"/>
      <c r="AJ30" s="190">
        <f t="shared" ref="AJ30:AJ56" si="16">AJ29*(1+$E30)</f>
        <v>3.0226159959333918</v>
      </c>
      <c r="AK30" s="4"/>
      <c r="AL30" s="189">
        <f t="shared" si="7"/>
        <v>515.23410131220146</v>
      </c>
      <c r="AM30" s="4"/>
      <c r="AN30" s="190">
        <f>INDEX('(2.2)_Forward_Price_Curve'!$L:$L,MATCH($AB30,'(2.2)_Forward_Price_Curve'!$C:$C,0),1)</f>
        <v>10.419479166666667</v>
      </c>
      <c r="AO30" s="4"/>
      <c r="AP30" s="190">
        <f>AN30*$AF$14/1000+$AJ$14*(1+E30)</f>
        <v>82.241877236305172</v>
      </c>
      <c r="AQ30" s="4"/>
      <c r="AR30" s="190">
        <f t="shared" ref="AR30:AR56" si="17">AR29*(1+$E30)</f>
        <v>2.4385477117861565</v>
      </c>
      <c r="AS30" s="190"/>
      <c r="AT30" s="189">
        <f t="shared" si="3"/>
        <v>364.82016923846436</v>
      </c>
      <c r="AU30" s="4"/>
      <c r="AV30" s="189">
        <f t="shared" si="4"/>
        <v>1456.6726699570672</v>
      </c>
      <c r="AW30" s="337"/>
      <c r="AX30" s="191">
        <f t="shared" si="8"/>
        <v>1821.4928391955316</v>
      </c>
      <c r="AZ30" s="182">
        <f>+IF(AZ29&gt;$G$13+$G$14,XX,AZ29+1)</f>
        <v>2011</v>
      </c>
      <c r="BA30" s="152"/>
      <c r="BB30" s="190">
        <f t="shared" ref="BB30:BB56" si="18">BB29*(1+$E30)</f>
        <v>68.198355176288388</v>
      </c>
      <c r="BC30" s="4"/>
      <c r="BD30" s="190">
        <f t="shared" ref="BD30:BD56" si="19">BD29*(1+$E30)</f>
        <v>4.4906777294399998</v>
      </c>
      <c r="BE30" s="4"/>
      <c r="BF30" s="189">
        <f t="shared" si="9"/>
        <v>150.4139320737371</v>
      </c>
      <c r="BG30" s="4"/>
      <c r="BH30" s="193"/>
    </row>
    <row r="31" spans="1:60" ht="12">
      <c r="B31" s="3"/>
      <c r="C31" s="7">
        <f>+IF(C30&gt;$G$13+$G$14,XX,C30+1)</f>
        <v>2012</v>
      </c>
      <c r="D31" s="7"/>
      <c r="E31" s="330">
        <f>+INDEX('(2.2)_Forward_Price_Curve'!$P:$P,MATCH($C31,'(2.2)_Forward_Price_Curve'!C:C,0))</f>
        <v>1.9E-2</v>
      </c>
      <c r="F31" s="7"/>
      <c r="G31" s="23">
        <f t="shared" si="10"/>
        <v>17202</v>
      </c>
      <c r="H31" s="7"/>
      <c r="I31" s="39">
        <f t="shared" si="11"/>
        <v>185.3010047217611</v>
      </c>
      <c r="J31" s="7"/>
      <c r="K31" s="39">
        <f t="shared" si="12"/>
        <v>0</v>
      </c>
      <c r="L31" s="7"/>
      <c r="M31" s="39">
        <f t="shared" si="13"/>
        <v>0</v>
      </c>
      <c r="N31" s="7"/>
      <c r="O31" s="333"/>
      <c r="P31" s="7"/>
      <c r="Q31" s="39"/>
      <c r="R31" s="7"/>
      <c r="S31" s="23">
        <f t="shared" si="5"/>
        <v>778.26421983139664</v>
      </c>
      <c r="T31" s="7"/>
      <c r="U31" s="23">
        <f t="shared" si="0"/>
        <v>1830.3780067938596</v>
      </c>
      <c r="V31" s="7"/>
      <c r="W31" s="23">
        <f t="shared" si="1"/>
        <v>-1052.1137869624631</v>
      </c>
      <c r="X31" s="7"/>
      <c r="Y31" s="334">
        <f t="shared" si="6"/>
        <v>-61.162294324059005</v>
      </c>
      <c r="Z31" s="290"/>
      <c r="AB31" s="182">
        <f>+IF(AB30&gt;$G$13+$G$14,XX,AB30+1)</f>
        <v>2012</v>
      </c>
      <c r="AC31" s="152"/>
      <c r="AD31" s="187">
        <f t="shared" si="2"/>
        <v>17202</v>
      </c>
      <c r="AE31" s="4"/>
      <c r="AF31" s="190">
        <f t="shared" si="14"/>
        <v>108.86352095275284</v>
      </c>
      <c r="AG31" s="4"/>
      <c r="AH31" s="190">
        <f t="shared" si="15"/>
        <v>8.1816445699693006</v>
      </c>
      <c r="AI31" s="4"/>
      <c r="AJ31" s="190">
        <f t="shared" si="16"/>
        <v>3.0800456998561261</v>
      </c>
      <c r="AK31" s="4"/>
      <c r="AL31" s="189">
        <f t="shared" si="7"/>
        <v>525.02354923713324</v>
      </c>
      <c r="AM31" s="4"/>
      <c r="AN31" s="190">
        <f>INDEX('(2.2)_Forward_Price_Curve'!$L:$L,MATCH($AB31,'(2.2)_Forward_Price_Curve'!$C:$C,0),1)</f>
        <v>10.428681771666666</v>
      </c>
      <c r="AO31" s="4"/>
      <c r="AP31" s="190">
        <f>AN31*$AF$14/1000+$AJ$14*(1+E31)</f>
        <v>82.309112111655296</v>
      </c>
      <c r="AQ31" s="4"/>
      <c r="AR31" s="190">
        <f t="shared" si="17"/>
        <v>2.4848801183100933</v>
      </c>
      <c r="AS31" s="190"/>
      <c r="AT31" s="189">
        <f t="shared" si="3"/>
        <v>371.75175245399515</v>
      </c>
      <c r="AU31" s="4"/>
      <c r="AV31" s="189">
        <f t="shared" si="4"/>
        <v>1458.6262543398645</v>
      </c>
      <c r="AW31" s="337"/>
      <c r="AX31" s="191">
        <f t="shared" si="8"/>
        <v>1830.3780067938596</v>
      </c>
      <c r="AZ31" s="182">
        <f>+IF(AZ30&gt;$G$13+$G$14,XX,AZ30+1)</f>
        <v>2012</v>
      </c>
      <c r="BA31" s="152"/>
      <c r="BB31" s="190">
        <f t="shared" si="18"/>
        <v>69.494123924637861</v>
      </c>
      <c r="BC31" s="4"/>
      <c r="BD31" s="190">
        <f t="shared" si="19"/>
        <v>4.5760006062993597</v>
      </c>
      <c r="BE31" s="4"/>
      <c r="BF31" s="189">
        <f t="shared" si="9"/>
        <v>153.27179678313809</v>
      </c>
      <c r="BG31" s="4"/>
      <c r="BH31" s="193"/>
    </row>
    <row r="32" spans="1:60" ht="12">
      <c r="B32" s="3"/>
      <c r="C32" s="7">
        <f>+IF(C31&gt;$G$13+$G$14,XX,C31+1)</f>
        <v>2013</v>
      </c>
      <c r="D32" s="7"/>
      <c r="E32" s="330">
        <f>+INDEX('(2.2)_Forward_Price_Curve'!$P:$P,MATCH($C32,'(2.2)_Forward_Price_Curve'!C:C,0))</f>
        <v>1.7999999999999999E-2</v>
      </c>
      <c r="F32" s="7"/>
      <c r="G32" s="23">
        <f t="shared" si="10"/>
        <v>17202</v>
      </c>
      <c r="H32" s="7"/>
      <c r="I32" s="39">
        <f t="shared" si="11"/>
        <v>188.63642280675282</v>
      </c>
      <c r="J32" s="7"/>
      <c r="K32" s="39">
        <f t="shared" si="12"/>
        <v>0</v>
      </c>
      <c r="L32" s="7"/>
      <c r="M32" s="39">
        <f t="shared" si="13"/>
        <v>0</v>
      </c>
      <c r="N32" s="7"/>
      <c r="O32" s="333"/>
      <c r="P32" s="7"/>
      <c r="Q32" s="39"/>
      <c r="R32" s="7"/>
      <c r="S32" s="23">
        <f t="shared" si="5"/>
        <v>792.27297578836192</v>
      </c>
      <c r="T32" s="7"/>
      <c r="U32" s="23">
        <f t="shared" si="0"/>
        <v>1863.3951590145209</v>
      </c>
      <c r="V32" s="7"/>
      <c r="W32" s="23">
        <f t="shared" si="1"/>
        <v>-1071.122183226159</v>
      </c>
      <c r="X32" s="7"/>
      <c r="Y32" s="334">
        <f t="shared" si="6"/>
        <v>-62.267305152084589</v>
      </c>
      <c r="Z32" s="290"/>
      <c r="AB32" s="182">
        <f>+IF(AB31&gt;$G$13+$G$14,XX,AB31+1)</f>
        <v>2013</v>
      </c>
      <c r="AC32" s="152"/>
      <c r="AD32" s="187">
        <f t="shared" si="2"/>
        <v>17202</v>
      </c>
      <c r="AE32" s="4"/>
      <c r="AF32" s="190">
        <f t="shared" si="14"/>
        <v>110.82306432990239</v>
      </c>
      <c r="AG32" s="4"/>
      <c r="AH32" s="190">
        <f t="shared" si="15"/>
        <v>8.3289141722287479</v>
      </c>
      <c r="AI32" s="4"/>
      <c r="AJ32" s="190">
        <f t="shared" si="16"/>
        <v>3.1354865224535362</v>
      </c>
      <c r="AK32" s="4"/>
      <c r="AL32" s="189">
        <f t="shared" si="7"/>
        <v>534.47397312340161</v>
      </c>
      <c r="AM32" s="4"/>
      <c r="AN32" s="190">
        <f>INDEX('(2.2)_Forward_Price_Curve'!$L:$L,MATCH($AB32,'(2.2)_Forward_Price_Curve'!$C:$C,0),1)</f>
        <v>10.632848438333333</v>
      </c>
      <c r="AO32" s="4"/>
      <c r="AP32" s="190">
        <f t="shared" ref="AP32:AP56" si="20">AN32*$AF$14/1000+$AJ$14*(1+E32)</f>
        <v>83.794765659857603</v>
      </c>
      <c r="AQ32" s="4"/>
      <c r="AR32" s="190">
        <f t="shared" si="17"/>
        <v>2.5296079604396748</v>
      </c>
      <c r="AS32" s="190"/>
      <c r="AT32" s="189">
        <f t="shared" si="3"/>
        <v>378.44328399816703</v>
      </c>
      <c r="AU32" s="4"/>
      <c r="AV32" s="189">
        <f t="shared" si="4"/>
        <v>1484.9518750163538</v>
      </c>
      <c r="AW32" s="337"/>
      <c r="AX32" s="191">
        <f t="shared" si="8"/>
        <v>1863.3951590145209</v>
      </c>
      <c r="AZ32" s="182">
        <f>+IF(AZ31&gt;$G$13+$G$14,XX,AZ31+1)</f>
        <v>2013</v>
      </c>
      <c r="BA32" s="152"/>
      <c r="BB32" s="190">
        <f t="shared" si="18"/>
        <v>70.745018155281343</v>
      </c>
      <c r="BC32" s="4"/>
      <c r="BD32" s="190">
        <f t="shared" si="19"/>
        <v>4.6583686172127479</v>
      </c>
      <c r="BE32" s="4"/>
      <c r="BF32" s="189">
        <f t="shared" si="9"/>
        <v>156.03068912523457</v>
      </c>
      <c r="BG32" s="4"/>
      <c r="BH32" s="193"/>
    </row>
    <row r="33" spans="2:60" ht="12">
      <c r="B33" s="3"/>
      <c r="C33" s="7">
        <f>+IF(C32&gt;$G$13+$G$14,XX,C32+1)</f>
        <v>2014</v>
      </c>
      <c r="D33" s="7"/>
      <c r="E33" s="330">
        <f>+INDEX('(2.2)_Forward_Price_Curve'!$P:$P,MATCH($C33,'(2.2)_Forward_Price_Curve'!C:C,0))</f>
        <v>1.7999999999999999E-2</v>
      </c>
      <c r="F33" s="7"/>
      <c r="G33" s="23">
        <f t="shared" si="10"/>
        <v>17202</v>
      </c>
      <c r="H33" s="7"/>
      <c r="I33" s="39">
        <f t="shared" si="11"/>
        <v>192.03187841727438</v>
      </c>
      <c r="J33" s="7"/>
      <c r="K33" s="39">
        <f t="shared" si="12"/>
        <v>0</v>
      </c>
      <c r="L33" s="7"/>
      <c r="M33" s="39">
        <f t="shared" si="13"/>
        <v>0</v>
      </c>
      <c r="N33" s="7"/>
      <c r="O33" s="333"/>
      <c r="P33" s="7"/>
      <c r="Q33" s="39"/>
      <c r="R33" s="7"/>
      <c r="S33" s="23">
        <f t="shared" si="5"/>
        <v>806.53388935255248</v>
      </c>
      <c r="T33" s="7"/>
      <c r="U33" s="23">
        <f t="shared" si="0"/>
        <v>1835.0595826874169</v>
      </c>
      <c r="V33" s="7"/>
      <c r="W33" s="23">
        <f t="shared" si="1"/>
        <v>-1028.5256933348644</v>
      </c>
      <c r="X33" s="7"/>
      <c r="Y33" s="334">
        <f t="shared" si="6"/>
        <v>-59.791052978424858</v>
      </c>
      <c r="Z33" s="290"/>
      <c r="AB33" s="182">
        <f>+IF(AB32&gt;$G$13+$G$14,XX,AB32+1)</f>
        <v>2014</v>
      </c>
      <c r="AC33" s="152"/>
      <c r="AD33" s="187">
        <f t="shared" si="2"/>
        <v>17202</v>
      </c>
      <c r="AE33" s="4"/>
      <c r="AF33" s="190">
        <f t="shared" si="14"/>
        <v>112.81787948784064</v>
      </c>
      <c r="AG33" s="4"/>
      <c r="AH33" s="190">
        <f t="shared" si="15"/>
        <v>8.4788346273288653</v>
      </c>
      <c r="AI33" s="4"/>
      <c r="AJ33" s="190">
        <f t="shared" si="16"/>
        <v>3.1919252798577</v>
      </c>
      <c r="AK33" s="4"/>
      <c r="AL33" s="189">
        <f t="shared" si="7"/>
        <v>544.09450463962287</v>
      </c>
      <c r="AM33" s="4"/>
      <c r="AN33" s="190">
        <f>INDEX('(2.2)_Forward_Price_Curve'!$L:$L,MATCH($AB33,'(2.2)_Forward_Price_Curve'!$C:$C,0),1)</f>
        <v>10.346954939583332</v>
      </c>
      <c r="AO33" s="4"/>
      <c r="AP33" s="190">
        <f t="shared" si="20"/>
        <v>81.70600777533781</v>
      </c>
      <c r="AQ33" s="4"/>
      <c r="AR33" s="190">
        <f t="shared" si="17"/>
        <v>2.575140903727589</v>
      </c>
      <c r="AS33" s="190"/>
      <c r="AT33" s="189">
        <f t="shared" si="3"/>
        <v>385.25526311013402</v>
      </c>
      <c r="AU33" s="4"/>
      <c r="AV33" s="189">
        <f t="shared" si="4"/>
        <v>1449.804319577283</v>
      </c>
      <c r="AW33" s="337"/>
      <c r="AX33" s="191">
        <f t="shared" si="8"/>
        <v>1835.0595826874169</v>
      </c>
      <c r="AZ33" s="182">
        <f>+IF(AZ32&gt;$G$13+$G$14,XX,AZ32+1)</f>
        <v>2014</v>
      </c>
      <c r="BA33" s="152"/>
      <c r="BB33" s="190">
        <f t="shared" si="18"/>
        <v>72.018428482076402</v>
      </c>
      <c r="BC33" s="4"/>
      <c r="BD33" s="190">
        <f t="shared" si="19"/>
        <v>4.7422192523225775</v>
      </c>
      <c r="BE33" s="4"/>
      <c r="BF33" s="189">
        <f t="shared" si="9"/>
        <v>158.83924152948882</v>
      </c>
      <c r="BG33" s="4"/>
      <c r="BH33" s="193"/>
    </row>
    <row r="34" spans="2:60" ht="12">
      <c r="B34" s="3"/>
      <c r="C34" s="7">
        <f>+IF(C33&gt;$G$13+$G$14,XX,C33+1)</f>
        <v>2015</v>
      </c>
      <c r="D34" s="7"/>
      <c r="E34" s="330">
        <f>+INDEX('(2.2)_Forward_Price_Curve'!$P:$P,MATCH($C34,'(2.2)_Forward_Price_Curve'!C:C,0))</f>
        <v>1.9E-2</v>
      </c>
      <c r="F34" s="7"/>
      <c r="G34" s="23">
        <f t="shared" si="10"/>
        <v>17202</v>
      </c>
      <c r="H34" s="7"/>
      <c r="I34" s="39">
        <f t="shared" si="11"/>
        <v>195.68048410720257</v>
      </c>
      <c r="J34" s="7"/>
      <c r="K34" s="39">
        <f t="shared" si="12"/>
        <v>0</v>
      </c>
      <c r="L34" s="7"/>
      <c r="M34" s="39">
        <f t="shared" si="13"/>
        <v>0</v>
      </c>
      <c r="N34" s="7"/>
      <c r="O34" s="333"/>
      <c r="P34" s="7"/>
      <c r="Q34" s="39"/>
      <c r="R34" s="7"/>
      <c r="S34" s="23">
        <f t="shared" si="5"/>
        <v>821.85803325025086</v>
      </c>
      <c r="T34" s="7"/>
      <c r="U34" s="23">
        <f t="shared" si="0"/>
        <v>1715.8937491705028</v>
      </c>
      <c r="V34" s="7"/>
      <c r="W34" s="23">
        <f t="shared" si="1"/>
        <v>-894.03571592025196</v>
      </c>
      <c r="X34" s="7"/>
      <c r="Y34" s="334">
        <f t="shared" si="6"/>
        <v>-51.972777346834782</v>
      </c>
      <c r="Z34" s="290"/>
      <c r="AB34" s="182">
        <f>+IF(AB33&gt;$G$13+$G$14,XX,AB33+1)</f>
        <v>2015</v>
      </c>
      <c r="AC34" s="152"/>
      <c r="AD34" s="187">
        <f t="shared" si="2"/>
        <v>17202</v>
      </c>
      <c r="AE34" s="4"/>
      <c r="AF34" s="190">
        <f t="shared" si="14"/>
        <v>114.96141919810961</v>
      </c>
      <c r="AG34" s="4"/>
      <c r="AH34" s="190">
        <f t="shared" si="15"/>
        <v>8.6399324852481136</v>
      </c>
      <c r="AI34" s="4"/>
      <c r="AJ34" s="190">
        <f t="shared" si="16"/>
        <v>3.2525718601749962</v>
      </c>
      <c r="AK34" s="4"/>
      <c r="AL34" s="189">
        <f t="shared" si="7"/>
        <v>554.43230022777573</v>
      </c>
      <c r="AM34" s="4"/>
      <c r="AN34" s="190">
        <f>INDEX('(2.2)_Forward_Price_Curve'!$L:$L,MATCH($AB34,'(2.2)_Forward_Price_Curve'!$C:$C,0),1)</f>
        <v>9.3330180370833329</v>
      </c>
      <c r="AO34" s="4"/>
      <c r="AP34" s="190">
        <f t="shared" si="20"/>
        <v>74.304116284889062</v>
      </c>
      <c r="AQ34" s="4"/>
      <c r="AR34" s="190">
        <f t="shared" si="17"/>
        <v>2.6240685808984128</v>
      </c>
      <c r="AS34" s="190"/>
      <c r="AT34" s="189">
        <f t="shared" si="3"/>
        <v>392.57511310922666</v>
      </c>
      <c r="AU34" s="4"/>
      <c r="AV34" s="189">
        <f t="shared" si="4"/>
        <v>1323.318636061276</v>
      </c>
      <c r="AW34" s="337"/>
      <c r="AX34" s="191">
        <f t="shared" si="8"/>
        <v>1715.8937491705028</v>
      </c>
      <c r="AZ34" s="182">
        <f>+IF(AZ33&gt;$G$13+$G$14,XX,AZ33+1)</f>
        <v>2015</v>
      </c>
      <c r="BA34" s="152"/>
      <c r="BB34" s="190">
        <f t="shared" si="18"/>
        <v>73.386778623235841</v>
      </c>
      <c r="BC34" s="4"/>
      <c r="BD34" s="190">
        <f t="shared" si="19"/>
        <v>4.832321418116706</v>
      </c>
      <c r="BE34" s="4"/>
      <c r="BF34" s="189">
        <f t="shared" si="9"/>
        <v>161.85718711854906</v>
      </c>
      <c r="BG34" s="4"/>
      <c r="BH34" s="193"/>
    </row>
    <row r="35" spans="2:60" ht="12">
      <c r="B35" s="3"/>
      <c r="C35" s="7">
        <f>+IF(C34&gt;$G$13+$G$14,XX,C34+1)</f>
        <v>2016</v>
      </c>
      <c r="D35" s="7"/>
      <c r="E35" s="330">
        <f>+INDEX('(2.2)_Forward_Price_Curve'!$P:$P,MATCH($C35,'(2.2)_Forward_Price_Curve'!C:C,0))</f>
        <v>0.02</v>
      </c>
      <c r="F35" s="7"/>
      <c r="G35" s="23">
        <f t="shared" si="10"/>
        <v>17202</v>
      </c>
      <c r="H35" s="7"/>
      <c r="I35" s="39">
        <f t="shared" si="11"/>
        <v>199.59409378934663</v>
      </c>
      <c r="J35" s="7"/>
      <c r="K35" s="39">
        <f t="shared" si="12"/>
        <v>0</v>
      </c>
      <c r="L35" s="7"/>
      <c r="M35" s="39">
        <f t="shared" si="13"/>
        <v>0</v>
      </c>
      <c r="N35" s="7"/>
      <c r="O35" s="333"/>
      <c r="P35" s="7"/>
      <c r="Q35" s="39"/>
      <c r="R35" s="7"/>
      <c r="S35" s="23">
        <f t="shared" si="5"/>
        <v>838.29519391525594</v>
      </c>
      <c r="T35" s="7"/>
      <c r="U35" s="23">
        <f t="shared" si="0"/>
        <v>1677.1376222632666</v>
      </c>
      <c r="V35" s="7"/>
      <c r="W35" s="23">
        <f t="shared" si="1"/>
        <v>-838.84242834801069</v>
      </c>
      <c r="X35" s="7"/>
      <c r="Y35" s="334">
        <f t="shared" si="6"/>
        <v>-48.764238364609383</v>
      </c>
      <c r="Z35" s="290"/>
      <c r="AB35" s="182">
        <f>+IF(AB34&gt;$G$13+$G$14,XX,AB34+1)</f>
        <v>2016</v>
      </c>
      <c r="AC35" s="152"/>
      <c r="AD35" s="187">
        <f t="shared" si="2"/>
        <v>17202</v>
      </c>
      <c r="AE35" s="4"/>
      <c r="AF35" s="190">
        <f t="shared" si="14"/>
        <v>117.2606475820718</v>
      </c>
      <c r="AG35" s="4"/>
      <c r="AH35" s="190">
        <f t="shared" si="15"/>
        <v>8.8127311349530757</v>
      </c>
      <c r="AI35" s="4"/>
      <c r="AJ35" s="190">
        <f t="shared" si="16"/>
        <v>3.3176232973784963</v>
      </c>
      <c r="AK35" s="4"/>
      <c r="AL35" s="189">
        <f t="shared" si="7"/>
        <v>565.5209462323312</v>
      </c>
      <c r="AM35" s="4"/>
      <c r="AN35" s="190">
        <f>INDEX('(2.2)_Forward_Price_Curve'!$L:$L,MATCH($AB35,'(2.2)_Forward_Price_Curve'!$C:$C,0),1)</f>
        <v>8.9541666666666657</v>
      </c>
      <c r="AO35" s="4"/>
      <c r="AP35" s="190">
        <f t="shared" si="20"/>
        <v>71.542204081424757</v>
      </c>
      <c r="AQ35" s="4"/>
      <c r="AR35" s="190">
        <f t="shared" si="17"/>
        <v>2.6765499525163809</v>
      </c>
      <c r="AS35" s="190"/>
      <c r="AT35" s="189">
        <f t="shared" si="3"/>
        <v>400.42661537141117</v>
      </c>
      <c r="AU35" s="4"/>
      <c r="AV35" s="189">
        <f t="shared" si="4"/>
        <v>1276.7110068918555</v>
      </c>
      <c r="AW35" s="337"/>
      <c r="AX35" s="191">
        <f t="shared" si="8"/>
        <v>1677.1376222632666</v>
      </c>
      <c r="AZ35" s="182">
        <f>+IF(AZ34&gt;$G$13+$G$14,XX,AZ34+1)</f>
        <v>2016</v>
      </c>
      <c r="BA35" s="152"/>
      <c r="BB35" s="190">
        <f t="shared" si="18"/>
        <v>74.85451419570056</v>
      </c>
      <c r="BC35" s="4"/>
      <c r="BD35" s="190">
        <f t="shared" si="19"/>
        <v>4.9289678464790398</v>
      </c>
      <c r="BE35" s="4"/>
      <c r="BF35" s="189">
        <f t="shared" si="9"/>
        <v>165.09433086092002</v>
      </c>
      <c r="BG35" s="4"/>
      <c r="BH35" s="193"/>
    </row>
    <row r="36" spans="2:60" ht="12">
      <c r="B36" s="3"/>
      <c r="C36" s="7">
        <f>+IF(C35&gt;$G$13+$G$14,XX,C35+1)</f>
        <v>2017</v>
      </c>
      <c r="D36" s="7"/>
      <c r="E36" s="330">
        <f>+INDEX('(2.2)_Forward_Price_Curve'!$P:$P,MATCH($C36,'(2.2)_Forward_Price_Curve'!C:C,0))</f>
        <v>0.02</v>
      </c>
      <c r="F36" s="7"/>
      <c r="G36" s="23">
        <f t="shared" si="10"/>
        <v>17202</v>
      </c>
      <c r="H36" s="7"/>
      <c r="I36" s="39">
        <f t="shared" si="11"/>
        <v>203.58597566513356</v>
      </c>
      <c r="J36" s="7"/>
      <c r="K36" s="39">
        <f t="shared" si="12"/>
        <v>0</v>
      </c>
      <c r="L36" s="7"/>
      <c r="M36" s="39">
        <f t="shared" si="13"/>
        <v>0</v>
      </c>
      <c r="N36" s="7"/>
      <c r="O36" s="333"/>
      <c r="P36" s="7"/>
      <c r="Q36" s="39"/>
      <c r="R36" s="7"/>
      <c r="S36" s="23">
        <f t="shared" si="5"/>
        <v>855.06109779356098</v>
      </c>
      <c r="T36" s="7"/>
      <c r="U36" s="23">
        <f t="shared" si="0"/>
        <v>1772.5236834320358</v>
      </c>
      <c r="V36" s="7"/>
      <c r="W36" s="23">
        <f t="shared" si="1"/>
        <v>-917.46258563847482</v>
      </c>
      <c r="X36" s="7"/>
      <c r="Y36" s="334">
        <f t="shared" si="6"/>
        <v>-53.334646299178864</v>
      </c>
      <c r="Z36" s="290"/>
      <c r="AB36" s="182">
        <f>+IF(AB35&gt;$G$13+$G$14,XX,AB35+1)</f>
        <v>2017</v>
      </c>
      <c r="AC36" s="152"/>
      <c r="AD36" s="187">
        <f t="shared" si="2"/>
        <v>17202</v>
      </c>
      <c r="AE36" s="4"/>
      <c r="AF36" s="190">
        <f t="shared" si="14"/>
        <v>119.60586053371324</v>
      </c>
      <c r="AG36" s="4"/>
      <c r="AH36" s="190">
        <f t="shared" si="15"/>
        <v>8.9889857576521379</v>
      </c>
      <c r="AI36" s="4"/>
      <c r="AJ36" s="190">
        <f t="shared" si="16"/>
        <v>3.3839757633260663</v>
      </c>
      <c r="AK36" s="4"/>
      <c r="AL36" s="189">
        <f t="shared" si="7"/>
        <v>576.83136515697788</v>
      </c>
      <c r="AM36" s="4"/>
      <c r="AN36" s="190">
        <f>INDEX('(2.2)_Forward_Price_Curve'!$L:$L,MATCH($AB36,'(2.2)_Forward_Price_Curve'!$C:$C,0),1)</f>
        <v>9.6420833333333338</v>
      </c>
      <c r="AO36" s="4"/>
      <c r="AP36" s="190">
        <f t="shared" si="20"/>
        <v>76.568171330330529</v>
      </c>
      <c r="AQ36" s="4"/>
      <c r="AR36" s="190">
        <f t="shared" si="17"/>
        <v>2.7300809515667086</v>
      </c>
      <c r="AS36" s="190"/>
      <c r="AT36" s="189">
        <f t="shared" si="3"/>
        <v>408.43514767883943</v>
      </c>
      <c r="AU36" s="4"/>
      <c r="AV36" s="189">
        <f t="shared" si="4"/>
        <v>1364.0885357531963</v>
      </c>
      <c r="AW36" s="337"/>
      <c r="AX36" s="191">
        <f t="shared" si="8"/>
        <v>1772.5236834320358</v>
      </c>
      <c r="AZ36" s="182">
        <f>+IF(AZ35&gt;$G$13+$G$14,XX,AZ35+1)</f>
        <v>2017</v>
      </c>
      <c r="BA36" s="152"/>
      <c r="BB36" s="190">
        <f t="shared" si="18"/>
        <v>76.351604479614579</v>
      </c>
      <c r="BC36" s="4"/>
      <c r="BD36" s="190">
        <f t="shared" si="19"/>
        <v>5.0275472034086208</v>
      </c>
      <c r="BE36" s="4"/>
      <c r="BF36" s="189">
        <f t="shared" si="9"/>
        <v>168.39621747813845</v>
      </c>
      <c r="BG36" s="4"/>
      <c r="BH36" s="193"/>
    </row>
    <row r="37" spans="2:60" ht="12">
      <c r="B37" s="3"/>
      <c r="C37" s="7">
        <f>+IF(C36&gt;$G$13+$G$14,XX,C36+1)</f>
        <v>2018</v>
      </c>
      <c r="D37" s="7"/>
      <c r="E37" s="330">
        <f>+INDEX('(2.2)_Forward_Price_Curve'!$P:$P,MATCH($C37,'(2.2)_Forward_Price_Curve'!C:C,0))</f>
        <v>0.02</v>
      </c>
      <c r="F37" s="7"/>
      <c r="G37" s="23">
        <f t="shared" si="10"/>
        <v>17202</v>
      </c>
      <c r="H37" s="7"/>
      <c r="I37" s="39">
        <f t="shared" si="11"/>
        <v>207.65769517843623</v>
      </c>
      <c r="J37" s="7"/>
      <c r="K37" s="39">
        <f t="shared" si="12"/>
        <v>0</v>
      </c>
      <c r="L37" s="7"/>
      <c r="M37" s="39">
        <f t="shared" si="13"/>
        <v>0</v>
      </c>
      <c r="N37" s="7"/>
      <c r="O37" s="333"/>
      <c r="P37" s="7"/>
      <c r="Q37" s="39"/>
      <c r="R37" s="7"/>
      <c r="S37" s="23">
        <f t="shared" si="5"/>
        <v>872.16231974943219</v>
      </c>
      <c r="T37" s="7"/>
      <c r="U37" s="23">
        <f t="shared" si="0"/>
        <v>1990.7824698026425</v>
      </c>
      <c r="V37" s="7"/>
      <c r="W37" s="23">
        <f t="shared" si="1"/>
        <v>-1118.6201500532102</v>
      </c>
      <c r="X37" s="7"/>
      <c r="Y37" s="334">
        <f t="shared" si="6"/>
        <v>-65.028493782886301</v>
      </c>
      <c r="Z37" s="290"/>
      <c r="AB37" s="182">
        <f>+IF(AB36&gt;$G$13+$G$14,XX,AB36+1)</f>
        <v>2018</v>
      </c>
      <c r="AC37" s="152"/>
      <c r="AD37" s="187">
        <f t="shared" si="2"/>
        <v>17202</v>
      </c>
      <c r="AE37" s="4"/>
      <c r="AF37" s="190">
        <f t="shared" si="14"/>
        <v>121.99797774438751</v>
      </c>
      <c r="AG37" s="4"/>
      <c r="AH37" s="190">
        <f t="shared" si="15"/>
        <v>9.1687654728051804</v>
      </c>
      <c r="AI37" s="4"/>
      <c r="AJ37" s="190">
        <f t="shared" si="16"/>
        <v>3.4516552785925878</v>
      </c>
      <c r="AK37" s="4"/>
      <c r="AL37" s="189">
        <f t="shared" si="7"/>
        <v>588.36799246011753</v>
      </c>
      <c r="AM37" s="4"/>
      <c r="AN37" s="190">
        <f>INDEX('(2.2)_Forward_Price_Curve'!$L:$L,MATCH($AB37,'(2.2)_Forward_Price_Curve'!$C:$C,0),1)</f>
        <v>11.30625</v>
      </c>
      <c r="AO37" s="4"/>
      <c r="AP37" s="190">
        <f t="shared" si="20"/>
        <v>88.72668931466103</v>
      </c>
      <c r="AQ37" s="4"/>
      <c r="AR37" s="190">
        <f t="shared" si="17"/>
        <v>2.7846825705980427</v>
      </c>
      <c r="AS37" s="190"/>
      <c r="AT37" s="189">
        <f t="shared" si="3"/>
        <v>416.60385063241631</v>
      </c>
      <c r="AU37" s="4"/>
      <c r="AV37" s="189">
        <f t="shared" si="4"/>
        <v>1574.1786191702263</v>
      </c>
      <c r="AW37" s="337"/>
      <c r="AX37" s="191">
        <f t="shared" si="8"/>
        <v>1990.7824698026425</v>
      </c>
      <c r="AZ37" s="182">
        <f>+IF(AZ36&gt;$G$13+$G$14,XX,AZ36+1)</f>
        <v>2018</v>
      </c>
      <c r="BA37" s="152"/>
      <c r="BB37" s="190">
        <f t="shared" si="18"/>
        <v>77.878636569206876</v>
      </c>
      <c r="BC37" s="4"/>
      <c r="BD37" s="190">
        <f t="shared" si="19"/>
        <v>5.128098147476793</v>
      </c>
      <c r="BE37" s="4"/>
      <c r="BF37" s="189">
        <f t="shared" si="9"/>
        <v>171.76414182770122</v>
      </c>
      <c r="BG37" s="4"/>
      <c r="BH37" s="193"/>
    </row>
    <row r="38" spans="2:60" ht="12">
      <c r="B38" s="3"/>
      <c r="C38" s="7">
        <f>+IF(C37&gt;$G$13+$G$14,XX,C37+1)</f>
        <v>2019</v>
      </c>
      <c r="D38" s="7"/>
      <c r="E38" s="330">
        <f>+INDEX('(2.2)_Forward_Price_Curve'!$P:$P,MATCH($C38,'(2.2)_Forward_Price_Curve'!C:C,0))</f>
        <v>0.02</v>
      </c>
      <c r="F38" s="7"/>
      <c r="G38" s="23">
        <f t="shared" si="10"/>
        <v>17202</v>
      </c>
      <c r="H38" s="7"/>
      <c r="I38" s="39">
        <f t="shared" si="11"/>
        <v>211.81084908200495</v>
      </c>
      <c r="J38" s="7"/>
      <c r="K38" s="39">
        <f t="shared" si="12"/>
        <v>0</v>
      </c>
      <c r="L38" s="7"/>
      <c r="M38" s="39">
        <f t="shared" si="13"/>
        <v>0</v>
      </c>
      <c r="N38" s="7"/>
      <c r="O38" s="333"/>
      <c r="P38" s="7"/>
      <c r="Q38" s="39"/>
      <c r="R38" s="7"/>
      <c r="S38" s="23">
        <f t="shared" si="5"/>
        <v>889.60556614442078</v>
      </c>
      <c r="T38" s="7"/>
      <c r="U38" s="23">
        <f t="shared" si="0"/>
        <v>2056.104482900746</v>
      </c>
      <c r="V38" s="7"/>
      <c r="W38" s="23">
        <f t="shared" si="1"/>
        <v>-1166.4989167563253</v>
      </c>
      <c r="X38" s="7"/>
      <c r="Y38" s="334">
        <f t="shared" si="6"/>
        <v>-67.811819367301794</v>
      </c>
      <c r="Z38" s="290"/>
      <c r="AB38" s="182">
        <f>+IF(AB37&gt;$G$13+$G$14,XX,AB37+1)</f>
        <v>2019</v>
      </c>
      <c r="AC38" s="152"/>
      <c r="AD38" s="187">
        <f t="shared" si="2"/>
        <v>17202</v>
      </c>
      <c r="AE38" s="4"/>
      <c r="AF38" s="190">
        <f t="shared" si="14"/>
        <v>124.43793729927526</v>
      </c>
      <c r="AG38" s="4"/>
      <c r="AH38" s="190">
        <f t="shared" si="15"/>
        <v>9.3521407822612836</v>
      </c>
      <c r="AI38" s="4"/>
      <c r="AJ38" s="190">
        <f t="shared" si="16"/>
        <v>3.5206883841644396</v>
      </c>
      <c r="AK38" s="4"/>
      <c r="AL38" s="189">
        <f t="shared" si="7"/>
        <v>600.13535230931973</v>
      </c>
      <c r="AM38" s="4"/>
      <c r="AN38" s="190">
        <f>INDEX('(2.2)_Forward_Price_Curve'!$L:$L,MATCH($AB38,'(2.2)_Forward_Price_Curve'!$C:$C,0),1)</f>
        <v>11.752083333333331</v>
      </c>
      <c r="AO38" s="4"/>
      <c r="AP38" s="190">
        <f t="shared" si="20"/>
        <v>91.983978809711985</v>
      </c>
      <c r="AQ38" s="4"/>
      <c r="AR38" s="190">
        <f t="shared" si="17"/>
        <v>2.8403762220100037</v>
      </c>
      <c r="AS38" s="190"/>
      <c r="AT38" s="189">
        <f t="shared" si="3"/>
        <v>424.93592764506445</v>
      </c>
      <c r="AU38" s="4"/>
      <c r="AV38" s="189">
        <f t="shared" si="4"/>
        <v>1631.1685552556817</v>
      </c>
      <c r="AW38" s="337"/>
      <c r="AX38" s="191">
        <f t="shared" si="8"/>
        <v>2056.104482900746</v>
      </c>
      <c r="AZ38" s="182">
        <f>+IF(AZ37&gt;$G$13+$G$14,XX,AZ37+1)</f>
        <v>2019</v>
      </c>
      <c r="BA38" s="152"/>
      <c r="BB38" s="190">
        <f t="shared" si="18"/>
        <v>79.436209300591017</v>
      </c>
      <c r="BC38" s="4"/>
      <c r="BD38" s="190">
        <f t="shared" si="19"/>
        <v>5.2306601104263288</v>
      </c>
      <c r="BE38" s="4"/>
      <c r="BF38" s="189">
        <f t="shared" si="9"/>
        <v>175.19942466425528</v>
      </c>
      <c r="BG38" s="4"/>
      <c r="BH38" s="193"/>
    </row>
    <row r="39" spans="2:60" ht="12">
      <c r="B39" s="3"/>
      <c r="C39" s="7">
        <f>+IF(C38&gt;$G$13+$G$14,XX,C38+1)</f>
        <v>2020</v>
      </c>
      <c r="D39" s="7"/>
      <c r="E39" s="330">
        <f>+INDEX('(2.2)_Forward_Price_Curve'!$P:$P,MATCH($C39,'(2.2)_Forward_Price_Curve'!C:C,0))</f>
        <v>0.02</v>
      </c>
      <c r="F39" s="7"/>
      <c r="G39" s="23">
        <f t="shared" si="10"/>
        <v>17202</v>
      </c>
      <c r="H39" s="7"/>
      <c r="I39" s="39">
        <f t="shared" si="11"/>
        <v>216.04706606364505</v>
      </c>
      <c r="J39" s="7"/>
      <c r="K39" s="39">
        <f t="shared" si="12"/>
        <v>0</v>
      </c>
      <c r="L39" s="7"/>
      <c r="M39" s="39">
        <f t="shared" si="13"/>
        <v>0</v>
      </c>
      <c r="N39" s="7"/>
      <c r="O39" s="333"/>
      <c r="P39" s="7"/>
      <c r="Q39" s="39"/>
      <c r="R39" s="7"/>
      <c r="S39" s="23">
        <f t="shared" si="5"/>
        <v>907.39767746730922</v>
      </c>
      <c r="T39" s="7"/>
      <c r="U39" s="23">
        <f t="shared" si="0"/>
        <v>2030.5997454973831</v>
      </c>
      <c r="V39" s="7"/>
      <c r="W39" s="23">
        <f t="shared" si="1"/>
        <v>-1123.2020680300739</v>
      </c>
      <c r="X39" s="7"/>
      <c r="Y39" s="334">
        <f t="shared" si="6"/>
        <v>-65.294853390889074</v>
      </c>
      <c r="Z39" s="290"/>
      <c r="AB39" s="182">
        <f>+IF(AB38&gt;$G$13+$G$14,XX,AB38+1)</f>
        <v>2020</v>
      </c>
      <c r="AC39" s="152"/>
      <c r="AD39" s="187">
        <f t="shared" si="2"/>
        <v>17202</v>
      </c>
      <c r="AE39" s="4"/>
      <c r="AF39" s="190">
        <f t="shared" si="14"/>
        <v>126.92669604526077</v>
      </c>
      <c r="AG39" s="4"/>
      <c r="AH39" s="190">
        <f t="shared" si="15"/>
        <v>9.5391835979065096</v>
      </c>
      <c r="AI39" s="4"/>
      <c r="AJ39" s="190">
        <f t="shared" si="16"/>
        <v>3.5911021518477284</v>
      </c>
      <c r="AK39" s="4"/>
      <c r="AL39" s="189">
        <f t="shared" si="7"/>
        <v>612.13805935550624</v>
      </c>
      <c r="AM39" s="4"/>
      <c r="AN39" s="190">
        <f>INDEX('(2.2)_Forward_Price_Curve'!$L:$L,MATCH($AB39,'(2.2)_Forward_Price_Curve'!$C:$C,0),1)</f>
        <v>11.473750000000003</v>
      </c>
      <c r="AO39" s="4"/>
      <c r="AP39" s="190">
        <f t="shared" si="20"/>
        <v>89.950456022147478</v>
      </c>
      <c r="AQ39" s="4"/>
      <c r="AR39" s="190">
        <f t="shared" si="17"/>
        <v>2.8971837464502039</v>
      </c>
      <c r="AS39" s="190"/>
      <c r="AT39" s="189">
        <f t="shared" si="3"/>
        <v>433.43464619796589</v>
      </c>
      <c r="AU39" s="4"/>
      <c r="AV39" s="189">
        <f t="shared" si="4"/>
        <v>1597.1650992994173</v>
      </c>
      <c r="AW39" s="337"/>
      <c r="AX39" s="191">
        <f t="shared" si="8"/>
        <v>2030.5997454973831</v>
      </c>
      <c r="AZ39" s="182">
        <f>+IF(AZ38&gt;$G$13+$G$14,XX,AZ38+1)</f>
        <v>2020</v>
      </c>
      <c r="BA39" s="152"/>
      <c r="BB39" s="190">
        <f t="shared" si="18"/>
        <v>81.024933486602833</v>
      </c>
      <c r="BC39" s="4"/>
      <c r="BD39" s="190">
        <f t="shared" si="19"/>
        <v>5.3352733126348557</v>
      </c>
      <c r="BE39" s="4"/>
      <c r="BF39" s="189">
        <f t="shared" si="9"/>
        <v>178.70341315754035</v>
      </c>
      <c r="BG39" s="4"/>
      <c r="BH39" s="193"/>
    </row>
    <row r="40" spans="2:60" ht="12">
      <c r="B40" s="3"/>
      <c r="C40" s="7">
        <f>+IF(C39&gt;$G$13+$G$14,XX,C39+1)</f>
        <v>2021</v>
      </c>
      <c r="D40" s="7"/>
      <c r="E40" s="330">
        <f>+INDEX('(2.2)_Forward_Price_Curve'!$P:$P,MATCH($C40,'(2.2)_Forward_Price_Curve'!C:C,0))</f>
        <v>1.9E-2</v>
      </c>
      <c r="F40" s="7"/>
      <c r="G40" s="23">
        <f t="shared" si="10"/>
        <v>17202</v>
      </c>
      <c r="H40" s="7"/>
      <c r="I40" s="39">
        <f t="shared" si="11"/>
        <v>220.15196031885429</v>
      </c>
      <c r="J40" s="7"/>
      <c r="K40" s="39">
        <f t="shared" si="12"/>
        <v>0</v>
      </c>
      <c r="L40" s="7"/>
      <c r="M40" s="39">
        <f t="shared" si="13"/>
        <v>0</v>
      </c>
      <c r="N40" s="7"/>
      <c r="O40" s="333"/>
      <c r="P40" s="7"/>
      <c r="Q40" s="39"/>
      <c r="R40" s="7"/>
      <c r="S40" s="23">
        <f t="shared" si="5"/>
        <v>924.6382333391881</v>
      </c>
      <c r="T40" s="7"/>
      <c r="U40" s="23">
        <f t="shared" si="0"/>
        <v>2067.1185785558127</v>
      </c>
      <c r="V40" s="7"/>
      <c r="W40" s="23">
        <f t="shared" si="1"/>
        <v>-1142.4803452166248</v>
      </c>
      <c r="X40" s="7"/>
      <c r="Y40" s="334">
        <f t="shared" si="6"/>
        <v>-66.415553145949573</v>
      </c>
      <c r="Z40" s="290"/>
      <c r="AB40" s="182">
        <f>+IF(AB39&gt;$G$13+$G$14,XX,AB39+1)</f>
        <v>2021</v>
      </c>
      <c r="AC40" s="152"/>
      <c r="AD40" s="187">
        <f t="shared" si="2"/>
        <v>17202</v>
      </c>
      <c r="AE40" s="4"/>
      <c r="AF40" s="190">
        <f t="shared" si="14"/>
        <v>129.33830327012072</v>
      </c>
      <c r="AG40" s="4"/>
      <c r="AH40" s="190">
        <f t="shared" si="15"/>
        <v>9.7204280862667325</v>
      </c>
      <c r="AI40" s="4"/>
      <c r="AJ40" s="190">
        <f t="shared" si="16"/>
        <v>3.6593330927328349</v>
      </c>
      <c r="AK40" s="4"/>
      <c r="AL40" s="189">
        <f t="shared" si="7"/>
        <v>623.76868248326082</v>
      </c>
      <c r="AM40" s="4"/>
      <c r="AN40" s="190">
        <f>INDEX('(2.2)_Forward_Price_Curve'!$L:$L,MATCH($AB40,'(2.2)_Forward_Price_Curve'!$C:$C,0),1)</f>
        <v>11.692083333333334</v>
      </c>
      <c r="AO40" s="4"/>
      <c r="AP40" s="190">
        <f t="shared" si="20"/>
        <v>91.539612227201872</v>
      </c>
      <c r="AQ40" s="4"/>
      <c r="AR40" s="190">
        <f t="shared" si="17"/>
        <v>2.9522302376327576</v>
      </c>
      <c r="AS40" s="190"/>
      <c r="AT40" s="189">
        <f t="shared" si="3"/>
        <v>441.66990447572721</v>
      </c>
      <c r="AU40" s="4"/>
      <c r="AV40" s="189">
        <f t="shared" si="4"/>
        <v>1625.4486740800855</v>
      </c>
      <c r="AW40" s="337"/>
      <c r="AX40" s="191">
        <f t="shared" si="8"/>
        <v>2067.1185785558127</v>
      </c>
      <c r="AZ40" s="182">
        <f>+IF(AZ39&gt;$G$13+$G$14,XX,AZ39+1)</f>
        <v>2021</v>
      </c>
      <c r="BA40" s="152"/>
      <c r="BB40" s="190">
        <f t="shared" si="18"/>
        <v>82.564407222848274</v>
      </c>
      <c r="BC40" s="4"/>
      <c r="BD40" s="190">
        <f t="shared" si="19"/>
        <v>5.4366435055749172</v>
      </c>
      <c r="BE40" s="4"/>
      <c r="BF40" s="189">
        <f t="shared" si="9"/>
        <v>182.09877800753361</v>
      </c>
      <c r="BG40" s="4"/>
      <c r="BH40" s="193"/>
    </row>
    <row r="41" spans="2:60" ht="12">
      <c r="B41" s="3"/>
      <c r="C41" s="7">
        <f>+IF(C40&gt;$G$13+$G$14,XX,C40+1)</f>
        <v>2022</v>
      </c>
      <c r="D41" s="7"/>
      <c r="E41" s="330">
        <f>+INDEX('(2.2)_Forward_Price_Curve'!$P:$P,MATCH($C41,'(2.2)_Forward_Price_Curve'!C:C,0))</f>
        <v>1.9E-2</v>
      </c>
      <c r="F41" s="7"/>
      <c r="G41" s="23">
        <f t="shared" si="10"/>
        <v>17202</v>
      </c>
      <c r="H41" s="7"/>
      <c r="I41" s="39">
        <f t="shared" si="11"/>
        <v>224.33484756491251</v>
      </c>
      <c r="J41" s="7"/>
      <c r="K41" s="39">
        <f t="shared" si="12"/>
        <v>0</v>
      </c>
      <c r="L41" s="7"/>
      <c r="M41" s="39">
        <f t="shared" si="13"/>
        <v>0</v>
      </c>
      <c r="N41" s="7"/>
      <c r="O41" s="333"/>
      <c r="P41" s="7"/>
      <c r="Q41" s="39"/>
      <c r="R41" s="7"/>
      <c r="S41" s="23">
        <f t="shared" si="5"/>
        <v>942.2063597726326</v>
      </c>
      <c r="T41" s="7"/>
      <c r="U41" s="23">
        <f t="shared" si="0"/>
        <v>2104.2293234343142</v>
      </c>
      <c r="V41" s="7"/>
      <c r="W41" s="23">
        <f t="shared" si="1"/>
        <v>-1162.0229636616816</v>
      </c>
      <c r="X41" s="7"/>
      <c r="Y41" s="334">
        <f t="shared" si="6"/>
        <v>-67.551619791982418</v>
      </c>
      <c r="Z41" s="290"/>
      <c r="AB41" s="182">
        <f>+IF(AB40&gt;$G$13+$G$14,XX,AB40+1)</f>
        <v>2022</v>
      </c>
      <c r="AC41" s="152"/>
      <c r="AD41" s="187">
        <f t="shared" si="2"/>
        <v>17202</v>
      </c>
      <c r="AE41" s="4"/>
      <c r="AF41" s="190">
        <f t="shared" si="14"/>
        <v>131.795731032253</v>
      </c>
      <c r="AG41" s="4"/>
      <c r="AH41" s="190">
        <f t="shared" si="15"/>
        <v>9.9051162199057998</v>
      </c>
      <c r="AI41" s="4"/>
      <c r="AJ41" s="190">
        <f t="shared" si="16"/>
        <v>3.7288604214947583</v>
      </c>
      <c r="AK41" s="4"/>
      <c r="AL41" s="189">
        <f t="shared" si="7"/>
        <v>635.62028745044279</v>
      </c>
      <c r="AM41" s="4"/>
      <c r="AN41" s="190">
        <f>INDEX('(2.2)_Forward_Price_Curve'!$L:$L,MATCH($AB41,'(2.2)_Forward_Price_Curve'!$C:$C,0),1)</f>
        <v>11.912916666666668</v>
      </c>
      <c r="AO41" s="4"/>
      <c r="AP41" s="190">
        <f t="shared" si="20"/>
        <v>93.153035995778509</v>
      </c>
      <c r="AQ41" s="4"/>
      <c r="AR41" s="190">
        <f t="shared" si="17"/>
        <v>3.0083226121477797</v>
      </c>
      <c r="AS41" s="190"/>
      <c r="AT41" s="189">
        <f t="shared" si="3"/>
        <v>450.06163266076607</v>
      </c>
      <c r="AU41" s="4"/>
      <c r="AV41" s="189">
        <f t="shared" si="4"/>
        <v>1654.1676907735482</v>
      </c>
      <c r="AW41" s="337"/>
      <c r="AX41" s="191">
        <f t="shared" si="8"/>
        <v>2104.2293234343142</v>
      </c>
      <c r="AZ41" s="182">
        <f>+IF(AZ40&gt;$G$13+$G$14,XX,AZ40+1)</f>
        <v>2022</v>
      </c>
      <c r="BA41" s="152"/>
      <c r="BB41" s="190">
        <f t="shared" si="18"/>
        <v>84.133130960082383</v>
      </c>
      <c r="BC41" s="4"/>
      <c r="BD41" s="190">
        <f t="shared" si="19"/>
        <v>5.5399397321808399</v>
      </c>
      <c r="BE41" s="4"/>
      <c r="BF41" s="189">
        <f t="shared" si="9"/>
        <v>185.55865478967672</v>
      </c>
      <c r="BG41" s="4"/>
      <c r="BH41" s="193"/>
    </row>
    <row r="42" spans="2:60" ht="12">
      <c r="B42" s="3"/>
      <c r="C42" s="7">
        <f>+IF(C41&gt;$G$13+$G$14,XX,C41+1)</f>
        <v>2023</v>
      </c>
      <c r="D42" s="7"/>
      <c r="E42" s="330">
        <f>+INDEX('(2.2)_Forward_Price_Curve'!$P:$P,MATCH($C42,'(2.2)_Forward_Price_Curve'!C:C,0))</f>
        <v>1.9E-2</v>
      </c>
      <c r="F42" s="7"/>
      <c r="G42" s="23">
        <f t="shared" si="10"/>
        <v>17202</v>
      </c>
      <c r="H42" s="7"/>
      <c r="I42" s="39">
        <f t="shared" si="11"/>
        <v>228.59720966864583</v>
      </c>
      <c r="J42" s="7"/>
      <c r="K42" s="39">
        <f t="shared" si="12"/>
        <v>0</v>
      </c>
      <c r="L42" s="7"/>
      <c r="M42" s="39">
        <f t="shared" si="13"/>
        <v>0</v>
      </c>
      <c r="N42" s="7"/>
      <c r="O42" s="333"/>
      <c r="P42" s="7"/>
      <c r="Q42" s="39"/>
      <c r="R42" s="7"/>
      <c r="S42" s="23">
        <f t="shared" si="5"/>
        <v>960.1082806083125</v>
      </c>
      <c r="T42" s="7"/>
      <c r="U42" s="23">
        <f t="shared" si="0"/>
        <v>2142.1986055955158</v>
      </c>
      <c r="V42" s="7"/>
      <c r="W42" s="23">
        <f t="shared" si="1"/>
        <v>-1182.0903249872033</v>
      </c>
      <c r="X42" s="7"/>
      <c r="Y42" s="334">
        <f t="shared" si="6"/>
        <v>-68.718191197953928</v>
      </c>
      <c r="Z42" s="290"/>
      <c r="AB42" s="182">
        <f>+IF(AB41&gt;$G$13+$G$14,XX,AB41+1)</f>
        <v>2023</v>
      </c>
      <c r="AC42" s="152"/>
      <c r="AD42" s="187">
        <f t="shared" si="2"/>
        <v>17202</v>
      </c>
      <c r="AE42" s="4"/>
      <c r="AF42" s="190">
        <f t="shared" si="14"/>
        <v>134.29984992186579</v>
      </c>
      <c r="AG42" s="4"/>
      <c r="AH42" s="190">
        <f t="shared" si="15"/>
        <v>10.093313428084009</v>
      </c>
      <c r="AI42" s="4"/>
      <c r="AJ42" s="190">
        <f t="shared" si="16"/>
        <v>3.7997087695031584</v>
      </c>
      <c r="AK42" s="4"/>
      <c r="AL42" s="189">
        <f t="shared" si="7"/>
        <v>647.69707291200098</v>
      </c>
      <c r="AM42" s="4"/>
      <c r="AN42" s="190">
        <f>INDEX('(2.2)_Forward_Price_Curve'!$L:$L,MATCH($AB42,'(2.2)_Forward_Price_Curve'!$C:$C,0),1)</f>
        <v>12.139166666666668</v>
      </c>
      <c r="AO42" s="4"/>
      <c r="AP42" s="190">
        <f t="shared" si="20"/>
        <v>94.806034309622149</v>
      </c>
      <c r="AQ42" s="4"/>
      <c r="AR42" s="190">
        <f t="shared" si="17"/>
        <v>3.0654807417785874</v>
      </c>
      <c r="AS42" s="190"/>
      <c r="AT42" s="189">
        <f t="shared" si="3"/>
        <v>458.61280368132043</v>
      </c>
      <c r="AU42" s="4"/>
      <c r="AV42" s="189">
        <f t="shared" si="4"/>
        <v>1683.5858019141956</v>
      </c>
      <c r="AW42" s="337"/>
      <c r="AX42" s="191">
        <f t="shared" si="8"/>
        <v>2142.1986055955158</v>
      </c>
      <c r="AZ42" s="182">
        <f>+IF(AZ41&gt;$G$13+$G$14,XX,AZ41+1)</f>
        <v>2023</v>
      </c>
      <c r="BA42" s="152"/>
      <c r="BB42" s="190">
        <f t="shared" si="18"/>
        <v>85.731660448323936</v>
      </c>
      <c r="BC42" s="4"/>
      <c r="BD42" s="190">
        <f t="shared" si="19"/>
        <v>5.645198587092275</v>
      </c>
      <c r="BE42" s="4"/>
      <c r="BF42" s="189">
        <f t="shared" si="9"/>
        <v>189.08426923068058</v>
      </c>
      <c r="BG42" s="4"/>
      <c r="BH42" s="193"/>
    </row>
    <row r="43" spans="2:60" ht="12">
      <c r="B43" s="3"/>
      <c r="C43" s="7">
        <f>+IF(C42&gt;$G$13+$G$14,XX,C42+1)</f>
        <v>2024</v>
      </c>
      <c r="D43" s="7"/>
      <c r="E43" s="330">
        <f>+INDEX('(2.2)_Forward_Price_Curve'!$P:$P,MATCH($C43,'(2.2)_Forward_Price_Curve'!C:C,0))</f>
        <v>1.9E-2</v>
      </c>
      <c r="F43" s="7"/>
      <c r="G43" s="23">
        <f t="shared" si="10"/>
        <v>17202</v>
      </c>
      <c r="H43" s="7"/>
      <c r="I43" s="39">
        <f t="shared" si="11"/>
        <v>232.94055665235007</v>
      </c>
      <c r="J43" s="7"/>
      <c r="K43" s="39">
        <f t="shared" si="12"/>
        <v>0</v>
      </c>
      <c r="L43" s="7"/>
      <c r="M43" s="39">
        <f t="shared" si="13"/>
        <v>0</v>
      </c>
      <c r="N43" s="7"/>
      <c r="O43" s="333"/>
      <c r="P43" s="7"/>
      <c r="Q43" s="39"/>
      <c r="R43" s="7"/>
      <c r="S43" s="23">
        <f t="shared" si="5"/>
        <v>978.35033793987031</v>
      </c>
      <c r="T43" s="7"/>
      <c r="U43" s="23">
        <f t="shared" si="0"/>
        <v>2181.0821690385392</v>
      </c>
      <c r="V43" s="7"/>
      <c r="W43" s="23">
        <f t="shared" si="1"/>
        <v>-1202.7318310986689</v>
      </c>
      <c r="X43" s="7"/>
      <c r="Y43" s="334">
        <f t="shared" si="6"/>
        <v>-69.918139233732646</v>
      </c>
      <c r="Z43" s="290"/>
      <c r="AB43" s="182">
        <f>+IF(AB42&gt;$G$13+$G$14,XX,AB42+1)</f>
        <v>2024</v>
      </c>
      <c r="AC43" s="152"/>
      <c r="AD43" s="187">
        <f t="shared" si="2"/>
        <v>17202</v>
      </c>
      <c r="AE43" s="4"/>
      <c r="AF43" s="190">
        <f t="shared" si="14"/>
        <v>136.85154707038123</v>
      </c>
      <c r="AG43" s="4"/>
      <c r="AH43" s="190">
        <f t="shared" si="15"/>
        <v>10.285086383217605</v>
      </c>
      <c r="AI43" s="4"/>
      <c r="AJ43" s="190">
        <f t="shared" si="16"/>
        <v>3.871903236123718</v>
      </c>
      <c r="AK43" s="4"/>
      <c r="AL43" s="189">
        <f t="shared" si="7"/>
        <v>660.00331729732909</v>
      </c>
      <c r="AM43" s="4"/>
      <c r="AN43" s="190">
        <f>INDEX('(2.2)_Forward_Price_Curve'!$L:$L,MATCH($AB43,'(2.2)_Forward_Price_Curve'!$C:$C,0),1)</f>
        <v>12.371250000000002</v>
      </c>
      <c r="AO43" s="4"/>
      <c r="AP43" s="190">
        <f t="shared" si="20"/>
        <v>96.50165136452253</v>
      </c>
      <c r="AQ43" s="4"/>
      <c r="AR43" s="190">
        <f t="shared" si="17"/>
        <v>3.1237248758723801</v>
      </c>
      <c r="AS43" s="190"/>
      <c r="AT43" s="189">
        <f t="shared" si="3"/>
        <v>467.32644695126567</v>
      </c>
      <c r="AU43" s="4"/>
      <c r="AV43" s="189">
        <f t="shared" si="4"/>
        <v>1713.7557220872734</v>
      </c>
      <c r="AW43" s="337"/>
      <c r="AX43" s="191">
        <f t="shared" si="8"/>
        <v>2181.0821690385392</v>
      </c>
      <c r="AZ43" s="182">
        <f>+IF(AZ42&gt;$G$13+$G$14,XX,AZ42+1)</f>
        <v>2024</v>
      </c>
      <c r="BA43" s="152"/>
      <c r="BB43" s="190">
        <f t="shared" si="18"/>
        <v>87.36056199684208</v>
      </c>
      <c r="BC43" s="4"/>
      <c r="BD43" s="190">
        <f t="shared" si="19"/>
        <v>5.7524573602470275</v>
      </c>
      <c r="BE43" s="4"/>
      <c r="BF43" s="189">
        <f t="shared" si="9"/>
        <v>192.67687034606345</v>
      </c>
      <c r="BG43" s="4"/>
      <c r="BH43" s="193"/>
    </row>
    <row r="44" spans="2:60" ht="12">
      <c r="B44" s="3"/>
      <c r="C44" s="7">
        <f>+IF(C43&gt;$G$13+$G$14,XX,C43+1)</f>
        <v>2025</v>
      </c>
      <c r="D44" s="7"/>
      <c r="E44" s="330">
        <f>+INDEX('(2.2)_Forward_Price_Curve'!$P:$P,MATCH($C44,'(2.2)_Forward_Price_Curve'!C:C,0))</f>
        <v>1.7999999999999999E-2</v>
      </c>
      <c r="F44" s="7"/>
      <c r="G44" s="23">
        <f t="shared" si="10"/>
        <v>17202</v>
      </c>
      <c r="H44" s="7"/>
      <c r="I44" s="39">
        <f t="shared" si="11"/>
        <v>237.13348667209237</v>
      </c>
      <c r="J44" s="7"/>
      <c r="K44" s="39">
        <f t="shared" si="12"/>
        <v>0</v>
      </c>
      <c r="L44" s="7"/>
      <c r="M44" s="39">
        <f t="shared" si="13"/>
        <v>0</v>
      </c>
      <c r="N44" s="7"/>
      <c r="O44" s="333"/>
      <c r="P44" s="7"/>
      <c r="Q44" s="39"/>
      <c r="R44" s="7"/>
      <c r="S44" s="23">
        <f t="shared" si="5"/>
        <v>995.96064402278796</v>
      </c>
      <c r="T44" s="7"/>
      <c r="U44" s="23">
        <f t="shared" si="0"/>
        <v>2218.2168578464775</v>
      </c>
      <c r="V44" s="7"/>
      <c r="W44" s="23">
        <f t="shared" si="1"/>
        <v>-1222.2562138236894</v>
      </c>
      <c r="X44" s="7"/>
      <c r="Y44" s="334">
        <f t="shared" si="6"/>
        <v>-71.053145786750918</v>
      </c>
      <c r="Z44" s="290"/>
      <c r="AB44" s="182">
        <f>+IF(AB43&gt;$G$13+$G$14,XX,AB43+1)</f>
        <v>2025</v>
      </c>
      <c r="AC44" s="152"/>
      <c r="AD44" s="187">
        <f t="shared" si="2"/>
        <v>17202</v>
      </c>
      <c r="AE44" s="4"/>
      <c r="AF44" s="190">
        <f t="shared" si="14"/>
        <v>139.3148749176481</v>
      </c>
      <c r="AG44" s="4"/>
      <c r="AH44" s="190">
        <f t="shared" si="15"/>
        <v>10.470217938115521</v>
      </c>
      <c r="AI44" s="4"/>
      <c r="AJ44" s="190">
        <f t="shared" si="16"/>
        <v>3.9415974943739451</v>
      </c>
      <c r="AK44" s="4"/>
      <c r="AL44" s="189">
        <f t="shared" si="7"/>
        <v>671.88337700868101</v>
      </c>
      <c r="AM44" s="4"/>
      <c r="AN44" s="190">
        <f>INDEX('(2.2)_Forward_Price_Curve'!$L:$L,MATCH($AB44,'(2.2)_Forward_Price_Curve'!$C:$C,0),1)</f>
        <v>12.592916666666667</v>
      </c>
      <c r="AO44" s="4"/>
      <c r="AP44" s="190">
        <f t="shared" si="20"/>
        <v>98.11516113589505</v>
      </c>
      <c r="AQ44" s="4"/>
      <c r="AR44" s="190">
        <f t="shared" si="17"/>
        <v>3.1799519236380829</v>
      </c>
      <c r="AS44" s="190"/>
      <c r="AT44" s="189">
        <f t="shared" si="3"/>
        <v>475.73832299638843</v>
      </c>
      <c r="AU44" s="4"/>
      <c r="AV44" s="189">
        <f t="shared" si="4"/>
        <v>1742.4785348500891</v>
      </c>
      <c r="AW44" s="337"/>
      <c r="AX44" s="191">
        <f t="shared" si="8"/>
        <v>2218.2168578464775</v>
      </c>
      <c r="AZ44" s="182">
        <f>+IF(AZ43&gt;$G$13+$G$14,XX,AZ43+1)</f>
        <v>2025</v>
      </c>
      <c r="BA44" s="152"/>
      <c r="BB44" s="190">
        <f t="shared" si="18"/>
        <v>88.933052112785234</v>
      </c>
      <c r="BC44" s="4"/>
      <c r="BD44" s="190">
        <f t="shared" si="19"/>
        <v>5.8560015927314737</v>
      </c>
      <c r="BE44" s="4"/>
      <c r="BF44" s="189">
        <f t="shared" si="9"/>
        <v>196.1450540122926</v>
      </c>
      <c r="BG44" s="4"/>
      <c r="BH44" s="193"/>
    </row>
    <row r="45" spans="2:60" ht="12">
      <c r="B45" s="3"/>
      <c r="C45" s="7">
        <f>+IF(C44&gt;$G$13+$G$14,XX,C44+1)</f>
        <v>2026</v>
      </c>
      <c r="D45" s="7"/>
      <c r="E45" s="330">
        <f>+INDEX('(2.2)_Forward_Price_Curve'!$P:$P,MATCH($C45,'(2.2)_Forward_Price_Curve'!C:C,0))</f>
        <v>1.7999999999999999E-2</v>
      </c>
      <c r="F45" s="7"/>
      <c r="G45" s="23">
        <f t="shared" si="10"/>
        <v>17202</v>
      </c>
      <c r="H45" s="7"/>
      <c r="I45" s="39">
        <f t="shared" si="11"/>
        <v>241.40188943219005</v>
      </c>
      <c r="J45" s="7"/>
      <c r="K45" s="39">
        <f t="shared" si="12"/>
        <v>0</v>
      </c>
      <c r="L45" s="7"/>
      <c r="M45" s="39">
        <f t="shared" si="13"/>
        <v>0</v>
      </c>
      <c r="N45" s="7"/>
      <c r="O45" s="333"/>
      <c r="P45" s="7"/>
      <c r="Q45" s="39"/>
      <c r="R45" s="7"/>
      <c r="S45" s="23">
        <f t="shared" si="5"/>
        <v>1013.8879356151982</v>
      </c>
      <c r="T45" s="7"/>
      <c r="U45" s="23">
        <f t="shared" si="0"/>
        <v>2256.1996522489781</v>
      </c>
      <c r="V45" s="7"/>
      <c r="W45" s="23">
        <f t="shared" si="1"/>
        <v>-1242.3117166337797</v>
      </c>
      <c r="X45" s="7"/>
      <c r="Y45" s="334">
        <f t="shared" si="6"/>
        <v>-72.219027824309947</v>
      </c>
      <c r="Z45" s="290"/>
      <c r="AB45" s="182">
        <f>+IF(AB44&gt;$G$13+$G$14,XX,AB44+1)</f>
        <v>2026</v>
      </c>
      <c r="AC45" s="152"/>
      <c r="AD45" s="187">
        <f t="shared" si="2"/>
        <v>17202</v>
      </c>
      <c r="AE45" s="4"/>
      <c r="AF45" s="190">
        <f t="shared" si="14"/>
        <v>141.82254266616576</v>
      </c>
      <c r="AG45" s="4"/>
      <c r="AH45" s="190">
        <f t="shared" si="15"/>
        <v>10.6586818610016</v>
      </c>
      <c r="AI45" s="4"/>
      <c r="AJ45" s="190">
        <f t="shared" si="16"/>
        <v>4.0125462492726758</v>
      </c>
      <c r="AK45" s="4"/>
      <c r="AL45" s="189">
        <f t="shared" si="7"/>
        <v>683.97727779483716</v>
      </c>
      <c r="AM45" s="4"/>
      <c r="AN45" s="190">
        <f>INDEX('(2.2)_Forward_Price_Curve'!$L:$L,MATCH($AB45,'(2.2)_Forward_Price_Curve'!$C:$C,0),1)</f>
        <v>12.819166666666668</v>
      </c>
      <c r="AO45" s="4"/>
      <c r="AP45" s="190">
        <f t="shared" si="20"/>
        <v>99.768159449738704</v>
      </c>
      <c r="AQ45" s="4"/>
      <c r="AR45" s="190">
        <f t="shared" si="17"/>
        <v>3.2371910582635683</v>
      </c>
      <c r="AS45" s="190"/>
      <c r="AT45" s="189">
        <f t="shared" si="3"/>
        <v>484.30161281032332</v>
      </c>
      <c r="AU45" s="4"/>
      <c r="AV45" s="189">
        <f t="shared" si="4"/>
        <v>1771.8980394386549</v>
      </c>
      <c r="AW45" s="337"/>
      <c r="AX45" s="191">
        <f t="shared" si="8"/>
        <v>2256.1996522489781</v>
      </c>
      <c r="AZ45" s="182">
        <f>+IF(AZ44&gt;$G$13+$G$14,XX,AZ44+1)</f>
        <v>2026</v>
      </c>
      <c r="BA45" s="152"/>
      <c r="BB45" s="190">
        <f t="shared" si="18"/>
        <v>90.533847050815368</v>
      </c>
      <c r="BC45" s="4"/>
      <c r="BD45" s="190">
        <f t="shared" si="19"/>
        <v>5.96140962140064</v>
      </c>
      <c r="BE45" s="4"/>
      <c r="BF45" s="189">
        <f t="shared" si="9"/>
        <v>199.67566498451384</v>
      </c>
      <c r="BG45" s="4"/>
      <c r="BH45" s="193"/>
    </row>
    <row r="46" spans="2:60" ht="12">
      <c r="B46" s="3"/>
      <c r="C46" s="7">
        <f>+IF(C45&gt;$G$13+$G$14,XX,C45+1)</f>
        <v>2027</v>
      </c>
      <c r="D46" s="7"/>
      <c r="E46" s="330">
        <f>+INDEX('(2.2)_Forward_Price_Curve'!$P:$P,MATCH($C46,'(2.2)_Forward_Price_Curve'!C:C,0))</f>
        <v>1.9E-2</v>
      </c>
      <c r="F46" s="7"/>
      <c r="G46" s="23">
        <f t="shared" si="10"/>
        <v>17202</v>
      </c>
      <c r="H46" s="7"/>
      <c r="I46" s="39">
        <f t="shared" si="11"/>
        <v>245.98852533140163</v>
      </c>
      <c r="J46" s="7"/>
      <c r="K46" s="39">
        <f t="shared" si="12"/>
        <v>0</v>
      </c>
      <c r="L46" s="7"/>
      <c r="M46" s="39">
        <f t="shared" si="13"/>
        <v>0</v>
      </c>
      <c r="N46" s="7"/>
      <c r="O46" s="333"/>
      <c r="P46" s="7"/>
      <c r="Q46" s="39"/>
      <c r="R46" s="7"/>
      <c r="S46" s="23">
        <f t="shared" si="5"/>
        <v>1033.1518063918868</v>
      </c>
      <c r="T46" s="7"/>
      <c r="U46" s="23">
        <f t="shared" si="0"/>
        <v>2297.3016652929946</v>
      </c>
      <c r="V46" s="7"/>
      <c r="W46" s="23">
        <f t="shared" si="1"/>
        <v>-1264.1498589011078</v>
      </c>
      <c r="X46" s="7"/>
      <c r="Y46" s="334">
        <f t="shared" si="6"/>
        <v>-73.488539640803836</v>
      </c>
      <c r="Z46" s="290"/>
      <c r="AB46" s="182">
        <f>+IF(AB45&gt;$G$13+$G$14,XX,AB45+1)</f>
        <v>2027</v>
      </c>
      <c r="AC46" s="152"/>
      <c r="AD46" s="187">
        <f t="shared" si="2"/>
        <v>17202</v>
      </c>
      <c r="AE46" s="4"/>
      <c r="AF46" s="190">
        <f t="shared" si="14"/>
        <v>144.51717097682288</v>
      </c>
      <c r="AG46" s="4"/>
      <c r="AH46" s="190">
        <f t="shared" si="15"/>
        <v>10.86119681636063</v>
      </c>
      <c r="AI46" s="4"/>
      <c r="AJ46" s="190">
        <f t="shared" si="16"/>
        <v>4.088784628008856</v>
      </c>
      <c r="AK46" s="4"/>
      <c r="AL46" s="189">
        <f t="shared" si="7"/>
        <v>696.97284607293898</v>
      </c>
      <c r="AM46" s="4"/>
      <c r="AN46" s="190">
        <f>INDEX('(2.2)_Forward_Price_Curve'!$L:$L,MATCH($AB46,'(2.2)_Forward_Price_Curve'!$C:$C,0),1)</f>
        <v>13.063749999999999</v>
      </c>
      <c r="AO46" s="4"/>
      <c r="AP46" s="190">
        <f t="shared" si="20"/>
        <v>101.56110476711572</v>
      </c>
      <c r="AQ46" s="4"/>
      <c r="AR46" s="190">
        <f t="shared" si="17"/>
        <v>3.2986976883705759</v>
      </c>
      <c r="AS46" s="190"/>
      <c r="AT46" s="189">
        <f t="shared" si="3"/>
        <v>493.50334345371937</v>
      </c>
      <c r="AU46" s="4"/>
      <c r="AV46" s="189">
        <f t="shared" si="4"/>
        <v>1803.7983218392753</v>
      </c>
      <c r="AW46" s="337"/>
      <c r="AX46" s="191">
        <f t="shared" si="8"/>
        <v>2297.3016652929946</v>
      </c>
      <c r="AZ46" s="182">
        <f>+IF(AZ45&gt;$G$13+$G$14,XX,AZ45+1)</f>
        <v>2027</v>
      </c>
      <c r="BA46" s="152"/>
      <c r="BB46" s="190">
        <f t="shared" si="18"/>
        <v>92.253990144780857</v>
      </c>
      <c r="BC46" s="4"/>
      <c r="BD46" s="190">
        <f t="shared" si="19"/>
        <v>6.0746764042072519</v>
      </c>
      <c r="BE46" s="4"/>
      <c r="BF46" s="189">
        <f t="shared" si="9"/>
        <v>203.46950261921961</v>
      </c>
      <c r="BG46" s="4"/>
      <c r="BH46" s="193"/>
    </row>
    <row r="47" spans="2:60" ht="12">
      <c r="B47" s="3"/>
      <c r="C47" s="7">
        <f>+IF(C46&gt;$G$13+$G$14,XX,C46+1)</f>
        <v>2028</v>
      </c>
      <c r="D47" s="7"/>
      <c r="E47" s="330">
        <f>+INDEX('(2.2)_Forward_Price_Curve'!$P:$P,MATCH($C47,'(2.2)_Forward_Price_Curve'!C:C,0))</f>
        <v>1.9E-2</v>
      </c>
      <c r="F47" s="7"/>
      <c r="G47" s="23">
        <f t="shared" si="10"/>
        <v>17202</v>
      </c>
      <c r="H47" s="7"/>
      <c r="I47" s="39">
        <f t="shared" si="11"/>
        <v>250.66230731269823</v>
      </c>
      <c r="J47" s="7"/>
      <c r="K47" s="39">
        <f t="shared" si="12"/>
        <v>0</v>
      </c>
      <c r="L47" s="7"/>
      <c r="M47" s="39">
        <f t="shared" si="13"/>
        <v>0</v>
      </c>
      <c r="N47" s="7"/>
      <c r="O47" s="333"/>
      <c r="P47" s="7"/>
      <c r="Q47" s="39"/>
      <c r="R47" s="7"/>
      <c r="S47" s="23">
        <f t="shared" si="5"/>
        <v>1052.7816907133326</v>
      </c>
      <c r="T47" s="7"/>
      <c r="U47" s="23">
        <f t="shared" si="0"/>
        <v>2338.914290879155</v>
      </c>
      <c r="V47" s="7"/>
      <c r="W47" s="23">
        <f t="shared" si="1"/>
        <v>-1286.1326001658224</v>
      </c>
      <c r="X47" s="7"/>
      <c r="Y47" s="334">
        <f t="shared" si="6"/>
        <v>-74.766457398315453</v>
      </c>
      <c r="Z47" s="290"/>
      <c r="AB47" s="182">
        <f>+IF(AB46&gt;$G$13+$G$14,XX,AB46+1)</f>
        <v>2028</v>
      </c>
      <c r="AC47" s="152"/>
      <c r="AD47" s="187">
        <f t="shared" si="2"/>
        <v>17202</v>
      </c>
      <c r="AE47" s="4"/>
      <c r="AF47" s="190">
        <f t="shared" si="14"/>
        <v>147.26299722538249</v>
      </c>
      <c r="AG47" s="4"/>
      <c r="AH47" s="190">
        <f t="shared" si="15"/>
        <v>11.067559555871481</v>
      </c>
      <c r="AI47" s="4"/>
      <c r="AJ47" s="190">
        <f t="shared" si="16"/>
        <v>4.1664715359410236</v>
      </c>
      <c r="AK47" s="4"/>
      <c r="AL47" s="189">
        <f t="shared" si="7"/>
        <v>710.2153301483246</v>
      </c>
      <c r="AM47" s="4"/>
      <c r="AN47" s="190">
        <f>INDEX('(2.2)_Forward_Price_Curve'!$L:$L,MATCH($AB47,'(2.2)_Forward_Price_Curve'!$C:$C,0),1)</f>
        <v>13.311666666666667</v>
      </c>
      <c r="AO47" s="4"/>
      <c r="AP47" s="190">
        <f t="shared" si="20"/>
        <v>103.37240126202725</v>
      </c>
      <c r="AQ47" s="4"/>
      <c r="AR47" s="190">
        <f t="shared" si="17"/>
        <v>3.3613729444496165</v>
      </c>
      <c r="AS47" s="190"/>
      <c r="AT47" s="189">
        <f t="shared" si="3"/>
        <v>502.87990697933981</v>
      </c>
      <c r="AU47" s="4"/>
      <c r="AV47" s="189">
        <f t="shared" si="4"/>
        <v>1836.0343838998151</v>
      </c>
      <c r="AW47" s="337"/>
      <c r="AX47" s="191">
        <f t="shared" si="8"/>
        <v>2338.914290879155</v>
      </c>
      <c r="AZ47" s="182">
        <f>+IF(AZ46&gt;$G$13+$G$14,XX,AZ46+1)</f>
        <v>2028</v>
      </c>
      <c r="BA47" s="152"/>
      <c r="BB47" s="190">
        <f t="shared" si="18"/>
        <v>94.006815957531686</v>
      </c>
      <c r="BC47" s="4"/>
      <c r="BD47" s="190">
        <f t="shared" si="19"/>
        <v>6.1900952558871891</v>
      </c>
      <c r="BE47" s="4"/>
      <c r="BF47" s="189">
        <f t="shared" si="9"/>
        <v>207.33542316898476</v>
      </c>
      <c r="BG47" s="4"/>
      <c r="BH47" s="193"/>
    </row>
    <row r="48" spans="2:60" ht="12">
      <c r="B48" s="3"/>
      <c r="C48" s="7">
        <f>+IF(C47&gt;$G$13+$G$14,XX,C47+1)</f>
        <v>2029</v>
      </c>
      <c r="D48" s="7"/>
      <c r="E48" s="330">
        <f>+INDEX('(2.2)_Forward_Price_Curve'!$P:$P,MATCH($C48,'(2.2)_Forward_Price_Curve'!C:C,0))</f>
        <v>1.9E-2</v>
      </c>
      <c r="F48" s="7"/>
      <c r="G48" s="23">
        <f t="shared" si="10"/>
        <v>17202</v>
      </c>
      <c r="H48" s="7"/>
      <c r="I48" s="39">
        <f t="shared" si="11"/>
        <v>255.42489115163949</v>
      </c>
      <c r="J48" s="7"/>
      <c r="K48" s="39">
        <f t="shared" si="12"/>
        <v>0</v>
      </c>
      <c r="L48" s="7"/>
      <c r="M48" s="39">
        <f t="shared" si="13"/>
        <v>0</v>
      </c>
      <c r="N48" s="7"/>
      <c r="O48" s="333"/>
      <c r="P48" s="7"/>
      <c r="Q48" s="39"/>
      <c r="R48" s="7"/>
      <c r="S48" s="23">
        <f t="shared" si="5"/>
        <v>1072.784542836886</v>
      </c>
      <c r="T48" s="7"/>
      <c r="U48" s="23">
        <f t="shared" si="0"/>
        <v>2381.5110496672824</v>
      </c>
      <c r="V48" s="7"/>
      <c r="W48" s="23">
        <f t="shared" si="1"/>
        <v>-1308.7265068303964</v>
      </c>
      <c r="X48" s="7"/>
      <c r="Y48" s="334">
        <f t="shared" si="6"/>
        <v>-76.079903896662969</v>
      </c>
      <c r="Z48" s="290"/>
      <c r="AB48" s="182">
        <f>+IF(AB47&gt;$G$13+$G$14,XX,AB47+1)</f>
        <v>2029</v>
      </c>
      <c r="AC48" s="152"/>
      <c r="AD48" s="187">
        <f t="shared" si="2"/>
        <v>17202</v>
      </c>
      <c r="AE48" s="4"/>
      <c r="AF48" s="190">
        <f t="shared" si="14"/>
        <v>150.06099417266475</v>
      </c>
      <c r="AG48" s="4"/>
      <c r="AH48" s="190">
        <f t="shared" si="15"/>
        <v>11.277843187433039</v>
      </c>
      <c r="AI48" s="4"/>
      <c r="AJ48" s="190">
        <f t="shared" si="16"/>
        <v>4.2456344951239027</v>
      </c>
      <c r="AK48" s="4"/>
      <c r="AL48" s="189">
        <f t="shared" si="7"/>
        <v>723.70942142114279</v>
      </c>
      <c r="AM48" s="4"/>
      <c r="AN48" s="190">
        <f>INDEX('(2.2)_Forward_Price_Curve'!$L:$L,MATCH($AB48,'(2.2)_Forward_Price_Curve'!$C:$C,0),1)</f>
        <v>13.565833333333336</v>
      </c>
      <c r="AO48" s="4"/>
      <c r="AP48" s="190">
        <f t="shared" si="20"/>
        <v>105.22936069378531</v>
      </c>
      <c r="AQ48" s="4"/>
      <c r="AR48" s="190">
        <f t="shared" si="17"/>
        <v>3.4252390303941591</v>
      </c>
      <c r="AS48" s="190"/>
      <c r="AT48" s="189">
        <f t="shared" si="3"/>
        <v>512.43462521194738</v>
      </c>
      <c r="AU48" s="4"/>
      <c r="AV48" s="189">
        <f t="shared" si="4"/>
        <v>1869.0764244553352</v>
      </c>
      <c r="AW48" s="337"/>
      <c r="AX48" s="191">
        <f t="shared" si="8"/>
        <v>2381.5110496672824</v>
      </c>
      <c r="AZ48" s="182">
        <f>+IF(AZ47&gt;$G$13+$G$14,XX,AZ47+1)</f>
        <v>2029</v>
      </c>
      <c r="BA48" s="152"/>
      <c r="BB48" s="190">
        <f t="shared" si="18"/>
        <v>95.792945460724781</v>
      </c>
      <c r="BC48" s="4"/>
      <c r="BD48" s="190">
        <f t="shared" si="19"/>
        <v>6.3077070657490451</v>
      </c>
      <c r="BE48" s="4"/>
      <c r="BF48" s="189">
        <f t="shared" si="9"/>
        <v>211.27479620919547</v>
      </c>
      <c r="BG48" s="4"/>
      <c r="BH48" s="193"/>
    </row>
    <row r="49" spans="2:60" ht="12">
      <c r="B49" s="3"/>
      <c r="C49" s="7">
        <f>+IF(C48&gt;$G$13+$G$14,XX,C48+1)</f>
        <v>2030</v>
      </c>
      <c r="D49" s="7"/>
      <c r="E49" s="330">
        <f>+INDEX('(2.2)_Forward_Price_Curve'!$P:$P,MATCH($C49,'(2.2)_Forward_Price_Curve'!C:C,0))</f>
        <v>1.9E-2</v>
      </c>
      <c r="F49" s="7"/>
      <c r="G49" s="23">
        <f t="shared" si="10"/>
        <v>17202</v>
      </c>
      <c r="H49" s="7"/>
      <c r="I49" s="39">
        <f t="shared" si="11"/>
        <v>260.2779640835206</v>
      </c>
      <c r="J49" s="7"/>
      <c r="K49" s="39">
        <f t="shared" si="12"/>
        <v>0</v>
      </c>
      <c r="L49" s="7"/>
      <c r="M49" s="39">
        <f t="shared" si="13"/>
        <v>0</v>
      </c>
      <c r="N49" s="7"/>
      <c r="O49" s="333"/>
      <c r="P49" s="7"/>
      <c r="Q49" s="39"/>
      <c r="R49" s="7"/>
      <c r="S49" s="23">
        <f t="shared" si="5"/>
        <v>1093.1674491507865</v>
      </c>
      <c r="T49" s="7"/>
      <c r="U49" s="23">
        <f t="shared" si="0"/>
        <v>2424.5720532455043</v>
      </c>
      <c r="V49" s="7"/>
      <c r="W49" s="23">
        <f t="shared" si="1"/>
        <v>-1331.4046040947178</v>
      </c>
      <c r="X49" s="7"/>
      <c r="Y49" s="334">
        <f t="shared" si="6"/>
        <v>-77.398244628224504</v>
      </c>
      <c r="Z49" s="290"/>
      <c r="AB49" s="182">
        <f>+IF(AB48&gt;$G$13+$G$14,XX,AB48+1)</f>
        <v>2030</v>
      </c>
      <c r="AC49" s="152"/>
      <c r="AD49" s="187">
        <f t="shared" si="2"/>
        <v>17202</v>
      </c>
      <c r="AE49" s="4"/>
      <c r="AF49" s="190">
        <f t="shared" si="14"/>
        <v>152.91215306194536</v>
      </c>
      <c r="AG49" s="4"/>
      <c r="AH49" s="190">
        <f t="shared" si="15"/>
        <v>11.492122207994266</v>
      </c>
      <c r="AI49" s="4"/>
      <c r="AJ49" s="190">
        <f t="shared" si="16"/>
        <v>4.3263015505312561</v>
      </c>
      <c r="AK49" s="4"/>
      <c r="AL49" s="189">
        <f t="shared" si="7"/>
        <v>737.45990042814435</v>
      </c>
      <c r="AM49" s="4"/>
      <c r="AN49" s="190">
        <f>INDEX('(2.2)_Forward_Price_Curve'!$L:$L,MATCH($AB49,'(2.2)_Forward_Price_Curve'!$C:$C,0),1)</f>
        <v>13.822083333333332</v>
      </c>
      <c r="AO49" s="4"/>
      <c r="AP49" s="190">
        <f t="shared" si="20"/>
        <v>107.10154110449216</v>
      </c>
      <c r="AQ49" s="4"/>
      <c r="AR49" s="190">
        <f t="shared" si="17"/>
        <v>3.4903185719716476</v>
      </c>
      <c r="AS49" s="190"/>
      <c r="AT49" s="189">
        <f t="shared" si="3"/>
        <v>522.17088309097414</v>
      </c>
      <c r="AU49" s="4"/>
      <c r="AV49" s="189">
        <f t="shared" si="4"/>
        <v>1902.4011701545303</v>
      </c>
      <c r="AW49" s="337"/>
      <c r="AX49" s="191">
        <f t="shared" si="8"/>
        <v>2424.5720532455043</v>
      </c>
      <c r="AZ49" s="182">
        <f>+IF(AZ48&gt;$G$13+$G$14,XX,AZ48+1)</f>
        <v>2030</v>
      </c>
      <c r="BA49" s="152"/>
      <c r="BB49" s="190">
        <f t="shared" si="18"/>
        <v>97.613011424478543</v>
      </c>
      <c r="BC49" s="4"/>
      <c r="BD49" s="190">
        <f t="shared" si="19"/>
        <v>6.4275534999982762</v>
      </c>
      <c r="BE49" s="4"/>
      <c r="BF49" s="189">
        <f t="shared" si="9"/>
        <v>215.28901733717018</v>
      </c>
      <c r="BG49" s="4"/>
      <c r="BH49" s="193"/>
    </row>
    <row r="50" spans="2:60" ht="12">
      <c r="B50" s="3"/>
      <c r="C50" s="7">
        <f>+IF(C49&gt;$G$13+$G$14,XX,C49+1)</f>
        <v>2031</v>
      </c>
      <c r="D50" s="7"/>
      <c r="E50" s="330">
        <f>+INDEX('(2.2)_Forward_Price_Curve'!$P:$P,MATCH($C50,'(2.2)_Forward_Price_Curve'!C:C,0))</f>
        <v>1.9E-2</v>
      </c>
      <c r="F50" s="7"/>
      <c r="G50" s="23">
        <f t="shared" si="10"/>
        <v>17202</v>
      </c>
      <c r="H50" s="7"/>
      <c r="I50" s="39">
        <f t="shared" si="11"/>
        <v>265.22324540110748</v>
      </c>
      <c r="J50" s="7"/>
      <c r="K50" s="39">
        <f t="shared" si="12"/>
        <v>0</v>
      </c>
      <c r="L50" s="7"/>
      <c r="M50" s="39">
        <f t="shared" si="13"/>
        <v>0</v>
      </c>
      <c r="N50" s="7"/>
      <c r="O50" s="333"/>
      <c r="P50" s="7"/>
      <c r="Q50" s="39"/>
      <c r="R50" s="7"/>
      <c r="S50" s="23">
        <f t="shared" si="5"/>
        <v>1113.9376306846514</v>
      </c>
      <c r="T50" s="7"/>
      <c r="U50" s="23">
        <f t="shared" si="0"/>
        <v>2468.6771762862481</v>
      </c>
      <c r="V50" s="7"/>
      <c r="W50" s="23">
        <f t="shared" si="1"/>
        <v>-1354.7395456015968</v>
      </c>
      <c r="X50" s="7"/>
      <c r="Y50" s="334">
        <f t="shared" si="6"/>
        <v>-78.754769538518588</v>
      </c>
      <c r="Z50" s="290"/>
      <c r="AB50" s="182">
        <f>+IF(AB49&gt;$G$13+$G$14,XX,AB49+1)</f>
        <v>2031</v>
      </c>
      <c r="AC50" s="152"/>
      <c r="AD50" s="187">
        <f t="shared" si="2"/>
        <v>17202</v>
      </c>
      <c r="AE50" s="4"/>
      <c r="AF50" s="190">
        <f t="shared" si="14"/>
        <v>155.81748397012231</v>
      </c>
      <c r="AG50" s="4"/>
      <c r="AH50" s="190">
        <f t="shared" si="15"/>
        <v>11.710472529946156</v>
      </c>
      <c r="AI50" s="4"/>
      <c r="AJ50" s="190">
        <f t="shared" si="16"/>
        <v>4.4085012799913494</v>
      </c>
      <c r="AK50" s="4"/>
      <c r="AL50" s="189">
        <f t="shared" si="7"/>
        <v>751.4716385362791</v>
      </c>
      <c r="AM50" s="4"/>
      <c r="AN50" s="190">
        <f>INDEX('(2.2)_Forward_Price_Curve'!$L:$L,MATCH($AB50,'(2.2)_Forward_Price_Curve'!$C:$C,0),1)</f>
        <v>14.084999999999999</v>
      </c>
      <c r="AO50" s="4"/>
      <c r="AP50" s="190">
        <f t="shared" si="20"/>
        <v>109.02242864783531</v>
      </c>
      <c r="AQ50" s="4"/>
      <c r="AR50" s="190">
        <f t="shared" si="17"/>
        <v>3.5566346248391087</v>
      </c>
      <c r="AS50" s="190"/>
      <c r="AT50" s="189">
        <f t="shared" si="3"/>
        <v>532.09212986970272</v>
      </c>
      <c r="AU50" s="4"/>
      <c r="AV50" s="189">
        <f t="shared" si="4"/>
        <v>1936.5850464165453</v>
      </c>
      <c r="AW50" s="337"/>
      <c r="AX50" s="191">
        <f t="shared" si="8"/>
        <v>2468.6771762862481</v>
      </c>
      <c r="AZ50" s="182">
        <f>+IF(AZ49&gt;$G$13+$G$14,XX,AZ49+1)</f>
        <v>2031</v>
      </c>
      <c r="BA50" s="152"/>
      <c r="BB50" s="190">
        <f t="shared" si="18"/>
        <v>99.467658641543622</v>
      </c>
      <c r="BC50" s="4"/>
      <c r="BD50" s="190">
        <f t="shared" si="19"/>
        <v>6.5496770164982427</v>
      </c>
      <c r="BE50" s="4"/>
      <c r="BF50" s="189">
        <f t="shared" si="9"/>
        <v>219.37950866657636</v>
      </c>
      <c r="BG50" s="4"/>
      <c r="BH50" s="193"/>
    </row>
    <row r="51" spans="2:60" ht="12">
      <c r="B51" s="3"/>
      <c r="C51" s="7">
        <f>+IF(C50&gt;$G$13+$G$14,XX,C50+1)</f>
        <v>2032</v>
      </c>
      <c r="D51" s="7"/>
      <c r="E51" s="330">
        <f>+INDEX('(2.2)_Forward_Price_Curve'!$P:$P,MATCH($C51,'(2.2)_Forward_Price_Curve'!C:C,0))</f>
        <v>1.9E-2</v>
      </c>
      <c r="F51" s="7"/>
      <c r="G51" s="23">
        <f t="shared" si="10"/>
        <v>17202</v>
      </c>
      <c r="H51" s="7"/>
      <c r="I51" s="39">
        <f t="shared" si="11"/>
        <v>270.26248706372849</v>
      </c>
      <c r="J51" s="7"/>
      <c r="K51" s="39">
        <f t="shared" si="12"/>
        <v>0</v>
      </c>
      <c r="L51" s="7"/>
      <c r="M51" s="39">
        <f t="shared" si="13"/>
        <v>0</v>
      </c>
      <c r="N51" s="7"/>
      <c r="O51" s="333"/>
      <c r="P51" s="7"/>
      <c r="Q51" s="39"/>
      <c r="R51" s="7"/>
      <c r="S51" s="23">
        <f t="shared" si="5"/>
        <v>1135.1024456676596</v>
      </c>
      <c r="T51" s="7"/>
      <c r="U51" s="23">
        <f t="shared" si="0"/>
        <v>2513.4637739256541</v>
      </c>
      <c r="V51" s="7"/>
      <c r="W51" s="23">
        <f t="shared" si="1"/>
        <v>-1378.3613282579945</v>
      </c>
      <c r="X51" s="7"/>
      <c r="Y51" s="334">
        <f t="shared" si="6"/>
        <v>-80.127969320892603</v>
      </c>
      <c r="Z51" s="290"/>
      <c r="AB51" s="182">
        <f>+IF(AB50&gt;$G$13+$G$14,XX,AB50+1)</f>
        <v>2032</v>
      </c>
      <c r="AC51" s="152"/>
      <c r="AD51" s="187">
        <f t="shared" si="2"/>
        <v>17202</v>
      </c>
      <c r="AE51" s="4"/>
      <c r="AF51" s="190">
        <f t="shared" si="14"/>
        <v>158.77801616555462</v>
      </c>
      <c r="AG51" s="4"/>
      <c r="AH51" s="190">
        <f t="shared" si="15"/>
        <v>11.932971508015131</v>
      </c>
      <c r="AI51" s="4"/>
      <c r="AJ51" s="190">
        <f t="shared" si="16"/>
        <v>4.492262804311185</v>
      </c>
      <c r="AK51" s="4"/>
      <c r="AL51" s="189">
        <f t="shared" si="7"/>
        <v>765.74959966846836</v>
      </c>
      <c r="AM51" s="4"/>
      <c r="AN51" s="190">
        <f>INDEX('(2.2)_Forward_Price_Curve'!$L:$L,MATCH($AB51,'(2.2)_Forward_Price_Curve'!$C:$C,0),1)</f>
        <v>14.351666666666667</v>
      </c>
      <c r="AO51" s="4"/>
      <c r="AP51" s="190">
        <f t="shared" si="20"/>
        <v>110.97071395328635</v>
      </c>
      <c r="AQ51" s="4"/>
      <c r="AR51" s="190">
        <f t="shared" si="17"/>
        <v>3.6242106827110514</v>
      </c>
      <c r="AS51" s="190"/>
      <c r="AT51" s="189">
        <f t="shared" si="3"/>
        <v>542.20188033722707</v>
      </c>
      <c r="AU51" s="4"/>
      <c r="AV51" s="189">
        <f t="shared" si="4"/>
        <v>1971.2618935884273</v>
      </c>
      <c r="AW51" s="337"/>
      <c r="AX51" s="191">
        <f t="shared" si="8"/>
        <v>2513.4637739256541</v>
      </c>
      <c r="AZ51" s="182">
        <f>+IF(AZ50&gt;$G$13+$G$14,XX,AZ50+1)</f>
        <v>2032</v>
      </c>
      <c r="BA51" s="152"/>
      <c r="BB51" s="190">
        <f t="shared" si="18"/>
        <v>101.35754415573294</v>
      </c>
      <c r="BC51" s="4"/>
      <c r="BD51" s="190">
        <f t="shared" si="19"/>
        <v>6.6741208798117091</v>
      </c>
      <c r="BE51" s="4"/>
      <c r="BF51" s="189">
        <f t="shared" si="9"/>
        <v>223.5477193312413</v>
      </c>
      <c r="BG51" s="4"/>
      <c r="BH51" s="193"/>
    </row>
    <row r="52" spans="2:60" ht="12">
      <c r="B52" s="3"/>
      <c r="C52" s="7">
        <f>+IF(C51&gt;$G$13+$G$14,XX,C51+1)</f>
        <v>2033</v>
      </c>
      <c r="D52" s="7"/>
      <c r="E52" s="330">
        <f>+INDEX('(2.2)_Forward_Price_Curve'!$P:$P,MATCH($C52,'(2.2)_Forward_Price_Curve'!C:C,0))</f>
        <v>1.7999999999999999E-2</v>
      </c>
      <c r="F52" s="7"/>
      <c r="G52" s="23">
        <f t="shared" si="10"/>
        <v>17202</v>
      </c>
      <c r="H52" s="7"/>
      <c r="I52" s="39">
        <f t="shared" si="11"/>
        <v>275.12721183087558</v>
      </c>
      <c r="J52" s="7"/>
      <c r="K52" s="39">
        <f t="shared" si="12"/>
        <v>0</v>
      </c>
      <c r="L52" s="7"/>
      <c r="M52" s="39">
        <f t="shared" si="13"/>
        <v>0</v>
      </c>
      <c r="N52" s="7"/>
      <c r="O52" s="333"/>
      <c r="P52" s="7"/>
      <c r="Q52" s="39"/>
      <c r="R52" s="7"/>
      <c r="S52" s="23">
        <f t="shared" si="5"/>
        <v>1155.5342896896775</v>
      </c>
      <c r="T52" s="7"/>
      <c r="U52" s="23">
        <f t="shared" si="0"/>
        <v>2556.8141519956289</v>
      </c>
      <c r="V52" s="7"/>
      <c r="W52" s="23">
        <f t="shared" si="1"/>
        <v>-1401.2798623059514</v>
      </c>
      <c r="X52" s="7"/>
      <c r="Y52" s="334">
        <f t="shared" si="6"/>
        <v>-81.460287309961132</v>
      </c>
      <c r="Z52" s="290"/>
      <c r="AB52" s="182">
        <f>+IF(AB51&gt;$G$13+$G$14,XX,AB51+1)</f>
        <v>2033</v>
      </c>
      <c r="AC52" s="152"/>
      <c r="AD52" s="187">
        <f t="shared" si="2"/>
        <v>17202</v>
      </c>
      <c r="AE52" s="4"/>
      <c r="AF52" s="190">
        <f t="shared" si="14"/>
        <v>161.6360204565346</v>
      </c>
      <c r="AG52" s="4"/>
      <c r="AH52" s="190">
        <f t="shared" si="15"/>
        <v>12.147764995159402</v>
      </c>
      <c r="AI52" s="4"/>
      <c r="AJ52" s="190">
        <f t="shared" si="16"/>
        <v>4.5731235347887864</v>
      </c>
      <c r="AK52" s="4"/>
      <c r="AL52" s="189">
        <f t="shared" si="7"/>
        <v>779.5330924625008</v>
      </c>
      <c r="AM52" s="4"/>
      <c r="AN52" s="190">
        <f>INDEX('(2.2)_Forward_Price_Curve'!$L:$L,MATCH($AB52,'(2.2)_Forward_Price_Curve'!$C:$C,0),1)</f>
        <v>14.610833333333332</v>
      </c>
      <c r="AO52" s="4"/>
      <c r="AP52" s="190">
        <f t="shared" si="20"/>
        <v>112.85820134573794</v>
      </c>
      <c r="AQ52" s="4"/>
      <c r="AR52" s="190">
        <f t="shared" si="17"/>
        <v>3.6894464749998503</v>
      </c>
      <c r="AS52" s="190"/>
      <c r="AT52" s="189">
        <f t="shared" si="3"/>
        <v>551.96151418329714</v>
      </c>
      <c r="AU52" s="4"/>
      <c r="AV52" s="189">
        <f t="shared" si="4"/>
        <v>2004.8526378123315</v>
      </c>
      <c r="AW52" s="337"/>
      <c r="AX52" s="191">
        <f t="shared" si="8"/>
        <v>2556.8141519956289</v>
      </c>
      <c r="AZ52" s="182">
        <f>+IF(AZ51&gt;$G$13+$G$14,XX,AZ51+1)</f>
        <v>2033</v>
      </c>
      <c r="BA52" s="152"/>
      <c r="BB52" s="190">
        <f t="shared" si="18"/>
        <v>103.18197995053613</v>
      </c>
      <c r="BC52" s="4"/>
      <c r="BD52" s="190">
        <f t="shared" si="19"/>
        <v>6.7942550556483203</v>
      </c>
      <c r="BE52" s="4"/>
      <c r="BF52" s="189">
        <f>(BB52+BD52)*$BD$11</f>
        <v>227.57157827920364</v>
      </c>
      <c r="BG52" s="4"/>
      <c r="BH52" s="193"/>
    </row>
    <row r="53" spans="2:60" ht="12">
      <c r="B53" s="3"/>
      <c r="C53" s="7">
        <f>+IF(C52&gt;$G$13+$G$14,XX,C52+1)</f>
        <v>2034</v>
      </c>
      <c r="D53" s="7"/>
      <c r="E53" s="330">
        <f>+INDEX('(2.2)_Forward_Price_Curve'!$P:$P,MATCH($C53,'(2.2)_Forward_Price_Curve'!C:C,0))</f>
        <v>1.7999999999999999E-2</v>
      </c>
      <c r="F53" s="7"/>
      <c r="G53" s="23">
        <f t="shared" si="10"/>
        <v>17202</v>
      </c>
      <c r="H53" s="7"/>
      <c r="I53" s="39">
        <f t="shared" si="11"/>
        <v>280.07950164383135</v>
      </c>
      <c r="J53" s="7"/>
      <c r="K53" s="39">
        <f t="shared" si="12"/>
        <v>0</v>
      </c>
      <c r="L53" s="7"/>
      <c r="M53" s="39">
        <f t="shared" si="13"/>
        <v>0</v>
      </c>
      <c r="N53" s="7"/>
      <c r="O53" s="333"/>
      <c r="P53" s="7"/>
      <c r="Q53" s="39"/>
      <c r="R53" s="7"/>
      <c r="S53" s="23">
        <f t="shared" si="5"/>
        <v>1176.3339069040917</v>
      </c>
      <c r="T53" s="7"/>
      <c r="U53" s="23">
        <f t="shared" si="0"/>
        <v>2601.0920509881771</v>
      </c>
      <c r="V53" s="7"/>
      <c r="W53" s="23">
        <f t="shared" si="1"/>
        <v>-1424.7581440840854</v>
      </c>
      <c r="X53" s="7"/>
      <c r="Y53" s="334">
        <f t="shared" si="6"/>
        <v>-82.825144988029621</v>
      </c>
      <c r="Z53" s="290"/>
      <c r="AB53" s="182">
        <f>+IF(AB52&gt;$G$13+$G$14,XX,AB52+1)</f>
        <v>2034</v>
      </c>
      <c r="AC53" s="152"/>
      <c r="AD53" s="187">
        <f t="shared" si="2"/>
        <v>17202</v>
      </c>
      <c r="AE53" s="4"/>
      <c r="AF53" s="190">
        <f t="shared" si="14"/>
        <v>164.54546882475222</v>
      </c>
      <c r="AG53" s="4"/>
      <c r="AH53" s="190">
        <f t="shared" si="15"/>
        <v>12.366424765072273</v>
      </c>
      <c r="AI53" s="4"/>
      <c r="AJ53" s="190">
        <f t="shared" si="16"/>
        <v>4.6554397584149845</v>
      </c>
      <c r="AK53" s="4"/>
      <c r="AL53" s="189">
        <f t="shared" si="7"/>
        <v>793.5646881268259</v>
      </c>
      <c r="AM53" s="4"/>
      <c r="AN53" s="190">
        <f>INDEX('(2.2)_Forward_Price_Curve'!$L:$L,MATCH($AB53,'(2.2)_Forward_Price_Curve'!$C:$C,0),1)</f>
        <v>14.875000000000002</v>
      </c>
      <c r="AO53" s="4"/>
      <c r="AP53" s="190">
        <f t="shared" si="20"/>
        <v>114.78822147645042</v>
      </c>
      <c r="AQ53" s="4"/>
      <c r="AR53" s="190">
        <f t="shared" si="17"/>
        <v>3.7558565115498479</v>
      </c>
      <c r="AS53" s="190"/>
      <c r="AT53" s="189">
        <f t="shared" si="3"/>
        <v>561.89682143859659</v>
      </c>
      <c r="AU53" s="4"/>
      <c r="AV53" s="189">
        <f t="shared" si="4"/>
        <v>2039.1952295495807</v>
      </c>
      <c r="AW53" s="337"/>
      <c r="AX53" s="191">
        <f t="shared" si="8"/>
        <v>2601.0920509881771</v>
      </c>
      <c r="AZ53" s="182">
        <f>+IF(AZ52&gt;$G$13+$G$14,XX,AZ52+1)</f>
        <v>2034</v>
      </c>
      <c r="BA53" s="152"/>
      <c r="BB53" s="190">
        <f t="shared" si="18"/>
        <v>105.03925558964579</v>
      </c>
      <c r="BC53" s="4"/>
      <c r="BD53" s="190">
        <f t="shared" si="19"/>
        <v>6.9165516466499906</v>
      </c>
      <c r="BE53" s="4"/>
      <c r="BF53" s="189">
        <f>(BB53+BD53)*$BD$11</f>
        <v>231.66786668822931</v>
      </c>
      <c r="BG53" s="4"/>
      <c r="BH53" s="193"/>
    </row>
    <row r="54" spans="2:60" ht="12">
      <c r="B54" s="3"/>
      <c r="C54" s="7">
        <f>+IF(C53&gt;$G$13+$G$14,XX,C53+1)</f>
        <v>2035</v>
      </c>
      <c r="D54" s="7"/>
      <c r="E54" s="330">
        <f>+INDEX('(2.2)_Forward_Price_Curve'!$P:$P,MATCH($C54,'(2.2)_Forward_Price_Curve'!C:C,0))</f>
        <v>1.7999999999999999E-2</v>
      </c>
      <c r="F54" s="7"/>
      <c r="G54" s="23">
        <f t="shared" si="10"/>
        <v>17202</v>
      </c>
      <c r="H54" s="7"/>
      <c r="I54" s="39">
        <f t="shared" si="11"/>
        <v>285.12093267342033</v>
      </c>
      <c r="J54" s="7"/>
      <c r="K54" s="39">
        <f t="shared" si="12"/>
        <v>0</v>
      </c>
      <c r="L54" s="7"/>
      <c r="M54" s="39">
        <f t="shared" si="13"/>
        <v>0</v>
      </c>
      <c r="N54" s="7"/>
      <c r="O54" s="333"/>
      <c r="P54" s="7"/>
      <c r="Q54" s="39"/>
      <c r="R54" s="7"/>
      <c r="S54" s="23">
        <f t="shared" si="5"/>
        <v>1197.5079172283654</v>
      </c>
      <c r="T54" s="7"/>
      <c r="U54" s="23">
        <f t="shared" si="0"/>
        <v>2645.7788134732996</v>
      </c>
      <c r="V54" s="7"/>
      <c r="W54" s="23">
        <f t="shared" si="1"/>
        <v>-1448.2708962449342</v>
      </c>
      <c r="X54" s="7"/>
      <c r="Y54" s="334">
        <f t="shared" si="6"/>
        <v>-84.192006525109534</v>
      </c>
      <c r="Z54" s="290"/>
      <c r="AB54" s="182">
        <f>+IF(AB53&gt;$G$13+$G$14,XX,AB53+1)</f>
        <v>2035</v>
      </c>
      <c r="AC54" s="152"/>
      <c r="AD54" s="187">
        <f t="shared" si="2"/>
        <v>17202</v>
      </c>
      <c r="AE54" s="4"/>
      <c r="AF54" s="190">
        <f t="shared" si="14"/>
        <v>167.50728726359776</v>
      </c>
      <c r="AG54" s="4"/>
      <c r="AH54" s="190">
        <f t="shared" si="15"/>
        <v>12.589020410843574</v>
      </c>
      <c r="AI54" s="4"/>
      <c r="AJ54" s="190">
        <f t="shared" si="16"/>
        <v>4.7392376740664544</v>
      </c>
      <c r="AK54" s="4"/>
      <c r="AL54" s="189">
        <f t="shared" si="7"/>
        <v>807.84885251310868</v>
      </c>
      <c r="AM54" s="4"/>
      <c r="AN54" s="190">
        <f>INDEX('(2.2)_Forward_Price_Curve'!$L:$L,MATCH($AB54,'(2.2)_Forward_Price_Curve'!$C:$C,0),1)</f>
        <v>15.140833333333333</v>
      </c>
      <c r="AO54" s="4"/>
      <c r="AP54" s="190">
        <f t="shared" si="20"/>
        <v>116.73041839032192</v>
      </c>
      <c r="AQ54" s="4"/>
      <c r="AR54" s="190">
        <f t="shared" si="17"/>
        <v>3.8234619287577454</v>
      </c>
      <c r="AS54" s="190"/>
      <c r="AT54" s="189">
        <f t="shared" si="3"/>
        <v>572.0109642244912</v>
      </c>
      <c r="AU54" s="4"/>
      <c r="AV54" s="189">
        <f t="shared" si="4"/>
        <v>2073.7678492488085</v>
      </c>
      <c r="AW54" s="337"/>
      <c r="AX54" s="191">
        <f t="shared" si="8"/>
        <v>2645.7788134732996</v>
      </c>
      <c r="AZ54" s="182">
        <f>+IF(AZ53&gt;$G$13+$G$14,XX,AZ53+1)</f>
        <v>2035</v>
      </c>
      <c r="BA54" s="152"/>
      <c r="BB54" s="190">
        <f t="shared" si="18"/>
        <v>106.92996219025942</v>
      </c>
      <c r="BC54" s="4"/>
      <c r="BD54" s="190">
        <f t="shared" si="19"/>
        <v>7.0410495762896907</v>
      </c>
      <c r="BE54" s="4"/>
      <c r="BF54" s="189">
        <f>(BB54+BD54)*$BD$11</f>
        <v>235.83788828861745</v>
      </c>
      <c r="BG54" s="4"/>
      <c r="BH54" s="193"/>
    </row>
    <row r="55" spans="2:60" ht="12">
      <c r="B55" s="3"/>
      <c r="C55" s="7">
        <f>+IF(C54&gt;$G$13+$G$14,XX,C54+1)</f>
        <v>2036</v>
      </c>
      <c r="D55" s="7"/>
      <c r="E55" s="330">
        <f>+INDEX('(2.2)_Forward_Price_Curve'!$P:$P,MATCH($C55,'(2.2)_Forward_Price_Curve'!C:C,0))</f>
        <v>1.7999999999999999E-2</v>
      </c>
      <c r="F55" s="7"/>
      <c r="G55" s="23">
        <f t="shared" si="10"/>
        <v>17202</v>
      </c>
      <c r="H55" s="7"/>
      <c r="I55" s="39">
        <f t="shared" si="11"/>
        <v>290.2531094615419</v>
      </c>
      <c r="J55" s="7"/>
      <c r="K55" s="39">
        <f t="shared" si="12"/>
        <v>0</v>
      </c>
      <c r="L55" s="7"/>
      <c r="M55" s="39">
        <f t="shared" si="13"/>
        <v>0</v>
      </c>
      <c r="N55" s="7"/>
      <c r="O55" s="333"/>
      <c r="P55" s="7"/>
      <c r="Q55" s="39"/>
      <c r="R55" s="7"/>
      <c r="S55" s="23">
        <f t="shared" si="5"/>
        <v>1219.0630597384761</v>
      </c>
      <c r="T55" s="7"/>
      <c r="U55" s="23">
        <f t="shared" si="0"/>
        <v>2691.5587899511165</v>
      </c>
      <c r="V55" s="7"/>
      <c r="W55" s="23">
        <f t="shared" si="1"/>
        <v>-1472.4957302126404</v>
      </c>
      <c r="X55" s="7"/>
      <c r="Y55" s="334">
        <f t="shared" si="6"/>
        <v>-85.600263353833299</v>
      </c>
      <c r="Z55" s="290"/>
      <c r="AB55" s="182">
        <f>+IF(AB54&gt;$G$13+$G$14,XX,AB54+1)</f>
        <v>2036</v>
      </c>
      <c r="AC55" s="152"/>
      <c r="AD55" s="187">
        <f t="shared" si="2"/>
        <v>17202</v>
      </c>
      <c r="AE55" s="4"/>
      <c r="AF55" s="190">
        <f t="shared" si="14"/>
        <v>170.52241843434251</v>
      </c>
      <c r="AG55" s="4"/>
      <c r="AH55" s="190">
        <f t="shared" si="15"/>
        <v>12.815622778238758</v>
      </c>
      <c r="AI55" s="4"/>
      <c r="AJ55" s="190">
        <f t="shared" si="16"/>
        <v>4.8245439521996509</v>
      </c>
      <c r="AK55" s="4"/>
      <c r="AL55" s="189">
        <f t="shared" si="7"/>
        <v>822.39013185834449</v>
      </c>
      <c r="AM55" s="4"/>
      <c r="AN55" s="190">
        <f>INDEX('(2.2)_Forward_Price_Curve'!$L:$L,MATCH($AB55,'(2.2)_Forward_Price_Curve'!$C:$C,0),1)</f>
        <v>15.413750000000002</v>
      </c>
      <c r="AO55" s="4"/>
      <c r="AP55" s="190">
        <f t="shared" si="20"/>
        <v>118.72436663261951</v>
      </c>
      <c r="AQ55" s="4"/>
      <c r="AR55" s="190">
        <f t="shared" si="17"/>
        <v>3.8922842434753848</v>
      </c>
      <c r="AS55" s="190"/>
      <c r="AT55" s="189">
        <f t="shared" si="3"/>
        <v>582.3071615805319</v>
      </c>
      <c r="AU55" s="4"/>
      <c r="AV55" s="189">
        <f t="shared" si="4"/>
        <v>2109.2516283705845</v>
      </c>
      <c r="AW55" s="337"/>
      <c r="AX55" s="191">
        <f t="shared" si="8"/>
        <v>2691.5587899511165</v>
      </c>
      <c r="AZ55" s="182">
        <f>+IF(AZ54&gt;$G$13+$G$14,XX,AZ54+1)</f>
        <v>2036</v>
      </c>
      <c r="BA55" s="152"/>
      <c r="BB55" s="190">
        <f t="shared" si="18"/>
        <v>108.85470150968409</v>
      </c>
      <c r="BC55" s="4"/>
      <c r="BD55" s="190">
        <f t="shared" si="19"/>
        <v>7.1677884686629056</v>
      </c>
      <c r="BE55" s="4"/>
      <c r="BF55" s="189">
        <f>(BB55+BD55)*$BD$11</f>
        <v>240.08297027781256</v>
      </c>
      <c r="BG55" s="4"/>
      <c r="BH55" s="193"/>
    </row>
    <row r="56" spans="2:60" ht="12">
      <c r="B56" s="3"/>
      <c r="C56" s="7">
        <f>+IF(C55&gt;$G$13+$G$14,XX,C55+1)</f>
        <v>2037</v>
      </c>
      <c r="D56" s="7"/>
      <c r="E56" s="330">
        <f>+INDEX('(2.2)_Forward_Price_Curve'!$P:$P,MATCH($C56,'(2.2)_Forward_Price_Curve'!C:C,0))</f>
        <v>1.9E-2</v>
      </c>
      <c r="F56" s="7"/>
      <c r="G56" s="23">
        <f t="shared" si="10"/>
        <v>17202</v>
      </c>
      <c r="H56" s="7"/>
      <c r="I56" s="39">
        <f t="shared" si="11"/>
        <v>295.76791854131119</v>
      </c>
      <c r="J56" s="7"/>
      <c r="K56" s="39">
        <f t="shared" si="12"/>
        <v>0</v>
      </c>
      <c r="L56" s="7"/>
      <c r="M56" s="39">
        <f t="shared" si="13"/>
        <v>0</v>
      </c>
      <c r="N56" s="7"/>
      <c r="O56" s="333"/>
      <c r="P56" s="7"/>
      <c r="Q56" s="39"/>
      <c r="R56" s="7"/>
      <c r="S56" s="23">
        <f t="shared" si="5"/>
        <v>1242.225257873507</v>
      </c>
      <c r="T56" s="7"/>
      <c r="U56" s="23">
        <f t="shared" si="0"/>
        <v>2740.8638697173778</v>
      </c>
      <c r="V56" s="7"/>
      <c r="W56" s="23">
        <f t="shared" si="1"/>
        <v>-1498.6386118438709</v>
      </c>
      <c r="X56" s="7"/>
      <c r="Y56" s="334">
        <f t="shared" si="6"/>
        <v>-87.12002161631618</v>
      </c>
      <c r="Z56" s="290"/>
      <c r="AB56" s="182">
        <f>+IF(AB55&gt;$G$13+$G$14,XX,AB55+1)</f>
        <v>2037</v>
      </c>
      <c r="AC56" s="152"/>
      <c r="AD56" s="187">
        <f t="shared" si="2"/>
        <v>17202</v>
      </c>
      <c r="AE56" s="4"/>
      <c r="AF56" s="190">
        <f t="shared" si="14"/>
        <v>173.762344384595</v>
      </c>
      <c r="AG56" s="4"/>
      <c r="AH56" s="190">
        <f t="shared" si="15"/>
        <v>13.059119611025293</v>
      </c>
      <c r="AI56" s="4"/>
      <c r="AJ56" s="190">
        <f t="shared" si="16"/>
        <v>4.9162102872914435</v>
      </c>
      <c r="AK56" s="4"/>
      <c r="AL56" s="189">
        <f t="shared" si="7"/>
        <v>838.01554436365302</v>
      </c>
      <c r="AM56" s="4"/>
      <c r="AN56" s="190">
        <f>INDEX('(2.2)_Forward_Price_Curve'!$L:$L,MATCH($AB56,'(2.2)_Forward_Price_Curve'!$C:$C,0),1)</f>
        <v>15.707083333333335</v>
      </c>
      <c r="AO56" s="4"/>
      <c r="AP56" s="190">
        <f t="shared" si="20"/>
        <v>120.87348285739932</v>
      </c>
      <c r="AQ56" s="4"/>
      <c r="AR56" s="190">
        <f t="shared" si="17"/>
        <v>3.9662376441014167</v>
      </c>
      <c r="AS56" s="190"/>
      <c r="AT56" s="189">
        <f t="shared" si="3"/>
        <v>593.370997650562</v>
      </c>
      <c r="AU56" s="4"/>
      <c r="AV56" s="189">
        <f t="shared" si="4"/>
        <v>2147.4928720668158</v>
      </c>
      <c r="AW56" s="337"/>
      <c r="AX56" s="191">
        <f t="shared" si="8"/>
        <v>2740.8638697173778</v>
      </c>
      <c r="AZ56" s="182">
        <f>+IF(AZ55&gt;$G$13+$G$14,XX,AZ55+1)</f>
        <v>2037</v>
      </c>
      <c r="BA56" s="152"/>
      <c r="BB56" s="190">
        <f t="shared" si="18"/>
        <v>110.92294083836808</v>
      </c>
      <c r="BC56" s="4"/>
      <c r="BD56" s="190">
        <f t="shared" si="19"/>
        <v>7.3039764495675001</v>
      </c>
      <c r="BE56" s="4"/>
      <c r="BF56" s="189">
        <f>(BB56+BD56)*$BD$11</f>
        <v>244.64454671309099</v>
      </c>
      <c r="BG56" s="4"/>
      <c r="BH56" s="193"/>
    </row>
    <row r="57" spans="2:60">
      <c r="B57" s="3"/>
      <c r="C57" s="4"/>
      <c r="D57" s="4"/>
      <c r="E57" s="210"/>
      <c r="F57" s="4"/>
      <c r="G57" s="328"/>
      <c r="H57" s="4"/>
      <c r="I57" s="328"/>
      <c r="J57" s="4"/>
      <c r="K57" s="328"/>
      <c r="L57" s="4"/>
      <c r="M57" s="328"/>
      <c r="N57" s="4"/>
      <c r="O57" s="328"/>
      <c r="P57" s="4"/>
      <c r="Q57" s="328"/>
      <c r="R57" s="4"/>
      <c r="S57" s="328"/>
      <c r="T57" s="4"/>
      <c r="U57" s="328"/>
      <c r="V57" s="4"/>
      <c r="W57" s="328"/>
      <c r="X57" s="4"/>
      <c r="Y57" s="338"/>
      <c r="Z57" s="290"/>
      <c r="AB57" s="3"/>
      <c r="AC57" s="4"/>
      <c r="AD57" s="4"/>
      <c r="AE57" s="4"/>
      <c r="AF57" s="339"/>
      <c r="AG57" s="4"/>
      <c r="AH57" s="339"/>
      <c r="AI57" s="4"/>
      <c r="AJ57" s="339"/>
      <c r="AK57" s="4"/>
      <c r="AL57" s="337"/>
      <c r="AM57" s="4"/>
      <c r="AN57" s="339"/>
      <c r="AO57" s="4"/>
      <c r="AP57" s="339"/>
      <c r="AQ57" s="4"/>
      <c r="AR57" s="339"/>
      <c r="AS57" s="339"/>
      <c r="AT57" s="339"/>
      <c r="AU57" s="4"/>
      <c r="AV57" s="337"/>
      <c r="AW57" s="337"/>
      <c r="AX57" s="340"/>
      <c r="AZ57" s="3"/>
      <c r="BA57" s="4"/>
      <c r="BB57" s="339"/>
      <c r="BC57" s="4"/>
      <c r="BD57" s="4"/>
      <c r="BE57" s="4"/>
      <c r="BF57" s="337"/>
      <c r="BG57" s="4"/>
      <c r="BH57" s="290"/>
    </row>
    <row r="58" spans="2:60" ht="12">
      <c r="B58" s="3"/>
      <c r="C58" s="341" t="str">
        <f>G14&amp;"-year Nominal Levelized at "&amp;TEXT($G$18,"#.00%")</f>
        <v>29-year Nominal Levelized at 7.36%</v>
      </c>
      <c r="E58" s="210"/>
      <c r="F58" s="4"/>
      <c r="G58" s="23">
        <f>+-PMT($G$18,$G$14,NPV($G$18,G28:G56))</f>
        <v>17202.000000000022</v>
      </c>
      <c r="H58" s="7"/>
      <c r="I58" s="39">
        <f>+-PMT($G$18,$G$14,NPV($G$18,I28:I56))</f>
        <v>211.12827369393707</v>
      </c>
      <c r="J58" s="39"/>
      <c r="K58" s="39">
        <f>+-PMT($G$18,$G$14,NPV($G$18,K28:K56))</f>
        <v>0</v>
      </c>
      <c r="L58" s="7"/>
      <c r="M58" s="39">
        <f>+-PMT($G$18,$G$14,NPV($G$18,M28:M56))</f>
        <v>0</v>
      </c>
      <c r="N58" s="7"/>
      <c r="O58" s="39">
        <f>+-PMT($G$18,$G$14,NPV($G$18,O28:O56))</f>
        <v>0</v>
      </c>
      <c r="P58" s="7"/>
      <c r="Q58" s="39">
        <f>+-PMT($G$18,$G$14,NPV($G$18,Q28:Q56))</f>
        <v>0</v>
      </c>
      <c r="R58" s="7"/>
      <c r="S58" s="23">
        <f>+-PMT($G$18,$G$14,NPV($G$18,S28:S56))</f>
        <v>886.73874951453615</v>
      </c>
      <c r="T58" s="7"/>
      <c r="U58" s="23">
        <f>+-PMT($G$18,$G$14,NPV($G$18,U28:U56))</f>
        <v>2021.1465687017583</v>
      </c>
      <c r="V58" s="4"/>
      <c r="W58" s="23">
        <f>+-PMT($G$18,$G$14,NPV($G$18,W28:W56))</f>
        <v>-1134.4078191872218</v>
      </c>
      <c r="X58" s="4"/>
      <c r="Y58" s="334">
        <f>+-PMT($G$18,$G$14,NPV($G$18,Y28:Y56))</f>
        <v>-65.946274804512385</v>
      </c>
      <c r="Z58" s="290"/>
      <c r="AB58" s="3"/>
      <c r="AC58" s="4"/>
      <c r="AD58" s="187">
        <f>+-PMT($G$18,$G$14,NPV($G$18,AD28:AD56))</f>
        <v>17202.000000000022</v>
      </c>
      <c r="AE58" s="4"/>
      <c r="AF58" s="190">
        <f>+-PMT($G$18,$G$14,NPV($G$18,AF28:AF56))</f>
        <v>124.03692727683998</v>
      </c>
      <c r="AG58" s="4"/>
      <c r="AH58" s="190">
        <f>+-PMT($G$18,$G$14,NPV($G$18,AH28:AH56))</f>
        <v>9.3220028495190128</v>
      </c>
      <c r="AI58" s="4"/>
      <c r="AJ58" s="190">
        <f>+-PMT($G$18,$G$14,NPV($G$18,AJ28:AJ56))</f>
        <v>3.5093427177337424</v>
      </c>
      <c r="AK58" s="4"/>
      <c r="AL58" s="189">
        <f>+-PMT($G$18,$G$14,NPV($G$18,AL28:AL56))</f>
        <v>598.20137384329155</v>
      </c>
      <c r="AM58" s="4"/>
      <c r="AN58" s="190">
        <f>+-PMT($G$18,$G$14,NPV($G$18,AN28:AN56))</f>
        <v>11.490354307318551</v>
      </c>
      <c r="AO58" s="4"/>
      <c r="AP58" s="190">
        <f>+-PMT($G$18,$G$14,NPV($G$18,AP28:AP56))</f>
        <v>90.040537759639932</v>
      </c>
      <c r="AQ58" s="4"/>
      <c r="AR58" s="190">
        <f>+-PMT($G$18,$G$14,NPV($G$18,AR28:AR56))</f>
        <v>2.8312229094653443</v>
      </c>
      <c r="AS58" s="190"/>
      <c r="AT58" s="189">
        <f>+-PMT($G$18,$G$14,NPV($G$18,AT28:AT56))</f>
        <v>423.56654167180881</v>
      </c>
      <c r="AU58" s="4"/>
      <c r="AV58" s="189">
        <f>+-PMT($G$18,$G$14,NPV($G$18,AV28:AV56))</f>
        <v>1597.5800270299487</v>
      </c>
      <c r="AW58" s="337"/>
      <c r="AX58" s="191">
        <f>+-PMT($G$18,$G$14,NPV($G$18,AX28:AX56))</f>
        <v>2021.1465687017583</v>
      </c>
      <c r="AZ58" s="3"/>
      <c r="BA58" s="4"/>
      <c r="BB58" s="190">
        <f>+-PMT($G$18,$G$14,NPV($G$18,BB28:BB56))</f>
        <v>79.180220518028733</v>
      </c>
      <c r="BC58" s="4"/>
      <c r="BD58" s="190">
        <f>+-PMT($G$18,$G$14,NPV($G$18,BD28:BD56))</f>
        <v>5.213803939601279</v>
      </c>
      <c r="BE58" s="4"/>
      <c r="BF58" s="189">
        <f>+-PMT($G$18,$G$14,NPV($G$18,BF28:BF56))</f>
        <v>174.63483217148286</v>
      </c>
      <c r="BG58" s="4"/>
      <c r="BH58" s="193"/>
    </row>
    <row r="59" spans="2:60">
      <c r="B59" s="3"/>
      <c r="C59" s="4"/>
      <c r="D59" s="4"/>
      <c r="E59" s="210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342"/>
      <c r="X59" s="4"/>
      <c r="Y59" s="343"/>
      <c r="Z59" s="290"/>
      <c r="AB59" s="3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337"/>
      <c r="AU59" s="4"/>
      <c r="AV59" s="4"/>
      <c r="AW59" s="4"/>
      <c r="AX59" s="290"/>
      <c r="AZ59" s="3"/>
      <c r="BA59" s="4"/>
      <c r="BB59" s="4"/>
      <c r="BC59" s="4"/>
      <c r="BD59" s="4"/>
      <c r="BE59" s="4"/>
      <c r="BF59" s="4"/>
      <c r="BG59" s="4"/>
      <c r="BH59" s="290"/>
    </row>
    <row r="60" spans="2:60">
      <c r="B60" s="294"/>
      <c r="C60" s="344"/>
      <c r="D60" s="344"/>
      <c r="E60" s="345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297"/>
      <c r="AB60" s="294"/>
      <c r="AC60" s="344"/>
      <c r="AD60" s="344"/>
      <c r="AE60" s="344"/>
      <c r="AF60" s="344"/>
      <c r="AG60" s="344"/>
      <c r="AH60" s="344"/>
      <c r="AI60" s="344"/>
      <c r="AJ60" s="344"/>
      <c r="AK60" s="344"/>
      <c r="AL60" s="344"/>
      <c r="AM60" s="344"/>
      <c r="AN60" s="344"/>
      <c r="AO60" s="344"/>
      <c r="AP60" s="344"/>
      <c r="AQ60" s="344"/>
      <c r="AR60" s="344"/>
      <c r="AS60" s="344"/>
      <c r="AT60" s="344"/>
      <c r="AU60" s="344"/>
      <c r="AV60" s="344"/>
      <c r="AW60" s="344"/>
      <c r="AX60" s="297"/>
      <c r="AZ60" s="294"/>
      <c r="BA60" s="344"/>
      <c r="BB60" s="344"/>
      <c r="BC60" s="344"/>
      <c r="BD60" s="344"/>
      <c r="BE60" s="344"/>
      <c r="BF60" s="344"/>
      <c r="BG60" s="344"/>
      <c r="BH60" s="297"/>
    </row>
    <row r="61" spans="2:60">
      <c r="E61" s="346"/>
    </row>
    <row r="62" spans="2:60">
      <c r="E62" s="346"/>
      <c r="G62" s="347"/>
      <c r="I62" s="347"/>
      <c r="K62" s="347"/>
      <c r="O62" s="347"/>
      <c r="Q62" s="347"/>
      <c r="S62" s="347"/>
      <c r="U62" s="347"/>
      <c r="W62" s="347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</sheetData>
  <pageMargins left="0.25" right="0.25" top="0.25" bottom="0.75" header="0.3" footer="0.3"/>
  <pageSetup paperSize="5" scale="46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73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5.1640625" style="17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Index'!C4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230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229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49">
        <v>22.9</v>
      </c>
      <c r="H11" s="313"/>
      <c r="AB11" s="157" t="s">
        <v>111</v>
      </c>
      <c r="AC11" s="158"/>
      <c r="AD11" s="158"/>
      <c r="AE11" s="158"/>
      <c r="AF11" s="350">
        <f>+G11*(G12/AJ16)</f>
        <v>16.721699883401055</v>
      </c>
      <c r="AG11" s="162"/>
      <c r="AH11" s="158" t="s">
        <v>112</v>
      </c>
      <c r="AI11" s="159"/>
      <c r="AJ11" s="206">
        <f>'(2.1)_Resources'!$N$95</f>
        <v>10.44</v>
      </c>
      <c r="AK11" s="290"/>
      <c r="AZ11" s="157" t="s">
        <v>111</v>
      </c>
      <c r="BA11" s="158"/>
      <c r="BB11" s="158"/>
      <c r="BC11" s="158"/>
      <c r="BD11" s="169">
        <f>(AF11*AF13-G11*G19)</f>
        <v>8.6952839393685473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51">
        <v>0.35049851283984751</v>
      </c>
      <c r="H12" s="313"/>
      <c r="AB12" s="157" t="s">
        <v>40</v>
      </c>
      <c r="AC12" s="158"/>
      <c r="AD12" s="158"/>
      <c r="AE12" s="158"/>
      <c r="AF12" s="166">
        <f>+AD47/8760/AF11</f>
        <v>0.23778955064053911</v>
      </c>
      <c r="AG12" s="162"/>
      <c r="AH12" s="152" t="s">
        <v>113</v>
      </c>
      <c r="AI12" s="153"/>
      <c r="AJ12" s="152">
        <v>2004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2005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206">
        <f>'(2.1)_Resources'!$O$95</f>
        <v>3.0586666666666669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14</v>
      </c>
      <c r="H14" s="313"/>
      <c r="AB14" s="157" t="s">
        <v>116</v>
      </c>
      <c r="AC14" s="158"/>
      <c r="AD14" s="158"/>
      <c r="AE14" s="158"/>
      <c r="AF14" s="169">
        <f>'(2.1)_Resources'!$H$95</f>
        <v>7598.6666666666679</v>
      </c>
      <c r="AG14" s="162"/>
      <c r="AH14" s="152"/>
      <c r="AI14" s="153"/>
      <c r="AJ14" s="206"/>
      <c r="AK14" s="290"/>
      <c r="AZ14" s="157" t="s">
        <v>117</v>
      </c>
      <c r="BA14" s="158"/>
      <c r="BB14" s="158"/>
      <c r="BC14" s="158"/>
      <c r="BD14" s="207">
        <f>'(2.1)_Resources'!$J$96</f>
        <v>408</v>
      </c>
      <c r="BE14" s="167"/>
    </row>
    <row r="15" spans="1:57" ht="12">
      <c r="A15" s="171" t="s">
        <v>223</v>
      </c>
      <c r="B15" s="310"/>
      <c r="C15" s="311" t="s">
        <v>119</v>
      </c>
      <c r="D15" s="311"/>
      <c r="E15" s="311"/>
      <c r="F15" s="311"/>
      <c r="G15" s="352">
        <f>S28*1000/(G11*1000)</f>
        <v>45.891821857092474</v>
      </c>
      <c r="H15" s="313"/>
      <c r="AB15" s="157" t="s">
        <v>225</v>
      </c>
      <c r="AC15" s="158"/>
      <c r="AD15" s="158"/>
      <c r="AE15" s="158"/>
      <c r="AF15" s="207">
        <f>'(2.1)_Resources'!$J$95</f>
        <v>672.6</v>
      </c>
      <c r="AG15" s="162"/>
      <c r="AH15" s="152" t="s">
        <v>166</v>
      </c>
      <c r="AI15" s="153"/>
      <c r="AJ15" s="206">
        <f>'(2.1)_Resources'!$P$95</f>
        <v>2.3626666666666671</v>
      </c>
      <c r="AK15" s="290"/>
      <c r="AZ15" s="157" t="s">
        <v>120</v>
      </c>
      <c r="BA15" s="158"/>
      <c r="BB15" s="158"/>
      <c r="BC15" s="158"/>
      <c r="BD15" s="172">
        <f>'(2.1)_Resources'!$K$96</f>
        <v>7.6700000000000004E-2</v>
      </c>
      <c r="BE15" s="167"/>
    </row>
    <row r="16" spans="1:57" ht="12">
      <c r="A16" s="171" t="s">
        <v>223</v>
      </c>
      <c r="B16" s="310"/>
      <c r="C16" s="311" t="s">
        <v>121</v>
      </c>
      <c r="D16" s="311"/>
      <c r="E16" s="311"/>
      <c r="F16" s="311"/>
      <c r="G16" s="352">
        <v>0</v>
      </c>
      <c r="H16" s="313"/>
      <c r="AB16" s="157" t="s">
        <v>120</v>
      </c>
      <c r="AC16" s="158"/>
      <c r="AD16" s="158"/>
      <c r="AE16" s="158"/>
      <c r="AF16" s="172">
        <f>'(2.1)_Resources'!$K$93</f>
        <v>7.9299999999999995E-2</v>
      </c>
      <c r="AG16" s="162"/>
      <c r="AH16" s="152" t="s">
        <v>122</v>
      </c>
      <c r="AI16" s="159"/>
      <c r="AJ16" s="173">
        <f>'(2.1)_Resources'!$D$95</f>
        <v>0.48000000000000004</v>
      </c>
      <c r="AK16" s="290"/>
      <c r="AZ16" s="157" t="s">
        <v>112</v>
      </c>
      <c r="BA16" s="159"/>
      <c r="BB16" s="206">
        <f>'(2.1)_Resources'!$N$96</f>
        <v>10.97</v>
      </c>
      <c r="BC16" s="4"/>
      <c r="BD16" s="4"/>
      <c r="BE16" s="165"/>
    </row>
    <row r="17" spans="1:60" ht="12">
      <c r="A17" s="171" t="s">
        <v>223</v>
      </c>
      <c r="B17" s="310"/>
      <c r="C17" s="311" t="s">
        <v>123</v>
      </c>
      <c r="D17" s="311"/>
      <c r="E17" s="311"/>
      <c r="F17" s="311"/>
      <c r="G17" s="352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2004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51">
        <v>7.1999999999999995E-2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208">
        <v>0.35049851283984751</v>
      </c>
      <c r="H19" s="320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179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2005</v>
      </c>
      <c r="D28" s="7"/>
      <c r="E28" s="330">
        <f>IF(AND(C28&gt;=2003,C28&lt;=2010),'(2.2)_Forward_Price_Curve'!$BS$43,IF(AND(C28&gt;=2011,C28&lt;=2020),'(2.2)_Forward_Price_Curve'!$BS$44,'(2.2)_Forward_Price_Curve'!$BS$45))</f>
        <v>2.0199999999999999E-2</v>
      </c>
      <c r="F28" s="7"/>
      <c r="G28" s="23">
        <v>33467</v>
      </c>
      <c r="H28" s="7"/>
      <c r="I28" s="354">
        <f>$G$15</f>
        <v>45.891821857092474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v>1050.9227205274178</v>
      </c>
      <c r="T28" s="7"/>
      <c r="U28" s="23">
        <f t="shared" ref="U28:U42" si="0">AX28</f>
        <v>2298.9980406941422</v>
      </c>
      <c r="V28" s="7"/>
      <c r="W28" s="23">
        <f t="shared" ref="W28:W42" si="1">S28-U28</f>
        <v>-1248.0753201667244</v>
      </c>
      <c r="X28" s="7"/>
      <c r="Y28" s="334">
        <f>+W28*1000/G28</f>
        <v>-37.29271581458525</v>
      </c>
      <c r="Z28" s="290"/>
      <c r="AB28" s="182">
        <f>$C$28</f>
        <v>2005</v>
      </c>
      <c r="AC28" s="152"/>
      <c r="AD28" s="187">
        <f t="shared" ref="AD28:AD42" si="2">G28</f>
        <v>33467</v>
      </c>
      <c r="AE28" s="4"/>
      <c r="AF28" s="188">
        <f>$AF$15*$AF$16*(1+E28)</f>
        <v>54.414591035999997</v>
      </c>
      <c r="AG28" s="335"/>
      <c r="AH28" s="188">
        <f>$AJ$11*(1+E28)</f>
        <v>10.650888</v>
      </c>
      <c r="AI28" s="335"/>
      <c r="AJ28" s="188">
        <f>$AJ$13*(1+E28)</f>
        <v>3.1204517333333337</v>
      </c>
      <c r="AK28" s="336"/>
      <c r="AL28" s="189">
        <f>((AF28+AH28)*$AF$11*1000+AJ28*AD28)/1000</f>
        <v>1192.4375713691816</v>
      </c>
      <c r="AM28" s="4"/>
      <c r="AN28" s="190">
        <f>INDEX('(2.2)_Forward_Price_Curve'!$K:$K,MATCH($AB28,'(2.2)_Forward_Price_Curve'!$C:$C,0),1)</f>
        <v>5.5083917806249998</v>
      </c>
      <c r="AO28" s="348"/>
      <c r="AP28" s="190">
        <f>AN28*$AF$14/1000</f>
        <v>41.856433010375838</v>
      </c>
      <c r="AQ28" s="335"/>
      <c r="AR28" s="188">
        <f>$AJ$15*(1+E28)</f>
        <v>2.4103925333333338</v>
      </c>
      <c r="AS28" s="188"/>
      <c r="AT28" s="189">
        <f t="shared" ref="AT28:AT42" si="3">AL28-BF28</f>
        <v>817.52019022282707</v>
      </c>
      <c r="AU28" s="336"/>
      <c r="AV28" s="189">
        <f t="shared" ref="AV28:AV42" si="4">(AP28+AR28)*AD28/1000</f>
        <v>1481.4778504713149</v>
      </c>
      <c r="AW28" s="337"/>
      <c r="AX28" s="191">
        <f>AT28+AV28</f>
        <v>2298.9980406941422</v>
      </c>
      <c r="AZ28" s="182">
        <f>$C$28</f>
        <v>2005</v>
      </c>
      <c r="BA28" s="152"/>
      <c r="BB28" s="188">
        <f>$BD$14*$BD$15*(1+E28)</f>
        <v>31.925730720000001</v>
      </c>
      <c r="BC28" s="4"/>
      <c r="BD28" s="188">
        <f>$BB$16*(1+E28)</f>
        <v>11.191594</v>
      </c>
      <c r="BE28" s="335"/>
      <c r="BF28" s="189">
        <f>(BB28+BD28)*$BD$11</f>
        <v>374.91738114635444</v>
      </c>
      <c r="BG28" s="335"/>
      <c r="BH28" s="192"/>
    </row>
    <row r="29" spans="1:60" ht="12">
      <c r="B29" s="3"/>
      <c r="C29" s="7">
        <f>+IF(C28&gt;$G$13+$G$14,XX,C28+1)</f>
        <v>2006</v>
      </c>
      <c r="D29" s="7"/>
      <c r="E29" s="330">
        <f>IF(AND(C29&gt;=2003,C29&lt;=2010),'(2.2)_Forward_Price_Curve'!$BS$43,IF(AND(C29&gt;=2011,C29&lt;=2020),'(2.2)_Forward_Price_Curve'!$BS$44,'(2.2)_Forward_Price_Curve'!$BS$45))</f>
        <v>2.0199999999999999E-2</v>
      </c>
      <c r="F29" s="7"/>
      <c r="G29" s="23">
        <f>$G$28</f>
        <v>33467</v>
      </c>
      <c r="H29" s="7"/>
      <c r="I29" s="39">
        <f>I28*(1+$E29)</f>
        <v>46.81883665860574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v>0</v>
      </c>
      <c r="T29" s="7"/>
      <c r="U29" s="23">
        <f t="shared" si="0"/>
        <v>2200.9033928061058</v>
      </c>
      <c r="V29" s="7"/>
      <c r="W29" s="23">
        <f t="shared" si="1"/>
        <v>-2200.9033928061058</v>
      </c>
      <c r="X29" s="7"/>
      <c r="Y29" s="334">
        <f t="shared" ref="Y29:Y42" si="5">+W29*1000/G29</f>
        <v>-65.763390587925585</v>
      </c>
      <c r="Z29" s="290"/>
      <c r="AB29" s="182">
        <f>+IF(AB28&gt;$G$13+$G$14,XX,AB28+1)</f>
        <v>2006</v>
      </c>
      <c r="AC29" s="152"/>
      <c r="AD29" s="187">
        <f t="shared" si="2"/>
        <v>33467</v>
      </c>
      <c r="AE29" s="4"/>
      <c r="AF29" s="190">
        <f>AF28*(1+$E29)</f>
        <v>55.513765774927194</v>
      </c>
      <c r="AG29" s="4"/>
      <c r="AH29" s="190">
        <f>AH28*(1+$E29)</f>
        <v>10.8660359376</v>
      </c>
      <c r="AI29" s="4"/>
      <c r="AJ29" s="190">
        <f>AJ28*(1+$E29)</f>
        <v>3.1834848583466671</v>
      </c>
      <c r="AK29" s="4"/>
      <c r="AL29" s="189">
        <f t="shared" ref="AL29:AL42" si="6">((AF29+AH29)*$AF$11*1000+AJ29*AD29)/1000</f>
        <v>1216.524810310839</v>
      </c>
      <c r="AM29" s="4"/>
      <c r="AN29" s="190">
        <f>INDEX('(2.2)_Forward_Price_Curve'!$K:$K,MATCH($AB29,'(2.2)_Forward_Price_Curve'!$C:$C,0),1)</f>
        <v>5.0513097146666661</v>
      </c>
      <c r="AO29" s="4"/>
      <c r="AP29" s="190">
        <f t="shared" ref="AP29:AP42" si="7">AN29*$AF$14/1000</f>
        <v>38.38321875184711</v>
      </c>
      <c r="AQ29" s="4"/>
      <c r="AR29" s="190">
        <f>AR28*(1+$E29)</f>
        <v>2.4590824625066672</v>
      </c>
      <c r="AS29" s="190"/>
      <c r="AT29" s="189">
        <f t="shared" si="3"/>
        <v>834.03409806532829</v>
      </c>
      <c r="AU29" s="4"/>
      <c r="AV29" s="189">
        <f t="shared" si="4"/>
        <v>1366.8692947407776</v>
      </c>
      <c r="AW29" s="337"/>
      <c r="AX29" s="191">
        <f t="shared" ref="AX29:AX42" si="8">AT29+AV29</f>
        <v>2200.9033928061058</v>
      </c>
      <c r="AZ29" s="182">
        <f>+IF(AZ28&gt;$G$13+$G$14,XX,AZ28+1)</f>
        <v>2006</v>
      </c>
      <c r="BA29" s="152"/>
      <c r="BB29" s="190">
        <f>BB28*(1+$E29)</f>
        <v>32.570630480543997</v>
      </c>
      <c r="BC29" s="4"/>
      <c r="BD29" s="190">
        <f>BD28*(1+$E29)</f>
        <v>11.417664198800001</v>
      </c>
      <c r="BE29" s="4"/>
      <c r="BF29" s="189">
        <f t="shared" ref="BF29:BF42" si="9">(BB29+BD29)*$BD$11</f>
        <v>382.49071224551074</v>
      </c>
      <c r="BG29" s="4"/>
      <c r="BH29" s="193"/>
    </row>
    <row r="30" spans="1:60" ht="12">
      <c r="B30" s="3"/>
      <c r="C30" s="7">
        <f>+IF(C29&gt;$G$13+$G$14,XX,C29+1)</f>
        <v>2007</v>
      </c>
      <c r="D30" s="7"/>
      <c r="E30" s="330">
        <f>IF(AND(C30&gt;=2003,C30&lt;=2010),'(2.2)_Forward_Price_Curve'!$BS$43,IF(AND(C30&gt;=2011,C30&lt;=2020),'(2.2)_Forward_Price_Curve'!$BS$44,'(2.2)_Forward_Price_Curve'!$BS$45))</f>
        <v>2.0199999999999999E-2</v>
      </c>
      <c r="F30" s="7"/>
      <c r="G30" s="23">
        <f t="shared" ref="G30:G42" si="10">$G$28</f>
        <v>33467</v>
      </c>
      <c r="H30" s="7"/>
      <c r="I30" s="39">
        <f t="shared" ref="I30:I42" si="11">I29*(1+$E30)</f>
        <v>47.764577159109578</v>
      </c>
      <c r="J30" s="7"/>
      <c r="K30" s="39">
        <f t="shared" ref="K30:K42" si="12">K29*(1+$E30)</f>
        <v>0</v>
      </c>
      <c r="L30" s="7"/>
      <c r="M30" s="39">
        <f t="shared" ref="M30:M42" si="13">M29*(1+$E30)</f>
        <v>0</v>
      </c>
      <c r="N30" s="7"/>
      <c r="O30" s="333"/>
      <c r="P30" s="7"/>
      <c r="Q30" s="39"/>
      <c r="R30" s="7"/>
      <c r="S30" s="23">
        <v>0</v>
      </c>
      <c r="T30" s="7"/>
      <c r="U30" s="23">
        <f t="shared" si="0"/>
        <v>2106.5639665532244</v>
      </c>
      <c r="V30" s="7"/>
      <c r="W30" s="23">
        <f t="shared" si="1"/>
        <v>-2106.5639665532244</v>
      </c>
      <c r="X30" s="7"/>
      <c r="Y30" s="334">
        <f t="shared" si="5"/>
        <v>-62.944511505459836</v>
      </c>
      <c r="Z30" s="290"/>
      <c r="AB30" s="182">
        <f>+IF(AB29&gt;$G$13+$G$14,XX,AB29+1)</f>
        <v>2007</v>
      </c>
      <c r="AC30" s="152"/>
      <c r="AD30" s="187">
        <f t="shared" si="2"/>
        <v>33467</v>
      </c>
      <c r="AE30" s="4"/>
      <c r="AF30" s="190">
        <f t="shared" ref="AF30:AF42" si="14">AF29*(1+$E30)</f>
        <v>56.635143843580721</v>
      </c>
      <c r="AG30" s="4"/>
      <c r="AH30" s="190">
        <f t="shared" ref="AH30:AH42" si="15">AH29*(1+$E30)</f>
        <v>11.08552986353952</v>
      </c>
      <c r="AI30" s="4"/>
      <c r="AJ30" s="190">
        <f t="shared" ref="AJ30:AJ42" si="16">AJ29*(1+$E30)</f>
        <v>3.2477912524852699</v>
      </c>
      <c r="AK30" s="4"/>
      <c r="AL30" s="189">
        <f t="shared" si="6"/>
        <v>1241.0986114791181</v>
      </c>
      <c r="AM30" s="4"/>
      <c r="AN30" s="190">
        <f>INDEX('(2.2)_Forward_Price_Curve'!$K:$K,MATCH($AB30,'(2.2)_Forward_Price_Curve'!$C:$C,0),1)</f>
        <v>4.6075531055833343</v>
      </c>
      <c r="AO30" s="4"/>
      <c r="AP30" s="190">
        <f t="shared" si="7"/>
        <v>35.011260198292568</v>
      </c>
      <c r="AQ30" s="4"/>
      <c r="AR30" s="190">
        <f t="shared" ref="AR30:AR42" si="17">AR29*(1+$E30)</f>
        <v>2.5087559282493017</v>
      </c>
      <c r="AS30" s="190"/>
      <c r="AT30" s="189">
        <f t="shared" si="3"/>
        <v>850.88158684624796</v>
      </c>
      <c r="AU30" s="4"/>
      <c r="AV30" s="189">
        <f t="shared" si="4"/>
        <v>1255.6823797069767</v>
      </c>
      <c r="AW30" s="337"/>
      <c r="AX30" s="191">
        <f t="shared" si="8"/>
        <v>2106.5639665532244</v>
      </c>
      <c r="AZ30" s="182">
        <f>+IF(AZ29&gt;$G$13+$G$14,XX,AZ29+1)</f>
        <v>2007</v>
      </c>
      <c r="BA30" s="152"/>
      <c r="BB30" s="190">
        <f t="shared" ref="BB30:BB42" si="18">BB29*(1+$E30)</f>
        <v>33.228557216250984</v>
      </c>
      <c r="BC30" s="4"/>
      <c r="BD30" s="190">
        <f t="shared" ref="BD30:BD42" si="19">BD29*(1+$E30)</f>
        <v>11.648301015615761</v>
      </c>
      <c r="BE30" s="4"/>
      <c r="BF30" s="189">
        <f t="shared" si="9"/>
        <v>390.21702463287011</v>
      </c>
      <c r="BG30" s="4"/>
      <c r="BH30" s="193"/>
    </row>
    <row r="31" spans="1:60" ht="12">
      <c r="B31" s="3"/>
      <c r="C31" s="7">
        <f>+IF(C30&gt;$G$13+$G$14,XX,C30+1)</f>
        <v>2008</v>
      </c>
      <c r="D31" s="7"/>
      <c r="E31" s="330">
        <f>IF(AND(C31&gt;=2003,C31&lt;=2010),'(2.2)_Forward_Price_Curve'!$BS$43,IF(AND(C31&gt;=2011,C31&lt;=2020),'(2.2)_Forward_Price_Curve'!$BS$44,'(2.2)_Forward_Price_Curve'!$BS$45))</f>
        <v>2.0199999999999999E-2</v>
      </c>
      <c r="F31" s="7"/>
      <c r="G31" s="23">
        <f t="shared" si="10"/>
        <v>33467</v>
      </c>
      <c r="H31" s="7"/>
      <c r="I31" s="39">
        <f t="shared" si="11"/>
        <v>48.729421617723588</v>
      </c>
      <c r="J31" s="7"/>
      <c r="K31" s="39">
        <f t="shared" si="12"/>
        <v>0</v>
      </c>
      <c r="L31" s="7"/>
      <c r="M31" s="39">
        <f t="shared" si="13"/>
        <v>0</v>
      </c>
      <c r="N31" s="7"/>
      <c r="O31" s="333"/>
      <c r="P31" s="7"/>
      <c r="Q31" s="39"/>
      <c r="R31" s="7"/>
      <c r="S31" s="23">
        <v>0</v>
      </c>
      <c r="T31" s="7"/>
      <c r="U31" s="23">
        <f t="shared" si="0"/>
        <v>2041.6691006138162</v>
      </c>
      <c r="V31" s="7"/>
      <c r="W31" s="23">
        <f t="shared" si="1"/>
        <v>-2041.6691006138162</v>
      </c>
      <c r="X31" s="7"/>
      <c r="Y31" s="334">
        <f t="shared" si="5"/>
        <v>-61.00544119920567</v>
      </c>
      <c r="Z31" s="290"/>
      <c r="AB31" s="182">
        <f>+IF(AB30&gt;$G$13+$G$14,XX,AB30+1)</f>
        <v>2008</v>
      </c>
      <c r="AC31" s="152"/>
      <c r="AD31" s="187">
        <f t="shared" si="2"/>
        <v>33467</v>
      </c>
      <c r="AE31" s="4"/>
      <c r="AF31" s="190">
        <f t="shared" si="14"/>
        <v>57.779173749221052</v>
      </c>
      <c r="AG31" s="4"/>
      <c r="AH31" s="190">
        <f t="shared" si="15"/>
        <v>11.309457566783019</v>
      </c>
      <c r="AI31" s="4"/>
      <c r="AJ31" s="190">
        <f t="shared" si="16"/>
        <v>3.3133966357854723</v>
      </c>
      <c r="AK31" s="4"/>
      <c r="AL31" s="189">
        <f t="shared" si="6"/>
        <v>1266.1688034309961</v>
      </c>
      <c r="AM31" s="4"/>
      <c r="AN31" s="190">
        <f>INDEX('(2.2)_Forward_Price_Curve'!$K:$K,MATCH($AB31,'(2.2)_Forward_Price_Curve'!$C:$C,0),1)</f>
        <v>4.278110837291667</v>
      </c>
      <c r="AO31" s="4"/>
      <c r="AP31" s="190">
        <f t="shared" si="7"/>
        <v>32.507938215633615</v>
      </c>
      <c r="AQ31" s="4"/>
      <c r="AR31" s="190">
        <f t="shared" si="17"/>
        <v>2.5594327979999374</v>
      </c>
      <c r="AS31" s="190"/>
      <c r="AT31" s="189">
        <f t="shared" si="3"/>
        <v>868.06939490054208</v>
      </c>
      <c r="AU31" s="4"/>
      <c r="AV31" s="189">
        <f t="shared" si="4"/>
        <v>1173.5997057132743</v>
      </c>
      <c r="AW31" s="337"/>
      <c r="AX31" s="191">
        <f t="shared" si="8"/>
        <v>2041.6691006138162</v>
      </c>
      <c r="AZ31" s="182">
        <f>+IF(AZ30&gt;$G$13+$G$14,XX,AZ30+1)</f>
        <v>2008</v>
      </c>
      <c r="BA31" s="152"/>
      <c r="BB31" s="190">
        <f t="shared" si="18"/>
        <v>33.899774072019255</v>
      </c>
      <c r="BC31" s="4"/>
      <c r="BD31" s="190">
        <f t="shared" si="19"/>
        <v>11.8835966961312</v>
      </c>
      <c r="BE31" s="4"/>
      <c r="BF31" s="189">
        <f t="shared" si="9"/>
        <v>398.09940853045407</v>
      </c>
      <c r="BG31" s="4"/>
      <c r="BH31" s="193"/>
    </row>
    <row r="32" spans="1:60" ht="12">
      <c r="B32" s="3"/>
      <c r="C32" s="7">
        <f>+IF(C31&gt;$G$13+$G$14,XX,C31+1)</f>
        <v>2009</v>
      </c>
      <c r="D32" s="7"/>
      <c r="E32" s="330">
        <f>IF(AND(C32&gt;=2003,C32&lt;=2010),'(2.2)_Forward_Price_Curve'!$BS$43,IF(AND(C32&gt;=2011,C32&lt;=2020),'(2.2)_Forward_Price_Curve'!$BS$44,'(2.2)_Forward_Price_Curve'!$BS$45))</f>
        <v>2.0199999999999999E-2</v>
      </c>
      <c r="F32" s="7"/>
      <c r="G32" s="23">
        <f t="shared" si="10"/>
        <v>33467</v>
      </c>
      <c r="H32" s="7"/>
      <c r="I32" s="39">
        <f t="shared" si="11"/>
        <v>49.713755934401604</v>
      </c>
      <c r="J32" s="7"/>
      <c r="K32" s="39">
        <f t="shared" si="12"/>
        <v>0</v>
      </c>
      <c r="L32" s="7"/>
      <c r="M32" s="39">
        <f t="shared" si="13"/>
        <v>0</v>
      </c>
      <c r="N32" s="7"/>
      <c r="O32" s="333"/>
      <c r="P32" s="7"/>
      <c r="Q32" s="39"/>
      <c r="R32" s="7"/>
      <c r="S32" s="23">
        <v>0</v>
      </c>
      <c r="T32" s="7"/>
      <c r="U32" s="23">
        <f t="shared" si="0"/>
        <v>2042.7610859525498</v>
      </c>
      <c r="V32" s="7"/>
      <c r="W32" s="23">
        <f t="shared" si="1"/>
        <v>-2042.7610859525498</v>
      </c>
      <c r="X32" s="7"/>
      <c r="Y32" s="334">
        <f t="shared" si="5"/>
        <v>-61.038069918204492</v>
      </c>
      <c r="Z32" s="290"/>
      <c r="AB32" s="182">
        <f>+IF(AB31&gt;$G$13+$G$14,XX,AB31+1)</f>
        <v>2009</v>
      </c>
      <c r="AC32" s="152"/>
      <c r="AD32" s="187">
        <f t="shared" si="2"/>
        <v>33467</v>
      </c>
      <c r="AE32" s="4"/>
      <c r="AF32" s="190">
        <f t="shared" si="14"/>
        <v>58.946313058955319</v>
      </c>
      <c r="AG32" s="4"/>
      <c r="AH32" s="190">
        <f t="shared" si="15"/>
        <v>11.537908609632035</v>
      </c>
      <c r="AI32" s="4"/>
      <c r="AJ32" s="190">
        <f t="shared" si="16"/>
        <v>3.3803272478283386</v>
      </c>
      <c r="AK32" s="4"/>
      <c r="AL32" s="189">
        <f t="shared" si="6"/>
        <v>1291.7454132603023</v>
      </c>
      <c r="AM32" s="4"/>
      <c r="AN32" s="190">
        <f>INDEX('(2.2)_Forward_Price_Curve'!$K:$K,MATCH($AB32,'(2.2)_Forward_Price_Curve'!$C:$C,0),1)</f>
        <v>4.2066481892916672</v>
      </c>
      <c r="AO32" s="4"/>
      <c r="AP32" s="190">
        <f t="shared" si="7"/>
        <v>31.964917374364287</v>
      </c>
      <c r="AQ32" s="4"/>
      <c r="AR32" s="190">
        <f t="shared" si="17"/>
        <v>2.6111333405195363</v>
      </c>
      <c r="AS32" s="190"/>
      <c r="AT32" s="189">
        <f t="shared" si="3"/>
        <v>885.60439667753303</v>
      </c>
      <c r="AU32" s="4"/>
      <c r="AV32" s="189">
        <f t="shared" si="4"/>
        <v>1157.1566892750168</v>
      </c>
      <c r="AW32" s="337"/>
      <c r="AX32" s="191">
        <f t="shared" si="8"/>
        <v>2042.7610859525498</v>
      </c>
      <c r="AZ32" s="182">
        <f>+IF(AZ31&gt;$G$13+$G$14,XX,AZ31+1)</f>
        <v>2009</v>
      </c>
      <c r="BA32" s="152"/>
      <c r="BB32" s="190">
        <f t="shared" si="18"/>
        <v>34.584549508274044</v>
      </c>
      <c r="BC32" s="4"/>
      <c r="BD32" s="190">
        <f t="shared" si="19"/>
        <v>12.123645349393049</v>
      </c>
      <c r="BE32" s="4"/>
      <c r="BF32" s="189">
        <f t="shared" si="9"/>
        <v>406.14101658276928</v>
      </c>
      <c r="BG32" s="4"/>
      <c r="BH32" s="193"/>
    </row>
    <row r="33" spans="2:60" ht="12">
      <c r="B33" s="3"/>
      <c r="C33" s="7">
        <f>+IF(C32&gt;$G$13+$G$14,XX,C32+1)</f>
        <v>2010</v>
      </c>
      <c r="D33" s="7"/>
      <c r="E33" s="330">
        <f>IF(AND(C33&gt;=2003,C33&lt;=2010),'(2.2)_Forward_Price_Curve'!$BS$43,IF(AND(C33&gt;=2011,C33&lt;=2020),'(2.2)_Forward_Price_Curve'!$BS$44,'(2.2)_Forward_Price_Curve'!$BS$45))</f>
        <v>2.0199999999999999E-2</v>
      </c>
      <c r="F33" s="7"/>
      <c r="G33" s="23">
        <f t="shared" si="10"/>
        <v>33467</v>
      </c>
      <c r="H33" s="7"/>
      <c r="I33" s="39">
        <f t="shared" si="11"/>
        <v>50.717973804276518</v>
      </c>
      <c r="J33" s="7"/>
      <c r="K33" s="39">
        <f t="shared" si="12"/>
        <v>0</v>
      </c>
      <c r="L33" s="7"/>
      <c r="M33" s="39">
        <f t="shared" si="13"/>
        <v>0</v>
      </c>
      <c r="N33" s="7"/>
      <c r="O33" s="333"/>
      <c r="P33" s="7"/>
      <c r="Q33" s="39"/>
      <c r="R33" s="7"/>
      <c r="S33" s="23">
        <v>0</v>
      </c>
      <c r="T33" s="7"/>
      <c r="U33" s="23">
        <f t="shared" si="0"/>
        <v>2095.2573861433398</v>
      </c>
      <c r="V33" s="7"/>
      <c r="W33" s="23">
        <f t="shared" si="1"/>
        <v>-2095.2573861433398</v>
      </c>
      <c r="X33" s="7"/>
      <c r="Y33" s="334">
        <f t="shared" si="5"/>
        <v>-62.606668842242797</v>
      </c>
      <c r="Z33" s="290"/>
      <c r="AB33" s="182">
        <f>+IF(AB32&gt;$G$13+$G$14,XX,AB32+1)</f>
        <v>2010</v>
      </c>
      <c r="AC33" s="152"/>
      <c r="AD33" s="187">
        <f t="shared" si="2"/>
        <v>33467</v>
      </c>
      <c r="AE33" s="4"/>
      <c r="AF33" s="190">
        <f t="shared" si="14"/>
        <v>60.137028582746218</v>
      </c>
      <c r="AG33" s="4"/>
      <c r="AH33" s="190">
        <f t="shared" si="15"/>
        <v>11.770974363546602</v>
      </c>
      <c r="AI33" s="4"/>
      <c r="AJ33" s="190">
        <f t="shared" si="16"/>
        <v>3.4486098582344709</v>
      </c>
      <c r="AK33" s="4"/>
      <c r="AL33" s="189">
        <f t="shared" si="6"/>
        <v>1317.8386706081606</v>
      </c>
      <c r="AM33" s="4"/>
      <c r="AN33" s="190">
        <f>INDEX('(2.2)_Forward_Price_Curve'!$K:$K,MATCH($AB33,'(2.2)_Forward_Price_Curve'!$C:$C,0),1)</f>
        <v>4.3357920622499995</v>
      </c>
      <c r="AO33" s="4"/>
      <c r="AP33" s="190">
        <f t="shared" si="7"/>
        <v>32.946238617017002</v>
      </c>
      <c r="AQ33" s="4"/>
      <c r="AR33" s="190">
        <f t="shared" si="17"/>
        <v>2.6638782339980307</v>
      </c>
      <c r="AS33" s="190"/>
      <c r="AT33" s="189">
        <f t="shared" si="3"/>
        <v>903.49360549041944</v>
      </c>
      <c r="AU33" s="4"/>
      <c r="AV33" s="189">
        <f t="shared" si="4"/>
        <v>1191.7637806529203</v>
      </c>
      <c r="AW33" s="337"/>
      <c r="AX33" s="191">
        <f t="shared" si="8"/>
        <v>2095.2573861433398</v>
      </c>
      <c r="AZ33" s="182">
        <f>+IF(AZ32&gt;$G$13+$G$14,XX,AZ32+1)</f>
        <v>2010</v>
      </c>
      <c r="BA33" s="152"/>
      <c r="BB33" s="190">
        <f t="shared" si="18"/>
        <v>35.283157408341182</v>
      </c>
      <c r="BC33" s="4"/>
      <c r="BD33" s="190">
        <f t="shared" si="19"/>
        <v>12.368542985450789</v>
      </c>
      <c r="BE33" s="4"/>
      <c r="BF33" s="189">
        <f t="shared" si="9"/>
        <v>414.34506511774117</v>
      </c>
      <c r="BG33" s="4"/>
      <c r="BH33" s="193"/>
    </row>
    <row r="34" spans="2:60" ht="12">
      <c r="B34" s="3"/>
      <c r="C34" s="7">
        <f>+IF(C33&gt;$G$13+$G$14,XX,C33+1)</f>
        <v>2011</v>
      </c>
      <c r="D34" s="7"/>
      <c r="E34" s="330">
        <f>IF(AND(C34&gt;=2003,C34&lt;=2010),'(2.2)_Forward_Price_Curve'!$BS$43,IF(AND(C34&gt;=2011,C34&lt;=2020),'(2.2)_Forward_Price_Curve'!$BS$44,'(2.2)_Forward_Price_Curve'!$BS$45))</f>
        <v>2.9399999999999999E-2</v>
      </c>
      <c r="F34" s="7"/>
      <c r="G34" s="23">
        <f t="shared" si="10"/>
        <v>33467</v>
      </c>
      <c r="H34" s="7"/>
      <c r="I34" s="39">
        <f t="shared" si="11"/>
        <v>52.209082234122249</v>
      </c>
      <c r="J34" s="7"/>
      <c r="K34" s="39">
        <f t="shared" si="12"/>
        <v>0</v>
      </c>
      <c r="L34" s="7"/>
      <c r="M34" s="39">
        <f t="shared" si="13"/>
        <v>0</v>
      </c>
      <c r="N34" s="7"/>
      <c r="O34" s="333"/>
      <c r="P34" s="7"/>
      <c r="Q34" s="39"/>
      <c r="R34" s="7"/>
      <c r="S34" s="23">
        <v>0</v>
      </c>
      <c r="T34" s="7"/>
      <c r="U34" s="23">
        <f t="shared" si="0"/>
        <v>2139.7099373881629</v>
      </c>
      <c r="V34" s="7"/>
      <c r="W34" s="23">
        <f t="shared" si="1"/>
        <v>-2139.7099373881629</v>
      </c>
      <c r="X34" s="7"/>
      <c r="Y34" s="334">
        <f t="shared" si="5"/>
        <v>-63.934919096069649</v>
      </c>
      <c r="Z34" s="290"/>
      <c r="AB34" s="182">
        <f>+IF(AB33&gt;$G$13+$G$14,XX,AB33+1)</f>
        <v>2011</v>
      </c>
      <c r="AC34" s="152"/>
      <c r="AD34" s="187">
        <f t="shared" si="2"/>
        <v>33467</v>
      </c>
      <c r="AE34" s="4"/>
      <c r="AF34" s="190">
        <f t="shared" si="14"/>
        <v>61.905057223078963</v>
      </c>
      <c r="AG34" s="4"/>
      <c r="AH34" s="190">
        <f t="shared" si="15"/>
        <v>12.117041009834873</v>
      </c>
      <c r="AI34" s="4"/>
      <c r="AJ34" s="190">
        <f t="shared" si="16"/>
        <v>3.5499989880665646</v>
      </c>
      <c r="AK34" s="4"/>
      <c r="AL34" s="189">
        <f t="shared" si="6"/>
        <v>1356.5831275240405</v>
      </c>
      <c r="AM34" s="4"/>
      <c r="AN34" s="190">
        <f>INDEX('(2.2)_Forward_Price_Curve'!$K:$K,MATCH($AB34,'(2.2)_Forward_Price_Curve'!$C:$C,0),1)</f>
        <v>4.395833333333333</v>
      </c>
      <c r="AO34" s="4"/>
      <c r="AP34" s="190">
        <f t="shared" si="7"/>
        <v>33.402472222222229</v>
      </c>
      <c r="AQ34" s="4"/>
      <c r="AR34" s="190">
        <f t="shared" si="17"/>
        <v>2.7421962540775731</v>
      </c>
      <c r="AS34" s="190"/>
      <c r="AT34" s="189">
        <f t="shared" si="3"/>
        <v>930.0563174918376</v>
      </c>
      <c r="AU34" s="4"/>
      <c r="AV34" s="189">
        <f t="shared" si="4"/>
        <v>1209.6536198963254</v>
      </c>
      <c r="AW34" s="337"/>
      <c r="AX34" s="191">
        <f t="shared" si="8"/>
        <v>2139.7099373881629</v>
      </c>
      <c r="AZ34" s="182">
        <f>+IF(AZ33&gt;$G$13+$G$14,XX,AZ33+1)</f>
        <v>2011</v>
      </c>
      <c r="BA34" s="152"/>
      <c r="BB34" s="190">
        <f t="shared" si="18"/>
        <v>36.320482236146418</v>
      </c>
      <c r="BC34" s="4"/>
      <c r="BD34" s="190">
        <f t="shared" si="19"/>
        <v>12.732178149223044</v>
      </c>
      <c r="BE34" s="4"/>
      <c r="BF34" s="189">
        <f t="shared" si="9"/>
        <v>426.52681003220289</v>
      </c>
      <c r="BG34" s="4"/>
      <c r="BH34" s="193"/>
    </row>
    <row r="35" spans="2:60" ht="12">
      <c r="B35" s="3"/>
      <c r="C35" s="7">
        <f>+IF(C34&gt;$G$13+$G$14,XX,C34+1)</f>
        <v>2012</v>
      </c>
      <c r="D35" s="7"/>
      <c r="E35" s="330">
        <f>IF(AND(C35&gt;=2003,C35&lt;=2010),'(2.2)_Forward_Price_Curve'!$BS$43,IF(AND(C35&gt;=2011,C35&lt;=2020),'(2.2)_Forward_Price_Curve'!$BS$44,'(2.2)_Forward_Price_Curve'!$BS$45))</f>
        <v>2.9399999999999999E-2</v>
      </c>
      <c r="F35" s="7"/>
      <c r="G35" s="23">
        <f t="shared" si="10"/>
        <v>33467</v>
      </c>
      <c r="H35" s="7"/>
      <c r="I35" s="39">
        <f t="shared" si="11"/>
        <v>53.744029251805451</v>
      </c>
      <c r="J35" s="7"/>
      <c r="K35" s="39">
        <f t="shared" si="12"/>
        <v>0</v>
      </c>
      <c r="L35" s="7"/>
      <c r="M35" s="39">
        <f t="shared" si="13"/>
        <v>0</v>
      </c>
      <c r="N35" s="7"/>
      <c r="O35" s="333"/>
      <c r="P35" s="7"/>
      <c r="Q35" s="39"/>
      <c r="R35" s="7"/>
      <c r="S35" s="23">
        <v>0</v>
      </c>
      <c r="T35" s="7"/>
      <c r="U35" s="23">
        <f t="shared" si="0"/>
        <v>2179.5000638653696</v>
      </c>
      <c r="V35" s="7"/>
      <c r="W35" s="23">
        <f t="shared" si="1"/>
        <v>-2179.5000638653696</v>
      </c>
      <c r="X35" s="7"/>
      <c r="Y35" s="334">
        <f t="shared" si="5"/>
        <v>-65.123855256382996</v>
      </c>
      <c r="Z35" s="290"/>
      <c r="AB35" s="182">
        <f>+IF(AB34&gt;$G$13+$G$14,XX,AB34+1)</f>
        <v>2012</v>
      </c>
      <c r="AC35" s="152"/>
      <c r="AD35" s="187">
        <f t="shared" si="2"/>
        <v>33467</v>
      </c>
      <c r="AE35" s="4"/>
      <c r="AF35" s="190">
        <f t="shared" si="14"/>
        <v>63.725065905437489</v>
      </c>
      <c r="AG35" s="4"/>
      <c r="AH35" s="190">
        <f t="shared" si="15"/>
        <v>12.473282015524019</v>
      </c>
      <c r="AI35" s="4"/>
      <c r="AJ35" s="190">
        <f t="shared" si="16"/>
        <v>3.6543689583157217</v>
      </c>
      <c r="AK35" s="4"/>
      <c r="AL35" s="189">
        <f t="shared" si="6"/>
        <v>1396.4666714732475</v>
      </c>
      <c r="AM35" s="4"/>
      <c r="AN35" s="190">
        <f>INDEX('(2.2)_Forward_Price_Curve'!$K:$K,MATCH($AB35,'(2.2)_Forward_Price_Curve'!$C:$C,0),1)</f>
        <v>4.4341666666666661</v>
      </c>
      <c r="AO35" s="4"/>
      <c r="AP35" s="190">
        <f t="shared" si="7"/>
        <v>33.693754444444444</v>
      </c>
      <c r="AQ35" s="4"/>
      <c r="AR35" s="190">
        <f t="shared" si="17"/>
        <v>2.8228168239474538</v>
      </c>
      <c r="AS35" s="190"/>
      <c r="AT35" s="189">
        <f t="shared" si="3"/>
        <v>957.39997322609793</v>
      </c>
      <c r="AU35" s="4"/>
      <c r="AV35" s="189">
        <f t="shared" si="4"/>
        <v>1222.1000906392717</v>
      </c>
      <c r="AW35" s="337"/>
      <c r="AX35" s="191">
        <f t="shared" si="8"/>
        <v>2179.5000638653696</v>
      </c>
      <c r="AZ35" s="182">
        <f>+IF(AZ34&gt;$G$13+$G$14,XX,AZ34+1)</f>
        <v>2012</v>
      </c>
      <c r="BA35" s="152"/>
      <c r="BB35" s="190">
        <f t="shared" si="18"/>
        <v>37.388304413889124</v>
      </c>
      <c r="BC35" s="4"/>
      <c r="BD35" s="190">
        <f t="shared" si="19"/>
        <v>13.106504186810202</v>
      </c>
      <c r="BE35" s="4"/>
      <c r="BF35" s="189">
        <f t="shared" si="9"/>
        <v>439.06669824714965</v>
      </c>
      <c r="BG35" s="4"/>
      <c r="BH35" s="193"/>
    </row>
    <row r="36" spans="2:60" ht="12">
      <c r="B36" s="3"/>
      <c r="C36" s="7">
        <f>+IF(C35&gt;$G$13+$G$14,XX,C35+1)</f>
        <v>2013</v>
      </c>
      <c r="D36" s="7"/>
      <c r="E36" s="330">
        <f>IF(AND(C36&gt;=2003,C36&lt;=2010),'(2.2)_Forward_Price_Curve'!$BS$43,IF(AND(C36&gt;=2011,C36&lt;=2020),'(2.2)_Forward_Price_Curve'!$BS$44,'(2.2)_Forward_Price_Curve'!$BS$45))</f>
        <v>2.9399999999999999E-2</v>
      </c>
      <c r="F36" s="7"/>
      <c r="G36" s="23">
        <f t="shared" si="10"/>
        <v>33467</v>
      </c>
      <c r="H36" s="7"/>
      <c r="I36" s="39">
        <f t="shared" si="11"/>
        <v>55.324103711808533</v>
      </c>
      <c r="J36" s="7"/>
      <c r="K36" s="39">
        <f t="shared" si="12"/>
        <v>0</v>
      </c>
      <c r="L36" s="7"/>
      <c r="M36" s="39">
        <f t="shared" si="13"/>
        <v>0</v>
      </c>
      <c r="N36" s="7"/>
      <c r="O36" s="333"/>
      <c r="P36" s="7"/>
      <c r="Q36" s="39"/>
      <c r="R36" s="7"/>
      <c r="S36" s="23">
        <v>0</v>
      </c>
      <c r="T36" s="7"/>
      <c r="U36" s="23">
        <f t="shared" si="0"/>
        <v>2243.1667910029073</v>
      </c>
      <c r="V36" s="7"/>
      <c r="W36" s="23">
        <f t="shared" si="1"/>
        <v>-2243.1667910029073</v>
      </c>
      <c r="X36" s="7"/>
      <c r="Y36" s="334">
        <f t="shared" si="5"/>
        <v>-67.02622855358733</v>
      </c>
      <c r="Z36" s="290"/>
      <c r="AB36" s="182">
        <f>+IF(AB35&gt;$G$13+$G$14,XX,AB35+1)</f>
        <v>2013</v>
      </c>
      <c r="AC36" s="152"/>
      <c r="AD36" s="187">
        <f t="shared" si="2"/>
        <v>33467</v>
      </c>
      <c r="AE36" s="4"/>
      <c r="AF36" s="190">
        <f t="shared" si="14"/>
        <v>65.598582843057358</v>
      </c>
      <c r="AG36" s="4"/>
      <c r="AH36" s="190">
        <f t="shared" si="15"/>
        <v>12.839996506780427</v>
      </c>
      <c r="AI36" s="4"/>
      <c r="AJ36" s="190">
        <f t="shared" si="16"/>
        <v>3.7618074056902042</v>
      </c>
      <c r="AK36" s="4"/>
      <c r="AL36" s="189">
        <f t="shared" si="6"/>
        <v>1437.5227916145609</v>
      </c>
      <c r="AM36" s="4"/>
      <c r="AN36" s="190">
        <f>INDEX('(2.2)_Forward_Price_Curve'!$K:$K,MATCH($AB36,'(2.2)_Forward_Price_Curve'!$C:$C,0),1)</f>
        <v>4.5629166666666672</v>
      </c>
      <c r="AO36" s="4"/>
      <c r="AP36" s="190">
        <f t="shared" si="7"/>
        <v>34.672082777777788</v>
      </c>
      <c r="AQ36" s="4"/>
      <c r="AR36" s="190">
        <f t="shared" si="17"/>
        <v>2.9058076385715093</v>
      </c>
      <c r="AS36" s="190"/>
      <c r="AT36" s="189">
        <f t="shared" si="3"/>
        <v>985.54753243894504</v>
      </c>
      <c r="AU36" s="4"/>
      <c r="AV36" s="189">
        <f t="shared" si="4"/>
        <v>1257.6192585639621</v>
      </c>
      <c r="AW36" s="337"/>
      <c r="AX36" s="191">
        <f t="shared" si="8"/>
        <v>2243.1667910029073</v>
      </c>
      <c r="AZ36" s="182">
        <f>+IF(AZ35&gt;$G$13+$G$14,XX,AZ35+1)</f>
        <v>2013</v>
      </c>
      <c r="BA36" s="152"/>
      <c r="BB36" s="190">
        <f t="shared" si="18"/>
        <v>38.487520563657469</v>
      </c>
      <c r="BC36" s="4"/>
      <c r="BD36" s="190">
        <f t="shared" si="19"/>
        <v>13.491835409902423</v>
      </c>
      <c r="BE36" s="4"/>
      <c r="BF36" s="189">
        <f t="shared" si="9"/>
        <v>451.97525917561586</v>
      </c>
      <c r="BG36" s="4"/>
      <c r="BH36" s="193"/>
    </row>
    <row r="37" spans="2:60" ht="12">
      <c r="B37" s="3"/>
      <c r="C37" s="7">
        <f>+IF(C36&gt;$G$13+$G$14,XX,C36+1)</f>
        <v>2014</v>
      </c>
      <c r="D37" s="7"/>
      <c r="E37" s="330">
        <f>IF(AND(C37&gt;=2003,C37&lt;=2010),'(2.2)_Forward_Price_Curve'!$BS$43,IF(AND(C37&gt;=2011,C37&lt;=2020),'(2.2)_Forward_Price_Curve'!$BS$44,'(2.2)_Forward_Price_Curve'!$BS$45))</f>
        <v>2.9399999999999999E-2</v>
      </c>
      <c r="F37" s="7"/>
      <c r="G37" s="23">
        <f t="shared" si="10"/>
        <v>33467</v>
      </c>
      <c r="H37" s="7"/>
      <c r="I37" s="39">
        <f t="shared" si="11"/>
        <v>56.950632360935707</v>
      </c>
      <c r="J37" s="7"/>
      <c r="K37" s="39">
        <f t="shared" si="12"/>
        <v>0</v>
      </c>
      <c r="L37" s="7"/>
      <c r="M37" s="39">
        <f t="shared" si="13"/>
        <v>0</v>
      </c>
      <c r="N37" s="7"/>
      <c r="O37" s="333"/>
      <c r="P37" s="7"/>
      <c r="Q37" s="39"/>
      <c r="R37" s="7"/>
      <c r="S37" s="23">
        <v>0</v>
      </c>
      <c r="T37" s="7"/>
      <c r="U37" s="23">
        <f t="shared" si="0"/>
        <v>2322.7890676758257</v>
      </c>
      <c r="V37" s="7"/>
      <c r="W37" s="23">
        <f t="shared" si="1"/>
        <v>-2322.7890676758257</v>
      </c>
      <c r="X37" s="7"/>
      <c r="Y37" s="334">
        <f t="shared" si="5"/>
        <v>-69.405356550507236</v>
      </c>
      <c r="Z37" s="290"/>
      <c r="AB37" s="182">
        <f>+IF(AB36&gt;$G$13+$G$14,XX,AB36+1)</f>
        <v>2014</v>
      </c>
      <c r="AC37" s="152"/>
      <c r="AD37" s="187">
        <f t="shared" si="2"/>
        <v>33467</v>
      </c>
      <c r="AE37" s="4"/>
      <c r="AF37" s="190">
        <f t="shared" si="14"/>
        <v>67.527181178643247</v>
      </c>
      <c r="AG37" s="4"/>
      <c r="AH37" s="190">
        <f t="shared" si="15"/>
        <v>13.217492404079772</v>
      </c>
      <c r="AI37" s="4"/>
      <c r="AJ37" s="190">
        <f t="shared" si="16"/>
        <v>3.8724045434174967</v>
      </c>
      <c r="AK37" s="4"/>
      <c r="AL37" s="189">
        <f t="shared" si="6"/>
        <v>1479.7859616880291</v>
      </c>
      <c r="AM37" s="4"/>
      <c r="AN37" s="190">
        <f>INDEX('(2.2)_Forward_Price_Curve'!$K:$K,MATCH($AB37,'(2.2)_Forward_Price_Curve'!$C:$C,0),1)</f>
        <v>4.7508333333333326</v>
      </c>
      <c r="AO37" s="4"/>
      <c r="AP37" s="190">
        <f t="shared" si="7"/>
        <v>36.099998888888891</v>
      </c>
      <c r="AQ37" s="4"/>
      <c r="AR37" s="190">
        <f t="shared" si="17"/>
        <v>2.9912383831455118</v>
      </c>
      <c r="AS37" s="190"/>
      <c r="AT37" s="189">
        <f t="shared" si="3"/>
        <v>1014.5226298926501</v>
      </c>
      <c r="AU37" s="4"/>
      <c r="AV37" s="189">
        <f t="shared" si="4"/>
        <v>1308.2664377831754</v>
      </c>
      <c r="AW37" s="337"/>
      <c r="AX37" s="191">
        <f t="shared" si="8"/>
        <v>2322.7890676758257</v>
      </c>
      <c r="AZ37" s="182">
        <f>+IF(AZ36&gt;$G$13+$G$14,XX,AZ36+1)</f>
        <v>2014</v>
      </c>
      <c r="BA37" s="152"/>
      <c r="BB37" s="190">
        <f t="shared" si="18"/>
        <v>39.619053668229</v>
      </c>
      <c r="BC37" s="4"/>
      <c r="BD37" s="190">
        <f t="shared" si="19"/>
        <v>13.888495370953555</v>
      </c>
      <c r="BE37" s="4"/>
      <c r="BF37" s="189">
        <f t="shared" si="9"/>
        <v>465.26333179537903</v>
      </c>
      <c r="BG37" s="4"/>
      <c r="BH37" s="193"/>
    </row>
    <row r="38" spans="2:60" ht="12">
      <c r="B38" s="3"/>
      <c r="C38" s="7">
        <f>+IF(C37&gt;$G$13+$G$14,XX,C37+1)</f>
        <v>2015</v>
      </c>
      <c r="D38" s="7"/>
      <c r="E38" s="330">
        <f>IF(AND(C38&gt;=2003,C38&lt;=2010),'(2.2)_Forward_Price_Curve'!$BS$43,IF(AND(C38&gt;=2011,C38&lt;=2020),'(2.2)_Forward_Price_Curve'!$BS$44,'(2.2)_Forward_Price_Curve'!$BS$45))</f>
        <v>2.9399999999999999E-2</v>
      </c>
      <c r="F38" s="7"/>
      <c r="G38" s="23">
        <f t="shared" si="10"/>
        <v>33467</v>
      </c>
      <c r="H38" s="7"/>
      <c r="I38" s="39">
        <f t="shared" si="11"/>
        <v>58.624980952347222</v>
      </c>
      <c r="J38" s="7"/>
      <c r="K38" s="39">
        <f t="shared" si="12"/>
        <v>0</v>
      </c>
      <c r="L38" s="7"/>
      <c r="M38" s="39">
        <f t="shared" si="13"/>
        <v>0</v>
      </c>
      <c r="N38" s="7"/>
      <c r="O38" s="333"/>
      <c r="P38" s="7"/>
      <c r="Q38" s="39"/>
      <c r="R38" s="7"/>
      <c r="S38" s="23">
        <v>0</v>
      </c>
      <c r="T38" s="7"/>
      <c r="U38" s="23">
        <f t="shared" si="0"/>
        <v>2381.0956195526392</v>
      </c>
      <c r="V38" s="7"/>
      <c r="W38" s="23">
        <f t="shared" si="1"/>
        <v>-2381.0956195526392</v>
      </c>
      <c r="X38" s="7"/>
      <c r="Y38" s="334">
        <f t="shared" si="5"/>
        <v>-71.147566843536595</v>
      </c>
      <c r="Z38" s="290"/>
      <c r="AB38" s="182">
        <f>+IF(AB37&gt;$G$13+$G$14,XX,AB37+1)</f>
        <v>2015</v>
      </c>
      <c r="AC38" s="152"/>
      <c r="AD38" s="187">
        <f t="shared" si="2"/>
        <v>33467</v>
      </c>
      <c r="AE38" s="4"/>
      <c r="AF38" s="190">
        <f t="shared" si="14"/>
        <v>69.512480305295369</v>
      </c>
      <c r="AG38" s="4"/>
      <c r="AH38" s="190">
        <f t="shared" si="15"/>
        <v>13.606086680759718</v>
      </c>
      <c r="AI38" s="4"/>
      <c r="AJ38" s="190">
        <f t="shared" si="16"/>
        <v>3.9862532369939716</v>
      </c>
      <c r="AK38" s="4"/>
      <c r="AL38" s="189">
        <f t="shared" si="6"/>
        <v>1523.2916689616573</v>
      </c>
      <c r="AM38" s="4"/>
      <c r="AN38" s="190">
        <f>INDEX('(2.2)_Forward_Price_Curve'!$K:$K,MATCH($AB38,'(2.2)_Forward_Price_Curve'!$C:$C,0),1)</f>
        <v>4.8512499999999994</v>
      </c>
      <c r="AO38" s="4"/>
      <c r="AP38" s="190">
        <f t="shared" si="7"/>
        <v>36.863031666666672</v>
      </c>
      <c r="AQ38" s="4"/>
      <c r="AR38" s="190">
        <f t="shared" si="17"/>
        <v>3.07918079160999</v>
      </c>
      <c r="AS38" s="190"/>
      <c r="AT38" s="189">
        <f t="shared" si="3"/>
        <v>1044.349595211494</v>
      </c>
      <c r="AU38" s="4"/>
      <c r="AV38" s="189">
        <f t="shared" si="4"/>
        <v>1336.7460243411451</v>
      </c>
      <c r="AW38" s="337"/>
      <c r="AX38" s="191">
        <f t="shared" si="8"/>
        <v>2381.0956195526392</v>
      </c>
      <c r="AZ38" s="182">
        <f>+IF(AZ37&gt;$G$13+$G$14,XX,AZ37+1)</f>
        <v>2015</v>
      </c>
      <c r="BA38" s="152"/>
      <c r="BB38" s="190">
        <f t="shared" si="18"/>
        <v>40.783853846074933</v>
      </c>
      <c r="BC38" s="4"/>
      <c r="BD38" s="190">
        <f t="shared" si="19"/>
        <v>14.296817134859591</v>
      </c>
      <c r="BE38" s="4"/>
      <c r="BF38" s="189">
        <f t="shared" si="9"/>
        <v>478.94207375016322</v>
      </c>
      <c r="BG38" s="4"/>
      <c r="BH38" s="193"/>
    </row>
    <row r="39" spans="2:60" ht="12">
      <c r="B39" s="3"/>
      <c r="C39" s="7">
        <f>+IF(C38&gt;$G$13+$G$14,XX,C38+1)</f>
        <v>2016</v>
      </c>
      <c r="D39" s="7"/>
      <c r="E39" s="330">
        <f>IF(AND(C39&gt;=2003,C39&lt;=2010),'(2.2)_Forward_Price_Curve'!$BS$43,IF(AND(C39&gt;=2011,C39&lt;=2020),'(2.2)_Forward_Price_Curve'!$BS$44,'(2.2)_Forward_Price_Curve'!$BS$45))</f>
        <v>2.9399999999999999E-2</v>
      </c>
      <c r="F39" s="7"/>
      <c r="G39" s="23">
        <f t="shared" si="10"/>
        <v>33467</v>
      </c>
      <c r="H39" s="7"/>
      <c r="I39" s="39">
        <f t="shared" si="11"/>
        <v>60.348555392346235</v>
      </c>
      <c r="J39" s="7"/>
      <c r="K39" s="39">
        <f t="shared" si="12"/>
        <v>0</v>
      </c>
      <c r="L39" s="7"/>
      <c r="M39" s="39">
        <f t="shared" si="13"/>
        <v>0</v>
      </c>
      <c r="N39" s="7"/>
      <c r="O39" s="333"/>
      <c r="P39" s="7"/>
      <c r="Q39" s="39"/>
      <c r="R39" s="7"/>
      <c r="S39" s="23">
        <v>0</v>
      </c>
      <c r="T39" s="7"/>
      <c r="U39" s="23">
        <f t="shared" si="0"/>
        <v>2453.5046831950881</v>
      </c>
      <c r="V39" s="7"/>
      <c r="W39" s="23">
        <f t="shared" si="1"/>
        <v>-2453.5046831950881</v>
      </c>
      <c r="X39" s="7"/>
      <c r="Y39" s="334">
        <f t="shared" si="5"/>
        <v>-73.311162733292136</v>
      </c>
      <c r="Z39" s="290"/>
      <c r="AB39" s="182">
        <f>+IF(AB38&gt;$G$13+$G$14,XX,AB38+1)</f>
        <v>2016</v>
      </c>
      <c r="AC39" s="152"/>
      <c r="AD39" s="187">
        <f t="shared" si="2"/>
        <v>33467</v>
      </c>
      <c r="AE39" s="4"/>
      <c r="AF39" s="190">
        <f t="shared" si="14"/>
        <v>71.556147226271065</v>
      </c>
      <c r="AG39" s="4"/>
      <c r="AH39" s="190">
        <f t="shared" si="15"/>
        <v>14.006105629174055</v>
      </c>
      <c r="AI39" s="4"/>
      <c r="AJ39" s="190">
        <f t="shared" si="16"/>
        <v>4.1034490821615943</v>
      </c>
      <c r="AK39" s="4"/>
      <c r="AL39" s="189">
        <f t="shared" si="6"/>
        <v>1568.0764440291305</v>
      </c>
      <c r="AM39" s="4"/>
      <c r="AN39" s="190">
        <f>INDEX('(2.2)_Forward_Price_Curve'!$K:$K,MATCH($AB39,'(2.2)_Forward_Price_Curve'!$C:$C,0),1)</f>
        <v>5.003333333333333</v>
      </c>
      <c r="AO39" s="4"/>
      <c r="AP39" s="190">
        <f t="shared" si="7"/>
        <v>38.018662222222225</v>
      </c>
      <c r="AQ39" s="4"/>
      <c r="AR39" s="190">
        <f t="shared" si="17"/>
        <v>3.1697087068833238</v>
      </c>
      <c r="AS39" s="190"/>
      <c r="AT39" s="189">
        <f t="shared" si="3"/>
        <v>1075.0534733107124</v>
      </c>
      <c r="AU39" s="4"/>
      <c r="AV39" s="189">
        <f t="shared" si="4"/>
        <v>1378.4512098843757</v>
      </c>
      <c r="AW39" s="337"/>
      <c r="AX39" s="191">
        <f t="shared" si="8"/>
        <v>2453.5046831950881</v>
      </c>
      <c r="AZ39" s="182">
        <f>+IF(AZ38&gt;$G$13+$G$14,XX,AZ38+1)</f>
        <v>2016</v>
      </c>
      <c r="BA39" s="152"/>
      <c r="BB39" s="190">
        <f t="shared" si="18"/>
        <v>41.982899149149539</v>
      </c>
      <c r="BC39" s="4"/>
      <c r="BD39" s="190">
        <f t="shared" si="19"/>
        <v>14.717143558624464</v>
      </c>
      <c r="BE39" s="4"/>
      <c r="BF39" s="189">
        <f t="shared" si="9"/>
        <v>493.02297071841798</v>
      </c>
      <c r="BG39" s="4"/>
      <c r="BH39" s="193"/>
    </row>
    <row r="40" spans="2:60" ht="12">
      <c r="B40" s="3"/>
      <c r="C40" s="7">
        <f>+IF(C39&gt;$G$13+$G$14,XX,C39+1)</f>
        <v>2017</v>
      </c>
      <c r="D40" s="7"/>
      <c r="E40" s="330">
        <f>IF(AND(C40&gt;=2003,C40&lt;=2010),'(2.2)_Forward_Price_Curve'!$BS$43,IF(AND(C40&gt;=2011,C40&lt;=2020),'(2.2)_Forward_Price_Curve'!$BS$44,'(2.2)_Forward_Price_Curve'!$BS$45))</f>
        <v>2.9399999999999999E-2</v>
      </c>
      <c r="F40" s="7"/>
      <c r="G40" s="23">
        <f t="shared" si="10"/>
        <v>33467</v>
      </c>
      <c r="H40" s="7"/>
      <c r="I40" s="39">
        <f t="shared" si="11"/>
        <v>62.12280292088122</v>
      </c>
      <c r="J40" s="7"/>
      <c r="K40" s="39">
        <f t="shared" si="12"/>
        <v>0</v>
      </c>
      <c r="L40" s="7"/>
      <c r="M40" s="39">
        <f t="shared" si="13"/>
        <v>0</v>
      </c>
      <c r="N40" s="7"/>
      <c r="O40" s="333"/>
      <c r="P40" s="7"/>
      <c r="Q40" s="39"/>
      <c r="R40" s="7"/>
      <c r="S40" s="23">
        <v>0</v>
      </c>
      <c r="T40" s="7"/>
      <c r="U40" s="23">
        <f t="shared" si="0"/>
        <v>2528.6008778161117</v>
      </c>
      <c r="V40" s="7"/>
      <c r="W40" s="23">
        <f t="shared" si="1"/>
        <v>-2528.6008778161117</v>
      </c>
      <c r="X40" s="7"/>
      <c r="Y40" s="334">
        <f t="shared" si="5"/>
        <v>-75.555050581650931</v>
      </c>
      <c r="Z40" s="290"/>
      <c r="AB40" s="182">
        <f>+IF(AB39&gt;$G$13+$G$14,XX,AB39+1)</f>
        <v>2017</v>
      </c>
      <c r="AC40" s="152"/>
      <c r="AD40" s="187">
        <f t="shared" si="2"/>
        <v>33467</v>
      </c>
      <c r="AE40" s="4"/>
      <c r="AF40" s="190">
        <f t="shared" si="14"/>
        <v>73.659897954723448</v>
      </c>
      <c r="AG40" s="4"/>
      <c r="AH40" s="190">
        <f t="shared" si="15"/>
        <v>14.417885134671774</v>
      </c>
      <c r="AI40" s="4"/>
      <c r="AJ40" s="190">
        <f t="shared" si="16"/>
        <v>4.2240904851771459</v>
      </c>
      <c r="AK40" s="4"/>
      <c r="AL40" s="189">
        <f t="shared" si="6"/>
        <v>1614.1778914835872</v>
      </c>
      <c r="AM40" s="4"/>
      <c r="AN40" s="190">
        <f>INDEX('(2.2)_Forward_Price_Curve'!$K:$K,MATCH($AB40,'(2.2)_Forward_Price_Curve'!$C:$C,0),1)</f>
        <v>5.1620833333333334</v>
      </c>
      <c r="AO40" s="4"/>
      <c r="AP40" s="190">
        <f t="shared" si="7"/>
        <v>39.224950555555559</v>
      </c>
      <c r="AQ40" s="4"/>
      <c r="AR40" s="190">
        <f t="shared" si="17"/>
        <v>3.2628981428656938</v>
      </c>
      <c r="AS40" s="190"/>
      <c r="AT40" s="189">
        <f t="shared" si="3"/>
        <v>1106.6600454260476</v>
      </c>
      <c r="AU40" s="4"/>
      <c r="AV40" s="189">
        <f t="shared" si="4"/>
        <v>1421.9408323900641</v>
      </c>
      <c r="AW40" s="337"/>
      <c r="AX40" s="191">
        <f t="shared" si="8"/>
        <v>2528.6008778161117</v>
      </c>
      <c r="AZ40" s="182">
        <f>+IF(AZ39&gt;$G$13+$G$14,XX,AZ39+1)</f>
        <v>2017</v>
      </c>
      <c r="BA40" s="152"/>
      <c r="BB40" s="190">
        <f t="shared" si="18"/>
        <v>43.217196384134539</v>
      </c>
      <c r="BC40" s="4"/>
      <c r="BD40" s="190">
        <f t="shared" si="19"/>
        <v>15.149827579248024</v>
      </c>
      <c r="BE40" s="4"/>
      <c r="BF40" s="189">
        <f t="shared" si="9"/>
        <v>507.51784605753954</v>
      </c>
      <c r="BG40" s="4"/>
      <c r="BH40" s="193"/>
    </row>
    <row r="41" spans="2:60" ht="12">
      <c r="B41" s="3"/>
      <c r="C41" s="7">
        <f>+IF(C40&gt;$G$13+$G$14,XX,C40+1)</f>
        <v>2018</v>
      </c>
      <c r="D41" s="7"/>
      <c r="E41" s="330">
        <f>IF(AND(C41&gt;=2003,C41&lt;=2010),'(2.2)_Forward_Price_Curve'!$BS$43,IF(AND(C41&gt;=2011,C41&lt;=2020),'(2.2)_Forward_Price_Curve'!$BS$44,'(2.2)_Forward_Price_Curve'!$BS$45))</f>
        <v>2.9399999999999999E-2</v>
      </c>
      <c r="F41" s="7"/>
      <c r="G41" s="23">
        <f t="shared" si="10"/>
        <v>33467</v>
      </c>
      <c r="H41" s="7"/>
      <c r="I41" s="39">
        <f t="shared" si="11"/>
        <v>63.949213326755135</v>
      </c>
      <c r="J41" s="7"/>
      <c r="K41" s="39">
        <f t="shared" si="12"/>
        <v>0</v>
      </c>
      <c r="L41" s="7"/>
      <c r="M41" s="39">
        <f t="shared" si="13"/>
        <v>0</v>
      </c>
      <c r="N41" s="7"/>
      <c r="O41" s="333"/>
      <c r="P41" s="7"/>
      <c r="Q41" s="39"/>
      <c r="R41" s="7"/>
      <c r="S41" s="23">
        <v>0</v>
      </c>
      <c r="T41" s="7"/>
      <c r="U41" s="23">
        <f t="shared" si="0"/>
        <v>2607.8968047371009</v>
      </c>
      <c r="V41" s="7"/>
      <c r="W41" s="23">
        <f t="shared" si="1"/>
        <v>-2607.8968047371009</v>
      </c>
      <c r="X41" s="7"/>
      <c r="Y41" s="334">
        <f t="shared" si="5"/>
        <v>-77.924427189084795</v>
      </c>
      <c r="Z41" s="290"/>
      <c r="AB41" s="182">
        <f>+IF(AB40&gt;$G$13+$G$14,XX,AB40+1)</f>
        <v>2018</v>
      </c>
      <c r="AC41" s="152"/>
      <c r="AD41" s="187">
        <f t="shared" si="2"/>
        <v>33467</v>
      </c>
      <c r="AE41" s="4"/>
      <c r="AF41" s="190">
        <f t="shared" si="14"/>
        <v>75.825498954592319</v>
      </c>
      <c r="AG41" s="4"/>
      <c r="AH41" s="190">
        <f t="shared" si="15"/>
        <v>14.841770957631125</v>
      </c>
      <c r="AI41" s="4"/>
      <c r="AJ41" s="190">
        <f t="shared" si="16"/>
        <v>4.3482787454413545</v>
      </c>
      <c r="AK41" s="4"/>
      <c r="AL41" s="189">
        <f t="shared" si="6"/>
        <v>1661.6347214932046</v>
      </c>
      <c r="AM41" s="4"/>
      <c r="AN41" s="190">
        <f>INDEX('(2.2)_Forward_Price_Curve'!$K:$K,MATCH($AB41,'(2.2)_Forward_Price_Curve'!$C:$C,0),1)</f>
        <v>5.333333333333333</v>
      </c>
      <c r="AO41" s="4"/>
      <c r="AP41" s="190">
        <f t="shared" si="7"/>
        <v>40.526222222222223</v>
      </c>
      <c r="AQ41" s="4"/>
      <c r="AR41" s="190">
        <f t="shared" si="17"/>
        <v>3.3588273482659456</v>
      </c>
      <c r="AS41" s="190"/>
      <c r="AT41" s="189">
        <f t="shared" si="3"/>
        <v>1139.1958507615732</v>
      </c>
      <c r="AU41" s="4"/>
      <c r="AV41" s="189">
        <f t="shared" si="4"/>
        <v>1468.7009539755275</v>
      </c>
      <c r="AW41" s="337"/>
      <c r="AX41" s="191">
        <f t="shared" si="8"/>
        <v>2607.8968047371009</v>
      </c>
      <c r="AZ41" s="182">
        <f>+IF(AZ40&gt;$G$13+$G$14,XX,AZ40+1)</f>
        <v>2018</v>
      </c>
      <c r="BA41" s="152"/>
      <c r="BB41" s="190">
        <f t="shared" si="18"/>
        <v>44.487781957828098</v>
      </c>
      <c r="BC41" s="4"/>
      <c r="BD41" s="190">
        <f t="shared" si="19"/>
        <v>15.595232510077917</v>
      </c>
      <c r="BE41" s="4"/>
      <c r="BF41" s="189">
        <f t="shared" si="9"/>
        <v>522.43887073163125</v>
      </c>
      <c r="BG41" s="4"/>
      <c r="BH41" s="193"/>
    </row>
    <row r="42" spans="2:60" ht="12">
      <c r="B42" s="3"/>
      <c r="C42" s="7">
        <f>+IF(C41&gt;$G$13+$G$14,XX,C41+1)</f>
        <v>2019</v>
      </c>
      <c r="D42" s="7"/>
      <c r="E42" s="330">
        <f>IF(AND(C42&gt;=2003,C42&lt;=2010),'(2.2)_Forward_Price_Curve'!$BS$43,IF(AND(C42&gt;=2011,C42&lt;=2020),'(2.2)_Forward_Price_Curve'!$BS$44,'(2.2)_Forward_Price_Curve'!$BS$45))</f>
        <v>2.9399999999999999E-2</v>
      </c>
      <c r="F42" s="7"/>
      <c r="G42" s="23">
        <f t="shared" si="10"/>
        <v>33467</v>
      </c>
      <c r="H42" s="7"/>
      <c r="I42" s="39">
        <f t="shared" si="11"/>
        <v>65.829320198561746</v>
      </c>
      <c r="J42" s="7"/>
      <c r="K42" s="39">
        <f t="shared" si="12"/>
        <v>0</v>
      </c>
      <c r="L42" s="7"/>
      <c r="M42" s="39">
        <f t="shared" si="13"/>
        <v>0</v>
      </c>
      <c r="N42" s="7"/>
      <c r="O42" s="333"/>
      <c r="P42" s="7"/>
      <c r="Q42" s="39"/>
      <c r="R42" s="7"/>
      <c r="S42" s="23">
        <v>0</v>
      </c>
      <c r="T42" s="7"/>
      <c r="U42" s="23">
        <f t="shared" si="0"/>
        <v>2690.8926779527274</v>
      </c>
      <c r="V42" s="7"/>
      <c r="W42" s="23">
        <f t="shared" si="1"/>
        <v>-2690.8926779527274</v>
      </c>
      <c r="X42" s="7"/>
      <c r="Y42" s="334">
        <f t="shared" si="5"/>
        <v>-80.404358859555003</v>
      </c>
      <c r="Z42" s="290"/>
      <c r="AB42" s="182">
        <f>+IF(AB41&gt;$G$13+$G$14,XX,AB41+1)</f>
        <v>2019</v>
      </c>
      <c r="AC42" s="152"/>
      <c r="AD42" s="187">
        <f t="shared" si="2"/>
        <v>33467</v>
      </c>
      <c r="AE42" s="4"/>
      <c r="AF42" s="190">
        <f t="shared" si="14"/>
        <v>78.054768623857342</v>
      </c>
      <c r="AG42" s="4"/>
      <c r="AH42" s="190">
        <f t="shared" si="15"/>
        <v>15.278119023785482</v>
      </c>
      <c r="AI42" s="4"/>
      <c r="AJ42" s="190">
        <f t="shared" si="16"/>
        <v>4.4761181405573307</v>
      </c>
      <c r="AK42" s="4"/>
      <c r="AL42" s="189">
        <f t="shared" si="6"/>
        <v>1710.486782305105</v>
      </c>
      <c r="AM42" s="4"/>
      <c r="AN42" s="190">
        <f>INDEX('(2.2)_Forward_Price_Curve'!$K:$K,MATCH($AB42,'(2.2)_Forward_Price_Curve'!$C:$C,0),1)</f>
        <v>5.5149999999999997</v>
      </c>
      <c r="AO42" s="4"/>
      <c r="AP42" s="190">
        <f t="shared" si="7"/>
        <v>41.906646666666667</v>
      </c>
      <c r="AQ42" s="4"/>
      <c r="AR42" s="190">
        <f t="shared" si="17"/>
        <v>3.4575768723049647</v>
      </c>
      <c r="AS42" s="190"/>
      <c r="AT42" s="189">
        <f t="shared" si="3"/>
        <v>1172.6882087739637</v>
      </c>
      <c r="AU42" s="4"/>
      <c r="AV42" s="189">
        <f t="shared" si="4"/>
        <v>1518.2044691787635</v>
      </c>
      <c r="AW42" s="337"/>
      <c r="AX42" s="191">
        <f t="shared" si="8"/>
        <v>2690.8926779527274</v>
      </c>
      <c r="AZ42" s="182">
        <f>+IF(AZ41&gt;$G$13+$G$14,XX,AZ41+1)</f>
        <v>2019</v>
      </c>
      <c r="BA42" s="152"/>
      <c r="BB42" s="190">
        <f t="shared" si="18"/>
        <v>45.795722747388247</v>
      </c>
      <c r="BC42" s="4"/>
      <c r="BD42" s="190">
        <f t="shared" si="19"/>
        <v>16.053732345874209</v>
      </c>
      <c r="BE42" s="4"/>
      <c r="BF42" s="189">
        <f t="shared" si="9"/>
        <v>537.79857353114119</v>
      </c>
      <c r="BG42" s="4"/>
      <c r="BH42" s="193"/>
    </row>
    <row r="43" spans="2:60" ht="12">
      <c r="B43" s="3"/>
      <c r="C43" s="7"/>
      <c r="D43" s="7"/>
      <c r="E43" s="330"/>
      <c r="F43" s="7"/>
      <c r="G43" s="23"/>
      <c r="H43" s="7"/>
      <c r="I43" s="39"/>
      <c r="J43" s="7"/>
      <c r="K43" s="39"/>
      <c r="L43" s="7"/>
      <c r="M43" s="39"/>
      <c r="N43" s="7"/>
      <c r="O43" s="333"/>
      <c r="P43" s="7"/>
      <c r="Q43" s="39"/>
      <c r="R43" s="7"/>
      <c r="S43" s="23"/>
      <c r="T43" s="7"/>
      <c r="U43" s="23"/>
      <c r="V43" s="7"/>
      <c r="W43" s="23"/>
      <c r="X43" s="7"/>
      <c r="Y43" s="334"/>
      <c r="Z43" s="290"/>
      <c r="AB43" s="182"/>
      <c r="AC43" s="152"/>
      <c r="AD43" s="187"/>
      <c r="AE43" s="4"/>
      <c r="AF43" s="190"/>
      <c r="AG43" s="4"/>
      <c r="AH43" s="190"/>
      <c r="AI43" s="4"/>
      <c r="AJ43" s="190"/>
      <c r="AK43" s="4"/>
      <c r="AL43" s="189"/>
      <c r="AM43" s="4"/>
      <c r="AN43" s="190"/>
      <c r="AO43" s="4"/>
      <c r="AP43" s="190"/>
      <c r="AQ43" s="4"/>
      <c r="AR43" s="190"/>
      <c r="AS43" s="190"/>
      <c r="AT43" s="189"/>
      <c r="AU43" s="4"/>
      <c r="AV43" s="189"/>
      <c r="AW43" s="337"/>
      <c r="AX43" s="191"/>
      <c r="AZ43" s="182"/>
      <c r="BA43" s="152"/>
      <c r="BB43" s="190"/>
      <c r="BC43" s="4"/>
      <c r="BD43" s="190"/>
      <c r="BE43" s="4"/>
      <c r="BF43" s="189"/>
      <c r="BG43" s="4"/>
      <c r="BH43" s="193"/>
    </row>
    <row r="44" spans="2:60" ht="12">
      <c r="B44" s="3"/>
      <c r="C44" s="7"/>
      <c r="D44" s="7"/>
      <c r="E44" s="330"/>
      <c r="F44" s="7"/>
      <c r="G44" s="23"/>
      <c r="H44" s="7"/>
      <c r="I44" s="39"/>
      <c r="J44" s="7"/>
      <c r="K44" s="39"/>
      <c r="L44" s="7"/>
      <c r="M44" s="39"/>
      <c r="N44" s="7"/>
      <c r="O44" s="333"/>
      <c r="P44" s="7"/>
      <c r="Q44" s="39"/>
      <c r="R44" s="7"/>
      <c r="S44" s="23"/>
      <c r="T44" s="7"/>
      <c r="U44" s="23"/>
      <c r="V44" s="7"/>
      <c r="W44" s="23"/>
      <c r="X44" s="7"/>
      <c r="Y44" s="334"/>
      <c r="Z44" s="290"/>
      <c r="AB44" s="182"/>
      <c r="AC44" s="152"/>
      <c r="AD44" s="187"/>
      <c r="AE44" s="4"/>
      <c r="AF44" s="190"/>
      <c r="AG44" s="4"/>
      <c r="AH44" s="190"/>
      <c r="AI44" s="4"/>
      <c r="AJ44" s="190"/>
      <c r="AK44" s="4"/>
      <c r="AL44" s="189"/>
      <c r="AM44" s="4"/>
      <c r="AN44" s="190"/>
      <c r="AO44" s="4"/>
      <c r="AP44" s="190"/>
      <c r="AQ44" s="4"/>
      <c r="AR44" s="190"/>
      <c r="AS44" s="190"/>
      <c r="AT44" s="189"/>
      <c r="AU44" s="4"/>
      <c r="AV44" s="189"/>
      <c r="AW44" s="337"/>
      <c r="AX44" s="191"/>
      <c r="AZ44" s="182"/>
      <c r="BA44" s="152"/>
      <c r="BB44" s="190"/>
      <c r="BC44" s="4"/>
      <c r="BD44" s="190"/>
      <c r="BE44" s="4"/>
      <c r="BF44" s="189"/>
      <c r="BG44" s="4"/>
      <c r="BH44" s="193"/>
    </row>
    <row r="45" spans="2:60">
      <c r="B45" s="3"/>
      <c r="C45" s="7"/>
      <c r="D45" s="4"/>
      <c r="E45" s="210"/>
      <c r="F45" s="4"/>
      <c r="G45" s="328"/>
      <c r="H45" s="4"/>
      <c r="I45" s="328"/>
      <c r="J45" s="4"/>
      <c r="K45" s="328"/>
      <c r="L45" s="4"/>
      <c r="M45" s="328"/>
      <c r="N45" s="4"/>
      <c r="O45" s="328"/>
      <c r="P45" s="4"/>
      <c r="Q45" s="328"/>
      <c r="R45" s="4"/>
      <c r="S45" s="328"/>
      <c r="T45" s="4"/>
      <c r="U45" s="328"/>
      <c r="V45" s="4"/>
      <c r="W45" s="328"/>
      <c r="X45" s="4"/>
      <c r="Y45" s="338"/>
      <c r="Z45" s="290"/>
      <c r="AB45" s="3"/>
      <c r="AC45" s="4"/>
      <c r="AD45" s="4"/>
      <c r="AE45" s="4"/>
      <c r="AF45" s="339"/>
      <c r="AG45" s="4"/>
      <c r="AH45" s="339"/>
      <c r="AI45" s="4"/>
      <c r="AJ45" s="339"/>
      <c r="AK45" s="4"/>
      <c r="AL45" s="337"/>
      <c r="AM45" s="4"/>
      <c r="AN45" s="339"/>
      <c r="AO45" s="4"/>
      <c r="AP45" s="339"/>
      <c r="AQ45" s="4"/>
      <c r="AR45" s="339"/>
      <c r="AS45" s="339"/>
      <c r="AT45" s="339"/>
      <c r="AU45" s="4"/>
      <c r="AV45" s="337"/>
      <c r="AW45" s="337"/>
      <c r="AX45" s="340"/>
      <c r="AZ45" s="3"/>
      <c r="BA45" s="4"/>
      <c r="BB45" s="339"/>
      <c r="BC45" s="4"/>
      <c r="BD45" s="4"/>
      <c r="BE45" s="4"/>
      <c r="BF45" s="337"/>
      <c r="BG45" s="4"/>
      <c r="BH45" s="290"/>
    </row>
    <row r="46" spans="2:60">
      <c r="B46" s="3"/>
      <c r="C46" s="7"/>
      <c r="D46" s="4"/>
      <c r="E46" s="210"/>
      <c r="F46" s="4"/>
      <c r="G46" s="328"/>
      <c r="H46" s="4"/>
      <c r="I46" s="328"/>
      <c r="J46" s="4"/>
      <c r="K46" s="328"/>
      <c r="L46" s="4"/>
      <c r="M46" s="328"/>
      <c r="N46" s="4"/>
      <c r="O46" s="328"/>
      <c r="P46" s="4"/>
      <c r="Q46" s="328"/>
      <c r="R46" s="4"/>
      <c r="S46" s="328"/>
      <c r="T46" s="4"/>
      <c r="U46" s="328"/>
      <c r="V46" s="4"/>
      <c r="W46" s="328"/>
      <c r="X46" s="4"/>
      <c r="Y46" s="338"/>
      <c r="Z46" s="290"/>
      <c r="AB46" s="3"/>
      <c r="AC46" s="4"/>
      <c r="AD46" s="4"/>
      <c r="AE46" s="4"/>
      <c r="AF46" s="339"/>
      <c r="AG46" s="4"/>
      <c r="AH46" s="339"/>
      <c r="AI46" s="4"/>
      <c r="AJ46" s="339"/>
      <c r="AK46" s="4"/>
      <c r="AL46" s="337"/>
      <c r="AM46" s="4"/>
      <c r="AN46" s="339"/>
      <c r="AO46" s="4"/>
      <c r="AP46" s="339"/>
      <c r="AQ46" s="4"/>
      <c r="AR46" s="339"/>
      <c r="AS46" s="339"/>
      <c r="AT46" s="339"/>
      <c r="AU46" s="4"/>
      <c r="AV46" s="337"/>
      <c r="AW46" s="337"/>
      <c r="AX46" s="340"/>
      <c r="AZ46" s="3"/>
      <c r="BA46" s="4"/>
      <c r="BB46" s="339"/>
      <c r="BC46" s="4"/>
      <c r="BD46" s="4"/>
      <c r="BE46" s="4"/>
      <c r="BF46" s="337"/>
      <c r="BG46" s="4"/>
      <c r="BH46" s="290"/>
    </row>
    <row r="47" spans="2:60" ht="12">
      <c r="B47" s="3"/>
      <c r="C47" s="341" t="str">
        <f>G14&amp;"-year Nominal Levelized at "&amp;TEXT($G$18,"#.00%")</f>
        <v>14-year Nominal Levelized at 7.20%</v>
      </c>
      <c r="E47" s="210"/>
      <c r="F47" s="4"/>
      <c r="G47" s="355">
        <f>+-PMT($G$18,$G$14,NPV($G$18,G28:G42))</f>
        <v>34831.910590686253</v>
      </c>
      <c r="H47" s="7"/>
      <c r="I47" s="39">
        <f>+-PMT($G$18,$G$14,NPV($G$18,I28:I42))</f>
        <v>54.929909651973666</v>
      </c>
      <c r="J47" s="39"/>
      <c r="K47" s="39">
        <f>+-PMT($G$18,$G$14,NPV($G$18,K28:K42))</f>
        <v>0</v>
      </c>
      <c r="L47" s="7"/>
      <c r="M47" s="39">
        <f>+-PMT($G$18,$G$14,NPV($G$18,M28:M43))</f>
        <v>0</v>
      </c>
      <c r="N47" s="7"/>
      <c r="O47" s="39">
        <f>+-PMT($G$18,$G$14,NPV($G$18,O28:O42))</f>
        <v>0</v>
      </c>
      <c r="P47" s="7"/>
      <c r="Q47" s="39">
        <f>+-PMT($G$18,$G$14,NPV($G$18,Q28:Q42))</f>
        <v>0</v>
      </c>
      <c r="R47" s="7"/>
      <c r="S47" s="23">
        <f>+-PMT($G$18,$G$14,NPV($G$18,S28:S42))</f>
        <v>113.44495737553754</v>
      </c>
      <c r="T47" s="7"/>
      <c r="U47" s="23">
        <f>+-PMT($G$18,$G$14,NPV($G$18,U28:U42))</f>
        <v>2336.8699264847774</v>
      </c>
      <c r="V47" s="4"/>
      <c r="W47" s="23">
        <f>+-PMT($G$18,$G$14,NPV($G$18,W28:W42))</f>
        <v>-2223.42496910924</v>
      </c>
      <c r="X47" s="4"/>
      <c r="Y47" s="334">
        <f>+-PMT($G$18,$G$14,NPV($G$18,Y28:Y42))</f>
        <v>-66.436339352473794</v>
      </c>
      <c r="Z47" s="290"/>
      <c r="AB47" s="3"/>
      <c r="AC47" s="4"/>
      <c r="AD47" s="187">
        <f>+-PMT($G$18,$G$14,NPV($G$18,AD28:AD42))</f>
        <v>34831.910590686253</v>
      </c>
      <c r="AE47" s="4"/>
      <c r="AF47" s="190">
        <f>+-PMT($G$18,$G$14,NPV($G$18,AF28:AF42))</f>
        <v>65.131181295532613</v>
      </c>
      <c r="AG47" s="4"/>
      <c r="AH47" s="190">
        <f>+-PMT($G$18,$G$14,NPV($G$18,AH28:AH42))</f>
        <v>12.748509252370681</v>
      </c>
      <c r="AI47" s="4"/>
      <c r="AJ47" s="190">
        <f>+-PMT($G$18,$G$14,NPV($G$18,AJ28:AJ42))</f>
        <v>3.7350038601453819</v>
      </c>
      <c r="AK47" s="4"/>
      <c r="AL47" s="189">
        <f>+-PMT($G$18,$G$14,NPV($G$18,AL28:AL42))</f>
        <v>1427.2801865416702</v>
      </c>
      <c r="AM47" s="4"/>
      <c r="AN47" s="190">
        <f>+-PMT($G$18,$G$14,NPV($G$18,AN28:AN43))</f>
        <v>4.9617228999631546</v>
      </c>
      <c r="AO47" s="4">
        <f>+-PMT($G$18,$G$14,NPV($G$18,AO28:AO42))</f>
        <v>0</v>
      </c>
      <c r="AP47" s="190">
        <f>+-PMT($G$18,$G$14,NPV($G$18,AP28:AP42))</f>
        <v>37.702478409186689</v>
      </c>
      <c r="AQ47" s="4"/>
      <c r="AR47" s="190">
        <f>+-PMT($G$18,$G$14,NPV($G$18,AR28:AR42))</f>
        <v>2.8851032433206703</v>
      </c>
      <c r="AS47" s="190"/>
      <c r="AT47" s="189">
        <f>+-PMT($G$18,$G$14,NPV($G$18,AT28:AT42))</f>
        <v>978.52533132031351</v>
      </c>
      <c r="AU47" s="4"/>
      <c r="AV47" s="189">
        <f>+-PMT($G$18,$G$14,NPV($G$18,AV28:AV42))</f>
        <v>1358.344595164464</v>
      </c>
      <c r="AW47" s="337"/>
      <c r="AX47" s="191">
        <f>+-PMT($G$18,$G$14,NPV($G$18,AX28:AX42))</f>
        <v>2336.8699264847774</v>
      </c>
      <c r="AZ47" s="3"/>
      <c r="BA47" s="4"/>
      <c r="BB47" s="190">
        <f>+-PMT($G$18,$G$14,NPV($G$18,BB28:BB42))</f>
        <v>38.213290147508346</v>
      </c>
      <c r="BC47" s="4"/>
      <c r="BD47" s="190">
        <f>+-PMT($G$18,$G$14,NPV($G$18,BD28:BD42))</f>
        <v>13.395703687596399</v>
      </c>
      <c r="BE47" s="4"/>
      <c r="BF47" s="189">
        <f>+-PMT($G$18,$G$14,NPV($G$18,BF28:BF42))</f>
        <v>448.75485522135665</v>
      </c>
      <c r="BG47" s="4"/>
      <c r="BH47" s="193"/>
    </row>
    <row r="48" spans="2:60">
      <c r="B48" s="3"/>
      <c r="C48" s="4"/>
      <c r="D48" s="4"/>
      <c r="E48" s="210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342"/>
      <c r="X48" s="4"/>
      <c r="Y48" s="343"/>
      <c r="Z48" s="290"/>
      <c r="AB48" s="3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337"/>
      <c r="AU48" s="4"/>
      <c r="AV48" s="4"/>
      <c r="AW48" s="4"/>
      <c r="AX48" s="290"/>
      <c r="AZ48" s="3"/>
      <c r="BA48" s="4"/>
      <c r="BB48" s="4"/>
      <c r="BC48" s="4"/>
      <c r="BD48" s="4"/>
      <c r="BE48" s="4"/>
      <c r="BF48" s="4"/>
      <c r="BG48" s="4"/>
      <c r="BH48" s="290"/>
    </row>
    <row r="49" spans="2:60">
      <c r="B49" s="294"/>
      <c r="C49" s="344"/>
      <c r="D49" s="344"/>
      <c r="E49" s="345"/>
      <c r="F49" s="344"/>
      <c r="G49" s="344"/>
      <c r="H49" s="344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  <c r="Z49" s="297"/>
      <c r="AB49" s="294"/>
      <c r="AC49" s="344"/>
      <c r="AD49" s="344"/>
      <c r="AE49" s="344"/>
      <c r="AF49" s="344"/>
      <c r="AG49" s="344"/>
      <c r="AH49" s="344"/>
      <c r="AI49" s="344"/>
      <c r="AJ49" s="344"/>
      <c r="AK49" s="344"/>
      <c r="AL49" s="344"/>
      <c r="AM49" s="344"/>
      <c r="AN49" s="344"/>
      <c r="AO49" s="344"/>
      <c r="AP49" s="344"/>
      <c r="AQ49" s="344"/>
      <c r="AR49" s="344"/>
      <c r="AS49" s="344"/>
      <c r="AT49" s="344"/>
      <c r="AU49" s="344"/>
      <c r="AV49" s="344"/>
      <c r="AW49" s="344"/>
      <c r="AX49" s="297"/>
      <c r="AZ49" s="294"/>
      <c r="BA49" s="344"/>
      <c r="BB49" s="344"/>
      <c r="BC49" s="344"/>
      <c r="BD49" s="344"/>
      <c r="BE49" s="344"/>
      <c r="BF49" s="344"/>
      <c r="BG49" s="344"/>
      <c r="BH49" s="297"/>
    </row>
    <row r="50" spans="2:60">
      <c r="E50" s="346"/>
    </row>
    <row r="51" spans="2:60">
      <c r="E51" s="346"/>
      <c r="G51" s="347"/>
      <c r="I51" s="347"/>
      <c r="K51" s="347"/>
      <c r="O51" s="347"/>
      <c r="Q51" s="347"/>
      <c r="S51" s="347"/>
      <c r="U51" s="347"/>
      <c r="W51" s="347"/>
    </row>
    <row r="52" spans="2:60">
      <c r="E52" s="346"/>
    </row>
    <row r="53" spans="2:60">
      <c r="E53" s="346"/>
    </row>
    <row r="54" spans="2:60">
      <c r="E54" s="346"/>
    </row>
    <row r="55" spans="2:60">
      <c r="E55" s="346"/>
    </row>
    <row r="56" spans="2:60">
      <c r="E56" s="346"/>
    </row>
    <row r="57" spans="2:60">
      <c r="E57" s="346"/>
    </row>
    <row r="58" spans="2:60">
      <c r="E58" s="346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</sheetData>
  <pageMargins left="0.25" right="0.25" top="0.25" bottom="0.75" header="0.3" footer="0.3"/>
  <pageSetup paperSize="5" scale="4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92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Index'!C4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233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216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49">
        <v>1.6</v>
      </c>
      <c r="H11" s="313"/>
      <c r="AB11" s="157" t="s">
        <v>111</v>
      </c>
      <c r="AC11" s="158"/>
      <c r="AD11" s="158"/>
      <c r="AE11" s="158"/>
      <c r="AF11" s="350">
        <f>+G11*(G12/AJ16)</f>
        <v>1.3669664617983466</v>
      </c>
      <c r="AG11" s="162"/>
      <c r="AH11" s="158" t="s">
        <v>112</v>
      </c>
      <c r="AI11" s="159"/>
      <c r="AJ11" s="206">
        <f>'(2.1)_Resources'!$N$81</f>
        <v>6.6035087719298247</v>
      </c>
      <c r="AK11" s="290"/>
      <c r="AZ11" s="157" t="s">
        <v>111</v>
      </c>
      <c r="BA11" s="158"/>
      <c r="BB11" s="158"/>
      <c r="BC11" s="158"/>
      <c r="BD11" s="350">
        <f>(AF11*AF13-G11*G19)</f>
        <v>0.31224391811604368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51">
        <v>0.65920158980143928</v>
      </c>
      <c r="H12" s="313"/>
      <c r="AB12" s="157" t="s">
        <v>40</v>
      </c>
      <c r="AC12" s="158"/>
      <c r="AD12" s="158"/>
      <c r="AE12" s="158"/>
      <c r="AF12" s="166">
        <f>+AD66/8760/AF11</f>
        <v>0.75638624229954932</v>
      </c>
      <c r="AG12" s="162"/>
      <c r="AH12" s="152" t="s">
        <v>113</v>
      </c>
      <c r="AI12" s="153"/>
      <c r="AJ12" s="152">
        <v>2002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1999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206">
        <f>'(2.1)_Resources'!$O$81</f>
        <v>1.5426421100500227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39</v>
      </c>
      <c r="H14" s="313"/>
      <c r="AB14" s="157" t="s">
        <v>116</v>
      </c>
      <c r="AC14" s="158"/>
      <c r="AD14" s="158"/>
      <c r="AE14" s="158"/>
      <c r="AF14" s="169">
        <f>'(2.1)_Resources'!$H$81</f>
        <v>7163.7407912687586</v>
      </c>
      <c r="AG14" s="162"/>
      <c r="AH14" s="152"/>
      <c r="AI14" s="153"/>
      <c r="AJ14" s="206"/>
      <c r="AK14" s="290"/>
      <c r="AZ14" s="157" t="s">
        <v>117</v>
      </c>
      <c r="BA14" s="158"/>
      <c r="BB14" s="158"/>
      <c r="BC14" s="158"/>
      <c r="BD14" s="207">
        <f>'(2.1)_Resources'!$J$82</f>
        <v>482</v>
      </c>
      <c r="BE14" s="167"/>
    </row>
    <row r="15" spans="1:57" ht="12">
      <c r="A15" s="171" t="s">
        <v>217</v>
      </c>
      <c r="B15" s="310"/>
      <c r="C15" s="311" t="s">
        <v>119</v>
      </c>
      <c r="D15" s="311"/>
      <c r="E15" s="311"/>
      <c r="F15" s="311"/>
      <c r="G15" s="352">
        <f>S28*1000/(G11*1000)</f>
        <v>318.75</v>
      </c>
      <c r="H15" s="313"/>
      <c r="AB15" s="157" t="s">
        <v>218</v>
      </c>
      <c r="AC15" s="158"/>
      <c r="AD15" s="158"/>
      <c r="AE15" s="158"/>
      <c r="AF15" s="207">
        <f>'(2.1)_Resources'!$J$81</f>
        <v>625</v>
      </c>
      <c r="AG15" s="162"/>
      <c r="AH15" s="152" t="s">
        <v>166</v>
      </c>
      <c r="AI15" s="153"/>
      <c r="AJ15" s="206">
        <f>'(2.1)_Resources'!$P$81</f>
        <v>3.1491524416152528</v>
      </c>
      <c r="AK15" s="290"/>
      <c r="AZ15" s="157" t="s">
        <v>120</v>
      </c>
      <c r="BA15" s="158"/>
      <c r="BB15" s="158"/>
      <c r="BC15" s="158"/>
      <c r="BD15" s="172">
        <f>'(2.1)_Resources'!$K$82</f>
        <v>9.5899999999999999E-2</v>
      </c>
      <c r="BE15" s="167"/>
    </row>
    <row r="16" spans="1:57" ht="12">
      <c r="A16" s="171" t="s">
        <v>217</v>
      </c>
      <c r="B16" s="310"/>
      <c r="C16" s="311" t="s">
        <v>121</v>
      </c>
      <c r="D16" s="311"/>
      <c r="E16" s="311"/>
      <c r="F16" s="311"/>
      <c r="G16" s="352">
        <v>0</v>
      </c>
      <c r="H16" s="313"/>
      <c r="AB16" s="157" t="s">
        <v>120</v>
      </c>
      <c r="AC16" s="158"/>
      <c r="AD16" s="158"/>
      <c r="AE16" s="158"/>
      <c r="AF16" s="172">
        <f>'(2.1)_Resources'!$K$79</f>
        <v>8.6099999999999996E-2</v>
      </c>
      <c r="AG16" s="162"/>
      <c r="AH16" s="152" t="s">
        <v>122</v>
      </c>
      <c r="AI16" s="159"/>
      <c r="AJ16" s="173">
        <f>'(2.1)_Resources'!$D$81</f>
        <v>0.77157894736842092</v>
      </c>
      <c r="AK16" s="290"/>
      <c r="AZ16" s="157" t="s">
        <v>112</v>
      </c>
      <c r="BA16" s="159"/>
      <c r="BB16" s="206">
        <f>'(2.1)_Resources'!N82</f>
        <v>10.050000000000001</v>
      </c>
      <c r="BC16" s="4"/>
      <c r="BD16" s="4"/>
      <c r="BE16" s="165"/>
    </row>
    <row r="17" spans="1:60" ht="12">
      <c r="A17" s="171" t="s">
        <v>217</v>
      </c>
      <c r="B17" s="310"/>
      <c r="C17" s="311" t="s">
        <v>123</v>
      </c>
      <c r="D17" s="311"/>
      <c r="E17" s="311"/>
      <c r="F17" s="311"/>
      <c r="G17" s="352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2002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51">
        <v>7.8200000000000006E-2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208">
        <v>0.65920158980143928</v>
      </c>
      <c r="H19" s="320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179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1999</v>
      </c>
      <c r="D28" s="7"/>
      <c r="E28" s="330">
        <f>'(2.2)_Forward_Price_Curve'!$BR$37</f>
        <v>2.5000000000000001E-2</v>
      </c>
      <c r="F28" s="7"/>
      <c r="G28" s="23">
        <v>9239.3694826569736</v>
      </c>
      <c r="H28" s="7"/>
      <c r="I28" s="354">
        <f>$G$15</f>
        <v>318.75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v>510</v>
      </c>
      <c r="T28" s="7"/>
      <c r="U28" s="23">
        <f>AX28</f>
        <v>323.51601894429632</v>
      </c>
      <c r="V28" s="7"/>
      <c r="W28" s="23">
        <f t="shared" ref="W28:W62" si="0">S28-U28</f>
        <v>186.48398105570368</v>
      </c>
      <c r="X28" s="7"/>
      <c r="Y28" s="334">
        <f>+W28*1000/G28</f>
        <v>20.183626318413701</v>
      </c>
      <c r="Z28" s="290"/>
      <c r="AB28" s="182">
        <f>$C$28</f>
        <v>1999</v>
      </c>
      <c r="AC28" s="152"/>
      <c r="AD28" s="187">
        <f t="shared" ref="AD28:AD62" si="1">G28</f>
        <v>9239.3694826569736</v>
      </c>
      <c r="AE28" s="4"/>
      <c r="AF28" s="280">
        <f>AF29/(1+E28)</f>
        <v>49.970255800118991</v>
      </c>
      <c r="AG28" s="335"/>
      <c r="AH28" s="280">
        <f>AH29/(1+$E28)</f>
        <v>6.1320143556174296</v>
      </c>
      <c r="AI28" s="335"/>
      <c r="AJ28" s="280">
        <f>AJ29/(1+$E28)</f>
        <v>1.4324965546524495</v>
      </c>
      <c r="AK28" s="336"/>
      <c r="AL28" s="189">
        <f>((AF28+AH28)*$AF$11*1000+AJ28*AD28)/1000</f>
        <v>89.925286684709093</v>
      </c>
      <c r="AM28" s="4"/>
      <c r="AN28" s="280">
        <f>AN29/(1+E28)</f>
        <v>3.3674848357922609</v>
      </c>
      <c r="AO28" s="348"/>
      <c r="AP28" s="190">
        <f>AN28*$AF$14/1000</f>
        <v>24.123788482143993</v>
      </c>
      <c r="AQ28" s="335"/>
      <c r="AR28" s="280">
        <f>AR29/(1+$E28)</f>
        <v>2.9243011021804128</v>
      </c>
      <c r="AS28" s="188"/>
      <c r="AT28" s="189">
        <f t="shared" ref="AT28:AT62" si="2">AL28-BF28</f>
        <v>73.608725474717488</v>
      </c>
      <c r="AU28" s="336"/>
      <c r="AV28" s="189">
        <f t="shared" ref="AV28:AV62" si="3">(AP28+AR28)*AD28/1000</f>
        <v>249.90729346957883</v>
      </c>
      <c r="AW28" s="337"/>
      <c r="AX28" s="191">
        <f>AT28+AV28</f>
        <v>323.51601894429632</v>
      </c>
      <c r="AZ28" s="182">
        <f>$C$28</f>
        <v>1999</v>
      </c>
      <c r="BA28" s="152"/>
      <c r="BB28" s="280">
        <f>BB29/(1+$E28)</f>
        <v>42.92339345047229</v>
      </c>
      <c r="BC28" s="4"/>
      <c r="BD28" s="280">
        <f t="shared" ref="BD28:BD30" si="4">BD29/(1+$E28)</f>
        <v>9.3324240797434772</v>
      </c>
      <c r="BE28" s="335"/>
      <c r="BF28" s="189">
        <f>(BB28+BD28)*$BD$11</f>
        <v>16.316561209991612</v>
      </c>
      <c r="BG28" s="335"/>
      <c r="BH28" s="192"/>
    </row>
    <row r="29" spans="1:60" ht="12">
      <c r="B29" s="3"/>
      <c r="C29" s="7">
        <f>+IF(C28&gt;$G$13+$G$14,XX,C28+1)</f>
        <v>2000</v>
      </c>
      <c r="D29" s="7"/>
      <c r="E29" s="330">
        <f>E28</f>
        <v>2.5000000000000001E-2</v>
      </c>
      <c r="F29" s="7"/>
      <c r="G29" s="23">
        <f>$G$28</f>
        <v>9239.3694826569736</v>
      </c>
      <c r="H29" s="7"/>
      <c r="I29" s="39">
        <f>I28*(1+$E29)</f>
        <v>326.71875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v>0</v>
      </c>
      <c r="T29" s="7"/>
      <c r="U29" s="23">
        <f t="shared" ref="U29:U62" si="5">AX29</f>
        <v>331.60391941790374</v>
      </c>
      <c r="V29" s="7"/>
      <c r="W29" s="23">
        <f t="shared" si="0"/>
        <v>-331.60391941790374</v>
      </c>
      <c r="X29" s="7"/>
      <c r="Y29" s="334">
        <f t="shared" ref="Y29:Y62" si="6">+W29*1000/G29</f>
        <v>-35.890319143568242</v>
      </c>
      <c r="Z29" s="290"/>
      <c r="AB29" s="182">
        <f>+IF(AB28&gt;$G$13+$G$14,XX,AB28+1)</f>
        <v>2000</v>
      </c>
      <c r="AC29" s="152"/>
      <c r="AD29" s="187">
        <f t="shared" si="1"/>
        <v>9239.3694826569736</v>
      </c>
      <c r="AE29" s="4"/>
      <c r="AF29" s="280">
        <f>AF30/(1+E29)</f>
        <v>51.219512195121965</v>
      </c>
      <c r="AG29" s="4"/>
      <c r="AH29" s="280">
        <f>AH30/(1+$E29)</f>
        <v>6.2853147145078649</v>
      </c>
      <c r="AI29" s="4"/>
      <c r="AJ29" s="280">
        <f>AJ30/(1+$E29)</f>
        <v>1.4683089685187607</v>
      </c>
      <c r="AK29" s="4"/>
      <c r="AL29" s="189">
        <f t="shared" ref="AL29:AL62" si="7">((AF29+AH29)*$AF$11*1000+AJ29*AD29)/1000</f>
        <v>92.17341885182681</v>
      </c>
      <c r="AM29" s="4"/>
      <c r="AN29" s="280">
        <f>AN30/(1+E29)</f>
        <v>3.4516719566870671</v>
      </c>
      <c r="AO29" s="4"/>
      <c r="AP29" s="190">
        <f t="shared" ref="AP29:AP62" si="8">AN29*$AF$14/1000</f>
        <v>24.726883194197594</v>
      </c>
      <c r="AQ29" s="4"/>
      <c r="AR29" s="280">
        <f>AR30/(1+$E29)</f>
        <v>2.9974086297349229</v>
      </c>
      <c r="AS29" s="190"/>
      <c r="AT29" s="189">
        <f t="shared" si="2"/>
        <v>75.448943611585406</v>
      </c>
      <c r="AU29" s="4"/>
      <c r="AV29" s="189">
        <f t="shared" si="3"/>
        <v>256.15497580631836</v>
      </c>
      <c r="AW29" s="337"/>
      <c r="AX29" s="191">
        <f t="shared" ref="AX29:AX62" si="9">AT29+AV29</f>
        <v>331.60391941790374</v>
      </c>
      <c r="AZ29" s="182">
        <f>+IF(AZ28&gt;$G$13+$G$14,XX,AZ28+1)</f>
        <v>2000</v>
      </c>
      <c r="BA29" s="152"/>
      <c r="BB29" s="280">
        <f>BB30/(1+$E29)</f>
        <v>43.996478286734096</v>
      </c>
      <c r="BC29" s="4"/>
      <c r="BD29" s="280">
        <f t="shared" si="4"/>
        <v>9.5657346817370641</v>
      </c>
      <c r="BE29" s="4"/>
      <c r="BF29" s="189">
        <f t="shared" ref="BF29:BF62" si="10">(BB29+BD29)*$BD$11</f>
        <v>16.7244752402414</v>
      </c>
      <c r="BG29" s="4"/>
      <c r="BH29" s="193"/>
    </row>
    <row r="30" spans="1:60" ht="12">
      <c r="B30" s="3"/>
      <c r="C30" s="7">
        <f>+IF(C29&gt;$G$13+$G$14,XX,C29+1)</f>
        <v>2001</v>
      </c>
      <c r="D30" s="7"/>
      <c r="E30" s="330">
        <f t="shared" ref="E30:E62" si="11">E29</f>
        <v>2.5000000000000001E-2</v>
      </c>
      <c r="F30" s="7"/>
      <c r="G30" s="23">
        <f t="shared" ref="G30:G62" si="12">$G$28</f>
        <v>9239.3694826569736</v>
      </c>
      <c r="H30" s="7"/>
      <c r="I30" s="39">
        <f t="shared" ref="I30:I62" si="13">I29*(1+$E30)</f>
        <v>334.88671874999994</v>
      </c>
      <c r="J30" s="7"/>
      <c r="K30" s="39">
        <f t="shared" ref="K30:K62" si="14">K29*(1+$E30)</f>
        <v>0</v>
      </c>
      <c r="L30" s="7"/>
      <c r="M30" s="39">
        <f t="shared" ref="M30:M62" si="15">M29*(1+$E30)</f>
        <v>0</v>
      </c>
      <c r="N30" s="7"/>
      <c r="O30" s="333"/>
      <c r="P30" s="7"/>
      <c r="Q30" s="39"/>
      <c r="R30" s="7"/>
      <c r="S30" s="23">
        <v>0</v>
      </c>
      <c r="T30" s="7"/>
      <c r="U30" s="23">
        <f t="shared" si="5"/>
        <v>339.89401740335137</v>
      </c>
      <c r="V30" s="7"/>
      <c r="W30" s="23">
        <f t="shared" si="0"/>
        <v>-339.89401740335137</v>
      </c>
      <c r="X30" s="7"/>
      <c r="Y30" s="334">
        <f t="shared" si="6"/>
        <v>-36.787577122157451</v>
      </c>
      <c r="Z30" s="290"/>
      <c r="AB30" s="182">
        <f>+IF(AB29&gt;$G$13+$G$14,XX,AB29+1)</f>
        <v>2001</v>
      </c>
      <c r="AC30" s="152"/>
      <c r="AD30" s="187">
        <f t="shared" si="1"/>
        <v>9239.3694826569736</v>
      </c>
      <c r="AE30" s="4"/>
      <c r="AF30" s="280">
        <f>AF31/(1+$E30)</f>
        <v>52.500000000000007</v>
      </c>
      <c r="AG30" s="4"/>
      <c r="AH30" s="280">
        <f>AH31/(1+$E30)</f>
        <v>6.4424475823705611</v>
      </c>
      <c r="AI30" s="4"/>
      <c r="AJ30" s="280">
        <f>AJ31/(1+$E30)</f>
        <v>1.5050166927317297</v>
      </c>
      <c r="AK30" s="4"/>
      <c r="AL30" s="189">
        <f t="shared" si="7"/>
        <v>94.477754323122468</v>
      </c>
      <c r="AM30" s="4"/>
      <c r="AN30" s="280">
        <f>AN31/(1+E30)</f>
        <v>3.5379637556042436</v>
      </c>
      <c r="AO30" s="4"/>
      <c r="AP30" s="190">
        <f t="shared" si="8"/>
        <v>25.345055274052534</v>
      </c>
      <c r="AQ30" s="4"/>
      <c r="AR30" s="280">
        <f>AR31/(1+$E30)</f>
        <v>3.0723438454782959</v>
      </c>
      <c r="AS30" s="190"/>
      <c r="AT30" s="189">
        <f t="shared" si="2"/>
        <v>77.335167201875038</v>
      </c>
      <c r="AU30" s="4"/>
      <c r="AV30" s="189">
        <f t="shared" si="3"/>
        <v>262.55885020147633</v>
      </c>
      <c r="AW30" s="337"/>
      <c r="AX30" s="191">
        <f t="shared" si="9"/>
        <v>339.89401740335137</v>
      </c>
      <c r="AZ30" s="182">
        <f>+IF(AZ29&gt;$G$13+$G$14,XX,AZ29+1)</f>
        <v>2001</v>
      </c>
      <c r="BA30" s="152"/>
      <c r="BB30" s="280">
        <f>BB31/(1+$E30)</f>
        <v>45.096390243902441</v>
      </c>
      <c r="BC30" s="4"/>
      <c r="BD30" s="280">
        <f t="shared" si="4"/>
        <v>9.8048780487804894</v>
      </c>
      <c r="BE30" s="4"/>
      <c r="BF30" s="189">
        <f t="shared" si="10"/>
        <v>17.142587121247434</v>
      </c>
      <c r="BG30" s="4"/>
      <c r="BH30" s="193"/>
    </row>
    <row r="31" spans="1:60" ht="12">
      <c r="B31" s="3"/>
      <c r="C31" s="7">
        <f>+IF(C30&gt;$G$13+$G$14,XX,C30+1)</f>
        <v>2002</v>
      </c>
      <c r="D31" s="7"/>
      <c r="E31" s="330">
        <f t="shared" si="11"/>
        <v>2.5000000000000001E-2</v>
      </c>
      <c r="F31" s="7"/>
      <c r="G31" s="23">
        <f t="shared" si="12"/>
        <v>9239.3694826569736</v>
      </c>
      <c r="H31" s="7"/>
      <c r="I31" s="39">
        <f t="shared" si="13"/>
        <v>343.25888671874992</v>
      </c>
      <c r="J31" s="7"/>
      <c r="K31" s="39">
        <f t="shared" si="14"/>
        <v>0</v>
      </c>
      <c r="L31" s="7"/>
      <c r="M31" s="39">
        <f t="shared" si="15"/>
        <v>0</v>
      </c>
      <c r="N31" s="7"/>
      <c r="O31" s="333"/>
      <c r="P31" s="7"/>
      <c r="Q31" s="39"/>
      <c r="R31" s="7"/>
      <c r="S31" s="23">
        <v>0</v>
      </c>
      <c r="T31" s="7"/>
      <c r="U31" s="23">
        <f t="shared" si="5"/>
        <v>348.39136783843503</v>
      </c>
      <c r="V31" s="7"/>
      <c r="W31" s="23">
        <f t="shared" si="0"/>
        <v>-348.39136783843503</v>
      </c>
      <c r="X31" s="7"/>
      <c r="Y31" s="334">
        <f t="shared" si="6"/>
        <v>-37.707266550211372</v>
      </c>
      <c r="Z31" s="290"/>
      <c r="AB31" s="182">
        <f>+IF(AB30&gt;$G$13+$G$14,XX,AB30+1)</f>
        <v>2002</v>
      </c>
      <c r="AC31" s="152"/>
      <c r="AD31" s="187">
        <f t="shared" si="1"/>
        <v>9239.3694826569736</v>
      </c>
      <c r="AE31" s="4"/>
      <c r="AF31" s="188">
        <f>$AF$15*$AF$16</f>
        <v>53.8125</v>
      </c>
      <c r="AG31" s="4"/>
      <c r="AH31" s="188">
        <f>$AJ$11</f>
        <v>6.6035087719298247</v>
      </c>
      <c r="AI31" s="4"/>
      <c r="AJ31" s="188">
        <f>$AJ$13</f>
        <v>1.5426421100500227</v>
      </c>
      <c r="AK31" s="4"/>
      <c r="AL31" s="189">
        <f t="shared" si="7"/>
        <v>96.839698181200504</v>
      </c>
      <c r="AM31" s="4"/>
      <c r="AN31" s="280">
        <f>AN32/(1+E31)</f>
        <v>3.6264128494943493</v>
      </c>
      <c r="AO31" s="4"/>
      <c r="AP31" s="190">
        <f t="shared" si="8"/>
        <v>25.978681655903841</v>
      </c>
      <c r="AQ31" s="4"/>
      <c r="AR31" s="188">
        <f>$AJ$15</f>
        <v>3.1491524416152528</v>
      </c>
      <c r="AS31" s="190"/>
      <c r="AT31" s="189">
        <f t="shared" si="2"/>
        <v>79.26854638192188</v>
      </c>
      <c r="AU31" s="4"/>
      <c r="AV31" s="189">
        <f t="shared" si="3"/>
        <v>269.12282145651312</v>
      </c>
      <c r="AW31" s="337"/>
      <c r="AX31" s="191">
        <f t="shared" si="9"/>
        <v>348.39136783843503</v>
      </c>
      <c r="AZ31" s="182">
        <f>+IF(AZ30&gt;$G$13+$G$14,XX,AZ30+1)</f>
        <v>2002</v>
      </c>
      <c r="BA31" s="152"/>
      <c r="BB31" s="188">
        <f>$BD$14*$BD$15</f>
        <v>46.223799999999997</v>
      </c>
      <c r="BC31" s="4"/>
      <c r="BD31" s="188">
        <f>$BB$16</f>
        <v>10.050000000000001</v>
      </c>
      <c r="BE31" s="4"/>
      <c r="BF31" s="189">
        <f t="shared" si="10"/>
        <v>17.571151799278617</v>
      </c>
      <c r="BG31" s="4"/>
      <c r="BH31" s="193"/>
    </row>
    <row r="32" spans="1:60" ht="12">
      <c r="B32" s="3"/>
      <c r="C32" s="7">
        <f>+IF(C31&gt;$G$13+$G$14,XX,C31+1)</f>
        <v>2003</v>
      </c>
      <c r="D32" s="7"/>
      <c r="E32" s="330">
        <f t="shared" si="11"/>
        <v>2.5000000000000001E-2</v>
      </c>
      <c r="F32" s="7"/>
      <c r="G32" s="23">
        <f t="shared" si="12"/>
        <v>9239.3694826569736</v>
      </c>
      <c r="H32" s="7"/>
      <c r="I32" s="39">
        <f t="shared" si="13"/>
        <v>351.84035888671866</v>
      </c>
      <c r="J32" s="7"/>
      <c r="K32" s="39">
        <f t="shared" si="14"/>
        <v>0</v>
      </c>
      <c r="L32" s="7"/>
      <c r="M32" s="39">
        <f t="shared" si="15"/>
        <v>0</v>
      </c>
      <c r="N32" s="7"/>
      <c r="O32" s="333"/>
      <c r="P32" s="7"/>
      <c r="Q32" s="39"/>
      <c r="R32" s="7"/>
      <c r="S32" s="23">
        <v>0</v>
      </c>
      <c r="T32" s="7"/>
      <c r="U32" s="23">
        <f t="shared" si="5"/>
        <v>357.10115203439591</v>
      </c>
      <c r="V32" s="7"/>
      <c r="W32" s="23">
        <f t="shared" si="0"/>
        <v>-357.10115203439591</v>
      </c>
      <c r="X32" s="7"/>
      <c r="Y32" s="334">
        <f t="shared" si="6"/>
        <v>-38.649948213966653</v>
      </c>
      <c r="Z32" s="290"/>
      <c r="AB32" s="182">
        <f>+IF(AB31&gt;$G$13+$G$14,XX,AB31+1)</f>
        <v>2003</v>
      </c>
      <c r="AC32" s="152"/>
      <c r="AD32" s="187">
        <f t="shared" si="1"/>
        <v>9239.3694826569736</v>
      </c>
      <c r="AE32" s="4"/>
      <c r="AF32" s="190">
        <f t="shared" ref="AF32:AF62" si="16">AF31*(1+$E32)</f>
        <v>55.157812499999999</v>
      </c>
      <c r="AG32" s="4"/>
      <c r="AH32" s="190">
        <f t="shared" ref="AH32:AH62" si="17">AH31*(1+$E32)</f>
        <v>6.7685964912280694</v>
      </c>
      <c r="AI32" s="4"/>
      <c r="AJ32" s="190">
        <f t="shared" ref="AJ32:AJ62" si="18">AJ31*(1+$E32)</f>
        <v>1.5812081628012731</v>
      </c>
      <c r="AK32" s="4"/>
      <c r="AL32" s="189">
        <f t="shared" si="7"/>
        <v>99.260690635730526</v>
      </c>
      <c r="AM32" s="4"/>
      <c r="AN32" s="190">
        <f>INDEX('(2.2)_Forward_Price_Curve'!$J:$J,MATCH($AB32,'(2.2)_Forward_Price_Curve'!$C:$C,0),1)</f>
        <v>3.7170731707317075</v>
      </c>
      <c r="AO32" s="4"/>
      <c r="AP32" s="190">
        <f t="shared" si="8"/>
        <v>26.628148697301437</v>
      </c>
      <c r="AQ32" s="4"/>
      <c r="AR32" s="190">
        <f t="shared" ref="AR32:AR62" si="19">AR31*(1+$E32)</f>
        <v>3.2278812526556337</v>
      </c>
      <c r="AS32" s="190"/>
      <c r="AT32" s="189">
        <f t="shared" si="2"/>
        <v>81.250260041469943</v>
      </c>
      <c r="AU32" s="4"/>
      <c r="AV32" s="189">
        <f t="shared" si="3"/>
        <v>275.85089199292594</v>
      </c>
      <c r="AW32" s="337"/>
      <c r="AX32" s="191">
        <f t="shared" si="9"/>
        <v>357.10115203439591</v>
      </c>
      <c r="AZ32" s="182">
        <f>+IF(AZ31&gt;$G$13+$G$14,XX,AZ31+1)</f>
        <v>2003</v>
      </c>
      <c r="BA32" s="152"/>
      <c r="BB32" s="190">
        <f t="shared" ref="BB32:BB62" si="20">BB31*(1+$E32)</f>
        <v>47.379394999999995</v>
      </c>
      <c r="BC32" s="4"/>
      <c r="BD32" s="190">
        <f t="shared" ref="BD32:BD62" si="21">BD31*(1+$E32)</f>
        <v>10.30125</v>
      </c>
      <c r="BE32" s="4"/>
      <c r="BF32" s="189">
        <f t="shared" si="10"/>
        <v>18.010430594260583</v>
      </c>
      <c r="BG32" s="4"/>
      <c r="BH32" s="193"/>
    </row>
    <row r="33" spans="2:60" ht="12">
      <c r="B33" s="3"/>
      <c r="C33" s="7">
        <f>+IF(C32&gt;$G$13+$G$14,XX,C32+1)</f>
        <v>2004</v>
      </c>
      <c r="D33" s="7"/>
      <c r="E33" s="330">
        <f t="shared" si="11"/>
        <v>2.5000000000000001E-2</v>
      </c>
      <c r="F33" s="7"/>
      <c r="G33" s="23">
        <f t="shared" si="12"/>
        <v>9239.3694826569736</v>
      </c>
      <c r="H33" s="7"/>
      <c r="I33" s="39">
        <f t="shared" si="13"/>
        <v>360.63636785888662</v>
      </c>
      <c r="J33" s="7"/>
      <c r="K33" s="39">
        <f t="shared" si="14"/>
        <v>0</v>
      </c>
      <c r="L33" s="7"/>
      <c r="M33" s="39">
        <f t="shared" si="15"/>
        <v>0</v>
      </c>
      <c r="N33" s="7"/>
      <c r="O33" s="333"/>
      <c r="P33" s="7"/>
      <c r="Q33" s="39"/>
      <c r="R33" s="7"/>
      <c r="S33" s="23">
        <v>0</v>
      </c>
      <c r="T33" s="7"/>
      <c r="U33" s="23">
        <f t="shared" si="5"/>
        <v>366.02868083525573</v>
      </c>
      <c r="V33" s="7"/>
      <c r="W33" s="23">
        <f t="shared" si="0"/>
        <v>-366.02868083525573</v>
      </c>
      <c r="X33" s="7"/>
      <c r="Y33" s="334">
        <f t="shared" si="6"/>
        <v>-39.616196919315811</v>
      </c>
      <c r="Z33" s="290"/>
      <c r="AB33" s="182">
        <f>+IF(AB32&gt;$G$13+$G$14,XX,AB32+1)</f>
        <v>2004</v>
      </c>
      <c r="AC33" s="152"/>
      <c r="AD33" s="187">
        <f t="shared" si="1"/>
        <v>9239.3694826569736</v>
      </c>
      <c r="AE33" s="4"/>
      <c r="AF33" s="190">
        <f t="shared" si="16"/>
        <v>56.536757812499992</v>
      </c>
      <c r="AG33" s="4"/>
      <c r="AH33" s="190">
        <f t="shared" si="17"/>
        <v>6.9378114035087703</v>
      </c>
      <c r="AI33" s="4"/>
      <c r="AJ33" s="190">
        <f t="shared" si="18"/>
        <v>1.6207383668713047</v>
      </c>
      <c r="AK33" s="4"/>
      <c r="AL33" s="189">
        <f t="shared" si="7"/>
        <v>101.74220790162379</v>
      </c>
      <c r="AM33" s="4"/>
      <c r="AN33" s="190">
        <f>INDEX('(2.2)_Forward_Price_Curve'!$J:$J,MATCH($AB33,'(2.2)_Forward_Price_Curve'!$C:$C,0),1)</f>
        <v>3.81</v>
      </c>
      <c r="AO33" s="4"/>
      <c r="AP33" s="190">
        <f t="shared" si="8"/>
        <v>27.293852414733969</v>
      </c>
      <c r="AQ33" s="4"/>
      <c r="AR33" s="190">
        <f t="shared" si="19"/>
        <v>3.3085782839720244</v>
      </c>
      <c r="AS33" s="190"/>
      <c r="AT33" s="189">
        <f t="shared" si="2"/>
        <v>83.281516542506694</v>
      </c>
      <c r="AU33" s="4"/>
      <c r="AV33" s="189">
        <f t="shared" si="3"/>
        <v>282.74716429274906</v>
      </c>
      <c r="AW33" s="337"/>
      <c r="AX33" s="191">
        <f t="shared" si="9"/>
        <v>366.02868083525573</v>
      </c>
      <c r="AZ33" s="182">
        <f>+IF(AZ32&gt;$G$13+$G$14,XX,AZ32+1)</f>
        <v>2004</v>
      </c>
      <c r="BA33" s="152"/>
      <c r="BB33" s="190">
        <f t="shared" si="20"/>
        <v>48.563879874999991</v>
      </c>
      <c r="BC33" s="4"/>
      <c r="BD33" s="190">
        <f t="shared" si="21"/>
        <v>10.558781249999999</v>
      </c>
      <c r="BE33" s="4"/>
      <c r="BF33" s="189">
        <f t="shared" si="10"/>
        <v>18.460691359117096</v>
      </c>
      <c r="BG33" s="4"/>
      <c r="BH33" s="193"/>
    </row>
    <row r="34" spans="2:60" ht="12">
      <c r="B34" s="3"/>
      <c r="C34" s="7">
        <f>+IF(C33&gt;$G$13+$G$14,XX,C33+1)</f>
        <v>2005</v>
      </c>
      <c r="D34" s="7"/>
      <c r="E34" s="330">
        <f t="shared" si="11"/>
        <v>2.5000000000000001E-2</v>
      </c>
      <c r="F34" s="7"/>
      <c r="G34" s="23">
        <f t="shared" si="12"/>
        <v>9239.3694826569736</v>
      </c>
      <c r="H34" s="7"/>
      <c r="I34" s="39">
        <f t="shared" si="13"/>
        <v>369.65227705535875</v>
      </c>
      <c r="J34" s="7"/>
      <c r="K34" s="39">
        <f t="shared" si="14"/>
        <v>0</v>
      </c>
      <c r="L34" s="7"/>
      <c r="M34" s="39">
        <f t="shared" si="15"/>
        <v>0</v>
      </c>
      <c r="N34" s="7"/>
      <c r="O34" s="333"/>
      <c r="P34" s="7"/>
      <c r="Q34" s="39"/>
      <c r="R34" s="7"/>
      <c r="S34" s="23">
        <v>0</v>
      </c>
      <c r="T34" s="7"/>
      <c r="U34" s="23">
        <f t="shared" si="5"/>
        <v>378.80321538679323</v>
      </c>
      <c r="V34" s="7"/>
      <c r="W34" s="23">
        <f t="shared" si="0"/>
        <v>-378.80321538679323</v>
      </c>
      <c r="X34" s="7"/>
      <c r="Y34" s="334">
        <f t="shared" si="6"/>
        <v>-40.998816650620675</v>
      </c>
      <c r="Z34" s="290"/>
      <c r="AB34" s="182">
        <f>+IF(AB33&gt;$G$13+$G$14,XX,AB33+1)</f>
        <v>2005</v>
      </c>
      <c r="AC34" s="152"/>
      <c r="AD34" s="187">
        <f t="shared" si="1"/>
        <v>9239.3694826569736</v>
      </c>
      <c r="AE34" s="4"/>
      <c r="AF34" s="190">
        <f t="shared" si="16"/>
        <v>57.950176757812486</v>
      </c>
      <c r="AG34" s="4"/>
      <c r="AH34" s="190">
        <f t="shared" si="17"/>
        <v>7.1112566885964892</v>
      </c>
      <c r="AI34" s="4"/>
      <c r="AJ34" s="190">
        <f t="shared" si="18"/>
        <v>1.6612568260430871</v>
      </c>
      <c r="AK34" s="4"/>
      <c r="AL34" s="189">
        <f t="shared" si="7"/>
        <v>104.28576309916436</v>
      </c>
      <c r="AM34" s="4"/>
      <c r="AN34" s="190">
        <f>INDEX('(2.2)_Forward_Price_Curve'!$J:$J,MATCH($AB34,'(2.2)_Forward_Price_Curve'!$C:$C,0),1)</f>
        <v>3.96</v>
      </c>
      <c r="AO34" s="4"/>
      <c r="AP34" s="190">
        <f t="shared" si="8"/>
        <v>28.368413533424281</v>
      </c>
      <c r="AQ34" s="4"/>
      <c r="AR34" s="190">
        <f t="shared" si="19"/>
        <v>3.3912927410713247</v>
      </c>
      <c r="AS34" s="190"/>
      <c r="AT34" s="189">
        <f t="shared" si="2"/>
        <v>85.363554456069338</v>
      </c>
      <c r="AU34" s="4"/>
      <c r="AV34" s="189">
        <f t="shared" si="3"/>
        <v>293.4396609307239</v>
      </c>
      <c r="AW34" s="337"/>
      <c r="AX34" s="191">
        <f t="shared" si="9"/>
        <v>378.80321538679323</v>
      </c>
      <c r="AZ34" s="182">
        <f>+IF(AZ33&gt;$G$13+$G$14,XX,AZ33+1)</f>
        <v>2005</v>
      </c>
      <c r="BA34" s="152"/>
      <c r="BB34" s="190">
        <f t="shared" si="20"/>
        <v>49.777976871874984</v>
      </c>
      <c r="BC34" s="4"/>
      <c r="BD34" s="190">
        <f t="shared" si="21"/>
        <v>10.822750781249999</v>
      </c>
      <c r="BE34" s="4"/>
      <c r="BF34" s="189">
        <f t="shared" si="10"/>
        <v>18.922208643095022</v>
      </c>
      <c r="BG34" s="4"/>
      <c r="BH34" s="193"/>
    </row>
    <row r="35" spans="2:60" ht="12">
      <c r="B35" s="3"/>
      <c r="C35" s="7">
        <f>+IF(C34&gt;$G$13+$G$14,XX,C34+1)</f>
        <v>2006</v>
      </c>
      <c r="D35" s="7"/>
      <c r="E35" s="330">
        <f t="shared" si="11"/>
        <v>2.5000000000000001E-2</v>
      </c>
      <c r="F35" s="7"/>
      <c r="G35" s="23">
        <f t="shared" si="12"/>
        <v>9239.3694826569736</v>
      </c>
      <c r="H35" s="7"/>
      <c r="I35" s="39">
        <f t="shared" si="13"/>
        <v>378.89358398174267</v>
      </c>
      <c r="J35" s="7"/>
      <c r="K35" s="39">
        <f t="shared" si="14"/>
        <v>0</v>
      </c>
      <c r="L35" s="7"/>
      <c r="M35" s="39">
        <f t="shared" si="15"/>
        <v>0</v>
      </c>
      <c r="N35" s="7"/>
      <c r="O35" s="333"/>
      <c r="P35" s="7"/>
      <c r="Q35" s="39"/>
      <c r="R35" s="7"/>
      <c r="S35" s="23">
        <v>0</v>
      </c>
      <c r="T35" s="7"/>
      <c r="U35" s="23">
        <f t="shared" si="5"/>
        <v>384.36817733660075</v>
      </c>
      <c r="V35" s="7"/>
      <c r="W35" s="23">
        <f t="shared" si="0"/>
        <v>-384.36817733660075</v>
      </c>
      <c r="X35" s="7"/>
      <c r="Y35" s="334">
        <f t="shared" si="6"/>
        <v>-41.601126360201327</v>
      </c>
      <c r="Z35" s="290"/>
      <c r="AB35" s="182">
        <f>+IF(AB34&gt;$G$13+$G$14,XX,AB34+1)</f>
        <v>2006</v>
      </c>
      <c r="AC35" s="152"/>
      <c r="AD35" s="187">
        <f t="shared" si="1"/>
        <v>9239.3694826569736</v>
      </c>
      <c r="AE35" s="4"/>
      <c r="AF35" s="190">
        <f t="shared" si="16"/>
        <v>59.398931176757792</v>
      </c>
      <c r="AG35" s="4"/>
      <c r="AH35" s="190">
        <f t="shared" si="17"/>
        <v>7.2890381058114011</v>
      </c>
      <c r="AI35" s="4"/>
      <c r="AJ35" s="190">
        <f t="shared" si="18"/>
        <v>1.7027882466941642</v>
      </c>
      <c r="AK35" s="4"/>
      <c r="AL35" s="189">
        <f t="shared" si="7"/>
        <v>106.89290717664346</v>
      </c>
      <c r="AM35" s="4"/>
      <c r="AN35" s="190">
        <f>INDEX('(2.2)_Forward_Price_Curve'!$J:$J,MATCH($AB35,'(2.2)_Forward_Price_Curve'!$C:$C,0),1)</f>
        <v>4</v>
      </c>
      <c r="AO35" s="4"/>
      <c r="AP35" s="190">
        <f t="shared" si="8"/>
        <v>28.654963165075035</v>
      </c>
      <c r="AQ35" s="4"/>
      <c r="AR35" s="190">
        <f t="shared" si="19"/>
        <v>3.4760750595981076</v>
      </c>
      <c r="AS35" s="190"/>
      <c r="AT35" s="189">
        <f t="shared" si="2"/>
        <v>87.497643317471073</v>
      </c>
      <c r="AU35" s="4"/>
      <c r="AV35" s="189">
        <f t="shared" si="3"/>
        <v>296.87053401912971</v>
      </c>
      <c r="AW35" s="337"/>
      <c r="AX35" s="191">
        <f t="shared" si="9"/>
        <v>384.36817733660075</v>
      </c>
      <c r="AZ35" s="182">
        <f>+IF(AZ34&gt;$G$13+$G$14,XX,AZ34+1)</f>
        <v>2006</v>
      </c>
      <c r="BA35" s="152"/>
      <c r="BB35" s="190">
        <f t="shared" si="20"/>
        <v>51.022426293671856</v>
      </c>
      <c r="BC35" s="4"/>
      <c r="BD35" s="190">
        <f t="shared" si="21"/>
        <v>11.093319550781247</v>
      </c>
      <c r="BE35" s="4"/>
      <c r="BF35" s="189">
        <f t="shared" si="10"/>
        <v>19.395263859172395</v>
      </c>
      <c r="BG35" s="4"/>
      <c r="BH35" s="193"/>
    </row>
    <row r="36" spans="2:60" ht="12">
      <c r="B36" s="3"/>
      <c r="C36" s="7">
        <f>+IF(C35&gt;$G$13+$G$14,XX,C35+1)</f>
        <v>2007</v>
      </c>
      <c r="D36" s="7"/>
      <c r="E36" s="330">
        <f t="shared" si="11"/>
        <v>2.5000000000000001E-2</v>
      </c>
      <c r="F36" s="7"/>
      <c r="G36" s="23">
        <f t="shared" si="12"/>
        <v>9239.3694826569736</v>
      </c>
      <c r="H36" s="7"/>
      <c r="I36" s="39">
        <f t="shared" si="13"/>
        <v>388.36592358128621</v>
      </c>
      <c r="J36" s="7"/>
      <c r="K36" s="39">
        <f t="shared" si="14"/>
        <v>0</v>
      </c>
      <c r="L36" s="7"/>
      <c r="M36" s="39">
        <f t="shared" si="15"/>
        <v>0</v>
      </c>
      <c r="N36" s="7"/>
      <c r="O36" s="333"/>
      <c r="P36" s="7"/>
      <c r="Q36" s="39"/>
      <c r="R36" s="7"/>
      <c r="S36" s="23">
        <v>0</v>
      </c>
      <c r="T36" s="7"/>
      <c r="U36" s="23">
        <f t="shared" si="5"/>
        <v>401.91999553583747</v>
      </c>
      <c r="V36" s="7"/>
      <c r="W36" s="23">
        <f t="shared" si="0"/>
        <v>-401.91999553583747</v>
      </c>
      <c r="X36" s="7"/>
      <c r="Y36" s="334">
        <f t="shared" si="6"/>
        <v>-43.500803414158625</v>
      </c>
      <c r="Z36" s="290"/>
      <c r="AB36" s="182">
        <f>+IF(AB35&gt;$G$13+$G$14,XX,AB35+1)</f>
        <v>2007</v>
      </c>
      <c r="AC36" s="152"/>
      <c r="AD36" s="187">
        <f t="shared" si="1"/>
        <v>9239.3694826569736</v>
      </c>
      <c r="AE36" s="4"/>
      <c r="AF36" s="190">
        <f t="shared" si="16"/>
        <v>60.88390445617673</v>
      </c>
      <c r="AG36" s="4"/>
      <c r="AH36" s="190">
        <f t="shared" si="17"/>
        <v>7.4712640584566854</v>
      </c>
      <c r="AI36" s="4"/>
      <c r="AJ36" s="190">
        <f t="shared" si="18"/>
        <v>1.7453579528615182</v>
      </c>
      <c r="AK36" s="4"/>
      <c r="AL36" s="189">
        <f t="shared" si="7"/>
        <v>109.56522985605953</v>
      </c>
      <c r="AM36" s="4"/>
      <c r="AN36" s="190">
        <f>INDEX('(2.2)_Forward_Price_Curve'!$J:$J,MATCH($AB36,'(2.2)_Forward_Price_Curve'!$C:$C,0),1)</f>
        <v>4.22</v>
      </c>
      <c r="AO36" s="4"/>
      <c r="AP36" s="190">
        <f t="shared" si="8"/>
        <v>30.230986139154162</v>
      </c>
      <c r="AQ36" s="4"/>
      <c r="AR36" s="190">
        <f t="shared" si="19"/>
        <v>3.5629769360880599</v>
      </c>
      <c r="AS36" s="190"/>
      <c r="AT36" s="189">
        <f t="shared" si="2"/>
        <v>89.685084400407831</v>
      </c>
      <c r="AU36" s="4"/>
      <c r="AV36" s="189">
        <f t="shared" si="3"/>
        <v>312.23491113542963</v>
      </c>
      <c r="AW36" s="337"/>
      <c r="AX36" s="191">
        <f t="shared" si="9"/>
        <v>401.91999553583747</v>
      </c>
      <c r="AZ36" s="182">
        <f>+IF(AZ35&gt;$G$13+$G$14,XX,AZ35+1)</f>
        <v>2007</v>
      </c>
      <c r="BA36" s="152"/>
      <c r="BB36" s="190">
        <f t="shared" si="20"/>
        <v>52.297986951013648</v>
      </c>
      <c r="BC36" s="4"/>
      <c r="BD36" s="190">
        <f t="shared" si="21"/>
        <v>11.370652539550777</v>
      </c>
      <c r="BE36" s="4"/>
      <c r="BF36" s="189">
        <f t="shared" si="10"/>
        <v>19.880145455651704</v>
      </c>
      <c r="BG36" s="4"/>
      <c r="BH36" s="193"/>
    </row>
    <row r="37" spans="2:60" ht="12">
      <c r="B37" s="3"/>
      <c r="C37" s="7">
        <f>+IF(C36&gt;$G$13+$G$14,XX,C36+1)</f>
        <v>2008</v>
      </c>
      <c r="D37" s="7"/>
      <c r="E37" s="330">
        <f t="shared" si="11"/>
        <v>2.5000000000000001E-2</v>
      </c>
      <c r="F37" s="7"/>
      <c r="G37" s="23">
        <f t="shared" si="12"/>
        <v>9239.3694826569736</v>
      </c>
      <c r="H37" s="7"/>
      <c r="I37" s="39">
        <f t="shared" si="13"/>
        <v>398.07507167081832</v>
      </c>
      <c r="J37" s="7"/>
      <c r="K37" s="39">
        <f t="shared" si="14"/>
        <v>0</v>
      </c>
      <c r="L37" s="7"/>
      <c r="M37" s="39">
        <f t="shared" si="15"/>
        <v>0</v>
      </c>
      <c r="N37" s="7"/>
      <c r="O37" s="333"/>
      <c r="P37" s="7"/>
      <c r="Q37" s="39"/>
      <c r="R37" s="7"/>
      <c r="S37" s="23">
        <v>0</v>
      </c>
      <c r="T37" s="7"/>
      <c r="U37" s="23">
        <f t="shared" si="5"/>
        <v>418.22280376481785</v>
      </c>
      <c r="V37" s="7"/>
      <c r="W37" s="23">
        <f t="shared" si="0"/>
        <v>-418.22280376481785</v>
      </c>
      <c r="X37" s="7"/>
      <c r="Y37" s="334">
        <f t="shared" si="6"/>
        <v>-45.265297004287476</v>
      </c>
      <c r="Z37" s="290"/>
      <c r="AB37" s="182">
        <f>+IF(AB36&gt;$G$13+$G$14,XX,AB36+1)</f>
        <v>2008</v>
      </c>
      <c r="AC37" s="152"/>
      <c r="AD37" s="187">
        <f t="shared" si="1"/>
        <v>9239.3694826569736</v>
      </c>
      <c r="AE37" s="4"/>
      <c r="AF37" s="190">
        <f t="shared" si="16"/>
        <v>62.406002067581142</v>
      </c>
      <c r="AG37" s="4"/>
      <c r="AH37" s="190">
        <f t="shared" si="17"/>
        <v>7.6580456599181019</v>
      </c>
      <c r="AI37" s="4"/>
      <c r="AJ37" s="190">
        <f t="shared" si="18"/>
        <v>1.788991901683056</v>
      </c>
      <c r="AK37" s="4"/>
      <c r="AL37" s="189">
        <f t="shared" si="7"/>
        <v>112.30436060246103</v>
      </c>
      <c r="AM37" s="4"/>
      <c r="AN37" s="190">
        <f>INDEX('(2.2)_Forward_Price_Curve'!$J:$J,MATCH($AB37,'(2.2)_Forward_Price_Curve'!$C:$C,0),1)</f>
        <v>4.42</v>
      </c>
      <c r="AO37" s="4"/>
      <c r="AP37" s="190">
        <f t="shared" si="8"/>
        <v>31.66373429740791</v>
      </c>
      <c r="AQ37" s="4"/>
      <c r="AR37" s="190">
        <f t="shared" si="19"/>
        <v>3.6520513594902613</v>
      </c>
      <c r="AS37" s="190"/>
      <c r="AT37" s="189">
        <f t="shared" si="2"/>
        <v>91.927211510418033</v>
      </c>
      <c r="AU37" s="4"/>
      <c r="AV37" s="189">
        <f t="shared" si="3"/>
        <v>326.29559225439982</v>
      </c>
      <c r="AW37" s="337"/>
      <c r="AX37" s="191">
        <f t="shared" si="9"/>
        <v>418.22280376481785</v>
      </c>
      <c r="AZ37" s="182">
        <f>+IF(AZ36&gt;$G$13+$G$14,XX,AZ36+1)</f>
        <v>2008</v>
      </c>
      <c r="BA37" s="152"/>
      <c r="BB37" s="190">
        <f t="shared" si="20"/>
        <v>53.605436624788986</v>
      </c>
      <c r="BC37" s="4"/>
      <c r="BD37" s="190">
        <f t="shared" si="21"/>
        <v>11.654918853039545</v>
      </c>
      <c r="BE37" s="4"/>
      <c r="BF37" s="189">
        <f t="shared" si="10"/>
        <v>20.377149092042995</v>
      </c>
      <c r="BG37" s="4"/>
      <c r="BH37" s="193"/>
    </row>
    <row r="38" spans="2:60" ht="12">
      <c r="B38" s="3"/>
      <c r="C38" s="7">
        <f>+IF(C37&gt;$G$13+$G$14,XX,C37+1)</f>
        <v>2009</v>
      </c>
      <c r="D38" s="7"/>
      <c r="E38" s="330">
        <f t="shared" si="11"/>
        <v>2.5000000000000001E-2</v>
      </c>
      <c r="F38" s="7"/>
      <c r="G38" s="23">
        <f t="shared" si="12"/>
        <v>9239.3694826569736</v>
      </c>
      <c r="H38" s="7"/>
      <c r="I38" s="39">
        <f t="shared" si="13"/>
        <v>408.02694846258873</v>
      </c>
      <c r="J38" s="7"/>
      <c r="K38" s="39">
        <f t="shared" si="14"/>
        <v>0</v>
      </c>
      <c r="L38" s="7"/>
      <c r="M38" s="39">
        <f t="shared" si="15"/>
        <v>0</v>
      </c>
      <c r="N38" s="7"/>
      <c r="O38" s="333"/>
      <c r="P38" s="7"/>
      <c r="Q38" s="39"/>
      <c r="R38" s="7"/>
      <c r="S38" s="23">
        <v>0</v>
      </c>
      <c r="T38" s="7"/>
      <c r="U38" s="23">
        <f t="shared" si="5"/>
        <v>412.76005210327077</v>
      </c>
      <c r="V38" s="7"/>
      <c r="W38" s="23">
        <f t="shared" si="0"/>
        <v>-412.76005210327077</v>
      </c>
      <c r="X38" s="7"/>
      <c r="Y38" s="334">
        <f t="shared" si="6"/>
        <v>-44.674049769094523</v>
      </c>
      <c r="Z38" s="290"/>
      <c r="AB38" s="182">
        <f>+IF(AB37&gt;$G$13+$G$14,XX,AB37+1)</f>
        <v>2009</v>
      </c>
      <c r="AC38" s="152"/>
      <c r="AD38" s="187">
        <f t="shared" si="1"/>
        <v>9239.3694826569736</v>
      </c>
      <c r="AE38" s="4"/>
      <c r="AF38" s="190">
        <f t="shared" si="16"/>
        <v>63.966152119270667</v>
      </c>
      <c r="AG38" s="4"/>
      <c r="AH38" s="190">
        <f t="shared" si="17"/>
        <v>7.8494968014160538</v>
      </c>
      <c r="AI38" s="4"/>
      <c r="AJ38" s="190">
        <f t="shared" si="18"/>
        <v>1.8337166992251321</v>
      </c>
      <c r="AK38" s="4"/>
      <c r="AL38" s="189">
        <f t="shared" si="7"/>
        <v>115.11196961752253</v>
      </c>
      <c r="AM38" s="4"/>
      <c r="AN38" s="190">
        <f>INDEX('(2.2)_Forward_Price_Curve'!$J:$J,MATCH($AB38,'(2.2)_Forward_Price_Curve'!$C:$C,0),1)</f>
        <v>4.29</v>
      </c>
      <c r="AO38" s="4"/>
      <c r="AP38" s="190">
        <f t="shared" si="8"/>
        <v>30.732447994542973</v>
      </c>
      <c r="AQ38" s="4"/>
      <c r="AR38" s="190">
        <f t="shared" si="19"/>
        <v>3.7433526434775173</v>
      </c>
      <c r="AS38" s="190"/>
      <c r="AT38" s="189">
        <f t="shared" si="2"/>
        <v>94.225391798178464</v>
      </c>
      <c r="AU38" s="4"/>
      <c r="AV38" s="189">
        <f t="shared" si="3"/>
        <v>318.5346603050923</v>
      </c>
      <c r="AW38" s="337"/>
      <c r="AX38" s="191">
        <f t="shared" si="9"/>
        <v>412.76005210327077</v>
      </c>
      <c r="AZ38" s="182">
        <f>+IF(AZ37&gt;$G$13+$G$14,XX,AZ37+1)</f>
        <v>2009</v>
      </c>
      <c r="BA38" s="152"/>
      <c r="BB38" s="190">
        <f t="shared" si="20"/>
        <v>54.945572540408705</v>
      </c>
      <c r="BC38" s="4"/>
      <c r="BD38" s="190">
        <f t="shared" si="21"/>
        <v>11.946291824365533</v>
      </c>
      <c r="BE38" s="4"/>
      <c r="BF38" s="189">
        <f t="shared" si="10"/>
        <v>20.886577819344065</v>
      </c>
      <c r="BG38" s="4"/>
      <c r="BH38" s="193"/>
    </row>
    <row r="39" spans="2:60" ht="12">
      <c r="B39" s="3"/>
      <c r="C39" s="7">
        <f>+IF(C38&gt;$G$13+$G$14,XX,C38+1)</f>
        <v>2010</v>
      </c>
      <c r="D39" s="7"/>
      <c r="E39" s="330">
        <f t="shared" si="11"/>
        <v>2.5000000000000001E-2</v>
      </c>
      <c r="F39" s="7"/>
      <c r="G39" s="23">
        <f t="shared" si="12"/>
        <v>9239.3694826569736</v>
      </c>
      <c r="H39" s="7"/>
      <c r="I39" s="39">
        <f t="shared" si="13"/>
        <v>418.2276221741534</v>
      </c>
      <c r="J39" s="7"/>
      <c r="K39" s="39">
        <f t="shared" si="14"/>
        <v>0</v>
      </c>
      <c r="L39" s="7"/>
      <c r="M39" s="39">
        <f t="shared" si="15"/>
        <v>0</v>
      </c>
      <c r="N39" s="7"/>
      <c r="O39" s="333"/>
      <c r="P39" s="7"/>
      <c r="Q39" s="39"/>
      <c r="R39" s="7"/>
      <c r="S39" s="23">
        <v>0</v>
      </c>
      <c r="T39" s="7"/>
      <c r="U39" s="23">
        <f t="shared" si="5"/>
        <v>381.56234936742248</v>
      </c>
      <c r="V39" s="7"/>
      <c r="W39" s="23">
        <f t="shared" si="0"/>
        <v>-381.56234936742248</v>
      </c>
      <c r="X39" s="7"/>
      <c r="Y39" s="334">
        <f t="shared" si="6"/>
        <v>-41.297444601998556</v>
      </c>
      <c r="Z39" s="290"/>
      <c r="AB39" s="182">
        <f>+IF(AB38&gt;$G$13+$G$14,XX,AB38+1)</f>
        <v>2010</v>
      </c>
      <c r="AC39" s="152"/>
      <c r="AD39" s="187">
        <f t="shared" si="1"/>
        <v>9239.3694826569736</v>
      </c>
      <c r="AE39" s="4"/>
      <c r="AF39" s="190">
        <f t="shared" si="16"/>
        <v>65.565305922252435</v>
      </c>
      <c r="AG39" s="4"/>
      <c r="AH39" s="190">
        <f t="shared" si="17"/>
        <v>8.045734221451454</v>
      </c>
      <c r="AI39" s="4"/>
      <c r="AJ39" s="190">
        <f t="shared" si="18"/>
        <v>1.8795596167057602</v>
      </c>
      <c r="AK39" s="4"/>
      <c r="AL39" s="189">
        <f t="shared" si="7"/>
        <v>117.98976885796058</v>
      </c>
      <c r="AM39" s="4"/>
      <c r="AN39" s="190">
        <f>INDEX('(2.2)_Forward_Price_Curve'!$J:$J,MATCH($AB39,'(2.2)_Forward_Price_Curve'!$C:$C,0),1)</f>
        <v>3.77</v>
      </c>
      <c r="AO39" s="4"/>
      <c r="AP39" s="190">
        <f t="shared" si="8"/>
        <v>27.007302783083222</v>
      </c>
      <c r="AQ39" s="4"/>
      <c r="AR39" s="190">
        <f t="shared" si="19"/>
        <v>3.8369364595644551</v>
      </c>
      <c r="AS39" s="190"/>
      <c r="AT39" s="189">
        <f t="shared" si="2"/>
        <v>96.581026593132918</v>
      </c>
      <c r="AU39" s="4"/>
      <c r="AV39" s="189">
        <f t="shared" si="3"/>
        <v>284.98132277428959</v>
      </c>
      <c r="AW39" s="337"/>
      <c r="AX39" s="191">
        <f t="shared" si="9"/>
        <v>381.56234936742248</v>
      </c>
      <c r="AZ39" s="182">
        <f>+IF(AZ38&gt;$G$13+$G$14,XX,AZ38+1)</f>
        <v>2010</v>
      </c>
      <c r="BA39" s="152"/>
      <c r="BB39" s="190">
        <f t="shared" si="20"/>
        <v>56.319211853918915</v>
      </c>
      <c r="BC39" s="4"/>
      <c r="BD39" s="190">
        <f t="shared" si="21"/>
        <v>12.24494911997467</v>
      </c>
      <c r="BE39" s="4"/>
      <c r="BF39" s="189">
        <f t="shared" si="10"/>
        <v>21.408742264827669</v>
      </c>
      <c r="BG39" s="4"/>
      <c r="BH39" s="193"/>
    </row>
    <row r="40" spans="2:60" ht="12">
      <c r="B40" s="3"/>
      <c r="C40" s="7">
        <f>+IF(C39&gt;$G$13+$G$14,XX,C39+1)</f>
        <v>2011</v>
      </c>
      <c r="D40" s="7"/>
      <c r="E40" s="330">
        <f t="shared" si="11"/>
        <v>2.5000000000000001E-2</v>
      </c>
      <c r="F40" s="7"/>
      <c r="G40" s="23">
        <f t="shared" si="12"/>
        <v>9239.3694826569736</v>
      </c>
      <c r="H40" s="7"/>
      <c r="I40" s="39">
        <f t="shared" si="13"/>
        <v>428.68331272850719</v>
      </c>
      <c r="J40" s="7"/>
      <c r="K40" s="39">
        <f t="shared" si="14"/>
        <v>0</v>
      </c>
      <c r="L40" s="7"/>
      <c r="M40" s="39">
        <f t="shared" si="15"/>
        <v>0</v>
      </c>
      <c r="N40" s="7"/>
      <c r="O40" s="333"/>
      <c r="P40" s="7"/>
      <c r="Q40" s="39"/>
      <c r="R40" s="7"/>
      <c r="S40" s="23">
        <v>0</v>
      </c>
      <c r="T40" s="7"/>
      <c r="U40" s="23">
        <f t="shared" si="5"/>
        <v>394.12952959982755</v>
      </c>
      <c r="V40" s="7"/>
      <c r="W40" s="23">
        <f t="shared" si="0"/>
        <v>-394.12952959982755</v>
      </c>
      <c r="X40" s="7"/>
      <c r="Y40" s="334">
        <f t="shared" si="6"/>
        <v>-42.657621858249072</v>
      </c>
      <c r="Z40" s="290"/>
      <c r="AB40" s="182">
        <f>+IF(AB39&gt;$G$13+$G$14,XX,AB39+1)</f>
        <v>2011</v>
      </c>
      <c r="AC40" s="152"/>
      <c r="AD40" s="187">
        <f t="shared" si="1"/>
        <v>9239.3694826569736</v>
      </c>
      <c r="AE40" s="4"/>
      <c r="AF40" s="190">
        <f t="shared" si="16"/>
        <v>67.204438570308739</v>
      </c>
      <c r="AG40" s="4"/>
      <c r="AH40" s="190">
        <f t="shared" si="17"/>
        <v>8.2468775769877389</v>
      </c>
      <c r="AI40" s="4"/>
      <c r="AJ40" s="190">
        <f t="shared" si="18"/>
        <v>1.9265486071234041</v>
      </c>
      <c r="AK40" s="4"/>
      <c r="AL40" s="189">
        <f t="shared" si="7"/>
        <v>120.93951307940961</v>
      </c>
      <c r="AM40" s="4"/>
      <c r="AN40" s="190">
        <f>INDEX('(2.2)_Forward_Price_Curve'!$J:$J,MATCH($AB40,'(2.2)_Forward_Price_Curve'!$C:$C,0),1)</f>
        <v>3.91</v>
      </c>
      <c r="AO40" s="4"/>
      <c r="AP40" s="190">
        <f t="shared" si="8"/>
        <v>28.010226493860845</v>
      </c>
      <c r="AQ40" s="4"/>
      <c r="AR40" s="190">
        <f t="shared" si="19"/>
        <v>3.9328598710535663</v>
      </c>
      <c r="AS40" s="190"/>
      <c r="AT40" s="189">
        <f t="shared" si="2"/>
        <v>98.995552257961251</v>
      </c>
      <c r="AU40" s="4"/>
      <c r="AV40" s="189">
        <f t="shared" si="3"/>
        <v>295.13397734186628</v>
      </c>
      <c r="AW40" s="337"/>
      <c r="AX40" s="191">
        <f t="shared" si="9"/>
        <v>394.12952959982755</v>
      </c>
      <c r="AZ40" s="182">
        <f>+IF(AZ39&gt;$G$13+$G$14,XX,AZ39+1)</f>
        <v>2011</v>
      </c>
      <c r="BA40" s="152"/>
      <c r="BB40" s="190">
        <f t="shared" si="20"/>
        <v>57.72719215026688</v>
      </c>
      <c r="BC40" s="4"/>
      <c r="BD40" s="190">
        <f t="shared" si="21"/>
        <v>12.551072847974035</v>
      </c>
      <c r="BE40" s="4"/>
      <c r="BF40" s="189">
        <f t="shared" si="10"/>
        <v>21.943960821448353</v>
      </c>
      <c r="BG40" s="4"/>
      <c r="BH40" s="193"/>
    </row>
    <row r="41" spans="2:60" ht="12">
      <c r="B41" s="3"/>
      <c r="C41" s="7">
        <f>+IF(C40&gt;$G$13+$G$14,XX,C40+1)</f>
        <v>2012</v>
      </c>
      <c r="D41" s="7"/>
      <c r="E41" s="330">
        <f t="shared" si="11"/>
        <v>2.5000000000000001E-2</v>
      </c>
      <c r="F41" s="7"/>
      <c r="G41" s="23">
        <f t="shared" si="12"/>
        <v>9239.3694826569736</v>
      </c>
      <c r="H41" s="7"/>
      <c r="I41" s="39">
        <f t="shared" si="13"/>
        <v>439.40039554671984</v>
      </c>
      <c r="J41" s="7"/>
      <c r="K41" s="39">
        <f t="shared" si="14"/>
        <v>0</v>
      </c>
      <c r="L41" s="7"/>
      <c r="M41" s="39">
        <f t="shared" si="15"/>
        <v>0</v>
      </c>
      <c r="N41" s="7"/>
      <c r="O41" s="333"/>
      <c r="P41" s="7"/>
      <c r="Q41" s="39"/>
      <c r="R41" s="7"/>
      <c r="S41" s="23">
        <v>0</v>
      </c>
      <c r="T41" s="7"/>
      <c r="U41" s="23">
        <f t="shared" si="5"/>
        <v>429.94518658685274</v>
      </c>
      <c r="V41" s="7"/>
      <c r="W41" s="23">
        <f t="shared" si="0"/>
        <v>-429.94518658685274</v>
      </c>
      <c r="X41" s="7"/>
      <c r="Y41" s="334">
        <f t="shared" si="6"/>
        <v>-46.534039730080487</v>
      </c>
      <c r="Z41" s="290"/>
      <c r="AB41" s="182">
        <f>+IF(AB40&gt;$G$13+$G$14,XX,AB40+1)</f>
        <v>2012</v>
      </c>
      <c r="AC41" s="152"/>
      <c r="AD41" s="187">
        <f t="shared" si="1"/>
        <v>9239.3694826569736</v>
      </c>
      <c r="AE41" s="4"/>
      <c r="AF41" s="190">
        <f t="shared" si="16"/>
        <v>68.884549534566446</v>
      </c>
      <c r="AG41" s="4"/>
      <c r="AH41" s="190">
        <f t="shared" si="17"/>
        <v>8.4530495164124311</v>
      </c>
      <c r="AI41" s="4"/>
      <c r="AJ41" s="190">
        <f t="shared" si="18"/>
        <v>1.9747123223014891</v>
      </c>
      <c r="AK41" s="4"/>
      <c r="AL41" s="189">
        <f t="shared" si="7"/>
        <v>123.96300090639483</v>
      </c>
      <c r="AM41" s="4"/>
      <c r="AN41" s="190">
        <f>INDEX('(2.2)_Forward_Price_Curve'!$J:$J,MATCH($AB41,'(2.2)_Forward_Price_Curve'!$C:$C,0),1)</f>
        <v>4.4000000000000004</v>
      </c>
      <c r="AO41" s="4"/>
      <c r="AP41" s="190">
        <f t="shared" si="8"/>
        <v>31.520459481582542</v>
      </c>
      <c r="AQ41" s="4"/>
      <c r="AR41" s="190">
        <f t="shared" si="19"/>
        <v>4.0311813678299053</v>
      </c>
      <c r="AS41" s="190"/>
      <c r="AT41" s="189">
        <f t="shared" si="2"/>
        <v>101.47044106441027</v>
      </c>
      <c r="AU41" s="4"/>
      <c r="AV41" s="189">
        <f t="shared" si="3"/>
        <v>328.47474552244245</v>
      </c>
      <c r="AW41" s="337"/>
      <c r="AX41" s="191">
        <f t="shared" si="9"/>
        <v>429.94518658685274</v>
      </c>
      <c r="AZ41" s="182">
        <f>+IF(AZ40&gt;$G$13+$G$14,XX,AZ40+1)</f>
        <v>2012</v>
      </c>
      <c r="BA41" s="152"/>
      <c r="BB41" s="190">
        <f t="shared" si="20"/>
        <v>59.170371954023544</v>
      </c>
      <c r="BC41" s="4"/>
      <c r="BD41" s="190">
        <f t="shared" si="21"/>
        <v>12.864849669173385</v>
      </c>
      <c r="BE41" s="4"/>
      <c r="BF41" s="189">
        <f t="shared" si="10"/>
        <v>22.492559841984562</v>
      </c>
      <c r="BG41" s="4"/>
      <c r="BH41" s="193"/>
    </row>
    <row r="42" spans="2:60" ht="12">
      <c r="B42" s="3"/>
      <c r="C42" s="7">
        <f>+IF(C41&gt;$G$13+$G$14,XX,C41+1)</f>
        <v>2013</v>
      </c>
      <c r="D42" s="7"/>
      <c r="E42" s="330">
        <f t="shared" si="11"/>
        <v>2.5000000000000001E-2</v>
      </c>
      <c r="F42" s="7"/>
      <c r="G42" s="23">
        <f t="shared" si="12"/>
        <v>9239.3694826569736</v>
      </c>
      <c r="H42" s="7"/>
      <c r="I42" s="39">
        <f t="shared" si="13"/>
        <v>450.38540543538778</v>
      </c>
      <c r="J42" s="7"/>
      <c r="K42" s="39">
        <f t="shared" si="14"/>
        <v>0</v>
      </c>
      <c r="L42" s="7"/>
      <c r="M42" s="39">
        <f t="shared" si="15"/>
        <v>0</v>
      </c>
      <c r="N42" s="7"/>
      <c r="O42" s="333"/>
      <c r="P42" s="7"/>
      <c r="Q42" s="39"/>
      <c r="R42" s="7"/>
      <c r="S42" s="23">
        <v>0</v>
      </c>
      <c r="T42" s="7"/>
      <c r="U42" s="23">
        <f t="shared" si="5"/>
        <v>449.29831449783075</v>
      </c>
      <c r="V42" s="7"/>
      <c r="W42" s="23">
        <f t="shared" si="0"/>
        <v>-449.29831449783075</v>
      </c>
      <c r="X42" s="7"/>
      <c r="Y42" s="334">
        <f t="shared" si="6"/>
        <v>-48.628677026197423</v>
      </c>
      <c r="Z42" s="290"/>
      <c r="AB42" s="182">
        <f>+IF(AB41&gt;$G$13+$G$14,XX,AB41+1)</f>
        <v>2013</v>
      </c>
      <c r="AC42" s="152"/>
      <c r="AD42" s="187">
        <f t="shared" si="1"/>
        <v>9239.3694826569736</v>
      </c>
      <c r="AE42" s="4"/>
      <c r="AF42" s="190">
        <f t="shared" si="16"/>
        <v>70.606663272930604</v>
      </c>
      <c r="AG42" s="4"/>
      <c r="AH42" s="190">
        <f t="shared" si="17"/>
        <v>8.6643757543227409</v>
      </c>
      <c r="AI42" s="4"/>
      <c r="AJ42" s="190">
        <f t="shared" si="18"/>
        <v>2.0240801303590263</v>
      </c>
      <c r="AK42" s="4"/>
      <c r="AL42" s="189">
        <f t="shared" si="7"/>
        <v>127.0620759290547</v>
      </c>
      <c r="AM42" s="4"/>
      <c r="AN42" s="190">
        <f>INDEX('(2.2)_Forward_Price_Curve'!$J:$J,MATCH($AB42,'(2.2)_Forward_Price_Curve'!$C:$C,0),1)</f>
        <v>4.6399999999999997</v>
      </c>
      <c r="AO42" s="4"/>
      <c r="AP42" s="190">
        <f t="shared" si="8"/>
        <v>33.239757271487044</v>
      </c>
      <c r="AQ42" s="4"/>
      <c r="AR42" s="190">
        <f t="shared" si="19"/>
        <v>4.1319609020256527</v>
      </c>
      <c r="AS42" s="190"/>
      <c r="AT42" s="189">
        <f t="shared" si="2"/>
        <v>104.00720209102053</v>
      </c>
      <c r="AU42" s="4"/>
      <c r="AV42" s="189">
        <f t="shared" si="3"/>
        <v>345.29111240681021</v>
      </c>
      <c r="AW42" s="337"/>
      <c r="AX42" s="191">
        <f t="shared" si="9"/>
        <v>449.29831449783075</v>
      </c>
      <c r="AZ42" s="182">
        <f>+IF(AZ41&gt;$G$13+$G$14,XX,AZ41+1)</f>
        <v>2013</v>
      </c>
      <c r="BA42" s="152"/>
      <c r="BB42" s="190">
        <f t="shared" si="20"/>
        <v>60.64963125287413</v>
      </c>
      <c r="BC42" s="4"/>
      <c r="BD42" s="190">
        <f t="shared" si="21"/>
        <v>13.186470910902719</v>
      </c>
      <c r="BE42" s="4"/>
      <c r="BF42" s="189">
        <f t="shared" si="10"/>
        <v>23.054873838034172</v>
      </c>
      <c r="BG42" s="4"/>
      <c r="BH42" s="193"/>
    </row>
    <row r="43" spans="2:60" ht="12">
      <c r="B43" s="3"/>
      <c r="C43" s="7">
        <f>+IF(C42&gt;$G$13+$G$14,XX,C42+1)</f>
        <v>2014</v>
      </c>
      <c r="D43" s="7"/>
      <c r="E43" s="330">
        <f t="shared" si="11"/>
        <v>2.5000000000000001E-2</v>
      </c>
      <c r="F43" s="7"/>
      <c r="G43" s="23">
        <f t="shared" si="12"/>
        <v>9239.3694826569736</v>
      </c>
      <c r="H43" s="7"/>
      <c r="I43" s="39">
        <f t="shared" si="13"/>
        <v>461.64504057127243</v>
      </c>
      <c r="J43" s="7"/>
      <c r="K43" s="39">
        <f t="shared" si="14"/>
        <v>0</v>
      </c>
      <c r="L43" s="7"/>
      <c r="M43" s="39">
        <f t="shared" si="15"/>
        <v>0</v>
      </c>
      <c r="N43" s="7"/>
      <c r="O43" s="333"/>
      <c r="P43" s="7"/>
      <c r="Q43" s="39"/>
      <c r="R43" s="7"/>
      <c r="S43" s="23">
        <v>0</v>
      </c>
      <c r="T43" s="7"/>
      <c r="U43" s="23">
        <f t="shared" si="5"/>
        <v>440.27710725743134</v>
      </c>
      <c r="V43" s="7"/>
      <c r="W43" s="23">
        <f t="shared" si="0"/>
        <v>-440.27710725743134</v>
      </c>
      <c r="X43" s="7"/>
      <c r="Y43" s="334">
        <f t="shared" si="6"/>
        <v>-47.652289269724115</v>
      </c>
      <c r="Z43" s="290"/>
      <c r="AB43" s="182">
        <f>+IF(AB42&gt;$G$13+$G$14,XX,AB42+1)</f>
        <v>2014</v>
      </c>
      <c r="AC43" s="152"/>
      <c r="AD43" s="187">
        <f t="shared" si="1"/>
        <v>9239.3694826569736</v>
      </c>
      <c r="AE43" s="4"/>
      <c r="AF43" s="190">
        <f t="shared" si="16"/>
        <v>72.371829854753869</v>
      </c>
      <c r="AG43" s="4"/>
      <c r="AH43" s="190">
        <f t="shared" si="17"/>
        <v>8.8809851481808089</v>
      </c>
      <c r="AI43" s="4"/>
      <c r="AJ43" s="190">
        <f t="shared" si="18"/>
        <v>2.0746821336180017</v>
      </c>
      <c r="AK43" s="4"/>
      <c r="AL43" s="189">
        <f t="shared" si="7"/>
        <v>130.23862782728105</v>
      </c>
      <c r="AM43" s="4"/>
      <c r="AN43" s="190">
        <f>INDEX('(2.2)_Forward_Price_Curve'!$J:$J,MATCH($AB43,'(2.2)_Forward_Price_Curve'!$C:$C,0),1)</f>
        <v>4.45</v>
      </c>
      <c r="AO43" s="4"/>
      <c r="AP43" s="190">
        <f t="shared" si="8"/>
        <v>31.878646521145978</v>
      </c>
      <c r="AQ43" s="4"/>
      <c r="AR43" s="190">
        <f t="shared" si="19"/>
        <v>4.2352599245762939</v>
      </c>
      <c r="AS43" s="190"/>
      <c r="AT43" s="189">
        <f t="shared" si="2"/>
        <v>106.60738214329602</v>
      </c>
      <c r="AU43" s="4"/>
      <c r="AV43" s="189">
        <f t="shared" si="3"/>
        <v>333.6697251141353</v>
      </c>
      <c r="AW43" s="337"/>
      <c r="AX43" s="191">
        <f t="shared" si="9"/>
        <v>440.27710725743134</v>
      </c>
      <c r="AZ43" s="182">
        <f>+IF(AZ42&gt;$G$13+$G$14,XX,AZ42+1)</f>
        <v>2014</v>
      </c>
      <c r="BA43" s="152"/>
      <c r="BB43" s="190">
        <f t="shared" si="20"/>
        <v>62.165872034195978</v>
      </c>
      <c r="BC43" s="4"/>
      <c r="BD43" s="190">
        <f t="shared" si="21"/>
        <v>13.516132683675286</v>
      </c>
      <c r="BE43" s="4"/>
      <c r="BF43" s="189">
        <f t="shared" si="10"/>
        <v>23.631245683985028</v>
      </c>
      <c r="BG43" s="4"/>
      <c r="BH43" s="193"/>
    </row>
    <row r="44" spans="2:60" ht="12">
      <c r="B44" s="3"/>
      <c r="C44" s="7">
        <f>+IF(C43&gt;$G$13+$G$14,XX,C43+1)</f>
        <v>2015</v>
      </c>
      <c r="D44" s="7"/>
      <c r="E44" s="330">
        <f t="shared" si="11"/>
        <v>2.5000000000000001E-2</v>
      </c>
      <c r="F44" s="7"/>
      <c r="G44" s="23">
        <f t="shared" si="12"/>
        <v>9239.3694826569736</v>
      </c>
      <c r="H44" s="7"/>
      <c r="I44" s="39">
        <f t="shared" si="13"/>
        <v>473.18616658555419</v>
      </c>
      <c r="J44" s="7"/>
      <c r="K44" s="39">
        <f t="shared" si="14"/>
        <v>0</v>
      </c>
      <c r="L44" s="7"/>
      <c r="M44" s="39">
        <f t="shared" si="15"/>
        <v>0</v>
      </c>
      <c r="N44" s="7"/>
      <c r="O44" s="333"/>
      <c r="P44" s="7"/>
      <c r="Q44" s="39"/>
      <c r="R44" s="7"/>
      <c r="S44" s="23">
        <v>0</v>
      </c>
      <c r="T44" s="7"/>
      <c r="U44" s="23">
        <f t="shared" si="5"/>
        <v>472.38160275433074</v>
      </c>
      <c r="V44" s="7"/>
      <c r="W44" s="23">
        <f t="shared" si="0"/>
        <v>-472.38160275433074</v>
      </c>
      <c r="X44" s="7"/>
      <c r="Y44" s="334">
        <f t="shared" si="6"/>
        <v>-51.127038878684125</v>
      </c>
      <c r="Z44" s="290"/>
      <c r="AB44" s="182">
        <f>+IF(AB43&gt;$G$13+$G$14,XX,AB43+1)</f>
        <v>2015</v>
      </c>
      <c r="AC44" s="152"/>
      <c r="AD44" s="187">
        <f t="shared" si="1"/>
        <v>9239.3694826569736</v>
      </c>
      <c r="AE44" s="4"/>
      <c r="AF44" s="190">
        <f t="shared" si="16"/>
        <v>74.181125601122716</v>
      </c>
      <c r="AG44" s="4"/>
      <c r="AH44" s="190">
        <f t="shared" si="17"/>
        <v>9.1030097768853278</v>
      </c>
      <c r="AI44" s="4"/>
      <c r="AJ44" s="190">
        <f t="shared" si="18"/>
        <v>2.1265491869584516</v>
      </c>
      <c r="AK44" s="4"/>
      <c r="AL44" s="189">
        <f t="shared" si="7"/>
        <v>133.49459352296307</v>
      </c>
      <c r="AM44" s="4"/>
      <c r="AN44" s="190">
        <f>INDEX('(2.2)_Forward_Price_Curve'!$J:$J,MATCH($AB44,'(2.2)_Forward_Price_Curve'!$C:$C,0),1)</f>
        <v>4.88</v>
      </c>
      <c r="AO44" s="4"/>
      <c r="AP44" s="190">
        <f t="shared" si="8"/>
        <v>34.959055061391538</v>
      </c>
      <c r="AQ44" s="4"/>
      <c r="AR44" s="190">
        <f t="shared" si="19"/>
        <v>4.3411414226907006</v>
      </c>
      <c r="AS44" s="190"/>
      <c r="AT44" s="189">
        <f t="shared" si="2"/>
        <v>109.27256669687843</v>
      </c>
      <c r="AU44" s="4"/>
      <c r="AV44" s="189">
        <f t="shared" si="3"/>
        <v>363.10903605745233</v>
      </c>
      <c r="AW44" s="337"/>
      <c r="AX44" s="191">
        <f t="shared" si="9"/>
        <v>472.38160275433074</v>
      </c>
      <c r="AZ44" s="182">
        <f>+IF(AZ43&gt;$G$13+$G$14,XX,AZ43+1)</f>
        <v>2015</v>
      </c>
      <c r="BA44" s="152"/>
      <c r="BB44" s="190">
        <f t="shared" si="20"/>
        <v>63.720018835050872</v>
      </c>
      <c r="BC44" s="4"/>
      <c r="BD44" s="190">
        <f t="shared" si="21"/>
        <v>13.854036000767167</v>
      </c>
      <c r="BE44" s="4"/>
      <c r="BF44" s="189">
        <f t="shared" si="10"/>
        <v>24.222026826084647</v>
      </c>
      <c r="BG44" s="4"/>
      <c r="BH44" s="193"/>
    </row>
    <row r="45" spans="2:60" ht="12">
      <c r="B45" s="3"/>
      <c r="C45" s="7">
        <f>+IF(C44&gt;$G$13+$G$14,XX,C44+1)</f>
        <v>2016</v>
      </c>
      <c r="D45" s="7"/>
      <c r="E45" s="330">
        <f t="shared" si="11"/>
        <v>2.5000000000000001E-2</v>
      </c>
      <c r="F45" s="7"/>
      <c r="G45" s="23">
        <f t="shared" si="12"/>
        <v>9239.3694826569736</v>
      </c>
      <c r="H45" s="7"/>
      <c r="I45" s="39">
        <f t="shared" si="13"/>
        <v>485.01582075019303</v>
      </c>
      <c r="J45" s="7"/>
      <c r="K45" s="39">
        <f t="shared" si="14"/>
        <v>0</v>
      </c>
      <c r="L45" s="7"/>
      <c r="M45" s="39">
        <f t="shared" si="15"/>
        <v>0</v>
      </c>
      <c r="N45" s="7"/>
      <c r="O45" s="333"/>
      <c r="P45" s="7"/>
      <c r="Q45" s="39"/>
      <c r="R45" s="7"/>
      <c r="S45" s="23">
        <v>0</v>
      </c>
      <c r="T45" s="7"/>
      <c r="U45" s="23">
        <f t="shared" si="5"/>
        <v>490.67761073194328</v>
      </c>
      <c r="V45" s="7"/>
      <c r="W45" s="23">
        <f t="shared" si="0"/>
        <v>-490.67761073194328</v>
      </c>
      <c r="X45" s="7"/>
      <c r="Y45" s="334">
        <f t="shared" si="6"/>
        <v>-53.107261448195565</v>
      </c>
      <c r="Z45" s="290"/>
      <c r="AB45" s="182">
        <f>+IF(AB44&gt;$G$13+$G$14,XX,AB44+1)</f>
        <v>2016</v>
      </c>
      <c r="AC45" s="152"/>
      <c r="AD45" s="187">
        <f t="shared" si="1"/>
        <v>9239.3694826569736</v>
      </c>
      <c r="AE45" s="4"/>
      <c r="AF45" s="190">
        <f t="shared" si="16"/>
        <v>76.035653741150782</v>
      </c>
      <c r="AG45" s="4"/>
      <c r="AH45" s="190">
        <f t="shared" si="17"/>
        <v>9.3305850213074599</v>
      </c>
      <c r="AI45" s="4"/>
      <c r="AJ45" s="190">
        <f t="shared" si="18"/>
        <v>2.1797129166324125</v>
      </c>
      <c r="AK45" s="4"/>
      <c r="AL45" s="189">
        <f t="shared" si="7"/>
        <v>136.83195836103712</v>
      </c>
      <c r="AM45" s="4"/>
      <c r="AN45" s="190">
        <f>INDEX('(2.2)_Forward_Price_Curve'!$J:$J,MATCH($AB45,'(2.2)_Forward_Price_Curve'!$C:$C,0),1)</f>
        <v>5.0999999999999996</v>
      </c>
      <c r="AO45" s="4"/>
      <c r="AP45" s="190">
        <f t="shared" si="8"/>
        <v>36.535078035470669</v>
      </c>
      <c r="AQ45" s="4"/>
      <c r="AR45" s="190">
        <f t="shared" si="19"/>
        <v>4.4496699582579673</v>
      </c>
      <c r="AS45" s="190"/>
      <c r="AT45" s="189">
        <f t="shared" si="2"/>
        <v>112.00438086430036</v>
      </c>
      <c r="AU45" s="4"/>
      <c r="AV45" s="189">
        <f t="shared" si="3"/>
        <v>378.67322986764293</v>
      </c>
      <c r="AW45" s="337"/>
      <c r="AX45" s="191">
        <f t="shared" si="9"/>
        <v>490.67761073194328</v>
      </c>
      <c r="AZ45" s="182">
        <f>+IF(AZ44&gt;$G$13+$G$14,XX,AZ44+1)</f>
        <v>2016</v>
      </c>
      <c r="BA45" s="152"/>
      <c r="BB45" s="190">
        <f t="shared" si="20"/>
        <v>65.313019305927142</v>
      </c>
      <c r="BC45" s="4"/>
      <c r="BD45" s="190">
        <f t="shared" si="21"/>
        <v>14.200386900786345</v>
      </c>
      <c r="BE45" s="4"/>
      <c r="BF45" s="189">
        <f t="shared" si="10"/>
        <v>24.827577496736765</v>
      </c>
      <c r="BG45" s="4"/>
      <c r="BH45" s="193"/>
    </row>
    <row r="46" spans="2:60" ht="12">
      <c r="B46" s="3"/>
      <c r="C46" s="7">
        <f>+IF(C45&gt;$G$13+$G$14,XX,C45+1)</f>
        <v>2017</v>
      </c>
      <c r="D46" s="7"/>
      <c r="E46" s="330">
        <f t="shared" si="11"/>
        <v>2.5000000000000001E-2</v>
      </c>
      <c r="F46" s="7"/>
      <c r="G46" s="23">
        <f t="shared" si="12"/>
        <v>9239.3694826569736</v>
      </c>
      <c r="H46" s="7"/>
      <c r="I46" s="39">
        <f t="shared" si="13"/>
        <v>497.1412162689478</v>
      </c>
      <c r="J46" s="7"/>
      <c r="K46" s="39">
        <f t="shared" si="14"/>
        <v>0</v>
      </c>
      <c r="L46" s="7"/>
      <c r="M46" s="39">
        <f t="shared" si="15"/>
        <v>0</v>
      </c>
      <c r="N46" s="7"/>
      <c r="O46" s="333"/>
      <c r="P46" s="7"/>
      <c r="Q46" s="39"/>
      <c r="R46" s="7"/>
      <c r="S46" s="23">
        <v>0</v>
      </c>
      <c r="T46" s="7"/>
      <c r="U46" s="23">
        <f t="shared" si="5"/>
        <v>502.44813763987804</v>
      </c>
      <c r="V46" s="7"/>
      <c r="W46" s="23">
        <f t="shared" si="0"/>
        <v>-502.44813763987804</v>
      </c>
      <c r="X46" s="7"/>
      <c r="Y46" s="334">
        <f t="shared" si="6"/>
        <v>-54.381214928465937</v>
      </c>
      <c r="Z46" s="290"/>
      <c r="AB46" s="182">
        <f>+IF(AB45&gt;$G$13+$G$14,XX,AB45+1)</f>
        <v>2017</v>
      </c>
      <c r="AC46" s="152"/>
      <c r="AD46" s="187">
        <f t="shared" si="1"/>
        <v>9239.3694826569736</v>
      </c>
      <c r="AE46" s="4"/>
      <c r="AF46" s="190">
        <f t="shared" si="16"/>
        <v>77.936545084679551</v>
      </c>
      <c r="AG46" s="4"/>
      <c r="AH46" s="190">
        <f t="shared" si="17"/>
        <v>9.5638496468401453</v>
      </c>
      <c r="AI46" s="4"/>
      <c r="AJ46" s="190">
        <f t="shared" si="18"/>
        <v>2.2342057395482224</v>
      </c>
      <c r="AK46" s="4"/>
      <c r="AL46" s="189">
        <f t="shared" si="7"/>
        <v>140.25275732006307</v>
      </c>
      <c r="AM46" s="4"/>
      <c r="AN46" s="190">
        <f>INDEX('(2.2)_Forward_Price_Curve'!$J:$J,MATCH($AB46,'(2.2)_Forward_Price_Curve'!$C:$C,0),1)</f>
        <v>5.22</v>
      </c>
      <c r="AO46" s="4"/>
      <c r="AP46" s="190">
        <f t="shared" si="8"/>
        <v>37.39472693042292</v>
      </c>
      <c r="AQ46" s="4"/>
      <c r="AR46" s="190">
        <f t="shared" si="19"/>
        <v>4.5609117072144159</v>
      </c>
      <c r="AS46" s="190"/>
      <c r="AT46" s="189">
        <f t="shared" si="2"/>
        <v>114.80449038590788</v>
      </c>
      <c r="AU46" s="4"/>
      <c r="AV46" s="189">
        <f t="shared" si="3"/>
        <v>387.64364725397019</v>
      </c>
      <c r="AW46" s="337"/>
      <c r="AX46" s="191">
        <f t="shared" si="9"/>
        <v>502.44813763987804</v>
      </c>
      <c r="AZ46" s="182">
        <f>+IF(AZ45&gt;$G$13+$G$14,XX,AZ45+1)</f>
        <v>2017</v>
      </c>
      <c r="BA46" s="152"/>
      <c r="BB46" s="190">
        <f t="shared" si="20"/>
        <v>66.945844788575315</v>
      </c>
      <c r="BC46" s="4"/>
      <c r="BD46" s="190">
        <f t="shared" si="21"/>
        <v>14.555396573306002</v>
      </c>
      <c r="BE46" s="4"/>
      <c r="BF46" s="189">
        <f t="shared" si="10"/>
        <v>25.448266934155182</v>
      </c>
      <c r="BG46" s="4"/>
      <c r="BH46" s="193"/>
    </row>
    <row r="47" spans="2:60" ht="12">
      <c r="B47" s="3"/>
      <c r="C47" s="7">
        <f>+IF(C46&gt;$G$13+$G$14,XX,C46+1)</f>
        <v>2018</v>
      </c>
      <c r="D47" s="7"/>
      <c r="E47" s="330">
        <f t="shared" si="11"/>
        <v>2.5000000000000001E-2</v>
      </c>
      <c r="F47" s="7"/>
      <c r="G47" s="23">
        <f t="shared" si="12"/>
        <v>9239.3694826569736</v>
      </c>
      <c r="H47" s="7"/>
      <c r="I47" s="39">
        <f t="shared" si="13"/>
        <v>509.56974667567147</v>
      </c>
      <c r="J47" s="7"/>
      <c r="K47" s="39">
        <f t="shared" si="14"/>
        <v>0</v>
      </c>
      <c r="L47" s="7"/>
      <c r="M47" s="39">
        <f t="shared" si="15"/>
        <v>0</v>
      </c>
      <c r="N47" s="7"/>
      <c r="O47" s="333"/>
      <c r="P47" s="7"/>
      <c r="Q47" s="39"/>
      <c r="R47" s="7"/>
      <c r="S47" s="23">
        <v>0</v>
      </c>
      <c r="T47" s="7"/>
      <c r="U47" s="23">
        <f t="shared" si="5"/>
        <v>514.31436237636558</v>
      </c>
      <c r="V47" s="7"/>
      <c r="W47" s="23">
        <f t="shared" si="0"/>
        <v>-514.31436237636558</v>
      </c>
      <c r="X47" s="7"/>
      <c r="Y47" s="334">
        <f t="shared" si="6"/>
        <v>-55.665526023369267</v>
      </c>
      <c r="Z47" s="290"/>
      <c r="AB47" s="182">
        <f>+IF(AB46&gt;$G$13+$G$14,XX,AB46+1)</f>
        <v>2018</v>
      </c>
      <c r="AC47" s="152"/>
      <c r="AD47" s="187">
        <f t="shared" si="1"/>
        <v>9239.3694826569736</v>
      </c>
      <c r="AE47" s="4"/>
      <c r="AF47" s="190">
        <f t="shared" si="16"/>
        <v>79.884958711796529</v>
      </c>
      <c r="AG47" s="4"/>
      <c r="AH47" s="190">
        <f t="shared" si="17"/>
        <v>9.8029458880111484</v>
      </c>
      <c r="AI47" s="4"/>
      <c r="AJ47" s="190">
        <f t="shared" si="18"/>
        <v>2.290060883036928</v>
      </c>
      <c r="AK47" s="4"/>
      <c r="AL47" s="189">
        <f t="shared" si="7"/>
        <v>143.75907625306465</v>
      </c>
      <c r="AM47" s="4"/>
      <c r="AN47" s="190">
        <f>INDEX('(2.2)_Forward_Price_Curve'!$J:$J,MATCH($AB47,'(2.2)_Forward_Price_Curve'!$C:$C,0),1)</f>
        <v>5.34</v>
      </c>
      <c r="AO47" s="4"/>
      <c r="AP47" s="190">
        <f t="shared" si="8"/>
        <v>38.25437582537517</v>
      </c>
      <c r="AQ47" s="4"/>
      <c r="AR47" s="190">
        <f t="shared" si="19"/>
        <v>4.6749344998947757</v>
      </c>
      <c r="AS47" s="190"/>
      <c r="AT47" s="189">
        <f t="shared" si="2"/>
        <v>117.67460264555558</v>
      </c>
      <c r="AU47" s="4"/>
      <c r="AV47" s="189">
        <f t="shared" si="3"/>
        <v>396.63975973081006</v>
      </c>
      <c r="AW47" s="337"/>
      <c r="AX47" s="191">
        <f t="shared" si="9"/>
        <v>514.31436237636558</v>
      </c>
      <c r="AZ47" s="182">
        <f>+IF(AZ46&gt;$G$13+$G$14,XX,AZ46+1)</f>
        <v>2018</v>
      </c>
      <c r="BA47" s="152"/>
      <c r="BB47" s="190">
        <f t="shared" si="20"/>
        <v>68.619490908289691</v>
      </c>
      <c r="BC47" s="4"/>
      <c r="BD47" s="190">
        <f t="shared" si="21"/>
        <v>14.919281487638651</v>
      </c>
      <c r="BE47" s="4"/>
      <c r="BF47" s="189">
        <f t="shared" si="10"/>
        <v>26.084473607509061</v>
      </c>
      <c r="BG47" s="4"/>
      <c r="BH47" s="193"/>
    </row>
    <row r="48" spans="2:60" ht="12">
      <c r="B48" s="3"/>
      <c r="C48" s="7">
        <f>+IF(C47&gt;$G$13+$G$14,XX,C47+1)</f>
        <v>2019</v>
      </c>
      <c r="D48" s="7"/>
      <c r="E48" s="330">
        <f t="shared" si="11"/>
        <v>2.5000000000000001E-2</v>
      </c>
      <c r="F48" s="7"/>
      <c r="G48" s="23">
        <f t="shared" si="12"/>
        <v>9239.3694826569736</v>
      </c>
      <c r="H48" s="7"/>
      <c r="I48" s="39">
        <f t="shared" si="13"/>
        <v>522.30899034256322</v>
      </c>
      <c r="J48" s="7"/>
      <c r="K48" s="39">
        <f t="shared" si="14"/>
        <v>0</v>
      </c>
      <c r="L48" s="7"/>
      <c r="M48" s="39">
        <f t="shared" si="15"/>
        <v>0</v>
      </c>
      <c r="N48" s="7"/>
      <c r="O48" s="333"/>
      <c r="P48" s="7"/>
      <c r="Q48" s="39"/>
      <c r="R48" s="7"/>
      <c r="S48" s="23">
        <v>0</v>
      </c>
      <c r="T48" s="7"/>
      <c r="U48" s="23">
        <f t="shared" si="5"/>
        <v>526.27867738711973</v>
      </c>
      <c r="V48" s="7"/>
      <c r="W48" s="23">
        <f t="shared" si="0"/>
        <v>-526.27867738711973</v>
      </c>
      <c r="X48" s="7"/>
      <c r="Y48" s="334">
        <f t="shared" si="6"/>
        <v>-56.96045367327136</v>
      </c>
      <c r="Z48" s="290"/>
      <c r="AB48" s="182">
        <f>+IF(AB47&gt;$G$13+$G$14,XX,AB47+1)</f>
        <v>2019</v>
      </c>
      <c r="AC48" s="152"/>
      <c r="AD48" s="187">
        <f t="shared" si="1"/>
        <v>9239.3694826569736</v>
      </c>
      <c r="AE48" s="4"/>
      <c r="AF48" s="190">
        <f t="shared" si="16"/>
        <v>81.882082679591434</v>
      </c>
      <c r="AG48" s="4"/>
      <c r="AH48" s="190">
        <f t="shared" si="17"/>
        <v>10.048019535211425</v>
      </c>
      <c r="AI48" s="4"/>
      <c r="AJ48" s="190">
        <f t="shared" si="18"/>
        <v>2.3473124051128509</v>
      </c>
      <c r="AK48" s="4"/>
      <c r="AL48" s="189">
        <f t="shared" si="7"/>
        <v>147.35305315939121</v>
      </c>
      <c r="AM48" s="4"/>
      <c r="AN48" s="190">
        <f>INDEX('(2.2)_Forward_Price_Curve'!$J:$J,MATCH($AB48,'(2.2)_Forward_Price_Curve'!$C:$C,0),1)</f>
        <v>5.46</v>
      </c>
      <c r="AO48" s="4"/>
      <c r="AP48" s="190">
        <f t="shared" si="8"/>
        <v>39.114024720327421</v>
      </c>
      <c r="AQ48" s="4"/>
      <c r="AR48" s="190">
        <f t="shared" si="19"/>
        <v>4.7918078623921447</v>
      </c>
      <c r="AS48" s="190"/>
      <c r="AT48" s="189">
        <f t="shared" si="2"/>
        <v>120.61646771169443</v>
      </c>
      <c r="AU48" s="4"/>
      <c r="AV48" s="189">
        <f t="shared" si="3"/>
        <v>405.66220967542534</v>
      </c>
      <c r="AW48" s="337"/>
      <c r="AX48" s="191">
        <f t="shared" si="9"/>
        <v>526.27867738711973</v>
      </c>
      <c r="AZ48" s="182">
        <f>+IF(AZ47&gt;$G$13+$G$14,XX,AZ47+1)</f>
        <v>2019</v>
      </c>
      <c r="BA48" s="152"/>
      <c r="BB48" s="190">
        <f t="shared" si="20"/>
        <v>70.334978180996927</v>
      </c>
      <c r="BC48" s="4"/>
      <c r="BD48" s="190">
        <f t="shared" si="21"/>
        <v>15.292263524829616</v>
      </c>
      <c r="BE48" s="4"/>
      <c r="BF48" s="189">
        <f t="shared" si="10"/>
        <v>26.736585447696786</v>
      </c>
      <c r="BG48" s="4"/>
      <c r="BH48" s="193"/>
    </row>
    <row r="49" spans="2:60" ht="12">
      <c r="B49" s="3"/>
      <c r="C49" s="7">
        <f>+IF(C48&gt;$G$13+$G$14,XX,C48+1)</f>
        <v>2020</v>
      </c>
      <c r="D49" s="7"/>
      <c r="E49" s="330">
        <f t="shared" si="11"/>
        <v>2.5000000000000001E-2</v>
      </c>
      <c r="F49" s="7"/>
      <c r="G49" s="23">
        <f t="shared" si="12"/>
        <v>9239.3694826569736</v>
      </c>
      <c r="H49" s="7"/>
      <c r="I49" s="39">
        <f t="shared" si="13"/>
        <v>535.36671510112728</v>
      </c>
      <c r="J49" s="7"/>
      <c r="K49" s="39">
        <f t="shared" si="14"/>
        <v>0</v>
      </c>
      <c r="L49" s="7"/>
      <c r="M49" s="39">
        <f t="shared" si="15"/>
        <v>0</v>
      </c>
      <c r="N49" s="7"/>
      <c r="O49" s="333"/>
      <c r="P49" s="7"/>
      <c r="Q49" s="39"/>
      <c r="R49" s="7"/>
      <c r="S49" s="23">
        <v>0</v>
      </c>
      <c r="T49" s="7"/>
      <c r="U49" s="23">
        <f t="shared" si="5"/>
        <v>539.00541940948244</v>
      </c>
      <c r="V49" s="7"/>
      <c r="W49" s="23">
        <f t="shared" si="0"/>
        <v>-539.00541940948244</v>
      </c>
      <c r="X49" s="7"/>
      <c r="Y49" s="334">
        <f t="shared" si="6"/>
        <v>-58.337900699959903</v>
      </c>
      <c r="Z49" s="290"/>
      <c r="AB49" s="182">
        <f>+IF(AB48&gt;$G$13+$G$14,XX,AB48+1)</f>
        <v>2020</v>
      </c>
      <c r="AC49" s="152"/>
      <c r="AD49" s="187">
        <f t="shared" si="1"/>
        <v>9239.3694826569736</v>
      </c>
      <c r="AE49" s="4"/>
      <c r="AF49" s="190">
        <f t="shared" si="16"/>
        <v>83.929134746581212</v>
      </c>
      <c r="AG49" s="4"/>
      <c r="AH49" s="190">
        <f t="shared" si="17"/>
        <v>10.29922002359171</v>
      </c>
      <c r="AI49" s="4"/>
      <c r="AJ49" s="190">
        <f t="shared" si="18"/>
        <v>2.4059952152406718</v>
      </c>
      <c r="AK49" s="4"/>
      <c r="AL49" s="189">
        <f t="shared" si="7"/>
        <v>151.03687948837603</v>
      </c>
      <c r="AM49" s="4"/>
      <c r="AN49" s="190">
        <f>INDEX('(2.2)_Forward_Price_Curve'!$J:$J,MATCH($AB49,'(2.2)_Forward_Price_Curve'!$C:$C,0),1)</f>
        <v>5.59</v>
      </c>
      <c r="AO49" s="4"/>
      <c r="AP49" s="190">
        <f t="shared" si="8"/>
        <v>40.045311023192355</v>
      </c>
      <c r="AQ49" s="4"/>
      <c r="AR49" s="190">
        <f t="shared" si="19"/>
        <v>4.9116030589519477</v>
      </c>
      <c r="AS49" s="190"/>
      <c r="AT49" s="189">
        <f t="shared" si="2"/>
        <v>123.63187940448682</v>
      </c>
      <c r="AU49" s="4"/>
      <c r="AV49" s="189">
        <f t="shared" si="3"/>
        <v>415.37354000499562</v>
      </c>
      <c r="AW49" s="337"/>
      <c r="AX49" s="191">
        <f t="shared" si="9"/>
        <v>539.00541940948244</v>
      </c>
      <c r="AZ49" s="182">
        <f>+IF(AZ48&gt;$G$13+$G$14,XX,AZ48+1)</f>
        <v>2020</v>
      </c>
      <c r="BA49" s="152"/>
      <c r="BB49" s="190">
        <f t="shared" si="20"/>
        <v>72.093352635521839</v>
      </c>
      <c r="BC49" s="4"/>
      <c r="BD49" s="190">
        <f t="shared" si="21"/>
        <v>15.674570112950356</v>
      </c>
      <c r="BE49" s="4"/>
      <c r="BF49" s="189">
        <f t="shared" si="10"/>
        <v>27.405000083889199</v>
      </c>
      <c r="BG49" s="4"/>
      <c r="BH49" s="193"/>
    </row>
    <row r="50" spans="2:60" ht="12">
      <c r="B50" s="3"/>
      <c r="C50" s="7">
        <f>+IF(C49&gt;$G$13+$G$14,XX,C49+1)</f>
        <v>2021</v>
      </c>
      <c r="D50" s="7"/>
      <c r="E50" s="330">
        <f t="shared" si="11"/>
        <v>2.5000000000000001E-2</v>
      </c>
      <c r="F50" s="7"/>
      <c r="G50" s="23">
        <f t="shared" si="12"/>
        <v>9239.3694826569736</v>
      </c>
      <c r="H50" s="7"/>
      <c r="I50" s="39">
        <f t="shared" si="13"/>
        <v>548.75088297865545</v>
      </c>
      <c r="J50" s="7"/>
      <c r="K50" s="39">
        <f t="shared" si="14"/>
        <v>0</v>
      </c>
      <c r="L50" s="7"/>
      <c r="M50" s="39">
        <f t="shared" si="15"/>
        <v>0</v>
      </c>
      <c r="N50" s="7"/>
      <c r="O50" s="333"/>
      <c r="P50" s="7"/>
      <c r="Q50" s="39"/>
      <c r="R50" s="7"/>
      <c r="S50" s="23">
        <v>0</v>
      </c>
      <c r="T50" s="7"/>
      <c r="U50" s="23">
        <f t="shared" si="5"/>
        <v>549.18767960430591</v>
      </c>
      <c r="V50" s="7"/>
      <c r="W50" s="23">
        <f t="shared" si="0"/>
        <v>-549.18767960430591</v>
      </c>
      <c r="X50" s="7"/>
      <c r="Y50" s="334">
        <f t="shared" si="6"/>
        <v>-59.439952113093277</v>
      </c>
      <c r="Z50" s="290"/>
      <c r="AB50" s="182">
        <f>+IF(AB49&gt;$G$13+$G$14,XX,AB49+1)</f>
        <v>2021</v>
      </c>
      <c r="AC50" s="152"/>
      <c r="AD50" s="187">
        <f t="shared" si="1"/>
        <v>9239.3694826569736</v>
      </c>
      <c r="AE50" s="4"/>
      <c r="AF50" s="190">
        <f t="shared" si="16"/>
        <v>86.027363115245734</v>
      </c>
      <c r="AG50" s="4"/>
      <c r="AH50" s="190">
        <f t="shared" si="17"/>
        <v>10.556700524181501</v>
      </c>
      <c r="AI50" s="4"/>
      <c r="AJ50" s="190">
        <f t="shared" si="18"/>
        <v>2.4661450956216884</v>
      </c>
      <c r="AK50" s="4"/>
      <c r="AL50" s="189">
        <f t="shared" si="7"/>
        <v>154.81280147558536</v>
      </c>
      <c r="AM50" s="4"/>
      <c r="AN50" s="190">
        <f>INDEX('(2.2)_Forward_Price_Curve'!$J:$J,MATCH($AB50,'(2.2)_Forward_Price_Curve'!$C:$C,0),1)</f>
        <v>5.68</v>
      </c>
      <c r="AO50" s="4"/>
      <c r="AP50" s="190">
        <f t="shared" si="8"/>
        <v>40.690047694406545</v>
      </c>
      <c r="AQ50" s="4"/>
      <c r="AR50" s="190">
        <f t="shared" si="19"/>
        <v>5.0343931354257458</v>
      </c>
      <c r="AS50" s="190"/>
      <c r="AT50" s="189">
        <f t="shared" si="2"/>
        <v>126.72267638959893</v>
      </c>
      <c r="AU50" s="4"/>
      <c r="AV50" s="189">
        <f t="shared" si="3"/>
        <v>422.46500321470694</v>
      </c>
      <c r="AW50" s="337"/>
      <c r="AX50" s="191">
        <f t="shared" si="9"/>
        <v>549.18767960430591</v>
      </c>
      <c r="AZ50" s="182">
        <f>+IF(AZ49&gt;$G$13+$G$14,XX,AZ49+1)</f>
        <v>2021</v>
      </c>
      <c r="BA50" s="152"/>
      <c r="BB50" s="190">
        <f t="shared" si="20"/>
        <v>73.895686451409873</v>
      </c>
      <c r="BC50" s="4"/>
      <c r="BD50" s="190">
        <f t="shared" si="21"/>
        <v>16.066434365774114</v>
      </c>
      <c r="BE50" s="4"/>
      <c r="BF50" s="189">
        <f t="shared" si="10"/>
        <v>28.090125085986426</v>
      </c>
      <c r="BG50" s="4"/>
      <c r="BH50" s="193"/>
    </row>
    <row r="51" spans="2:60" ht="12">
      <c r="B51" s="3"/>
      <c r="C51" s="7">
        <f>+IF(C50&gt;$G$13+$G$14,XX,C50+1)</f>
        <v>2022</v>
      </c>
      <c r="D51" s="7"/>
      <c r="E51" s="330">
        <f t="shared" si="11"/>
        <v>2.5000000000000001E-2</v>
      </c>
      <c r="F51" s="7"/>
      <c r="G51" s="23">
        <f t="shared" si="12"/>
        <v>9239.3694826569736</v>
      </c>
      <c r="H51" s="7"/>
      <c r="I51" s="39">
        <f t="shared" si="13"/>
        <v>562.46965505312176</v>
      </c>
      <c r="J51" s="7"/>
      <c r="K51" s="39">
        <f t="shared" si="14"/>
        <v>0</v>
      </c>
      <c r="L51" s="7"/>
      <c r="M51" s="39">
        <f t="shared" si="15"/>
        <v>0</v>
      </c>
      <c r="N51" s="7"/>
      <c r="O51" s="333"/>
      <c r="P51" s="7"/>
      <c r="Q51" s="39"/>
      <c r="R51" s="7"/>
      <c r="S51" s="23">
        <v>0</v>
      </c>
      <c r="T51" s="7"/>
      <c r="U51" s="23">
        <f t="shared" si="5"/>
        <v>556.16614989346522</v>
      </c>
      <c r="V51" s="7"/>
      <c r="W51" s="23">
        <f t="shared" si="0"/>
        <v>-556.16614989346522</v>
      </c>
      <c r="X51" s="7"/>
      <c r="Y51" s="334">
        <f t="shared" si="6"/>
        <v>-60.195249355211196</v>
      </c>
      <c r="Z51" s="290"/>
      <c r="AB51" s="182">
        <f>+IF(AB50&gt;$G$13+$G$14,XX,AB50+1)</f>
        <v>2022</v>
      </c>
      <c r="AC51" s="152"/>
      <c r="AD51" s="187">
        <f t="shared" si="1"/>
        <v>9239.3694826569736</v>
      </c>
      <c r="AE51" s="4"/>
      <c r="AF51" s="190">
        <f t="shared" si="16"/>
        <v>88.178047193126872</v>
      </c>
      <c r="AG51" s="4"/>
      <c r="AH51" s="190">
        <f t="shared" si="17"/>
        <v>10.820618037286037</v>
      </c>
      <c r="AI51" s="4"/>
      <c r="AJ51" s="190">
        <f t="shared" si="18"/>
        <v>2.5277987230122303</v>
      </c>
      <c r="AK51" s="4"/>
      <c r="AL51" s="189">
        <f t="shared" si="7"/>
        <v>158.68312151247503</v>
      </c>
      <c r="AM51" s="4"/>
      <c r="AN51" s="190">
        <f>INDEX('(2.2)_Forward_Price_Curve'!$J:$J,MATCH($AB51,'(2.2)_Forward_Price_Curve'!$C:$C,0),1)</f>
        <v>5.72</v>
      </c>
      <c r="AO51" s="4"/>
      <c r="AP51" s="190">
        <f t="shared" si="8"/>
        <v>40.976597326057295</v>
      </c>
      <c r="AQ51" s="4"/>
      <c r="AR51" s="190">
        <f t="shared" si="19"/>
        <v>5.1602529638113888</v>
      </c>
      <c r="AS51" s="190"/>
      <c r="AT51" s="189">
        <f t="shared" si="2"/>
        <v>129.89074329933894</v>
      </c>
      <c r="AU51" s="4"/>
      <c r="AV51" s="189">
        <f t="shared" si="3"/>
        <v>426.27540659412625</v>
      </c>
      <c r="AW51" s="337"/>
      <c r="AX51" s="191">
        <f t="shared" si="9"/>
        <v>556.16614989346522</v>
      </c>
      <c r="AZ51" s="182">
        <f>+IF(AZ50&gt;$G$13+$G$14,XX,AZ50+1)</f>
        <v>2022</v>
      </c>
      <c r="BA51" s="152"/>
      <c r="BB51" s="190">
        <f t="shared" si="20"/>
        <v>75.743078612695115</v>
      </c>
      <c r="BC51" s="4"/>
      <c r="BD51" s="190">
        <f t="shared" si="21"/>
        <v>16.468095224918464</v>
      </c>
      <c r="BE51" s="4"/>
      <c r="BF51" s="189">
        <f t="shared" si="10"/>
        <v>28.792378213136086</v>
      </c>
      <c r="BG51" s="4"/>
      <c r="BH51" s="193"/>
    </row>
    <row r="52" spans="2:60" ht="12">
      <c r="B52" s="3"/>
      <c r="C52" s="7">
        <f>+IF(C51&gt;$G$13+$G$14,XX,C51+1)</f>
        <v>2023</v>
      </c>
      <c r="D52" s="7"/>
      <c r="E52" s="330">
        <f t="shared" si="11"/>
        <v>2.5000000000000001E-2</v>
      </c>
      <c r="F52" s="7"/>
      <c r="G52" s="23">
        <f t="shared" si="12"/>
        <v>9239.3694826569736</v>
      </c>
      <c r="H52" s="7"/>
      <c r="I52" s="39">
        <f t="shared" si="13"/>
        <v>576.53139642944973</v>
      </c>
      <c r="J52" s="7"/>
      <c r="K52" s="39">
        <f t="shared" si="14"/>
        <v>0</v>
      </c>
      <c r="L52" s="7"/>
      <c r="M52" s="39">
        <f t="shared" si="15"/>
        <v>0</v>
      </c>
      <c r="N52" s="7"/>
      <c r="O52" s="333"/>
      <c r="P52" s="7"/>
      <c r="Q52" s="39"/>
      <c r="R52" s="7"/>
      <c r="S52" s="23">
        <v>0</v>
      </c>
      <c r="T52" s="7"/>
      <c r="U52" s="23">
        <f t="shared" si="5"/>
        <v>569.20985381617106</v>
      </c>
      <c r="V52" s="7"/>
      <c r="W52" s="23">
        <f t="shared" si="0"/>
        <v>-569.20985381617106</v>
      </c>
      <c r="X52" s="7"/>
      <c r="Y52" s="334">
        <f t="shared" si="6"/>
        <v>-61.607001958804972</v>
      </c>
      <c r="Z52" s="290"/>
      <c r="AB52" s="182">
        <f>+IF(AB51&gt;$G$13+$G$14,XX,AB51+1)</f>
        <v>2023</v>
      </c>
      <c r="AC52" s="152"/>
      <c r="AD52" s="187">
        <f t="shared" si="1"/>
        <v>9239.3694826569736</v>
      </c>
      <c r="AE52" s="4"/>
      <c r="AF52" s="190">
        <f t="shared" si="16"/>
        <v>90.382498372955041</v>
      </c>
      <c r="AG52" s="4"/>
      <c r="AH52" s="190">
        <f t="shared" si="17"/>
        <v>11.091133488218187</v>
      </c>
      <c r="AI52" s="4"/>
      <c r="AJ52" s="190">
        <f t="shared" si="18"/>
        <v>2.5909936910875357</v>
      </c>
      <c r="AK52" s="4"/>
      <c r="AL52" s="189">
        <f t="shared" si="7"/>
        <v>162.65019955028686</v>
      </c>
      <c r="AM52" s="4"/>
      <c r="AN52" s="190">
        <f>INDEX('(2.2)_Forward_Price_Curve'!$J:$J,MATCH($AB52,'(2.2)_Forward_Price_Curve'!$C:$C,0),1)</f>
        <v>5.85</v>
      </c>
      <c r="AO52" s="4"/>
      <c r="AP52" s="190">
        <f t="shared" si="8"/>
        <v>41.907883628922235</v>
      </c>
      <c r="AQ52" s="4"/>
      <c r="AR52" s="190">
        <f t="shared" si="19"/>
        <v>5.2892592879066731</v>
      </c>
      <c r="AS52" s="190"/>
      <c r="AT52" s="189">
        <f t="shared" si="2"/>
        <v>133.13801188182237</v>
      </c>
      <c r="AU52" s="4"/>
      <c r="AV52" s="189">
        <f t="shared" si="3"/>
        <v>436.07184193434875</v>
      </c>
      <c r="AW52" s="337"/>
      <c r="AX52" s="191">
        <f t="shared" si="9"/>
        <v>569.20985381617106</v>
      </c>
      <c r="AZ52" s="182">
        <f>+IF(AZ51&gt;$G$13+$G$14,XX,AZ51+1)</f>
        <v>2023</v>
      </c>
      <c r="BA52" s="152"/>
      <c r="BB52" s="190">
        <f t="shared" si="20"/>
        <v>77.63665557801248</v>
      </c>
      <c r="BC52" s="4"/>
      <c r="BD52" s="190">
        <f t="shared" si="21"/>
        <v>16.879797605541423</v>
      </c>
      <c r="BE52" s="4"/>
      <c r="BF52" s="189">
        <f t="shared" si="10"/>
        <v>29.512187668464481</v>
      </c>
      <c r="BG52" s="4"/>
      <c r="BH52" s="193"/>
    </row>
    <row r="53" spans="2:60" ht="12">
      <c r="B53" s="3"/>
      <c r="C53" s="7">
        <f>+IF(C52&gt;$G$13+$G$14,XX,C52+1)</f>
        <v>2024</v>
      </c>
      <c r="D53" s="7"/>
      <c r="E53" s="330">
        <f t="shared" si="11"/>
        <v>2.5000000000000001E-2</v>
      </c>
      <c r="F53" s="7"/>
      <c r="G53" s="23">
        <f t="shared" si="12"/>
        <v>9239.3694826569736</v>
      </c>
      <c r="H53" s="7"/>
      <c r="I53" s="39">
        <f t="shared" si="13"/>
        <v>590.94468134018587</v>
      </c>
      <c r="J53" s="7"/>
      <c r="K53" s="39">
        <f t="shared" si="14"/>
        <v>0</v>
      </c>
      <c r="L53" s="7"/>
      <c r="M53" s="39">
        <f t="shared" si="15"/>
        <v>0</v>
      </c>
      <c r="N53" s="7"/>
      <c r="O53" s="333"/>
      <c r="P53" s="7"/>
      <c r="Q53" s="39"/>
      <c r="R53" s="7"/>
      <c r="S53" s="23">
        <v>0</v>
      </c>
      <c r="T53" s="7"/>
      <c r="U53" s="23">
        <f t="shared" si="5"/>
        <v>583.4401001615754</v>
      </c>
      <c r="V53" s="7"/>
      <c r="W53" s="23">
        <f t="shared" si="0"/>
        <v>-583.4401001615754</v>
      </c>
      <c r="X53" s="7"/>
      <c r="Y53" s="334">
        <f t="shared" si="6"/>
        <v>-63.147177007775099</v>
      </c>
      <c r="Z53" s="290"/>
      <c r="AB53" s="182">
        <f>+IF(AB52&gt;$G$13+$G$14,XX,AB52+1)</f>
        <v>2024</v>
      </c>
      <c r="AC53" s="152"/>
      <c r="AD53" s="187">
        <f t="shared" si="1"/>
        <v>9239.3694826569736</v>
      </c>
      <c r="AE53" s="4"/>
      <c r="AF53" s="190">
        <f t="shared" si="16"/>
        <v>92.642060832278915</v>
      </c>
      <c r="AG53" s="4"/>
      <c r="AH53" s="190">
        <f t="shared" si="17"/>
        <v>11.368411825423641</v>
      </c>
      <c r="AI53" s="4"/>
      <c r="AJ53" s="190">
        <f t="shared" si="18"/>
        <v>2.6557685333647241</v>
      </c>
      <c r="AK53" s="4"/>
      <c r="AL53" s="189">
        <f t="shared" si="7"/>
        <v>166.71645453904404</v>
      </c>
      <c r="AM53" s="4"/>
      <c r="AN53" s="190">
        <f>INDEX('(2.2)_Forward_Price_Curve'!$J:$J,MATCH($AB53,'(2.2)_Forward_Price_Curve'!$C:$C,0),1)</f>
        <v>5.996249999999999</v>
      </c>
      <c r="AO53" s="4"/>
      <c r="AP53" s="190">
        <f t="shared" si="8"/>
        <v>42.95558071964529</v>
      </c>
      <c r="AQ53" s="4"/>
      <c r="AR53" s="190">
        <f t="shared" si="19"/>
        <v>5.4214907701043398</v>
      </c>
      <c r="AS53" s="190"/>
      <c r="AT53" s="189">
        <f t="shared" si="2"/>
        <v>136.46646217886794</v>
      </c>
      <c r="AU53" s="4"/>
      <c r="AV53" s="189">
        <f t="shared" si="3"/>
        <v>446.97363798270749</v>
      </c>
      <c r="AW53" s="337"/>
      <c r="AX53" s="191">
        <f t="shared" si="9"/>
        <v>583.4401001615754</v>
      </c>
      <c r="AZ53" s="182">
        <f>+IF(AZ52&gt;$G$13+$G$14,XX,AZ52+1)</f>
        <v>2024</v>
      </c>
      <c r="BA53" s="152"/>
      <c r="BB53" s="190">
        <f t="shared" si="20"/>
        <v>79.577571967462788</v>
      </c>
      <c r="BC53" s="4"/>
      <c r="BD53" s="190">
        <f t="shared" si="21"/>
        <v>17.301792545679959</v>
      </c>
      <c r="BE53" s="4"/>
      <c r="BF53" s="189">
        <f t="shared" si="10"/>
        <v>30.249992360176091</v>
      </c>
      <c r="BG53" s="4"/>
      <c r="BH53" s="193"/>
    </row>
    <row r="54" spans="2:60" ht="12">
      <c r="B54" s="3"/>
      <c r="C54" s="7">
        <f>+IF(C53&gt;$G$13+$G$14,XX,C53+1)</f>
        <v>2025</v>
      </c>
      <c r="D54" s="7"/>
      <c r="E54" s="330">
        <f t="shared" si="11"/>
        <v>2.5000000000000001E-2</v>
      </c>
      <c r="F54" s="7"/>
      <c r="G54" s="23">
        <f t="shared" si="12"/>
        <v>9239.3694826569736</v>
      </c>
      <c r="H54" s="7"/>
      <c r="I54" s="39">
        <f t="shared" si="13"/>
        <v>605.71829837369046</v>
      </c>
      <c r="J54" s="7"/>
      <c r="K54" s="39">
        <f t="shared" si="14"/>
        <v>0</v>
      </c>
      <c r="L54" s="7"/>
      <c r="M54" s="39">
        <f t="shared" si="15"/>
        <v>0</v>
      </c>
      <c r="N54" s="7"/>
      <c r="O54" s="333"/>
      <c r="P54" s="7"/>
      <c r="Q54" s="39"/>
      <c r="R54" s="7"/>
      <c r="S54" s="23">
        <v>0</v>
      </c>
      <c r="T54" s="7"/>
      <c r="U54" s="23">
        <f t="shared" si="5"/>
        <v>598.02610266561476</v>
      </c>
      <c r="V54" s="7"/>
      <c r="W54" s="23">
        <f t="shared" si="0"/>
        <v>-598.02610266561476</v>
      </c>
      <c r="X54" s="7"/>
      <c r="Y54" s="334">
        <f t="shared" si="6"/>
        <v>-64.725856432969479</v>
      </c>
      <c r="Z54" s="290"/>
      <c r="AB54" s="182">
        <f>+IF(AB53&gt;$G$13+$G$14,XX,AB53+1)</f>
        <v>2025</v>
      </c>
      <c r="AC54" s="152"/>
      <c r="AD54" s="187">
        <f t="shared" si="1"/>
        <v>9239.3694826569736</v>
      </c>
      <c r="AE54" s="4"/>
      <c r="AF54" s="190">
        <f t="shared" si="16"/>
        <v>94.95811235308588</v>
      </c>
      <c r="AG54" s="4"/>
      <c r="AH54" s="190">
        <f t="shared" si="17"/>
        <v>11.652622121059231</v>
      </c>
      <c r="AI54" s="4"/>
      <c r="AJ54" s="190">
        <f t="shared" si="18"/>
        <v>2.7221627466988418</v>
      </c>
      <c r="AK54" s="4"/>
      <c r="AL54" s="189">
        <f t="shared" si="7"/>
        <v>170.88436590252013</v>
      </c>
      <c r="AM54" s="4"/>
      <c r="AN54" s="190">
        <f>INDEX('(2.2)_Forward_Price_Curve'!$J:$J,MATCH($AB54,'(2.2)_Forward_Price_Curve'!$C:$C,0),1)</f>
        <v>6.146156249999998</v>
      </c>
      <c r="AO54" s="4"/>
      <c r="AP54" s="190">
        <f t="shared" si="8"/>
        <v>44.029470237636417</v>
      </c>
      <c r="AQ54" s="4"/>
      <c r="AR54" s="190">
        <f t="shared" si="19"/>
        <v>5.5570280393569478</v>
      </c>
      <c r="AS54" s="190"/>
      <c r="AT54" s="189">
        <f t="shared" si="2"/>
        <v>139.87812373333963</v>
      </c>
      <c r="AU54" s="4"/>
      <c r="AV54" s="189">
        <f t="shared" si="3"/>
        <v>458.14797893227512</v>
      </c>
      <c r="AW54" s="337"/>
      <c r="AX54" s="191">
        <f t="shared" si="9"/>
        <v>598.02610266561476</v>
      </c>
      <c r="AZ54" s="182">
        <f>+IF(AZ53&gt;$G$13+$G$14,XX,AZ53+1)</f>
        <v>2025</v>
      </c>
      <c r="BA54" s="152"/>
      <c r="BB54" s="190">
        <f t="shared" si="20"/>
        <v>81.567011266649345</v>
      </c>
      <c r="BC54" s="4"/>
      <c r="BD54" s="190">
        <f t="shared" si="21"/>
        <v>17.734337359321955</v>
      </c>
      <c r="BE54" s="4"/>
      <c r="BF54" s="189">
        <f t="shared" si="10"/>
        <v>31.006242169180489</v>
      </c>
      <c r="BG54" s="4"/>
      <c r="BH54" s="193"/>
    </row>
    <row r="55" spans="2:60" ht="12">
      <c r="B55" s="3"/>
      <c r="C55" s="7">
        <f>+IF(C54&gt;$G$13+$G$14,XX,C54+1)</f>
        <v>2026</v>
      </c>
      <c r="D55" s="7"/>
      <c r="E55" s="330">
        <f t="shared" si="11"/>
        <v>2.5000000000000001E-2</v>
      </c>
      <c r="F55" s="7"/>
      <c r="G55" s="23">
        <f t="shared" si="12"/>
        <v>9239.3694826569736</v>
      </c>
      <c r="H55" s="7"/>
      <c r="I55" s="39">
        <f t="shared" si="13"/>
        <v>620.86125583303271</v>
      </c>
      <c r="J55" s="7"/>
      <c r="K55" s="39">
        <f t="shared" si="14"/>
        <v>0</v>
      </c>
      <c r="L55" s="7"/>
      <c r="M55" s="39">
        <f t="shared" si="15"/>
        <v>0</v>
      </c>
      <c r="N55" s="7"/>
      <c r="O55" s="333"/>
      <c r="P55" s="7"/>
      <c r="Q55" s="39"/>
      <c r="R55" s="7"/>
      <c r="S55" s="23">
        <v>0</v>
      </c>
      <c r="T55" s="7"/>
      <c r="U55" s="23">
        <f t="shared" si="5"/>
        <v>612.97675523225496</v>
      </c>
      <c r="V55" s="7"/>
      <c r="W55" s="23">
        <f t="shared" si="0"/>
        <v>-612.97675523225496</v>
      </c>
      <c r="X55" s="7"/>
      <c r="Y55" s="334">
        <f t="shared" si="6"/>
        <v>-66.344002843793703</v>
      </c>
      <c r="Z55" s="290"/>
      <c r="AB55" s="182">
        <f>+IF(AB54&gt;$G$13+$G$14,XX,AB54+1)</f>
        <v>2026</v>
      </c>
      <c r="AC55" s="152"/>
      <c r="AD55" s="187">
        <f t="shared" si="1"/>
        <v>9239.3694826569736</v>
      </c>
      <c r="AE55" s="4"/>
      <c r="AF55" s="190">
        <f t="shared" si="16"/>
        <v>97.332065161913022</v>
      </c>
      <c r="AG55" s="4"/>
      <c r="AH55" s="190">
        <f t="shared" si="17"/>
        <v>11.943937674085712</v>
      </c>
      <c r="AI55" s="4"/>
      <c r="AJ55" s="190">
        <f t="shared" si="18"/>
        <v>2.7902168153663127</v>
      </c>
      <c r="AK55" s="4"/>
      <c r="AL55" s="189">
        <f t="shared" si="7"/>
        <v>175.15647505008312</v>
      </c>
      <c r="AM55" s="4"/>
      <c r="AN55" s="190">
        <f>INDEX('(2.2)_Forward_Price_Curve'!$J:$J,MATCH($AB55,'(2.2)_Forward_Price_Curve'!$C:$C,0),1)</f>
        <v>6.2998101562499977</v>
      </c>
      <c r="AO55" s="4"/>
      <c r="AP55" s="190">
        <f t="shared" si="8"/>
        <v>45.130206993577318</v>
      </c>
      <c r="AQ55" s="4"/>
      <c r="AR55" s="190">
        <f t="shared" si="19"/>
        <v>5.6959537403408707</v>
      </c>
      <c r="AS55" s="190"/>
      <c r="AT55" s="189">
        <f t="shared" si="2"/>
        <v>143.37507682667311</v>
      </c>
      <c r="AU55" s="4"/>
      <c r="AV55" s="189">
        <f t="shared" si="3"/>
        <v>469.60167840558188</v>
      </c>
      <c r="AW55" s="337"/>
      <c r="AX55" s="191">
        <f t="shared" si="9"/>
        <v>612.97675523225496</v>
      </c>
      <c r="AZ55" s="182">
        <f>+IF(AZ54&gt;$G$13+$G$14,XX,AZ54+1)</f>
        <v>2026</v>
      </c>
      <c r="BA55" s="152"/>
      <c r="BB55" s="190">
        <f t="shared" si="20"/>
        <v>83.606186548315577</v>
      </c>
      <c r="BC55" s="4"/>
      <c r="BD55" s="190">
        <f t="shared" si="21"/>
        <v>18.177695793305002</v>
      </c>
      <c r="BE55" s="4"/>
      <c r="BF55" s="189">
        <f t="shared" si="10"/>
        <v>31.781398223410001</v>
      </c>
      <c r="BG55" s="4"/>
      <c r="BH55" s="193"/>
    </row>
    <row r="56" spans="2:60" ht="12">
      <c r="B56" s="3"/>
      <c r="C56" s="7">
        <f>+IF(C55&gt;$G$13+$G$14,XX,C55+1)</f>
        <v>2027</v>
      </c>
      <c r="D56" s="7"/>
      <c r="E56" s="330">
        <f t="shared" si="11"/>
        <v>2.5000000000000001E-2</v>
      </c>
      <c r="F56" s="7"/>
      <c r="G56" s="23">
        <f t="shared" si="12"/>
        <v>9239.3694826569736</v>
      </c>
      <c r="H56" s="7"/>
      <c r="I56" s="39">
        <f t="shared" si="13"/>
        <v>636.38278722885843</v>
      </c>
      <c r="J56" s="7"/>
      <c r="K56" s="39">
        <f t="shared" si="14"/>
        <v>0</v>
      </c>
      <c r="L56" s="7"/>
      <c r="M56" s="39">
        <f t="shared" si="15"/>
        <v>0</v>
      </c>
      <c r="N56" s="7"/>
      <c r="O56" s="333"/>
      <c r="P56" s="7"/>
      <c r="Q56" s="39"/>
      <c r="R56" s="7"/>
      <c r="S56" s="23">
        <v>0</v>
      </c>
      <c r="T56" s="7"/>
      <c r="U56" s="23">
        <f t="shared" si="5"/>
        <v>628.30117411306128</v>
      </c>
      <c r="V56" s="7"/>
      <c r="W56" s="23">
        <f t="shared" si="0"/>
        <v>-628.30117411306128</v>
      </c>
      <c r="X56" s="7"/>
      <c r="Y56" s="334">
        <f t="shared" si="6"/>
        <v>-68.002602914888541</v>
      </c>
      <c r="Z56" s="290"/>
      <c r="AB56" s="182">
        <f>+IF(AB55&gt;$G$13+$G$14,XX,AB55+1)</f>
        <v>2027</v>
      </c>
      <c r="AC56" s="152"/>
      <c r="AD56" s="187">
        <f t="shared" si="1"/>
        <v>9239.3694826569736</v>
      </c>
      <c r="AE56" s="4"/>
      <c r="AF56" s="190">
        <f t="shared" si="16"/>
        <v>99.76536679096084</v>
      </c>
      <c r="AG56" s="4"/>
      <c r="AH56" s="190">
        <f t="shared" si="17"/>
        <v>12.242536115937854</v>
      </c>
      <c r="AI56" s="4"/>
      <c r="AJ56" s="190">
        <f t="shared" si="18"/>
        <v>2.8599722357504702</v>
      </c>
      <c r="AK56" s="4"/>
      <c r="AL56" s="189">
        <f t="shared" si="7"/>
        <v>179.53538692633518</v>
      </c>
      <c r="AM56" s="4"/>
      <c r="AN56" s="190">
        <f>INDEX('(2.2)_Forward_Price_Curve'!$J:$J,MATCH($AB56,'(2.2)_Forward_Price_Curve'!$C:$C,0),1)</f>
        <v>6.4573054101562475</v>
      </c>
      <c r="AO56" s="4"/>
      <c r="AP56" s="190">
        <f t="shared" si="8"/>
        <v>46.258462168416749</v>
      </c>
      <c r="AQ56" s="4"/>
      <c r="AR56" s="190">
        <f t="shared" si="19"/>
        <v>5.8383525838493915</v>
      </c>
      <c r="AS56" s="190"/>
      <c r="AT56" s="189">
        <f t="shared" si="2"/>
        <v>146.95945374733992</v>
      </c>
      <c r="AU56" s="4"/>
      <c r="AV56" s="189">
        <f t="shared" si="3"/>
        <v>481.34172036572136</v>
      </c>
      <c r="AW56" s="337"/>
      <c r="AX56" s="191">
        <f t="shared" si="9"/>
        <v>628.30117411306128</v>
      </c>
      <c r="AZ56" s="182">
        <f>+IF(AZ55&gt;$G$13+$G$14,XX,AZ55+1)</f>
        <v>2027</v>
      </c>
      <c r="BA56" s="152"/>
      <c r="BB56" s="190">
        <f t="shared" si="20"/>
        <v>85.696341212023455</v>
      </c>
      <c r="BC56" s="4"/>
      <c r="BD56" s="190">
        <f t="shared" si="21"/>
        <v>18.632138188137624</v>
      </c>
      <c r="BE56" s="4"/>
      <c r="BF56" s="189">
        <f t="shared" si="10"/>
        <v>32.57593317899525</v>
      </c>
      <c r="BG56" s="4"/>
      <c r="BH56" s="193"/>
    </row>
    <row r="57" spans="2:60" ht="12">
      <c r="B57" s="3"/>
      <c r="C57" s="7">
        <f>+IF(C56&gt;$G$13+$G$14,XX,C56+1)</f>
        <v>2028</v>
      </c>
      <c r="D57" s="7"/>
      <c r="E57" s="330">
        <f t="shared" si="11"/>
        <v>2.5000000000000001E-2</v>
      </c>
      <c r="F57" s="7"/>
      <c r="G57" s="23">
        <f t="shared" si="12"/>
        <v>9239.3694826569736</v>
      </c>
      <c r="H57" s="7"/>
      <c r="I57" s="39">
        <f t="shared" si="13"/>
        <v>652.29235690957989</v>
      </c>
      <c r="J57" s="7"/>
      <c r="K57" s="39">
        <f t="shared" si="14"/>
        <v>0</v>
      </c>
      <c r="L57" s="7"/>
      <c r="M57" s="39">
        <f t="shared" si="15"/>
        <v>0</v>
      </c>
      <c r="N57" s="7"/>
      <c r="O57" s="333"/>
      <c r="P57" s="7"/>
      <c r="Q57" s="39"/>
      <c r="R57" s="7"/>
      <c r="S57" s="23">
        <v>0</v>
      </c>
      <c r="T57" s="7"/>
      <c r="U57" s="23">
        <f t="shared" si="5"/>
        <v>644.00870346588783</v>
      </c>
      <c r="V57" s="7"/>
      <c r="W57" s="23">
        <f t="shared" si="0"/>
        <v>-644.00870346588783</v>
      </c>
      <c r="X57" s="7"/>
      <c r="Y57" s="334">
        <f t="shared" si="6"/>
        <v>-69.702667987760748</v>
      </c>
      <c r="Z57" s="290"/>
      <c r="AB57" s="182">
        <f>+IF(AB56&gt;$G$13+$G$14,XX,AB56+1)</f>
        <v>2028</v>
      </c>
      <c r="AC57" s="152"/>
      <c r="AD57" s="187">
        <f t="shared" si="1"/>
        <v>9239.3694826569736</v>
      </c>
      <c r="AE57" s="4"/>
      <c r="AF57" s="190">
        <f t="shared" si="16"/>
        <v>102.25950096073485</v>
      </c>
      <c r="AG57" s="4"/>
      <c r="AH57" s="190">
        <f t="shared" si="17"/>
        <v>12.5485995188363</v>
      </c>
      <c r="AI57" s="4"/>
      <c r="AJ57" s="190">
        <f t="shared" si="18"/>
        <v>2.9314715416442318</v>
      </c>
      <c r="AK57" s="4"/>
      <c r="AL57" s="189">
        <f t="shared" si="7"/>
        <v>184.02377159949353</v>
      </c>
      <c r="AM57" s="4"/>
      <c r="AN57" s="190">
        <f>INDEX('(2.2)_Forward_Price_Curve'!$J:$J,MATCH($AB57,'(2.2)_Forward_Price_Curve'!$C:$C,0),1)</f>
        <v>6.6187380454101534</v>
      </c>
      <c r="AO57" s="4"/>
      <c r="AP57" s="190">
        <f t="shared" si="8"/>
        <v>47.414923722627172</v>
      </c>
      <c r="AQ57" s="4"/>
      <c r="AR57" s="190">
        <f t="shared" si="19"/>
        <v>5.9843113984456258</v>
      </c>
      <c r="AS57" s="190"/>
      <c r="AT57" s="189">
        <f t="shared" si="2"/>
        <v>150.6334400910234</v>
      </c>
      <c r="AU57" s="4"/>
      <c r="AV57" s="189">
        <f t="shared" si="3"/>
        <v>493.37526337486446</v>
      </c>
      <c r="AW57" s="337"/>
      <c r="AX57" s="191">
        <f t="shared" si="9"/>
        <v>644.00870346588783</v>
      </c>
      <c r="AZ57" s="182">
        <f>+IF(AZ56&gt;$G$13+$G$14,XX,AZ56+1)</f>
        <v>2028</v>
      </c>
      <c r="BA57" s="152"/>
      <c r="BB57" s="190">
        <f t="shared" si="20"/>
        <v>87.83874974232404</v>
      </c>
      <c r="BC57" s="4"/>
      <c r="BD57" s="190">
        <f t="shared" si="21"/>
        <v>19.097941642841064</v>
      </c>
      <c r="BE57" s="4"/>
      <c r="BF57" s="189">
        <f t="shared" si="10"/>
        <v>33.390331508470126</v>
      </c>
      <c r="BG57" s="4"/>
      <c r="BH57" s="193"/>
    </row>
    <row r="58" spans="2:60" ht="12">
      <c r="B58" s="3"/>
      <c r="C58" s="7">
        <f>+IF(C57&gt;$G$13+$G$14,XX,C57+1)</f>
        <v>2029</v>
      </c>
      <c r="D58" s="7"/>
      <c r="E58" s="330">
        <f t="shared" si="11"/>
        <v>2.5000000000000001E-2</v>
      </c>
      <c r="F58" s="7"/>
      <c r="G58" s="23">
        <f t="shared" si="12"/>
        <v>9239.3694826569736</v>
      </c>
      <c r="H58" s="7"/>
      <c r="I58" s="39">
        <f t="shared" si="13"/>
        <v>668.59966583231937</v>
      </c>
      <c r="J58" s="7"/>
      <c r="K58" s="39">
        <f t="shared" si="14"/>
        <v>0</v>
      </c>
      <c r="L58" s="7"/>
      <c r="M58" s="39">
        <f t="shared" si="15"/>
        <v>0</v>
      </c>
      <c r="N58" s="7"/>
      <c r="O58" s="333"/>
      <c r="P58" s="7"/>
      <c r="Q58" s="39"/>
      <c r="R58" s="7"/>
      <c r="S58" s="23">
        <v>0</v>
      </c>
      <c r="T58" s="7"/>
      <c r="U58" s="23">
        <f t="shared" si="5"/>
        <v>660.10892105253504</v>
      </c>
      <c r="V58" s="7"/>
      <c r="W58" s="23">
        <f t="shared" si="0"/>
        <v>-660.10892105253504</v>
      </c>
      <c r="X58" s="7"/>
      <c r="Y58" s="334">
        <f t="shared" si="6"/>
        <v>-71.445234687454771</v>
      </c>
      <c r="Z58" s="290"/>
      <c r="AB58" s="182">
        <f>+IF(AB57&gt;$G$13+$G$14,XX,AB57+1)</f>
        <v>2029</v>
      </c>
      <c r="AC58" s="152"/>
      <c r="AD58" s="187">
        <f t="shared" si="1"/>
        <v>9239.3694826569736</v>
      </c>
      <c r="AE58" s="4"/>
      <c r="AF58" s="190">
        <f t="shared" si="16"/>
        <v>104.81598848475322</v>
      </c>
      <c r="AG58" s="4"/>
      <c r="AH58" s="190">
        <f t="shared" si="17"/>
        <v>12.862314506807206</v>
      </c>
      <c r="AI58" s="4"/>
      <c r="AJ58" s="190">
        <f t="shared" si="18"/>
        <v>3.0047583301853376</v>
      </c>
      <c r="AK58" s="4"/>
      <c r="AL58" s="189">
        <f t="shared" si="7"/>
        <v>188.62436588948086</v>
      </c>
      <c r="AM58" s="4"/>
      <c r="AN58" s="190">
        <f>INDEX('(2.2)_Forward_Price_Curve'!$J:$J,MATCH($AB58,'(2.2)_Forward_Price_Curve'!$C:$C,0),1)</f>
        <v>6.7842064965454068</v>
      </c>
      <c r="AO58" s="4"/>
      <c r="AP58" s="190">
        <f t="shared" si="8"/>
        <v>48.60029681569285</v>
      </c>
      <c r="AQ58" s="4"/>
      <c r="AR58" s="190">
        <f t="shared" si="19"/>
        <v>6.1339191834067659</v>
      </c>
      <c r="AS58" s="190"/>
      <c r="AT58" s="189">
        <f t="shared" si="2"/>
        <v>154.39927609329897</v>
      </c>
      <c r="AU58" s="4"/>
      <c r="AV58" s="189">
        <f t="shared" si="3"/>
        <v>505.70964495923607</v>
      </c>
      <c r="AW58" s="337"/>
      <c r="AX58" s="191">
        <f t="shared" si="9"/>
        <v>660.10892105253504</v>
      </c>
      <c r="AZ58" s="182">
        <f>+IF(AZ57&gt;$G$13+$G$14,XX,AZ57+1)</f>
        <v>2029</v>
      </c>
      <c r="BA58" s="152"/>
      <c r="BB58" s="190">
        <f t="shared" si="20"/>
        <v>90.034718485882138</v>
      </c>
      <c r="BC58" s="4"/>
      <c r="BD58" s="190">
        <f t="shared" si="21"/>
        <v>19.575390183912088</v>
      </c>
      <c r="BE58" s="4"/>
      <c r="BF58" s="189">
        <f t="shared" si="10"/>
        <v>34.225089796181877</v>
      </c>
      <c r="BG58" s="4"/>
      <c r="BH58" s="193"/>
    </row>
    <row r="59" spans="2:60" ht="12">
      <c r="B59" s="3"/>
      <c r="C59" s="7">
        <f>+IF(C58&gt;$G$13+$G$14,XX,C58+1)</f>
        <v>2030</v>
      </c>
      <c r="D59" s="7"/>
      <c r="E59" s="330">
        <f t="shared" si="11"/>
        <v>2.5000000000000001E-2</v>
      </c>
      <c r="F59" s="7"/>
      <c r="G59" s="23">
        <f t="shared" si="12"/>
        <v>9239.3694826569736</v>
      </c>
      <c r="H59" s="7"/>
      <c r="I59" s="39">
        <f t="shared" si="13"/>
        <v>685.31465747812729</v>
      </c>
      <c r="J59" s="7"/>
      <c r="K59" s="39">
        <f t="shared" si="14"/>
        <v>0</v>
      </c>
      <c r="L59" s="7"/>
      <c r="M59" s="39">
        <f t="shared" si="15"/>
        <v>0</v>
      </c>
      <c r="N59" s="7"/>
      <c r="O59" s="333"/>
      <c r="P59" s="7"/>
      <c r="Q59" s="39"/>
      <c r="R59" s="7"/>
      <c r="S59" s="23">
        <v>0</v>
      </c>
      <c r="T59" s="7"/>
      <c r="U59" s="23">
        <f t="shared" si="5"/>
        <v>676.61164407884837</v>
      </c>
      <c r="V59" s="7"/>
      <c r="W59" s="23">
        <f t="shared" si="0"/>
        <v>-676.61164407884837</v>
      </c>
      <c r="X59" s="7"/>
      <c r="Y59" s="334">
        <f t="shared" si="6"/>
        <v>-73.231365554641144</v>
      </c>
      <c r="Z59" s="290"/>
      <c r="AB59" s="182">
        <f>+IF(AB58&gt;$G$13+$G$14,XX,AB58+1)</f>
        <v>2030</v>
      </c>
      <c r="AC59" s="152"/>
      <c r="AD59" s="187">
        <f t="shared" si="1"/>
        <v>9239.3694826569736</v>
      </c>
      <c r="AE59" s="4"/>
      <c r="AF59" s="190">
        <f t="shared" si="16"/>
        <v>107.43638819687204</v>
      </c>
      <c r="AG59" s="4"/>
      <c r="AH59" s="190">
        <f t="shared" si="17"/>
        <v>13.183872369477385</v>
      </c>
      <c r="AI59" s="4"/>
      <c r="AJ59" s="190">
        <f t="shared" si="18"/>
        <v>3.0798772884399708</v>
      </c>
      <c r="AK59" s="4"/>
      <c r="AL59" s="189">
        <f t="shared" si="7"/>
        <v>193.3399750367179</v>
      </c>
      <c r="AM59" s="4"/>
      <c r="AN59" s="190">
        <f>INDEX('(2.2)_Forward_Price_Curve'!$J:$J,MATCH($AB59,'(2.2)_Forward_Price_Curve'!$C:$C,0),1)</f>
        <v>6.9538116589590411</v>
      </c>
      <c r="AO59" s="4"/>
      <c r="AP59" s="190">
        <f t="shared" si="8"/>
        <v>49.815304236085161</v>
      </c>
      <c r="AQ59" s="4"/>
      <c r="AR59" s="190">
        <f t="shared" si="19"/>
        <v>6.2872671629919346</v>
      </c>
      <c r="AS59" s="190"/>
      <c r="AT59" s="189">
        <f t="shared" si="2"/>
        <v>158.25925799563149</v>
      </c>
      <c r="AU59" s="4"/>
      <c r="AV59" s="189">
        <f t="shared" si="3"/>
        <v>518.35238608321686</v>
      </c>
      <c r="AW59" s="337"/>
      <c r="AX59" s="191">
        <f t="shared" si="9"/>
        <v>676.61164407884837</v>
      </c>
      <c r="AZ59" s="182">
        <f>+IF(AZ58&gt;$G$13+$G$14,XX,AZ58+1)</f>
        <v>2030</v>
      </c>
      <c r="BA59" s="152"/>
      <c r="BB59" s="190">
        <f t="shared" si="20"/>
        <v>92.285586448029179</v>
      </c>
      <c r="BC59" s="4"/>
      <c r="BD59" s="190">
        <f t="shared" si="21"/>
        <v>20.064774938509888</v>
      </c>
      <c r="BE59" s="4"/>
      <c r="BF59" s="189">
        <f t="shared" si="10"/>
        <v>35.080717041086416</v>
      </c>
      <c r="BG59" s="4"/>
      <c r="BH59" s="193"/>
    </row>
    <row r="60" spans="2:60" ht="12">
      <c r="B60" s="3"/>
      <c r="C60" s="7">
        <f>+IF(C59&gt;$G$13+$G$14,XX,C59+1)</f>
        <v>2031</v>
      </c>
      <c r="D60" s="7"/>
      <c r="E60" s="330">
        <f t="shared" si="11"/>
        <v>2.5000000000000001E-2</v>
      </c>
      <c r="F60" s="7"/>
      <c r="G60" s="23">
        <f t="shared" si="12"/>
        <v>9239.3694826569736</v>
      </c>
      <c r="H60" s="7"/>
      <c r="I60" s="39">
        <f t="shared" si="13"/>
        <v>702.44752391508041</v>
      </c>
      <c r="J60" s="7"/>
      <c r="K60" s="39">
        <f t="shared" si="14"/>
        <v>0</v>
      </c>
      <c r="L60" s="7"/>
      <c r="M60" s="39">
        <f t="shared" si="15"/>
        <v>0</v>
      </c>
      <c r="N60" s="7"/>
      <c r="O60" s="333"/>
      <c r="P60" s="7"/>
      <c r="Q60" s="39"/>
      <c r="R60" s="7"/>
      <c r="S60" s="23">
        <v>0</v>
      </c>
      <c r="T60" s="7"/>
      <c r="U60" s="23">
        <f t="shared" si="5"/>
        <v>693.52693518081946</v>
      </c>
      <c r="V60" s="7"/>
      <c r="W60" s="23">
        <f t="shared" si="0"/>
        <v>-693.52693518081946</v>
      </c>
      <c r="X60" s="7"/>
      <c r="Y60" s="334">
        <f t="shared" si="6"/>
        <v>-75.062149693507152</v>
      </c>
      <c r="Z60" s="290"/>
      <c r="AB60" s="182">
        <f>+IF(AB59&gt;$G$13+$G$14,XX,AB59+1)</f>
        <v>2031</v>
      </c>
      <c r="AC60" s="152"/>
      <c r="AD60" s="187">
        <f t="shared" si="1"/>
        <v>9239.3694826569736</v>
      </c>
      <c r="AE60" s="4"/>
      <c r="AF60" s="190">
        <f t="shared" si="16"/>
        <v>110.12229790179384</v>
      </c>
      <c r="AG60" s="4"/>
      <c r="AH60" s="190">
        <f t="shared" si="17"/>
        <v>13.513469178714319</v>
      </c>
      <c r="AI60" s="4"/>
      <c r="AJ60" s="190">
        <f t="shared" si="18"/>
        <v>3.1568742206509697</v>
      </c>
      <c r="AK60" s="4"/>
      <c r="AL60" s="189">
        <f t="shared" si="7"/>
        <v>198.17347441263581</v>
      </c>
      <c r="AM60" s="4"/>
      <c r="AN60" s="190">
        <f>INDEX('(2.2)_Forward_Price_Curve'!$J:$J,MATCH($AB60,'(2.2)_Forward_Price_Curve'!$C:$C,0),1)</f>
        <v>7.1276569504330167</v>
      </c>
      <c r="AO60" s="4"/>
      <c r="AP60" s="190">
        <f t="shared" si="8"/>
        <v>51.060686841987284</v>
      </c>
      <c r="AQ60" s="4"/>
      <c r="AR60" s="190">
        <f t="shared" si="19"/>
        <v>6.4444488420667323</v>
      </c>
      <c r="AS60" s="190"/>
      <c r="AT60" s="189">
        <f t="shared" si="2"/>
        <v>162.21573944552225</v>
      </c>
      <c r="AU60" s="4"/>
      <c r="AV60" s="189">
        <f t="shared" si="3"/>
        <v>531.31119573529725</v>
      </c>
      <c r="AW60" s="337"/>
      <c r="AX60" s="191">
        <f t="shared" si="9"/>
        <v>693.52693518081946</v>
      </c>
      <c r="AZ60" s="182">
        <f>+IF(AZ59&gt;$G$13+$G$14,XX,AZ59+1)</f>
        <v>2031</v>
      </c>
      <c r="BA60" s="152"/>
      <c r="BB60" s="190">
        <f t="shared" si="20"/>
        <v>94.592726109229901</v>
      </c>
      <c r="BC60" s="4"/>
      <c r="BD60" s="190">
        <f t="shared" si="21"/>
        <v>20.566394311972633</v>
      </c>
      <c r="BE60" s="4"/>
      <c r="BF60" s="189">
        <f t="shared" si="10"/>
        <v>35.957734967113574</v>
      </c>
      <c r="BG60" s="4"/>
      <c r="BH60" s="193"/>
    </row>
    <row r="61" spans="2:60" ht="12">
      <c r="B61" s="3"/>
      <c r="C61" s="7">
        <f>+IF(C60&gt;$G$13+$G$14,XX,C60+1)</f>
        <v>2032</v>
      </c>
      <c r="D61" s="7"/>
      <c r="E61" s="330">
        <f t="shared" si="11"/>
        <v>2.5000000000000001E-2</v>
      </c>
      <c r="F61" s="7"/>
      <c r="G61" s="23">
        <f t="shared" si="12"/>
        <v>9239.3694826569736</v>
      </c>
      <c r="H61" s="7"/>
      <c r="I61" s="39">
        <f t="shared" si="13"/>
        <v>720.0087120129574</v>
      </c>
      <c r="J61" s="7"/>
      <c r="K61" s="39">
        <f t="shared" si="14"/>
        <v>0</v>
      </c>
      <c r="L61" s="7"/>
      <c r="M61" s="39">
        <f t="shared" si="15"/>
        <v>0</v>
      </c>
      <c r="N61" s="7"/>
      <c r="O61" s="333"/>
      <c r="P61" s="7"/>
      <c r="Q61" s="39"/>
      <c r="R61" s="7"/>
      <c r="S61" s="23">
        <v>0</v>
      </c>
      <c r="T61" s="7"/>
      <c r="U61" s="23">
        <f t="shared" si="5"/>
        <v>710.86510856033988</v>
      </c>
      <c r="V61" s="7"/>
      <c r="W61" s="23">
        <f t="shared" si="0"/>
        <v>-710.86510856033988</v>
      </c>
      <c r="X61" s="7"/>
      <c r="Y61" s="334">
        <f t="shared" si="6"/>
        <v>-76.938703435844829</v>
      </c>
      <c r="Z61" s="290"/>
      <c r="AB61" s="182">
        <f>+IF(AB60&gt;$G$13+$G$14,XX,AB60+1)</f>
        <v>2032</v>
      </c>
      <c r="AC61" s="152"/>
      <c r="AD61" s="187">
        <f t="shared" si="1"/>
        <v>9239.3694826569736</v>
      </c>
      <c r="AE61" s="4"/>
      <c r="AF61" s="190">
        <f t="shared" si="16"/>
        <v>112.87535534933868</v>
      </c>
      <c r="AG61" s="4"/>
      <c r="AH61" s="190">
        <f t="shared" si="17"/>
        <v>13.851305908182175</v>
      </c>
      <c r="AI61" s="4"/>
      <c r="AJ61" s="190">
        <f t="shared" si="18"/>
        <v>3.2357960761672437</v>
      </c>
      <c r="AK61" s="4"/>
      <c r="AL61" s="189">
        <f t="shared" si="7"/>
        <v>203.12781127295167</v>
      </c>
      <c r="AM61" s="4"/>
      <c r="AN61" s="190">
        <f>INDEX('(2.2)_Forward_Price_Curve'!$J:$J,MATCH($AB61,'(2.2)_Forward_Price_Curve'!$C:$C,0),1)</f>
        <v>7.3058483741938414</v>
      </c>
      <c r="AO61" s="4"/>
      <c r="AP61" s="190">
        <f t="shared" si="8"/>
        <v>52.337204013036967</v>
      </c>
      <c r="AQ61" s="4"/>
      <c r="AR61" s="190">
        <f t="shared" si="19"/>
        <v>6.6055600631183999</v>
      </c>
      <c r="AS61" s="190"/>
      <c r="AT61" s="189">
        <f t="shared" si="2"/>
        <v>166.27113293166025</v>
      </c>
      <c r="AU61" s="4"/>
      <c r="AV61" s="189">
        <f t="shared" si="3"/>
        <v>544.59397562867969</v>
      </c>
      <c r="AW61" s="337"/>
      <c r="AX61" s="191">
        <f t="shared" si="9"/>
        <v>710.86510856033988</v>
      </c>
      <c r="AZ61" s="182">
        <f>+IF(AZ60&gt;$G$13+$G$14,XX,AZ60+1)</f>
        <v>2032</v>
      </c>
      <c r="BA61" s="152"/>
      <c r="BB61" s="190">
        <f t="shared" si="20"/>
        <v>96.957544261960635</v>
      </c>
      <c r="BC61" s="4"/>
      <c r="BD61" s="190">
        <f t="shared" si="21"/>
        <v>21.080554169771947</v>
      </c>
      <c r="BE61" s="4"/>
      <c r="BF61" s="189">
        <f t="shared" si="10"/>
        <v>36.856678341291413</v>
      </c>
      <c r="BG61" s="4"/>
      <c r="BH61" s="193"/>
    </row>
    <row r="62" spans="2:60" ht="12">
      <c r="B62" s="3"/>
      <c r="C62" s="7">
        <f>+IF(C61&gt;$G$13+$G$14,XX,C61+1)</f>
        <v>2033</v>
      </c>
      <c r="D62" s="7"/>
      <c r="E62" s="330">
        <f t="shared" si="11"/>
        <v>2.5000000000000001E-2</v>
      </c>
      <c r="F62" s="7"/>
      <c r="G62" s="23">
        <f t="shared" si="12"/>
        <v>9239.3694826569736</v>
      </c>
      <c r="H62" s="7"/>
      <c r="I62" s="39">
        <f t="shared" si="13"/>
        <v>738.00892981328127</v>
      </c>
      <c r="J62" s="7"/>
      <c r="K62" s="39">
        <f t="shared" si="14"/>
        <v>0</v>
      </c>
      <c r="L62" s="7"/>
      <c r="M62" s="39">
        <f t="shared" si="15"/>
        <v>0</v>
      </c>
      <c r="N62" s="7"/>
      <c r="O62" s="333"/>
      <c r="P62" s="7"/>
      <c r="Q62" s="39"/>
      <c r="R62" s="7"/>
      <c r="S62" s="23">
        <v>0</v>
      </c>
      <c r="T62" s="7"/>
      <c r="U62" s="23">
        <f t="shared" si="5"/>
        <v>728.63673627434832</v>
      </c>
      <c r="V62" s="7"/>
      <c r="W62" s="23">
        <f t="shared" si="0"/>
        <v>-728.63673627434832</v>
      </c>
      <c r="X62" s="7"/>
      <c r="Y62" s="334">
        <f t="shared" si="6"/>
        <v>-78.862171021740934</v>
      </c>
      <c r="Z62" s="290"/>
      <c r="AB62" s="182">
        <f>+IF(AB61&gt;$G$13+$G$14,XX,AB61+1)</f>
        <v>2033</v>
      </c>
      <c r="AC62" s="152"/>
      <c r="AD62" s="187">
        <f t="shared" si="1"/>
        <v>9239.3694826569736</v>
      </c>
      <c r="AE62" s="4"/>
      <c r="AF62" s="190">
        <f t="shared" si="16"/>
        <v>115.69723923307214</v>
      </c>
      <c r="AG62" s="4"/>
      <c r="AH62" s="190">
        <f t="shared" si="17"/>
        <v>14.197588555886728</v>
      </c>
      <c r="AI62" s="4"/>
      <c r="AJ62" s="190">
        <f t="shared" si="18"/>
        <v>3.3166909780714247</v>
      </c>
      <c r="AK62" s="4"/>
      <c r="AL62" s="189">
        <f t="shared" si="7"/>
        <v>208.20600655477548</v>
      </c>
      <c r="AM62" s="4"/>
      <c r="AN62" s="190">
        <f>INDEX('(2.2)_Forward_Price_Curve'!$J:$J,MATCH($AB62,'(2.2)_Forward_Price_Curve'!$C:$C,0),1)</f>
        <v>7.4884945835486869</v>
      </c>
      <c r="AO62" s="4"/>
      <c r="AP62" s="190">
        <f t="shared" si="8"/>
        <v>53.645634113362881</v>
      </c>
      <c r="AQ62" s="4"/>
      <c r="AR62" s="190">
        <f t="shared" si="19"/>
        <v>6.770699064696359</v>
      </c>
      <c r="AS62" s="190"/>
      <c r="AT62" s="189">
        <f t="shared" si="2"/>
        <v>170.42791125495179</v>
      </c>
      <c r="AU62" s="4"/>
      <c r="AV62" s="189">
        <f t="shared" si="3"/>
        <v>558.2088250193965</v>
      </c>
      <c r="AW62" s="337"/>
      <c r="AX62" s="191">
        <f t="shared" si="9"/>
        <v>728.63673627434832</v>
      </c>
      <c r="AZ62" s="182">
        <f>+IF(AZ61&gt;$G$13+$G$14,XX,AZ61+1)</f>
        <v>2033</v>
      </c>
      <c r="BA62" s="152"/>
      <c r="BB62" s="190">
        <f t="shared" si="20"/>
        <v>99.381482868509636</v>
      </c>
      <c r="BC62" s="4"/>
      <c r="BD62" s="190">
        <f t="shared" si="21"/>
        <v>21.607568024016242</v>
      </c>
      <c r="BE62" s="4"/>
      <c r="BF62" s="189">
        <f t="shared" si="10"/>
        <v>37.77809529982369</v>
      </c>
      <c r="BG62" s="4"/>
      <c r="BH62" s="193"/>
    </row>
    <row r="63" spans="2:60" ht="12">
      <c r="B63" s="3"/>
      <c r="C63" s="7"/>
      <c r="D63" s="7"/>
      <c r="E63" s="330"/>
      <c r="F63" s="7"/>
      <c r="G63" s="23"/>
      <c r="H63" s="7"/>
      <c r="I63" s="39"/>
      <c r="J63" s="7"/>
      <c r="K63" s="39"/>
      <c r="L63" s="7"/>
      <c r="M63" s="39"/>
      <c r="N63" s="7"/>
      <c r="O63" s="333"/>
      <c r="P63" s="7"/>
      <c r="Q63" s="39"/>
      <c r="R63" s="7"/>
      <c r="S63" s="23"/>
      <c r="T63" s="7"/>
      <c r="U63" s="23"/>
      <c r="V63" s="7"/>
      <c r="W63" s="23"/>
      <c r="X63" s="7"/>
      <c r="Y63" s="334"/>
      <c r="Z63" s="290"/>
      <c r="AB63" s="182"/>
      <c r="AC63" s="152"/>
      <c r="AD63" s="187"/>
      <c r="AE63" s="4"/>
      <c r="AF63" s="190"/>
      <c r="AG63" s="4"/>
      <c r="AH63" s="190"/>
      <c r="AI63" s="4"/>
      <c r="AJ63" s="190"/>
      <c r="AK63" s="4"/>
      <c r="AL63" s="189"/>
      <c r="AM63" s="4"/>
      <c r="AN63" s="190"/>
      <c r="AO63" s="4"/>
      <c r="AP63" s="190"/>
      <c r="AQ63" s="4"/>
      <c r="AR63" s="190"/>
      <c r="AS63" s="190"/>
      <c r="AT63" s="189"/>
      <c r="AU63" s="4"/>
      <c r="AV63" s="189"/>
      <c r="AW63" s="337"/>
      <c r="AX63" s="191"/>
      <c r="AZ63" s="182"/>
      <c r="BA63" s="152"/>
      <c r="BB63" s="190"/>
      <c r="BC63" s="4"/>
      <c r="BD63" s="190"/>
      <c r="BE63" s="4"/>
      <c r="BF63" s="189"/>
      <c r="BG63" s="4"/>
      <c r="BH63" s="193"/>
    </row>
    <row r="64" spans="2:60">
      <c r="B64" s="3"/>
      <c r="C64" s="7"/>
      <c r="D64" s="4"/>
      <c r="E64" s="210"/>
      <c r="F64" s="4"/>
      <c r="G64" s="328"/>
      <c r="H64" s="4"/>
      <c r="I64" s="328"/>
      <c r="J64" s="4"/>
      <c r="K64" s="328"/>
      <c r="L64" s="4"/>
      <c r="M64" s="328"/>
      <c r="N64" s="4"/>
      <c r="O64" s="328"/>
      <c r="P64" s="4"/>
      <c r="Q64" s="328"/>
      <c r="R64" s="4"/>
      <c r="S64" s="328"/>
      <c r="T64" s="4"/>
      <c r="U64" s="328"/>
      <c r="V64" s="4"/>
      <c r="W64" s="328"/>
      <c r="X64" s="4"/>
      <c r="Y64" s="338"/>
      <c r="Z64" s="290"/>
      <c r="AB64" s="3"/>
      <c r="AC64" s="4"/>
      <c r="AD64" s="4"/>
      <c r="AE64" s="4"/>
      <c r="AF64" s="339"/>
      <c r="AG64" s="4"/>
      <c r="AH64" s="339"/>
      <c r="AI64" s="4"/>
      <c r="AJ64" s="339"/>
      <c r="AK64" s="4"/>
      <c r="AL64" s="337"/>
      <c r="AM64" s="4"/>
      <c r="AN64" s="339"/>
      <c r="AO64" s="4"/>
      <c r="AP64" s="339"/>
      <c r="AQ64" s="4"/>
      <c r="AR64" s="339"/>
      <c r="AS64" s="339"/>
      <c r="AT64" s="339"/>
      <c r="AU64" s="4"/>
      <c r="AV64" s="337"/>
      <c r="AW64" s="337"/>
      <c r="AX64" s="340"/>
      <c r="AZ64" s="3"/>
      <c r="BA64" s="4"/>
      <c r="BB64" s="339"/>
      <c r="BC64" s="4"/>
      <c r="BD64" s="4"/>
      <c r="BE64" s="4"/>
      <c r="BF64" s="337"/>
      <c r="BG64" s="4"/>
      <c r="BH64" s="290"/>
    </row>
    <row r="65" spans="2:60">
      <c r="B65" s="3"/>
      <c r="C65" s="7"/>
      <c r="D65" s="4"/>
      <c r="E65" s="210"/>
      <c r="F65" s="4"/>
      <c r="G65" s="328"/>
      <c r="H65" s="4"/>
      <c r="I65" s="328"/>
      <c r="J65" s="4"/>
      <c r="K65" s="328"/>
      <c r="L65" s="4"/>
      <c r="M65" s="328"/>
      <c r="N65" s="4"/>
      <c r="O65" s="328"/>
      <c r="P65" s="4"/>
      <c r="Q65" s="328"/>
      <c r="R65" s="4"/>
      <c r="S65" s="328"/>
      <c r="T65" s="4"/>
      <c r="U65" s="328"/>
      <c r="V65" s="4"/>
      <c r="W65" s="328"/>
      <c r="X65" s="4"/>
      <c r="Y65" s="338"/>
      <c r="Z65" s="290"/>
      <c r="AB65" s="3"/>
      <c r="AC65" s="4"/>
      <c r="AD65" s="4"/>
      <c r="AE65" s="4"/>
      <c r="AF65" s="339"/>
      <c r="AG65" s="4"/>
      <c r="AH65" s="339"/>
      <c r="AI65" s="4"/>
      <c r="AJ65" s="339"/>
      <c r="AK65" s="4"/>
      <c r="AL65" s="337"/>
      <c r="AM65" s="4"/>
      <c r="AN65" s="339"/>
      <c r="AO65" s="4"/>
      <c r="AP65" s="339"/>
      <c r="AQ65" s="4"/>
      <c r="AR65" s="339"/>
      <c r="AS65" s="339"/>
      <c r="AT65" s="339"/>
      <c r="AU65" s="4"/>
      <c r="AV65" s="337"/>
      <c r="AW65" s="337"/>
      <c r="AX65" s="340"/>
      <c r="AZ65" s="3"/>
      <c r="BA65" s="4"/>
      <c r="BB65" s="339"/>
      <c r="BC65" s="4"/>
      <c r="BD65" s="4"/>
      <c r="BE65" s="4"/>
      <c r="BF65" s="337"/>
      <c r="BG65" s="4"/>
      <c r="BH65" s="290"/>
    </row>
    <row r="66" spans="2:60" ht="12">
      <c r="B66" s="3"/>
      <c r="C66" s="341" t="str">
        <f>G14&amp;"-year Nominal Levelized at "&amp;TEXT($G$18,"#.00%")</f>
        <v>39-year Nominal Levelized at 7.82%</v>
      </c>
      <c r="E66" s="210"/>
      <c r="F66" s="4"/>
      <c r="G66" s="23">
        <f>+-PMT($G$18,$G$14,NPV($G$18,G28:G62))</f>
        <v>9057.4425184090578</v>
      </c>
      <c r="H66" s="7"/>
      <c r="I66" s="39">
        <f>+-PMT($G$18,$G$14,NPV($G$18,I28:I62))</f>
        <v>410.59593175635945</v>
      </c>
      <c r="J66" s="39"/>
      <c r="K66" s="39">
        <f>+-PMT($G$18,$G$14,NPV($G$18,K28:K62))</f>
        <v>0</v>
      </c>
      <c r="L66" s="7"/>
      <c r="M66" s="39">
        <f>+-PMT($G$18,$G$14,NPV($G$18,M28:M62))</f>
        <v>0</v>
      </c>
      <c r="N66" s="7"/>
      <c r="O66" s="39">
        <f>+-PMT($G$18,$G$14,NPV($G$18,O28:O62))</f>
        <v>0</v>
      </c>
      <c r="P66" s="7"/>
      <c r="Q66" s="39">
        <f>+-PMT($G$18,$G$14,NPV($G$18,Q28:Q62))</f>
        <v>0</v>
      </c>
      <c r="R66" s="7"/>
      <c r="S66" s="23">
        <f>+-PMT($G$18,$G$14,NPV($G$18,S28:S62))</f>
        <v>39.061852998687137</v>
      </c>
      <c r="T66" s="7"/>
      <c r="U66" s="23">
        <f>+-PMT($G$18,$G$14,NPV($G$18,U28:U62))</f>
        <v>411.16375667828771</v>
      </c>
      <c r="V66" s="4"/>
      <c r="W66" s="23">
        <f>+-PMT($G$18,$G$14,NPV($G$18,W28:W62))</f>
        <v>-372.10190367960053</v>
      </c>
      <c r="X66" s="4"/>
      <c r="Y66" s="334">
        <f>+-PMT($G$18,$G$14,NPV($G$18,Y28:Y62))</f>
        <v>-40.273516972999651</v>
      </c>
      <c r="Z66" s="290"/>
      <c r="AB66" s="3"/>
      <c r="AC66" s="4"/>
      <c r="AD66" s="187">
        <f>+-PMT($G$18,$G$14,NPV($G$18,AD28:AD62))</f>
        <v>9057.4425184090578</v>
      </c>
      <c r="AE66" s="4"/>
      <c r="AF66" s="190">
        <f>+-PMT($G$18,$G$14,NPV($G$18,AF28:AF62))</f>
        <v>64.368890165814861</v>
      </c>
      <c r="AG66" s="4"/>
      <c r="AH66" s="190">
        <f>+-PMT($G$18,$G$14,NPV($G$18,AH28:AH62))</f>
        <v>7.898918111021521</v>
      </c>
      <c r="AI66" s="4"/>
      <c r="AJ66" s="190">
        <f>+-PMT($G$18,$G$14,NPV($G$18,AJ28:AJ62))</f>
        <v>1.8452619846126967</v>
      </c>
      <c r="AK66" s="4"/>
      <c r="AL66" s="189">
        <f>+-PMT($G$18,$G$14,NPV($G$18,AL28:AL62))</f>
        <v>115.83672745024589</v>
      </c>
      <c r="AM66" s="4"/>
      <c r="AN66" s="190">
        <f>+-PMT($G$18,$G$14,NPV($G$18,AN28:AN62))</f>
        <v>4.2536294882824546</v>
      </c>
      <c r="AO66" s="4"/>
      <c r="AP66" s="190">
        <f>+-PMT($G$18,$G$14,NPV($G$18,AP28:AP62))</f>
        <v>30.471899076152688</v>
      </c>
      <c r="AQ66" s="4"/>
      <c r="AR66" s="190">
        <f>+-PMT($G$18,$G$14,NPV($G$18,AR28:AR62))</f>
        <v>3.7669212103087548</v>
      </c>
      <c r="AS66" s="190"/>
      <c r="AT66" s="189">
        <f>+-PMT($G$18,$G$14,NPV($G$18,AT28:AT62))</f>
        <v>94.81864540137947</v>
      </c>
      <c r="AU66" s="4"/>
      <c r="AV66" s="189">
        <f>+-PMT($G$18,$G$14,NPV($G$18,AV28:AV62))</f>
        <v>316.34511127690826</v>
      </c>
      <c r="AW66" s="337"/>
      <c r="AX66" s="191">
        <f>+-PMT($G$18,$G$14,NPV($G$18,AX28:AX62))</f>
        <v>411.16375667828771</v>
      </c>
      <c r="AZ66" s="3"/>
      <c r="BA66" s="4"/>
      <c r="BB66" s="190">
        <f>+-PMT($G$18,$G$14,NPV($G$18,BB28:BB62))</f>
        <v>55.291516009228189</v>
      </c>
      <c r="BC66" s="4"/>
      <c r="BD66" s="190">
        <f>+-PMT($G$18,$G$14,NPV($G$18,BD28:BD62))</f>
        <v>12.021507013545904</v>
      </c>
      <c r="BE66" s="4"/>
      <c r="BF66" s="189">
        <f>+-PMT($G$18,$G$14,NPV($G$18,BF28:BF62))</f>
        <v>21.018082048866439</v>
      </c>
      <c r="BG66" s="4"/>
      <c r="BH66" s="193"/>
    </row>
    <row r="67" spans="2:60">
      <c r="B67" s="3"/>
      <c r="C67" s="4"/>
      <c r="D67" s="4"/>
      <c r="E67" s="210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342"/>
      <c r="X67" s="4"/>
      <c r="Y67" s="343"/>
      <c r="Z67" s="290"/>
      <c r="AB67" s="3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337"/>
      <c r="AU67" s="4"/>
      <c r="AV67" s="4"/>
      <c r="AW67" s="4"/>
      <c r="AX67" s="290"/>
      <c r="AZ67" s="3"/>
      <c r="BA67" s="4"/>
      <c r="BB67" s="4"/>
      <c r="BC67" s="4"/>
      <c r="BD67" s="4"/>
      <c r="BE67" s="4"/>
      <c r="BF67" s="4"/>
      <c r="BG67" s="4"/>
      <c r="BH67" s="290"/>
    </row>
    <row r="68" spans="2:60">
      <c r="B68" s="294"/>
      <c r="C68" s="344"/>
      <c r="D68" s="344"/>
      <c r="E68" s="345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R68" s="344"/>
      <c r="S68" s="344"/>
      <c r="T68" s="344"/>
      <c r="U68" s="344"/>
      <c r="V68" s="344"/>
      <c r="W68" s="344"/>
      <c r="X68" s="344"/>
      <c r="Y68" s="344"/>
      <c r="Z68" s="297"/>
      <c r="AB68" s="294"/>
      <c r="AC68" s="344"/>
      <c r="AD68" s="344"/>
      <c r="AE68" s="344"/>
      <c r="AF68" s="344"/>
      <c r="AG68" s="344"/>
      <c r="AH68" s="344"/>
      <c r="AI68" s="344"/>
      <c r="AJ68" s="344"/>
      <c r="AK68" s="344"/>
      <c r="AL68" s="344"/>
      <c r="AM68" s="344"/>
      <c r="AN68" s="344"/>
      <c r="AO68" s="344"/>
      <c r="AP68" s="344"/>
      <c r="AQ68" s="344"/>
      <c r="AR68" s="344"/>
      <c r="AS68" s="344"/>
      <c r="AT68" s="344"/>
      <c r="AU68" s="344"/>
      <c r="AV68" s="344"/>
      <c r="AW68" s="344"/>
      <c r="AX68" s="297"/>
      <c r="AZ68" s="294"/>
      <c r="BA68" s="344"/>
      <c r="BB68" s="344"/>
      <c r="BC68" s="344"/>
      <c r="BD68" s="344"/>
      <c r="BE68" s="344"/>
      <c r="BF68" s="344"/>
      <c r="BG68" s="344"/>
      <c r="BH68" s="297"/>
    </row>
    <row r="69" spans="2:60">
      <c r="E69" s="346"/>
    </row>
    <row r="70" spans="2:60">
      <c r="E70" s="346"/>
      <c r="G70" s="347"/>
      <c r="I70" s="347"/>
      <c r="K70" s="347"/>
      <c r="O70" s="347"/>
      <c r="Q70" s="347"/>
      <c r="S70" s="347"/>
      <c r="U70" s="347"/>
      <c r="W70" s="347"/>
    </row>
    <row r="71" spans="2:60">
      <c r="E71" s="346"/>
    </row>
    <row r="72" spans="2:60">
      <c r="E72" s="346"/>
    </row>
    <row r="73" spans="2:60">
      <c r="E73" s="346"/>
    </row>
    <row r="74" spans="2:60">
      <c r="E74" s="346"/>
    </row>
    <row r="75" spans="2:60">
      <c r="E75" s="346"/>
    </row>
    <row r="76" spans="2:60">
      <c r="E76" s="346"/>
    </row>
    <row r="77" spans="2:60">
      <c r="E77" s="346"/>
    </row>
    <row r="78" spans="2:60">
      <c r="E78" s="346"/>
    </row>
    <row r="79" spans="2:60">
      <c r="E79" s="346"/>
    </row>
    <row r="80" spans="2:60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  <row r="85" spans="5:5">
      <c r="E85" s="346"/>
    </row>
    <row r="86" spans="5:5">
      <c r="E86" s="346"/>
    </row>
    <row r="87" spans="5:5">
      <c r="E87" s="346"/>
    </row>
    <row r="88" spans="5:5">
      <c r="E88" s="346"/>
    </row>
    <row r="89" spans="5:5">
      <c r="E89" s="346"/>
    </row>
    <row r="90" spans="5:5">
      <c r="E90" s="346"/>
    </row>
    <row r="91" spans="5:5">
      <c r="E91" s="346"/>
    </row>
    <row r="92" spans="5:5">
      <c r="E92" s="346"/>
    </row>
  </sheetData>
  <pageMargins left="0.25" right="0.25" top="0.25" bottom="0.75" header="0.3" footer="0.3"/>
  <pageSetup paperSize="5" scale="46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L28"/>
  <sheetViews>
    <sheetView topLeftCell="A7" workbookViewId="0">
      <selection activeCell="L25" sqref="L25"/>
    </sheetView>
  </sheetViews>
  <sheetFormatPr defaultRowHeight="11.25"/>
  <cols>
    <col min="1" max="1" width="4.6640625" customWidth="1"/>
    <col min="2" max="2" width="16.5" style="358" customWidth="1"/>
    <col min="3" max="3" width="2.83203125" style="359" customWidth="1"/>
    <col min="4" max="4" width="15.1640625" style="358" customWidth="1"/>
    <col min="5" max="5" width="2.6640625" style="359" customWidth="1"/>
    <col min="6" max="6" width="15.1640625" style="358" customWidth="1"/>
    <col min="7" max="7" width="2.33203125" style="359" customWidth="1"/>
    <col min="8" max="8" width="15.1640625" style="358" customWidth="1"/>
    <col min="9" max="9" width="2.5" style="359" customWidth="1"/>
    <col min="10" max="10" width="15.1640625" style="327" customWidth="1"/>
    <col min="11" max="11" width="2.6640625" style="327" customWidth="1"/>
    <col min="12" max="12" width="21.33203125" style="358" customWidth="1"/>
    <col min="13" max="14" width="14" customWidth="1"/>
    <col min="15" max="15" width="11.5" customWidth="1"/>
  </cols>
  <sheetData>
    <row r="1" spans="1:12" s="6" customFormat="1">
      <c r="A1" s="309" t="s">
        <v>0</v>
      </c>
      <c r="B1" s="382"/>
      <c r="C1" s="383"/>
      <c r="D1" s="382"/>
      <c r="E1" s="385"/>
      <c r="F1" s="382"/>
      <c r="G1" s="385"/>
      <c r="H1" s="382"/>
      <c r="I1" s="385"/>
      <c r="J1" s="383"/>
      <c r="K1" s="383"/>
      <c r="L1" s="382"/>
    </row>
    <row r="2" spans="1:12" s="6" customFormat="1">
      <c r="A2" s="309" t="s">
        <v>270</v>
      </c>
      <c r="B2" s="382"/>
      <c r="C2" s="383"/>
      <c r="D2" s="382"/>
      <c r="E2" s="384"/>
      <c r="F2" s="382"/>
      <c r="G2" s="384"/>
      <c r="H2" s="382"/>
      <c r="I2" s="384"/>
      <c r="J2" s="383"/>
      <c r="K2" s="383"/>
      <c r="L2" s="382"/>
    </row>
    <row r="3" spans="1:12" s="6" customFormat="1">
      <c r="A3" s="309" t="s">
        <v>1</v>
      </c>
      <c r="B3" s="382"/>
      <c r="C3" s="383"/>
      <c r="D3" s="382"/>
      <c r="E3" s="383"/>
      <c r="F3" s="382"/>
      <c r="G3" s="383"/>
      <c r="H3" s="382"/>
      <c r="I3" s="383"/>
      <c r="J3" s="383"/>
      <c r="K3" s="383"/>
      <c r="L3" s="382"/>
    </row>
    <row r="4" spans="1:12" s="6" customFormat="1">
      <c r="A4" s="309"/>
      <c r="B4" s="382"/>
      <c r="C4" s="383"/>
      <c r="D4" s="382"/>
      <c r="E4" s="383"/>
      <c r="F4" s="382"/>
      <c r="G4" s="383"/>
      <c r="H4" s="382"/>
      <c r="I4" s="383"/>
      <c r="J4" s="383"/>
      <c r="K4" s="383"/>
      <c r="L4" s="382"/>
    </row>
    <row r="5" spans="1:12" s="6" customFormat="1">
      <c r="A5" s="309" t="s">
        <v>238</v>
      </c>
      <c r="B5" s="382"/>
      <c r="C5" s="383"/>
      <c r="D5" s="382"/>
      <c r="E5" s="383"/>
      <c r="F5" s="382"/>
      <c r="G5" s="383"/>
      <c r="H5" s="382"/>
      <c r="I5" s="383"/>
      <c r="J5" s="383"/>
      <c r="K5" s="383"/>
      <c r="L5" s="382"/>
    </row>
    <row r="6" spans="1:12">
      <c r="A6" s="171"/>
      <c r="B6" s="381"/>
      <c r="C6" s="327"/>
      <c r="D6" s="381"/>
      <c r="E6" s="327"/>
      <c r="F6" s="381"/>
      <c r="G6" s="327"/>
      <c r="H6" s="381"/>
      <c r="I6" s="327"/>
      <c r="L6" s="381"/>
    </row>
    <row r="8" spans="1:12">
      <c r="B8" s="644" t="s">
        <v>313</v>
      </c>
      <c r="C8" s="645"/>
      <c r="D8" s="645"/>
      <c r="E8" s="645"/>
      <c r="F8" s="645"/>
      <c r="G8" s="645"/>
      <c r="H8" s="645"/>
      <c r="I8" s="645"/>
      <c r="J8" s="645"/>
      <c r="K8" s="645"/>
      <c r="L8" s="646"/>
    </row>
    <row r="9" spans="1:12">
      <c r="B9" s="380" t="s">
        <v>237</v>
      </c>
      <c r="C9" s="379"/>
      <c r="D9" s="50" t="s">
        <v>15</v>
      </c>
      <c r="E9" s="378"/>
      <c r="F9" s="50" t="s">
        <v>16</v>
      </c>
      <c r="G9" s="378"/>
      <c r="H9" s="50" t="s">
        <v>32</v>
      </c>
      <c r="I9" s="378"/>
      <c r="J9" s="50" t="s">
        <v>19</v>
      </c>
      <c r="K9" s="378"/>
      <c r="L9" s="377" t="s">
        <v>236</v>
      </c>
    </row>
    <row r="10" spans="1:12">
      <c r="B10" s="376"/>
      <c r="C10" s="148"/>
      <c r="D10" s="18" t="str">
        <f>"(3.1a)"</f>
        <v>(3.1a)</v>
      </c>
      <c r="E10" s="148"/>
      <c r="F10" s="18" t="str">
        <f>"(3.4a)"</f>
        <v>(3.4a)</v>
      </c>
      <c r="G10" s="148"/>
      <c r="H10" s="18" t="str">
        <f>"(3.2)"</f>
        <v>(3.2)</v>
      </c>
      <c r="I10" s="148"/>
      <c r="J10" s="18" t="str">
        <f>"(3.3)"</f>
        <v>(3.3)</v>
      </c>
      <c r="K10" s="148"/>
      <c r="L10" s="375"/>
    </row>
    <row r="11" spans="1:12" ht="6" customHeight="1">
      <c r="B11" s="374"/>
      <c r="C11" s="372"/>
      <c r="D11" s="373"/>
      <c r="E11" s="372"/>
      <c r="F11" s="373"/>
      <c r="G11" s="372"/>
      <c r="H11" s="373"/>
      <c r="I11" s="372"/>
      <c r="J11" s="373"/>
      <c r="K11" s="372"/>
      <c r="L11" s="368"/>
    </row>
    <row r="12" spans="1:12" ht="15.75" customHeight="1">
      <c r="B12" s="371" t="s">
        <v>235</v>
      </c>
      <c r="C12" s="370"/>
      <c r="D12" s="369">
        <f>'(1.2)_Lvl_Resource_Cost'!E20</f>
        <v>14.131675601963146</v>
      </c>
      <c r="E12" s="369"/>
      <c r="F12" s="369">
        <f>'(1.2)_Lvl_Resource_Cost'!M20</f>
        <v>3.5839563567065311</v>
      </c>
      <c r="G12" s="369"/>
      <c r="H12" s="369">
        <f>'(1.2)_Lvl_Resource_Cost'!I20</f>
        <v>6.4704515517312311</v>
      </c>
      <c r="I12" s="369"/>
      <c r="J12" s="369">
        <f>'(1.2)_Lvl_Resource_Cost'!K20</f>
        <v>12.106425175599828</v>
      </c>
      <c r="K12" s="369"/>
      <c r="L12" s="368"/>
    </row>
    <row r="13" spans="1:12" ht="15.75" customHeight="1">
      <c r="B13" s="366" t="s">
        <v>311</v>
      </c>
      <c r="C13" s="365"/>
      <c r="D13" s="640">
        <v>4421</v>
      </c>
      <c r="E13" s="640"/>
      <c r="F13" s="640">
        <v>12827</v>
      </c>
      <c r="G13" s="640"/>
      <c r="H13" s="640">
        <v>11173</v>
      </c>
      <c r="I13" s="640"/>
      <c r="J13" s="640">
        <v>7010</v>
      </c>
      <c r="K13" s="364"/>
      <c r="L13" s="367"/>
    </row>
    <row r="14" spans="1:12" ht="15.75" customHeight="1">
      <c r="B14" s="366" t="s">
        <v>234</v>
      </c>
      <c r="C14" s="365"/>
      <c r="D14" s="364">
        <f>SUM(D13:D13)</f>
        <v>4421</v>
      </c>
      <c r="E14" s="364"/>
      <c r="F14" s="364">
        <f>SUM(F13:F13)</f>
        <v>12827</v>
      </c>
      <c r="G14" s="364"/>
      <c r="H14" s="364">
        <f>SUM(H13:H13)</f>
        <v>11173</v>
      </c>
      <c r="I14" s="364"/>
      <c r="J14" s="364">
        <f>SUM(J13:J13)</f>
        <v>7010</v>
      </c>
      <c r="K14" s="364"/>
      <c r="L14" s="363">
        <f>SUMPRODUCT(D12:J12, D14:J14)/SUM(D14:J14)</f>
        <v>7.4964844822952106</v>
      </c>
    </row>
    <row r="15" spans="1:12" ht="6" customHeight="1">
      <c r="B15" s="362"/>
      <c r="C15" s="361"/>
      <c r="D15" s="361"/>
      <c r="E15" s="361"/>
      <c r="F15" s="361"/>
      <c r="G15" s="361"/>
      <c r="H15" s="361"/>
      <c r="I15" s="361"/>
      <c r="J15" s="361"/>
      <c r="K15" s="361"/>
      <c r="L15" s="360"/>
    </row>
    <row r="17" spans="2:12">
      <c r="B17" s="479" t="s">
        <v>258</v>
      </c>
    </row>
    <row r="19" spans="2:12">
      <c r="B19" s="644" t="s">
        <v>314</v>
      </c>
      <c r="C19" s="645"/>
      <c r="D19" s="645"/>
      <c r="E19" s="645"/>
      <c r="F19" s="645"/>
      <c r="G19" s="645"/>
      <c r="H19" s="645"/>
      <c r="I19" s="645"/>
      <c r="J19" s="645"/>
      <c r="K19" s="645"/>
      <c r="L19" s="646"/>
    </row>
    <row r="20" spans="2:12">
      <c r="B20" s="380" t="s">
        <v>237</v>
      </c>
      <c r="C20" s="379"/>
      <c r="D20" s="50" t="s">
        <v>15</v>
      </c>
      <c r="E20" s="378"/>
      <c r="F20" s="50" t="s">
        <v>16</v>
      </c>
      <c r="G20" s="378"/>
      <c r="H20" s="50" t="s">
        <v>32</v>
      </c>
      <c r="I20" s="378"/>
      <c r="J20" s="50" t="s">
        <v>19</v>
      </c>
      <c r="K20" s="378"/>
      <c r="L20" s="377" t="s">
        <v>236</v>
      </c>
    </row>
    <row r="21" spans="2:12">
      <c r="B21" s="376"/>
      <c r="C21" s="148"/>
      <c r="D21" s="18" t="str">
        <f>"(3.1)"</f>
        <v>(3.1)</v>
      </c>
      <c r="E21" s="148"/>
      <c r="F21" s="18" t="str">
        <f>"(3.4)"</f>
        <v>(3.4)</v>
      </c>
      <c r="G21" s="148"/>
      <c r="H21" s="18" t="str">
        <f>"(3.2)"</f>
        <v>(3.2)</v>
      </c>
      <c r="I21" s="148"/>
      <c r="J21" s="18" t="str">
        <f>"(3.3)"</f>
        <v>(3.3)</v>
      </c>
      <c r="K21" s="148"/>
      <c r="L21" s="375"/>
    </row>
    <row r="22" spans="2:12">
      <c r="B22" s="374"/>
      <c r="C22" s="372"/>
      <c r="D22" s="373"/>
      <c r="E22" s="372"/>
      <c r="F22" s="373"/>
      <c r="G22" s="372"/>
      <c r="H22" s="373"/>
      <c r="I22" s="372"/>
      <c r="J22" s="373"/>
      <c r="K22" s="372"/>
      <c r="L22" s="368"/>
    </row>
    <row r="23" spans="2:12">
      <c r="B23" s="371" t="s">
        <v>235</v>
      </c>
      <c r="C23" s="370"/>
      <c r="D23" s="369">
        <f>'(1.2)_Lvl_Resource_Cost'!G20</f>
        <v>17.08953726360841</v>
      </c>
      <c r="E23" s="369"/>
      <c r="F23" s="369">
        <f>'(1.2)_Lvl_Resource_Cost'!O20</f>
        <v>18.285241636752332</v>
      </c>
      <c r="G23" s="369"/>
      <c r="H23" s="369">
        <f>'(1.2)_Lvl_Resource_Cost'!I20</f>
        <v>6.4704515517312311</v>
      </c>
      <c r="I23" s="369"/>
      <c r="J23" s="369">
        <f>'(1.2)_Lvl_Resource_Cost'!K20</f>
        <v>12.106425175599828</v>
      </c>
      <c r="K23" s="369"/>
      <c r="L23" s="368"/>
    </row>
    <row r="24" spans="2:12">
      <c r="B24" s="366" t="s">
        <v>312</v>
      </c>
      <c r="C24" s="365"/>
      <c r="D24" s="640">
        <v>21306</v>
      </c>
      <c r="E24" s="640"/>
      <c r="F24" s="640">
        <v>24247</v>
      </c>
      <c r="G24" s="640"/>
      <c r="H24" s="643">
        <v>30875</v>
      </c>
      <c r="I24" s="640"/>
      <c r="J24" s="640">
        <v>16285</v>
      </c>
      <c r="K24" s="364"/>
      <c r="L24" s="363"/>
    </row>
    <row r="25" spans="2:12">
      <c r="B25" s="366" t="s">
        <v>234</v>
      </c>
      <c r="C25" s="365"/>
      <c r="D25" s="364">
        <f>SUM(D24:D24)</f>
        <v>21306</v>
      </c>
      <c r="E25" s="364"/>
      <c r="F25" s="364">
        <f>SUM(F24:F24)</f>
        <v>24247</v>
      </c>
      <c r="G25" s="364"/>
      <c r="H25" s="364">
        <f>SUM(H24:H24)</f>
        <v>30875</v>
      </c>
      <c r="I25" s="364"/>
      <c r="J25" s="364">
        <f>SUM(J24:J24)</f>
        <v>16285</v>
      </c>
      <c r="K25" s="364"/>
      <c r="L25" s="363">
        <f>SUMPRODUCT(D23:J23, D25:J25)/SUM(D25:J25)</f>
        <v>12.990629798939951</v>
      </c>
    </row>
    <row r="26" spans="2:12">
      <c r="B26" s="362"/>
      <c r="C26" s="361"/>
      <c r="D26" s="361"/>
      <c r="E26" s="361"/>
      <c r="F26" s="361"/>
      <c r="G26" s="361"/>
      <c r="H26" s="361"/>
      <c r="I26" s="361"/>
      <c r="J26" s="361"/>
      <c r="K26" s="361"/>
      <c r="L26" s="360"/>
    </row>
    <row r="28" spans="2:12">
      <c r="B28" s="479"/>
    </row>
  </sheetData>
  <mergeCells count="2">
    <mergeCell ref="B8:L8"/>
    <mergeCell ref="B19:L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3"/>
  <sheetViews>
    <sheetView tabSelected="1" topLeftCell="A46" workbookViewId="0">
      <selection activeCell="N30" sqref="N30"/>
    </sheetView>
  </sheetViews>
  <sheetFormatPr defaultRowHeight="11.25"/>
  <cols>
    <col min="1" max="1" width="2.83203125" style="48" customWidth="1"/>
    <col min="2" max="2" width="2" style="48" customWidth="1"/>
    <col min="3" max="3" width="37.33203125" style="48" customWidth="1"/>
    <col min="4" max="4" width="5.83203125" style="48" customWidth="1"/>
    <col min="5" max="5" width="15.83203125" style="48" customWidth="1"/>
    <col min="6" max="6" width="2" style="48" customWidth="1"/>
    <col min="7" max="7" width="7.83203125" style="48" customWidth="1"/>
    <col min="8" max="8" width="10.1640625" style="48" customWidth="1"/>
    <col min="9" max="9" width="2" style="48" customWidth="1"/>
    <col min="10" max="10" width="17.5" style="48" customWidth="1"/>
    <col min="11" max="11" width="2" style="48" customWidth="1"/>
    <col min="12" max="12" width="2.6640625" style="48" customWidth="1"/>
    <col min="13" max="13" width="2" style="48" customWidth="1"/>
    <col min="14" max="14" width="37.33203125" style="48" customWidth="1"/>
    <col min="15" max="15" width="5.1640625" style="48" customWidth="1"/>
    <col min="16" max="16" width="15.83203125" style="48" customWidth="1"/>
    <col min="17" max="17" width="2" style="48" customWidth="1"/>
    <col min="18" max="18" width="7.83203125" style="48" customWidth="1"/>
    <col min="19" max="19" width="10.1640625" style="48" customWidth="1"/>
    <col min="20" max="20" width="2" style="48" customWidth="1"/>
    <col min="21" max="21" width="18.1640625" style="48" customWidth="1"/>
    <col min="22" max="22" width="2" style="48" customWidth="1"/>
    <col min="23" max="16384" width="9.33203125" style="48"/>
  </cols>
  <sheetData>
    <row r="1" spans="1:22" s="6" customFormat="1">
      <c r="A1" s="6" t="str">
        <f>+'Workpaper Index'!C3</f>
        <v>PACIFICORP</v>
      </c>
    </row>
    <row r="2" spans="1:22" s="6" customFormat="1">
      <c r="A2" s="6" t="str">
        <f>+'Workpaper Index'!C4</f>
        <v xml:space="preserve">WASHINGTON JUNE, 1 2020 RENEWABLES REPORT </v>
      </c>
    </row>
    <row r="3" spans="1:22" s="6" customFormat="1">
      <c r="A3" s="6" t="str">
        <f>+'Workpaper Index'!C5</f>
        <v>EVALUATION OF RENEWABLE RESOURCE COST</v>
      </c>
    </row>
    <row r="4" spans="1:22" s="6" customFormat="1"/>
    <row r="5" spans="1:22" s="6" customFormat="1">
      <c r="A5" s="6" t="str">
        <f>+'Workpaper Index'!C10&amp;" - "&amp;'Workpaper Index'!D10</f>
        <v>1.1 - TOTAL RESOURCE COST TO WASHINGTON REVENUE REQUIREMENT</v>
      </c>
    </row>
    <row r="6" spans="1:22" s="6" customFormat="1"/>
    <row r="8" spans="1:22" s="7" customFormat="1">
      <c r="B8" s="8" t="s">
        <v>271</v>
      </c>
      <c r="C8" s="9"/>
      <c r="D8" s="9"/>
      <c r="E8" s="9"/>
      <c r="F8" s="9"/>
      <c r="G8" s="9"/>
      <c r="H8" s="9"/>
      <c r="I8" s="9"/>
      <c r="J8" s="9"/>
      <c r="K8" s="10"/>
      <c r="M8" s="8" t="s">
        <v>272</v>
      </c>
      <c r="N8" s="9"/>
      <c r="O8" s="9"/>
      <c r="P8" s="9"/>
      <c r="Q8" s="9"/>
      <c r="R8" s="9"/>
      <c r="S8" s="9"/>
      <c r="T8" s="9"/>
      <c r="U8" s="9"/>
      <c r="V8" s="10"/>
    </row>
    <row r="9" spans="1:22" s="7" customFormat="1">
      <c r="B9" s="11"/>
      <c r="C9" s="12"/>
      <c r="D9" s="12"/>
      <c r="E9" s="12"/>
      <c r="F9" s="12"/>
      <c r="G9" s="12"/>
      <c r="H9" s="12"/>
      <c r="I9" s="12"/>
      <c r="J9" s="12"/>
      <c r="K9" s="13"/>
      <c r="M9" s="11"/>
      <c r="N9" s="12"/>
      <c r="O9" s="12"/>
      <c r="P9" s="12"/>
      <c r="Q9" s="12"/>
      <c r="R9" s="12"/>
      <c r="S9" s="12"/>
      <c r="T9" s="12"/>
      <c r="U9" s="12"/>
      <c r="V9" s="13"/>
    </row>
    <row r="10" spans="1:22" s="7" customFormat="1" ht="22.5">
      <c r="B10" s="11"/>
      <c r="C10" s="12"/>
      <c r="D10" s="5"/>
      <c r="E10" s="14" t="s">
        <v>306</v>
      </c>
      <c r="F10" s="15"/>
      <c r="G10" s="16" t="s">
        <v>12</v>
      </c>
      <c r="H10" s="16"/>
      <c r="I10" s="15"/>
      <c r="J10" s="14" t="s">
        <v>13</v>
      </c>
      <c r="K10" s="13"/>
      <c r="M10" s="11"/>
      <c r="N10" s="12"/>
      <c r="O10" s="5"/>
      <c r="P10" s="386" t="s">
        <v>307</v>
      </c>
      <c r="Q10" s="15"/>
      <c r="R10" s="16" t="s">
        <v>12</v>
      </c>
      <c r="S10" s="16"/>
      <c r="T10" s="15"/>
      <c r="U10" s="14" t="s">
        <v>13</v>
      </c>
      <c r="V10" s="13"/>
    </row>
    <row r="11" spans="1:22" s="7" customFormat="1" ht="4.5" customHeight="1">
      <c r="B11" s="11"/>
      <c r="C11" s="12"/>
      <c r="D11" s="17"/>
      <c r="E11" s="18"/>
      <c r="F11" s="18"/>
      <c r="G11" s="18"/>
      <c r="I11" s="18"/>
      <c r="J11" s="18"/>
      <c r="K11" s="13"/>
      <c r="M11" s="11"/>
      <c r="N11" s="12"/>
      <c r="O11" s="17"/>
      <c r="P11" s="18"/>
      <c r="Q11" s="18"/>
      <c r="R11" s="18"/>
      <c r="T11" s="18"/>
      <c r="U11" s="18"/>
      <c r="V11" s="13"/>
    </row>
    <row r="12" spans="1:22" s="7" customFormat="1">
      <c r="B12" s="11"/>
      <c r="C12" s="1" t="s">
        <v>14</v>
      </c>
      <c r="D12" s="12"/>
      <c r="E12" s="12"/>
      <c r="F12" s="12"/>
      <c r="G12" s="12"/>
      <c r="H12" s="378"/>
      <c r="I12" s="12"/>
      <c r="J12" s="12"/>
      <c r="K12" s="13"/>
      <c r="M12" s="11"/>
      <c r="N12" s="1" t="s">
        <v>14</v>
      </c>
      <c r="O12" s="12"/>
      <c r="P12" s="19"/>
      <c r="R12" s="20"/>
      <c r="S12" s="21"/>
      <c r="T12" s="12"/>
      <c r="U12" s="12"/>
      <c r="V12" s="13"/>
    </row>
    <row r="13" spans="1:22" s="7" customFormat="1">
      <c r="B13" s="11"/>
      <c r="C13" s="22" t="s">
        <v>15</v>
      </c>
      <c r="D13" s="12"/>
      <c r="E13" s="23">
        <v>4421</v>
      </c>
      <c r="F13" s="12"/>
      <c r="G13" s="17"/>
      <c r="H13" s="387">
        <f>'(1.2)_Lvl_Resource_Cost'!E20</f>
        <v>14.131675601963146</v>
      </c>
      <c r="I13" s="12"/>
      <c r="J13" s="195">
        <f>+E13*H13</f>
        <v>62476.137836279064</v>
      </c>
      <c r="K13" s="13"/>
      <c r="M13" s="11"/>
      <c r="N13" s="22" t="s">
        <v>15</v>
      </c>
      <c r="O13" s="12"/>
      <c r="P13" s="284">
        <v>41836</v>
      </c>
      <c r="Q13" s="21"/>
      <c r="R13" s="24"/>
      <c r="S13" s="388">
        <f>'(1.2)_Lvl_Resource_Cost'!G20</f>
        <v>17.08953726360841</v>
      </c>
      <c r="T13" s="12"/>
      <c r="U13" s="195">
        <f>+P13*S13</f>
        <v>714957.8809603214</v>
      </c>
      <c r="V13" s="13"/>
    </row>
    <row r="14" spans="1:22" s="7" customFormat="1">
      <c r="B14" s="11"/>
      <c r="C14" s="22" t="s">
        <v>16</v>
      </c>
      <c r="D14" s="12"/>
      <c r="E14" s="636">
        <v>12827</v>
      </c>
      <c r="F14" s="12"/>
      <c r="G14" s="17"/>
      <c r="H14" s="387">
        <f>'(1.2)_Lvl_Resource_Cost'!M20</f>
        <v>3.5839563567065311</v>
      </c>
      <c r="I14" s="12"/>
      <c r="J14" s="195">
        <f t="shared" ref="J14:J16" si="0">+E14*H14</f>
        <v>45971.408187474677</v>
      </c>
      <c r="K14" s="13"/>
      <c r="M14" s="11"/>
      <c r="N14" s="22" t="s">
        <v>16</v>
      </c>
      <c r="O14" s="12"/>
      <c r="P14" s="389">
        <v>47926</v>
      </c>
      <c r="Q14" s="26"/>
      <c r="R14" s="27"/>
      <c r="S14" s="390">
        <f>'(1.2)_Lvl_Resource_Cost'!O20</f>
        <v>18.285241636752332</v>
      </c>
      <c r="T14" s="12"/>
      <c r="U14" s="195">
        <f t="shared" ref="U14:U16" si="1">+P14*S14</f>
        <v>876338.49068299227</v>
      </c>
      <c r="V14" s="13"/>
    </row>
    <row r="15" spans="1:22" s="7" customFormat="1">
      <c r="B15" s="11"/>
      <c r="C15" s="22" t="s">
        <v>18</v>
      </c>
      <c r="D15" s="12"/>
      <c r="E15" s="637">
        <v>18066</v>
      </c>
      <c r="F15" s="12"/>
      <c r="G15" s="17"/>
      <c r="H15" s="387">
        <f>+'(1.2)_Lvl_Resource_Cost'!$I$20</f>
        <v>6.4704515517312311</v>
      </c>
      <c r="I15" s="12"/>
      <c r="J15" s="195">
        <f t="shared" si="0"/>
        <v>116895.17773357642</v>
      </c>
      <c r="K15" s="13"/>
      <c r="M15" s="11"/>
      <c r="N15" s="22" t="s">
        <v>18</v>
      </c>
      <c r="O15" s="12"/>
      <c r="P15" s="28">
        <v>67666</v>
      </c>
      <c r="Q15" s="21"/>
      <c r="R15" s="29"/>
      <c r="S15" s="388">
        <f>+'(1.2)_Lvl_Resource_Cost'!$I$20</f>
        <v>6.4704515517312311</v>
      </c>
      <c r="T15" s="12"/>
      <c r="U15" s="195">
        <f>+P15*S15</f>
        <v>437829.57469944551</v>
      </c>
      <c r="V15" s="13"/>
    </row>
    <row r="16" spans="1:22" s="7" customFormat="1">
      <c r="B16" s="11"/>
      <c r="C16" s="22" t="s">
        <v>19</v>
      </c>
      <c r="D16" s="12"/>
      <c r="E16" s="636">
        <v>7010</v>
      </c>
      <c r="F16" s="12"/>
      <c r="G16" s="17"/>
      <c r="H16" s="387">
        <f>+'(1.2)_Lvl_Resource_Cost'!$K$20</f>
        <v>12.106425175599828</v>
      </c>
      <c r="I16" s="12"/>
      <c r="J16" s="195">
        <f t="shared" si="0"/>
        <v>84866.040480954791</v>
      </c>
      <c r="K16" s="13"/>
      <c r="M16" s="11"/>
      <c r="N16" s="22" t="s">
        <v>19</v>
      </c>
      <c r="O16" s="12"/>
      <c r="P16" s="28">
        <v>33925</v>
      </c>
      <c r="Q16" s="21"/>
      <c r="R16" s="29"/>
      <c r="S16" s="388">
        <f>+'(1.2)_Lvl_Resource_Cost'!$K$20</f>
        <v>12.106425175599828</v>
      </c>
      <c r="T16" s="12"/>
      <c r="U16" s="195">
        <f t="shared" si="1"/>
        <v>410710.47408222413</v>
      </c>
      <c r="V16" s="13"/>
    </row>
    <row r="17" spans="2:22" s="7" customFormat="1">
      <c r="B17" s="11"/>
      <c r="C17" s="22" t="s">
        <v>20</v>
      </c>
      <c r="D17" s="17" t="s">
        <v>22</v>
      </c>
      <c r="E17" s="636">
        <v>20250</v>
      </c>
      <c r="F17" s="12"/>
      <c r="G17" s="17"/>
      <c r="H17" s="387">
        <f>'(3.9)_WCA Wind Weighted Average'!L14</f>
        <v>7.4964844822952106</v>
      </c>
      <c r="I17" s="12"/>
      <c r="J17" s="195">
        <f t="shared" ref="J17:J23" si="2">+E17*H17</f>
        <v>151803.81076647801</v>
      </c>
      <c r="K17" s="13"/>
      <c r="M17" s="11"/>
      <c r="N17" s="22" t="s">
        <v>20</v>
      </c>
      <c r="O17" s="17" t="s">
        <v>22</v>
      </c>
      <c r="P17" s="638">
        <v>69810</v>
      </c>
      <c r="Q17" s="32"/>
      <c r="R17" s="27"/>
      <c r="S17" s="388">
        <f>'(3.9)_WCA Wind Weighted Average'!L$25</f>
        <v>12.990629798939951</v>
      </c>
      <c r="T17" s="197"/>
      <c r="U17" s="195">
        <f>+P17*S17</f>
        <v>906875.86626399797</v>
      </c>
      <c r="V17" s="13"/>
    </row>
    <row r="18" spans="2:22" s="7" customFormat="1">
      <c r="B18" s="11"/>
      <c r="C18" s="22" t="s">
        <v>239</v>
      </c>
      <c r="D18" s="27" t="s">
        <v>17</v>
      </c>
      <c r="E18" s="636">
        <v>14000</v>
      </c>
      <c r="F18" s="12"/>
      <c r="G18" s="17"/>
      <c r="H18" s="387">
        <f>'(3.9)_WCA Wind Weighted Average'!$L$14</f>
        <v>7.4964844822952106</v>
      </c>
      <c r="I18" s="12"/>
      <c r="J18" s="195">
        <f t="shared" si="2"/>
        <v>104950.78275213295</v>
      </c>
      <c r="K18" s="13"/>
      <c r="M18" s="11"/>
      <c r="N18" s="22" t="s">
        <v>239</v>
      </c>
      <c r="O18" s="29" t="s">
        <v>17</v>
      </c>
      <c r="P18" s="638">
        <v>40628</v>
      </c>
      <c r="Q18" s="32"/>
      <c r="R18" s="29"/>
      <c r="S18" s="388">
        <f>'(3.9)_WCA Wind Weighted Average'!L$25</f>
        <v>12.990629798939951</v>
      </c>
      <c r="T18" s="197"/>
      <c r="U18" s="195">
        <f>+P18*S18</f>
        <v>527783.30747133237</v>
      </c>
      <c r="V18" s="13"/>
    </row>
    <row r="19" spans="2:22" s="7" customFormat="1">
      <c r="B19" s="11"/>
      <c r="C19" s="22" t="s">
        <v>252</v>
      </c>
      <c r="D19" s="27" t="s">
        <v>17</v>
      </c>
      <c r="E19" s="636">
        <v>13500</v>
      </c>
      <c r="F19" s="12"/>
      <c r="G19" s="17"/>
      <c r="H19" s="387">
        <f>'(3.9)_WCA Wind Weighted Average'!$L$14</f>
        <v>7.4964844822952106</v>
      </c>
      <c r="I19" s="12"/>
      <c r="J19" s="195">
        <f t="shared" si="2"/>
        <v>101202.54051098535</v>
      </c>
      <c r="K19" s="13"/>
      <c r="M19" s="11"/>
      <c r="N19" s="22" t="s">
        <v>240</v>
      </c>
      <c r="O19" s="27" t="s">
        <v>17</v>
      </c>
      <c r="P19" s="638">
        <v>47182</v>
      </c>
      <c r="Q19" s="32"/>
      <c r="R19" s="27"/>
      <c r="S19" s="388">
        <f>'(3.9)_WCA Wind Weighted Average'!L$25</f>
        <v>12.990629798939951</v>
      </c>
      <c r="T19" s="197"/>
      <c r="U19" s="195">
        <f>+P19*S19</f>
        <v>612923.89517358481</v>
      </c>
      <c r="V19" s="13"/>
    </row>
    <row r="20" spans="2:22" s="7" customFormat="1">
      <c r="B20" s="11"/>
      <c r="C20" s="22" t="s">
        <v>240</v>
      </c>
      <c r="D20" s="27" t="s">
        <v>17</v>
      </c>
      <c r="E20" s="636">
        <v>11000</v>
      </c>
      <c r="F20" s="12"/>
      <c r="G20" s="17"/>
      <c r="H20" s="387">
        <f>'(3.9)_WCA Wind Weighted Average'!$L$14</f>
        <v>7.4964844822952106</v>
      </c>
      <c r="I20" s="12"/>
      <c r="J20" s="195">
        <f t="shared" si="2"/>
        <v>82461.329305247316</v>
      </c>
      <c r="K20" s="13"/>
      <c r="M20" s="11"/>
      <c r="N20" s="22" t="s">
        <v>252</v>
      </c>
      <c r="O20" s="489" t="s">
        <v>17</v>
      </c>
      <c r="P20" s="639">
        <v>30707</v>
      </c>
      <c r="Q20" s="488"/>
      <c r="R20" s="489"/>
      <c r="S20" s="388">
        <f>'(3.9)_WCA Wind Weighted Average'!L$25</f>
        <v>12.990629798939951</v>
      </c>
      <c r="T20" s="197"/>
      <c r="U20" s="195">
        <f t="shared" ref="U20:U21" si="3">+P20*S20</f>
        <v>398903.26923604909</v>
      </c>
      <c r="V20" s="13"/>
    </row>
    <row r="21" spans="2:22" s="7" customFormat="1">
      <c r="B21" s="11"/>
      <c r="C21" s="22" t="s">
        <v>263</v>
      </c>
      <c r="D21" s="27" t="s">
        <v>310</v>
      </c>
      <c r="E21" s="638">
        <v>11269</v>
      </c>
      <c r="F21" s="12"/>
      <c r="G21" s="17"/>
      <c r="H21" s="387">
        <f>'(3.9)_WCA Wind Weighted Average'!$L$14</f>
        <v>7.4964844822952106</v>
      </c>
      <c r="I21" s="12"/>
      <c r="J21" s="195">
        <f t="shared" si="2"/>
        <v>84477.883630984725</v>
      </c>
      <c r="K21" s="13"/>
      <c r="M21" s="11"/>
      <c r="N21" s="490" t="s">
        <v>263</v>
      </c>
      <c r="O21" s="24" t="s">
        <v>17</v>
      </c>
      <c r="P21" s="636">
        <v>45256</v>
      </c>
      <c r="Q21" s="21"/>
      <c r="R21" s="21"/>
      <c r="S21" s="388">
        <f>'(3.9)_WCA Wind Weighted Average'!L$25</f>
        <v>12.990629798939951</v>
      </c>
      <c r="T21" s="21"/>
      <c r="U21" s="195">
        <f t="shared" si="3"/>
        <v>587903.94218082645</v>
      </c>
      <c r="V21" s="13"/>
    </row>
    <row r="22" spans="2:22" s="7" customFormat="1">
      <c r="B22" s="11"/>
      <c r="C22" s="22" t="s">
        <v>242</v>
      </c>
      <c r="D22" s="27" t="s">
        <v>21</v>
      </c>
      <c r="E22" s="638">
        <v>3216</v>
      </c>
      <c r="F22" s="12"/>
      <c r="G22" s="17"/>
      <c r="H22" s="388">
        <v>1.5</v>
      </c>
      <c r="I22" s="12"/>
      <c r="J22" s="195">
        <f t="shared" si="2"/>
        <v>4824</v>
      </c>
      <c r="K22" s="13"/>
      <c r="M22" s="11"/>
      <c r="N22" s="22"/>
      <c r="O22" s="27"/>
      <c r="P22" s="395"/>
      <c r="Q22" s="32"/>
      <c r="R22" s="29"/>
      <c r="S22" s="388"/>
      <c r="T22" s="197"/>
      <c r="U22" s="25"/>
      <c r="V22" s="13"/>
    </row>
    <row r="23" spans="2:22" s="7" customFormat="1">
      <c r="B23" s="11"/>
      <c r="C23" s="22" t="s">
        <v>243</v>
      </c>
      <c r="D23" s="27" t="s">
        <v>17</v>
      </c>
      <c r="E23" s="638">
        <v>1923</v>
      </c>
      <c r="F23" s="12"/>
      <c r="G23" s="17"/>
      <c r="H23" s="388">
        <v>1.5</v>
      </c>
      <c r="I23" s="12"/>
      <c r="J23" s="195">
        <f t="shared" si="2"/>
        <v>2884.5</v>
      </c>
      <c r="K23" s="13"/>
      <c r="M23" s="11"/>
      <c r="N23" s="486" t="s">
        <v>23</v>
      </c>
      <c r="O23" s="471"/>
      <c r="P23" s="474">
        <f>+SUM(P13:P21)</f>
        <v>424936</v>
      </c>
      <c r="Q23" s="38"/>
      <c r="R23" s="472"/>
      <c r="S23" s="473"/>
      <c r="T23" s="200"/>
      <c r="U23" s="413">
        <f>+SUM(U13:U21)</f>
        <v>5474226.7007507738</v>
      </c>
      <c r="V23" s="13"/>
    </row>
    <row r="24" spans="2:22" s="7" customFormat="1">
      <c r="B24" s="11"/>
      <c r="C24" s="19"/>
      <c r="D24" s="391"/>
      <c r="E24" s="392"/>
      <c r="F24" s="391"/>
      <c r="G24" s="391"/>
      <c r="H24" s="393"/>
      <c r="I24" s="391"/>
      <c r="J24" s="394"/>
      <c r="K24" s="13"/>
      <c r="M24" s="11"/>
      <c r="N24" s="22"/>
      <c r="O24" s="27"/>
      <c r="P24" s="395"/>
      <c r="Q24" s="32"/>
      <c r="R24" s="29"/>
      <c r="S24" s="388"/>
      <c r="T24" s="197"/>
      <c r="U24" s="25"/>
      <c r="V24" s="13"/>
    </row>
    <row r="25" spans="2:22" s="7" customFormat="1">
      <c r="B25" s="11"/>
      <c r="C25" s="484" t="s">
        <v>23</v>
      </c>
      <c r="D25" s="1"/>
      <c r="E25" s="396">
        <f>+SUM(E13:E23)</f>
        <v>117482</v>
      </c>
      <c r="F25" s="37"/>
      <c r="G25" s="37"/>
      <c r="H25" s="397"/>
      <c r="I25" s="36"/>
      <c r="J25" s="647">
        <f>+SUM(J13:J23)</f>
        <v>842813.61120411323</v>
      </c>
      <c r="K25" s="13"/>
      <c r="M25" s="11"/>
      <c r="N25" s="22"/>
      <c r="O25" s="27"/>
      <c r="P25" s="395"/>
      <c r="Q25" s="32"/>
      <c r="R25" s="29"/>
      <c r="S25" s="388"/>
      <c r="T25" s="197"/>
      <c r="U25" s="25"/>
      <c r="V25" s="13"/>
    </row>
    <row r="26" spans="2:22" s="7" customFormat="1">
      <c r="B26" s="11"/>
      <c r="C26" s="12"/>
      <c r="D26" s="398"/>
      <c r="E26" s="18"/>
      <c r="F26" s="31"/>
      <c r="G26" s="31"/>
      <c r="H26" s="399"/>
      <c r="I26" s="197"/>
      <c r="J26" s="400"/>
      <c r="K26" s="13"/>
      <c r="M26" s="11"/>
      <c r="N26" s="475" t="s">
        <v>253</v>
      </c>
      <c r="O26" s="471"/>
      <c r="P26" s="408"/>
      <c r="Q26" s="38"/>
      <c r="R26" s="472"/>
      <c r="S26" s="473"/>
      <c r="T26" s="200"/>
      <c r="U26" s="36"/>
      <c r="V26" s="13"/>
    </row>
    <row r="27" spans="2:22" s="7" customFormat="1">
      <c r="B27" s="11"/>
      <c r="C27" s="12"/>
      <c r="D27" s="398"/>
      <c r="E27" s="18"/>
      <c r="F27" s="31"/>
      <c r="G27" s="31"/>
      <c r="H27" s="399"/>
      <c r="I27" s="197"/>
      <c r="J27" s="400"/>
      <c r="K27" s="13"/>
      <c r="M27" s="11"/>
      <c r="N27" s="22" t="s">
        <v>259</v>
      </c>
      <c r="O27" s="17" t="s">
        <v>256</v>
      </c>
      <c r="P27" s="395">
        <v>125</v>
      </c>
      <c r="Q27" s="32"/>
      <c r="R27" s="29"/>
      <c r="S27" s="648"/>
      <c r="T27" s="197"/>
      <c r="U27" s="648"/>
      <c r="V27" s="13"/>
    </row>
    <row r="28" spans="2:22" s="7" customFormat="1">
      <c r="B28" s="11"/>
      <c r="C28" s="475" t="s">
        <v>253</v>
      </c>
      <c r="D28" s="471"/>
      <c r="E28" s="408"/>
      <c r="F28" s="38"/>
      <c r="G28" s="472"/>
      <c r="H28" s="473"/>
      <c r="I28" s="200"/>
      <c r="J28" s="36"/>
      <c r="K28" s="13"/>
      <c r="M28" s="11"/>
      <c r="N28" s="22" t="s">
        <v>260</v>
      </c>
      <c r="O28" s="27" t="s">
        <v>17</v>
      </c>
      <c r="P28" s="395">
        <v>141</v>
      </c>
      <c r="Q28" s="32"/>
      <c r="R28" s="29"/>
      <c r="S28" s="648"/>
      <c r="T28" s="197"/>
      <c r="U28" s="648"/>
      <c r="V28" s="13"/>
    </row>
    <row r="29" spans="2:22" s="7" customFormat="1">
      <c r="B29" s="11"/>
      <c r="C29" s="22" t="s">
        <v>259</v>
      </c>
      <c r="D29" s="27"/>
      <c r="E29" s="395">
        <v>9672</v>
      </c>
      <c r="F29" s="38"/>
      <c r="G29" s="472"/>
      <c r="H29" s="648"/>
      <c r="I29" s="200"/>
      <c r="J29" s="648"/>
      <c r="K29" s="13"/>
      <c r="M29" s="11"/>
      <c r="N29" s="22" t="s">
        <v>261</v>
      </c>
      <c r="O29" s="27" t="s">
        <v>17</v>
      </c>
      <c r="P29" s="395">
        <v>119</v>
      </c>
      <c r="Q29" s="32"/>
      <c r="R29" s="29"/>
      <c r="S29" s="648"/>
      <c r="T29" s="197"/>
      <c r="U29" s="648"/>
      <c r="V29" s="13"/>
    </row>
    <row r="30" spans="2:22" s="7" customFormat="1">
      <c r="B30" s="11"/>
      <c r="C30" s="22" t="s">
        <v>260</v>
      </c>
      <c r="D30" s="27"/>
      <c r="E30" s="395">
        <v>10033</v>
      </c>
      <c r="F30" s="38"/>
      <c r="G30" s="472"/>
      <c r="H30" s="648"/>
      <c r="I30" s="200"/>
      <c r="J30" s="648"/>
      <c r="K30" s="13"/>
      <c r="M30" s="476"/>
      <c r="N30" s="22" t="s">
        <v>262</v>
      </c>
      <c r="O30" s="27" t="s">
        <v>17</v>
      </c>
      <c r="P30" s="395">
        <v>125</v>
      </c>
      <c r="Q30" s="32"/>
      <c r="R30" s="29"/>
      <c r="S30" s="648"/>
      <c r="T30" s="197"/>
      <c r="U30" s="648"/>
      <c r="V30" s="13"/>
    </row>
    <row r="31" spans="2:22" s="7" customFormat="1">
      <c r="B31" s="11"/>
      <c r="C31" s="22" t="s">
        <v>261</v>
      </c>
      <c r="D31" s="27"/>
      <c r="E31" s="395">
        <v>8307</v>
      </c>
      <c r="F31" s="38"/>
      <c r="G31" s="472"/>
      <c r="H31" s="648"/>
      <c r="I31" s="200"/>
      <c r="J31" s="648"/>
      <c r="K31" s="13"/>
      <c r="M31" s="477"/>
      <c r="N31" s="22" t="s">
        <v>254</v>
      </c>
      <c r="O31" s="27" t="s">
        <v>17</v>
      </c>
      <c r="P31" s="395">
        <v>10000</v>
      </c>
      <c r="Q31" s="32"/>
      <c r="R31" s="29"/>
      <c r="S31" s="648"/>
      <c r="T31" s="197"/>
      <c r="U31" s="648"/>
      <c r="V31" s="13"/>
    </row>
    <row r="32" spans="2:22" s="7" customFormat="1">
      <c r="B32" s="11"/>
      <c r="C32" s="22" t="s">
        <v>262</v>
      </c>
      <c r="D32" s="27"/>
      <c r="E32" s="395">
        <v>9587</v>
      </c>
      <c r="F32" s="38"/>
      <c r="G32" s="472"/>
      <c r="H32" s="648"/>
      <c r="I32" s="200"/>
      <c r="J32" s="648"/>
      <c r="K32" s="13"/>
      <c r="M32" s="477"/>
      <c r="N32" s="22" t="s">
        <v>255</v>
      </c>
      <c r="O32" s="27" t="s">
        <v>17</v>
      </c>
      <c r="P32" s="395">
        <v>20000</v>
      </c>
      <c r="Q32" s="32"/>
      <c r="R32" s="29"/>
      <c r="S32" s="648"/>
      <c r="T32" s="197"/>
      <c r="U32" s="648"/>
      <c r="V32" s="13"/>
    </row>
    <row r="33" spans="1:24" s="7" customFormat="1">
      <c r="B33" s="11"/>
      <c r="C33" s="22" t="s">
        <v>254</v>
      </c>
      <c r="D33" s="27" t="s">
        <v>256</v>
      </c>
      <c r="E33" s="395">
        <v>79087</v>
      </c>
      <c r="F33" s="32"/>
      <c r="G33" s="29"/>
      <c r="H33" s="648"/>
      <c r="I33" s="197"/>
      <c r="J33" s="648"/>
      <c r="K33" s="13"/>
      <c r="M33" s="477"/>
      <c r="N33" s="22" t="s">
        <v>315</v>
      </c>
      <c r="O33" s="27" t="s">
        <v>17</v>
      </c>
      <c r="P33" s="395">
        <v>75000</v>
      </c>
      <c r="Q33" s="32"/>
      <c r="R33" s="29"/>
      <c r="S33" s="648"/>
      <c r="T33" s="197"/>
      <c r="U33" s="648"/>
      <c r="V33" s="13"/>
    </row>
    <row r="34" spans="1:24" s="7" customFormat="1">
      <c r="B34" s="11"/>
      <c r="C34" s="22" t="s">
        <v>255</v>
      </c>
      <c r="D34" s="27" t="s">
        <v>17</v>
      </c>
      <c r="E34" s="395">
        <v>132042</v>
      </c>
      <c r="F34" s="32"/>
      <c r="G34" s="29"/>
      <c r="H34" s="648"/>
      <c r="I34" s="197"/>
      <c r="J34" s="648"/>
      <c r="K34" s="13"/>
      <c r="M34" s="477"/>
      <c r="N34" s="22" t="s">
        <v>316</v>
      </c>
      <c r="O34" s="27" t="s">
        <v>17</v>
      </c>
      <c r="P34" s="395">
        <v>75000</v>
      </c>
      <c r="Q34" s="32"/>
      <c r="R34" s="29"/>
      <c r="S34" s="648"/>
      <c r="T34" s="197"/>
      <c r="U34" s="648"/>
      <c r="V34" s="13"/>
    </row>
    <row r="35" spans="1:24" s="7" customFormat="1">
      <c r="B35" s="11"/>
      <c r="C35" s="22"/>
      <c r="D35" s="27"/>
      <c r="E35" s="23"/>
      <c r="F35" s="32"/>
      <c r="G35" s="29"/>
      <c r="H35" s="388"/>
      <c r="I35" s="197"/>
      <c r="J35" s="25"/>
      <c r="K35" s="13"/>
      <c r="M35" s="476"/>
      <c r="N35" s="22"/>
      <c r="O35" s="27"/>
      <c r="P35" s="23"/>
      <c r="Q35" s="32"/>
      <c r="R35" s="29"/>
      <c r="S35" s="388"/>
      <c r="T35" s="197"/>
      <c r="U35" s="25"/>
      <c r="V35" s="13"/>
      <c r="W35" s="262"/>
    </row>
    <row r="36" spans="1:24" s="7" customFormat="1">
      <c r="B36" s="11"/>
      <c r="C36" s="485" t="s">
        <v>257</v>
      </c>
      <c r="D36" s="19"/>
      <c r="E36" s="482">
        <f>SUM(E29:E34)</f>
        <v>248728</v>
      </c>
      <c r="F36" s="403"/>
      <c r="G36" s="403"/>
      <c r="H36" s="483"/>
      <c r="I36" s="404"/>
      <c r="J36" s="649"/>
      <c r="K36" s="13"/>
      <c r="M36" s="11"/>
      <c r="N36" s="485" t="s">
        <v>257</v>
      </c>
      <c r="O36" s="26"/>
      <c r="P36" s="474">
        <f>SUM(P27:P34)</f>
        <v>180510</v>
      </c>
      <c r="Q36" s="411"/>
      <c r="R36" s="411"/>
      <c r="S36" s="412"/>
      <c r="T36" s="405"/>
      <c r="U36" s="649"/>
      <c r="V36" s="13"/>
    </row>
    <row r="37" spans="1:24" s="7" customFormat="1">
      <c r="B37" s="11"/>
      <c r="C37" s="12"/>
      <c r="D37" s="12"/>
      <c r="E37" s="12"/>
      <c r="F37" s="12"/>
      <c r="G37" s="12"/>
      <c r="H37" s="12"/>
      <c r="I37" s="12"/>
      <c r="J37" s="12"/>
      <c r="K37" s="13"/>
      <c r="M37" s="11"/>
      <c r="N37" s="402"/>
      <c r="O37" s="26"/>
      <c r="P37" s="26"/>
      <c r="Q37" s="26"/>
      <c r="R37" s="26"/>
      <c r="S37" s="26"/>
      <c r="T37" s="26"/>
      <c r="U37" s="26"/>
      <c r="V37" s="13"/>
    </row>
    <row r="38" spans="1:24" s="7" customFormat="1">
      <c r="B38" s="11"/>
      <c r="C38" s="1" t="s">
        <v>241</v>
      </c>
      <c r="D38" s="12"/>
      <c r="E38" s="12"/>
      <c r="F38" s="31"/>
      <c r="G38" s="31"/>
      <c r="H38" s="406"/>
      <c r="I38" s="197"/>
      <c r="J38" s="400"/>
      <c r="K38" s="13"/>
      <c r="M38" s="11"/>
      <c r="N38" s="19"/>
      <c r="O38" s="19"/>
      <c r="P38" s="391"/>
      <c r="Q38" s="26"/>
      <c r="R38" s="19"/>
      <c r="S38" s="414"/>
      <c r="T38" s="391"/>
      <c r="V38" s="13"/>
    </row>
    <row r="39" spans="1:24" s="7" customFormat="1">
      <c r="B39" s="11"/>
      <c r="C39" s="22" t="s">
        <v>226</v>
      </c>
      <c r="D39" s="42"/>
      <c r="E39" s="285">
        <v>234</v>
      </c>
      <c r="F39" s="31"/>
      <c r="G39" s="31"/>
      <c r="H39" s="387">
        <f>'(1.2)_Lvl_Resource_Cost'!$U$20</f>
        <v>-66.436339352473794</v>
      </c>
      <c r="I39" s="197"/>
      <c r="J39" s="407">
        <f>+E39*H39</f>
        <v>-15546.103408478868</v>
      </c>
      <c r="K39" s="13"/>
      <c r="L39" s="401"/>
      <c r="M39" s="11"/>
      <c r="N39" s="402" t="s">
        <v>241</v>
      </c>
      <c r="O39" s="12"/>
      <c r="P39" s="32"/>
      <c r="Q39" s="43"/>
      <c r="R39" s="32"/>
      <c r="S39" s="415"/>
      <c r="T39" s="197"/>
      <c r="U39" s="202"/>
      <c r="V39" s="13"/>
    </row>
    <row r="40" spans="1:24" s="7" customFormat="1">
      <c r="A40" s="401"/>
      <c r="B40" s="11"/>
      <c r="C40" s="22" t="s">
        <v>25</v>
      </c>
      <c r="D40" s="41"/>
      <c r="E40" s="284">
        <v>893</v>
      </c>
      <c r="F40" s="31"/>
      <c r="G40" s="31"/>
      <c r="H40" s="387">
        <f>'(1.2)_Lvl_Resource_Cost'!$Q$20</f>
        <v>-45.230021351870242</v>
      </c>
      <c r="I40" s="197"/>
      <c r="J40" s="407">
        <f>+E40*H40</f>
        <v>-40390.409067220127</v>
      </c>
      <c r="K40" s="13"/>
      <c r="L40" s="420"/>
      <c r="M40" s="11"/>
      <c r="N40" s="22" t="s">
        <v>226</v>
      </c>
      <c r="O40" s="12"/>
      <c r="P40" s="263">
        <v>13</v>
      </c>
      <c r="Q40" s="32"/>
      <c r="R40" s="29"/>
      <c r="S40" s="387">
        <f>'(1.2)_Lvl_Resource_Cost'!$U$20</f>
        <v>-66.436339352473794</v>
      </c>
      <c r="T40" s="197"/>
      <c r="U40" s="407">
        <f>+P40*S40</f>
        <v>-863.67241158215938</v>
      </c>
      <c r="V40" s="13"/>
    </row>
    <row r="41" spans="1:24">
      <c r="A41" s="422"/>
      <c r="B41" s="11"/>
      <c r="C41" s="22" t="s">
        <v>26</v>
      </c>
      <c r="D41" s="12"/>
      <c r="E41" s="28">
        <v>87</v>
      </c>
      <c r="F41" s="31"/>
      <c r="G41" s="31"/>
      <c r="H41" s="387">
        <f>'(1.2)_Lvl_Resource_Cost'!$S$20</f>
        <v>-65.946274804512385</v>
      </c>
      <c r="I41" s="197"/>
      <c r="J41" s="407">
        <f>+E41*H41</f>
        <v>-5737.3259079925774</v>
      </c>
      <c r="K41" s="13"/>
      <c r="L41" s="422"/>
      <c r="M41" s="11"/>
      <c r="N41" s="22" t="s">
        <v>25</v>
      </c>
      <c r="O41" s="12"/>
      <c r="P41" s="23">
        <v>1176</v>
      </c>
      <c r="Q41" s="35"/>
      <c r="R41" s="27"/>
      <c r="S41" s="387">
        <f>'(1.2)_Lvl_Resource_Cost'!$Q$20</f>
        <v>-45.230021351870242</v>
      </c>
      <c r="T41" s="197"/>
      <c r="U41" s="407">
        <f t="shared" ref="U41:U42" si="4">+P41*S41</f>
        <v>-53190.505109799407</v>
      </c>
      <c r="V41" s="13"/>
    </row>
    <row r="42" spans="1:24">
      <c r="B42" s="11"/>
      <c r="C42" s="22" t="s">
        <v>24</v>
      </c>
      <c r="D42" s="12"/>
      <c r="E42" s="23">
        <v>245</v>
      </c>
      <c r="F42" s="31"/>
      <c r="G42" s="31"/>
      <c r="H42" s="418">
        <f>'(1.2)_Lvl_Resource_Cost'!$W$20</f>
        <v>-40.273516972999651</v>
      </c>
      <c r="I42" s="197"/>
      <c r="J42" s="407">
        <f>+E42*H42</f>
        <v>-9867.011658384914</v>
      </c>
      <c r="K42" s="13"/>
      <c r="L42" s="422"/>
      <c r="M42" s="11"/>
      <c r="N42" s="22" t="s">
        <v>26</v>
      </c>
      <c r="O42" s="12"/>
      <c r="P42" s="263">
        <v>109</v>
      </c>
      <c r="Q42" s="32"/>
      <c r="R42" s="29"/>
      <c r="S42" s="387">
        <f>'(1.2)_Lvl_Resource_Cost'!$S$20</f>
        <v>-65.946274804512385</v>
      </c>
      <c r="T42" s="197"/>
      <c r="U42" s="407">
        <f t="shared" si="4"/>
        <v>-7188.1439536918497</v>
      </c>
      <c r="V42" s="13"/>
    </row>
    <row r="43" spans="1:24">
      <c r="B43" s="11"/>
      <c r="C43" s="22"/>
      <c r="D43" s="12"/>
      <c r="E43" s="44"/>
      <c r="F43" s="31"/>
      <c r="G43" s="31"/>
      <c r="H43" s="406"/>
      <c r="I43" s="197"/>
      <c r="J43" s="409"/>
      <c r="K43" s="13"/>
      <c r="L43" s="422"/>
      <c r="M43" s="11"/>
      <c r="N43" s="22" t="s">
        <v>24</v>
      </c>
      <c r="O43" s="12"/>
      <c r="P43" s="417">
        <v>284</v>
      </c>
      <c r="Q43" s="32"/>
      <c r="R43" s="24"/>
      <c r="S43" s="418">
        <f>'(1.2)_Lvl_Resource_Cost'!W20</f>
        <v>-40.273516972999651</v>
      </c>
      <c r="T43" s="197"/>
      <c r="U43" s="407">
        <f>+P43*S43</f>
        <v>-11437.678820331901</v>
      </c>
      <c r="V43" s="13"/>
    </row>
    <row r="44" spans="1:24">
      <c r="B44" s="11"/>
      <c r="C44" s="484" t="s">
        <v>27</v>
      </c>
      <c r="D44" s="12"/>
      <c r="E44" s="410">
        <f>+SUM(E39:E42)</f>
        <v>1459</v>
      </c>
      <c r="F44" s="31"/>
      <c r="G44" s="31"/>
      <c r="H44" s="197"/>
      <c r="I44" s="197"/>
      <c r="J44" s="201">
        <f>+SUM(J39:J42)</f>
        <v>-71540.85004207649</v>
      </c>
      <c r="K44" s="13"/>
      <c r="L44" s="422"/>
      <c r="M44" s="419"/>
      <c r="N44" s="22"/>
      <c r="O44" s="12"/>
      <c r="P44" s="44"/>
      <c r="Q44" s="32"/>
      <c r="R44" s="40"/>
      <c r="S44" s="198"/>
      <c r="T44" s="197"/>
      <c r="U44" s="199"/>
      <c r="V44" s="13"/>
    </row>
    <row r="45" spans="1:24">
      <c r="B45" s="11"/>
      <c r="C45" s="12"/>
      <c r="D45" s="12"/>
      <c r="E45" s="44"/>
      <c r="F45" s="31"/>
      <c r="G45" s="31"/>
      <c r="H45" s="197"/>
      <c r="I45" s="197"/>
      <c r="J45" s="199"/>
      <c r="K45" s="13"/>
      <c r="L45" s="422"/>
      <c r="M45" s="421"/>
      <c r="N45" s="484" t="s">
        <v>27</v>
      </c>
      <c r="O45" s="12"/>
      <c r="P45" s="36">
        <f>+SUM(P40:P43)</f>
        <v>1582</v>
      </c>
      <c r="Q45" s="31"/>
      <c r="R45" s="31"/>
      <c r="S45" s="197"/>
      <c r="T45" s="197"/>
      <c r="U45" s="203">
        <f>+SUM(U40:U43)</f>
        <v>-72680.000295405305</v>
      </c>
      <c r="V45" s="13"/>
    </row>
    <row r="46" spans="1:24">
      <c r="B46" s="11"/>
      <c r="C46" s="484" t="s">
        <v>28</v>
      </c>
      <c r="D46" s="12"/>
      <c r="E46" s="410">
        <f>E25+E36+E44</f>
        <v>367669</v>
      </c>
      <c r="F46" s="31"/>
      <c r="G46" s="31"/>
      <c r="H46" s="197"/>
      <c r="I46" s="197"/>
      <c r="J46" s="201">
        <v>1193421.6611620367</v>
      </c>
      <c r="K46" s="13"/>
      <c r="L46" s="422"/>
      <c r="M46" s="424"/>
      <c r="N46" s="12"/>
      <c r="O46" s="12"/>
      <c r="P46" s="33"/>
      <c r="Q46" s="31"/>
      <c r="R46" s="31"/>
      <c r="S46" s="197"/>
      <c r="T46" s="197"/>
      <c r="U46" s="199"/>
      <c r="V46" s="13"/>
      <c r="X46" s="267"/>
    </row>
    <row r="47" spans="1:24">
      <c r="B47" s="11"/>
      <c r="C47" s="12"/>
      <c r="D47" s="12"/>
      <c r="E47" s="34"/>
      <c r="F47" s="31"/>
      <c r="G47" s="31"/>
      <c r="H47" s="197"/>
      <c r="I47" s="197"/>
      <c r="J47" s="202"/>
      <c r="K47" s="13"/>
      <c r="L47" s="422"/>
      <c r="M47" s="425"/>
      <c r="N47" s="487" t="s">
        <v>28</v>
      </c>
      <c r="O47" s="12"/>
      <c r="P47" s="36">
        <f>P23+P36+P37+P45</f>
        <v>607028</v>
      </c>
      <c r="Q47" s="31"/>
      <c r="R47" s="31"/>
      <c r="S47" s="197"/>
      <c r="T47" s="197"/>
      <c r="U47" s="201">
        <v>5710260.7004553685</v>
      </c>
      <c r="V47" s="13"/>
    </row>
    <row r="48" spans="1:24">
      <c r="B48" s="11"/>
      <c r="C48" s="1" t="s">
        <v>29</v>
      </c>
      <c r="D48" s="1"/>
      <c r="E48" s="204"/>
      <c r="F48" s="37"/>
      <c r="G48" s="37"/>
      <c r="H48" s="200"/>
      <c r="I48" s="200"/>
      <c r="J48" s="641">
        <v>330209153</v>
      </c>
      <c r="K48" s="13"/>
      <c r="L48" s="422"/>
      <c r="M48" s="424"/>
      <c r="N48" s="12"/>
      <c r="O48" s="12"/>
      <c r="P48" s="31"/>
      <c r="Q48" s="31"/>
      <c r="R48" s="31"/>
      <c r="S48" s="197"/>
      <c r="T48" s="197"/>
      <c r="U48" s="202"/>
      <c r="V48" s="13"/>
    </row>
    <row r="49" spans="1:23">
      <c r="B49" s="11"/>
      <c r="C49" s="1"/>
      <c r="D49" s="1"/>
      <c r="E49" s="37"/>
      <c r="F49" s="37"/>
      <c r="G49" s="37"/>
      <c r="H49" s="200"/>
      <c r="I49" s="200"/>
      <c r="J49" s="201"/>
      <c r="K49" s="13"/>
      <c r="L49" s="422"/>
      <c r="M49" s="424"/>
      <c r="N49" s="1" t="s">
        <v>29</v>
      </c>
      <c r="O49" s="1"/>
      <c r="P49" s="37"/>
      <c r="Q49" s="37"/>
      <c r="R49" s="37"/>
      <c r="S49" s="200"/>
      <c r="T49" s="200"/>
      <c r="U49" s="642">
        <v>330209153</v>
      </c>
      <c r="V49" s="13"/>
    </row>
    <row r="50" spans="1:23">
      <c r="B50" s="11"/>
      <c r="C50" s="1" t="s">
        <v>4</v>
      </c>
      <c r="D50" s="1"/>
      <c r="E50" s="37"/>
      <c r="F50" s="37"/>
      <c r="G50" s="37"/>
      <c r="H50" s="200"/>
      <c r="I50" s="200"/>
      <c r="J50" s="416">
        <f>+J46/J48</f>
        <v>3.6141386461266164E-3</v>
      </c>
      <c r="K50" s="13"/>
      <c r="L50" s="422"/>
      <c r="M50" s="424"/>
      <c r="N50" s="1"/>
      <c r="O50" s="1"/>
      <c r="P50" s="37"/>
      <c r="Q50" s="37"/>
      <c r="R50" s="37"/>
      <c r="S50" s="200"/>
      <c r="T50" s="200"/>
      <c r="U50" s="201"/>
      <c r="V50" s="426"/>
    </row>
    <row r="51" spans="1:23">
      <c r="B51" s="11"/>
      <c r="C51" s="1"/>
      <c r="D51" s="1"/>
      <c r="E51" s="37"/>
      <c r="F51" s="37"/>
      <c r="G51" s="37"/>
      <c r="H51" s="200"/>
      <c r="I51" s="200"/>
      <c r="J51" s="416"/>
      <c r="K51" s="13"/>
      <c r="L51" s="422"/>
      <c r="M51" s="424"/>
      <c r="N51" s="1" t="s">
        <v>4</v>
      </c>
      <c r="O51" s="1"/>
      <c r="P51" s="37"/>
      <c r="Q51" s="37"/>
      <c r="R51" s="37"/>
      <c r="S51" s="200"/>
      <c r="T51" s="200"/>
      <c r="U51" s="416">
        <f>+U47/U49</f>
        <v>1.7292860142054781E-2</v>
      </c>
      <c r="V51" s="426"/>
    </row>
    <row r="52" spans="1:23">
      <c r="B52" s="11"/>
      <c r="C52" s="194" t="s">
        <v>244</v>
      </c>
      <c r="D52" s="12"/>
      <c r="E52" s="31"/>
      <c r="F52" s="31"/>
      <c r="G52" s="31"/>
      <c r="H52" s="197"/>
      <c r="I52" s="197"/>
      <c r="J52" s="202"/>
      <c r="K52" s="13"/>
      <c r="L52" s="422"/>
      <c r="M52" s="424"/>
      <c r="N52" s="1"/>
      <c r="O52" s="1"/>
      <c r="P52" s="37"/>
      <c r="Q52" s="37"/>
      <c r="R52" s="37"/>
      <c r="S52" s="200"/>
      <c r="T52" s="200"/>
      <c r="U52" s="416"/>
      <c r="V52" s="426"/>
    </row>
    <row r="53" spans="1:23">
      <c r="B53" s="11"/>
      <c r="C53" s="194" t="s">
        <v>251</v>
      </c>
      <c r="E53" s="491"/>
      <c r="F53" s="491"/>
      <c r="G53" s="491"/>
      <c r="H53" s="491"/>
      <c r="I53" s="491"/>
      <c r="J53" s="491"/>
      <c r="K53" s="13"/>
      <c r="L53" s="267"/>
      <c r="M53" s="424"/>
      <c r="N53" s="194" t="s">
        <v>244</v>
      </c>
      <c r="O53" s="12"/>
      <c r="P53" s="31"/>
      <c r="Q53" s="31"/>
      <c r="R53" s="31"/>
      <c r="S53" s="197"/>
      <c r="T53" s="197"/>
      <c r="U53" s="202"/>
      <c r="V53" s="426"/>
      <c r="W53" s="267"/>
    </row>
    <row r="54" spans="1:23">
      <c r="B54" s="45"/>
      <c r="C54" s="481"/>
      <c r="D54" s="46"/>
      <c r="E54" s="33"/>
      <c r="F54" s="33"/>
      <c r="G54" s="33"/>
      <c r="H54" s="478"/>
      <c r="I54" s="478"/>
      <c r="J54" s="199"/>
      <c r="K54" s="47"/>
      <c r="L54" s="267"/>
      <c r="M54" s="424"/>
      <c r="N54" s="194" t="s">
        <v>251</v>
      </c>
      <c r="O54" s="12"/>
      <c r="P54" s="31"/>
      <c r="Q54" s="31"/>
      <c r="R54" s="31"/>
      <c r="S54" s="197"/>
      <c r="T54" s="197"/>
      <c r="U54" s="202"/>
      <c r="V54" s="426"/>
      <c r="W54" s="267"/>
    </row>
    <row r="55" spans="1:23">
      <c r="M55" s="480"/>
      <c r="N55" s="481"/>
      <c r="O55" s="46"/>
      <c r="P55" s="33"/>
      <c r="Q55" s="33"/>
      <c r="R55" s="33"/>
      <c r="S55" s="478"/>
      <c r="T55" s="478"/>
      <c r="U55" s="199"/>
      <c r="V55" s="423"/>
      <c r="W55" s="267"/>
    </row>
    <row r="56" spans="1:23">
      <c r="W56" s="267"/>
    </row>
    <row r="57" spans="1:23">
      <c r="W57" s="267"/>
    </row>
    <row r="63" spans="1:23" s="267" customForma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</row>
  </sheetData>
  <pageMargins left="0.25" right="0.25" top="0.25" bottom="0.75" header="0.3" footer="0.3"/>
  <pageSetup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selection activeCell="Q20" sqref="Q20"/>
    </sheetView>
  </sheetViews>
  <sheetFormatPr defaultRowHeight="11.25"/>
  <cols>
    <col min="1" max="1" width="2.83203125" style="48" customWidth="1"/>
    <col min="2" max="2" width="2" style="48" customWidth="1"/>
    <col min="3" max="3" width="37.33203125" style="48" customWidth="1"/>
    <col min="4" max="4" width="1.83203125" style="48" customWidth="1"/>
    <col min="5" max="5" width="20.33203125" style="48" customWidth="1"/>
    <col min="6" max="6" width="2" style="48" customWidth="1"/>
    <col min="7" max="7" width="16.6640625" style="48" customWidth="1"/>
    <col min="8" max="8" width="2" style="48" customWidth="1"/>
    <col min="9" max="9" width="16.6640625" style="48" customWidth="1"/>
    <col min="10" max="10" width="2" style="48" customWidth="1"/>
    <col min="11" max="11" width="16.6640625" style="48" customWidth="1"/>
    <col min="12" max="12" width="2.1640625" style="48" customWidth="1"/>
    <col min="13" max="13" width="18.1640625" style="48" customWidth="1"/>
    <col min="14" max="14" width="2" style="48" customWidth="1"/>
    <col min="15" max="15" width="19.5" style="48" customWidth="1"/>
    <col min="16" max="16" width="2" style="48" customWidth="1"/>
    <col min="17" max="17" width="16.6640625" style="48" customWidth="1"/>
    <col min="18" max="18" width="2" style="48" customWidth="1"/>
    <col min="19" max="19" width="16.6640625" style="48" customWidth="1"/>
    <col min="20" max="20" width="2" style="48" customWidth="1"/>
    <col min="21" max="21" width="16.6640625" style="48" customWidth="1"/>
    <col min="22" max="22" width="2" style="48" customWidth="1"/>
    <col min="23" max="23" width="16.6640625" style="48" customWidth="1"/>
    <col min="24" max="25" width="2" style="48" customWidth="1"/>
    <col min="26" max="16384" width="9.33203125" style="48"/>
  </cols>
  <sheetData>
    <row r="1" spans="1:25" s="6" customFormat="1">
      <c r="A1" s="6" t="str">
        <f>+'Workpaper Index'!C3</f>
        <v>PACIFICORP</v>
      </c>
    </row>
    <row r="2" spans="1:25" s="6" customFormat="1">
      <c r="A2" s="6" t="str">
        <f>+'Workpaper Index'!C4</f>
        <v xml:space="preserve">WASHINGTON JUNE, 1 2020 RENEWABLES REPORT </v>
      </c>
    </row>
    <row r="3" spans="1:25" s="6" customFormat="1">
      <c r="A3" s="6" t="str">
        <f>+'Workpaper Index'!C5</f>
        <v>EVALUATION OF RENEWABLE RESOURCE COST</v>
      </c>
    </row>
    <row r="4" spans="1:25" s="6" customFormat="1"/>
    <row r="5" spans="1:25" s="6" customFormat="1">
      <c r="A5" s="6" t="str">
        <f>+'Workpaper Index'!C11&amp;" - "&amp;'Workpaper Index'!D11</f>
        <v>1.2 - LEVELIZED RESOURCE COST SUMMARY</v>
      </c>
    </row>
    <row r="6" spans="1:25" s="6" customFormat="1"/>
    <row r="8" spans="1:25" s="7" customFormat="1">
      <c r="B8" s="8" t="s">
        <v>30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10"/>
    </row>
    <row r="9" spans="1:25" s="7" customFormat="1"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3"/>
    </row>
    <row r="10" spans="1:25" s="7" customFormat="1">
      <c r="B10" s="11"/>
      <c r="C10" s="12"/>
      <c r="D10" s="12"/>
      <c r="E10" s="12"/>
      <c r="F10" s="12"/>
      <c r="G10" s="49" t="s">
        <v>31</v>
      </c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13"/>
    </row>
    <row r="11" spans="1:25" s="7" customFormat="1">
      <c r="B11" s="11"/>
      <c r="C11" s="12"/>
      <c r="D11" s="12"/>
      <c r="E11" s="635" t="s">
        <v>308</v>
      </c>
      <c r="F11" s="5"/>
      <c r="G11" s="603" t="s">
        <v>273</v>
      </c>
      <c r="H11" s="51"/>
      <c r="I11" s="50" t="s">
        <v>32</v>
      </c>
      <c r="J11" s="51"/>
      <c r="K11" s="50" t="s">
        <v>19</v>
      </c>
      <c r="L11" s="51"/>
      <c r="M11" s="635" t="s">
        <v>309</v>
      </c>
      <c r="N11" s="51"/>
      <c r="O11" s="603" t="s">
        <v>274</v>
      </c>
      <c r="P11" s="51"/>
      <c r="Q11" s="50" t="s">
        <v>163</v>
      </c>
      <c r="R11" s="51"/>
      <c r="S11" s="50" t="s">
        <v>164</v>
      </c>
      <c r="T11" s="51"/>
      <c r="U11" s="50" t="s">
        <v>224</v>
      </c>
      <c r="V11" s="51"/>
      <c r="W11" s="50" t="s">
        <v>219</v>
      </c>
      <c r="X11" s="51"/>
      <c r="Y11" s="13"/>
    </row>
    <row r="12" spans="1:25" s="7" customFormat="1">
      <c r="B12" s="11"/>
      <c r="C12" s="12"/>
      <c r="D12" s="12"/>
      <c r="E12" s="18" t="str">
        <f>"(3.1a)"</f>
        <v>(3.1a)</v>
      </c>
      <c r="F12" s="17"/>
      <c r="G12" s="604" t="str">
        <f>"(3.1)"</f>
        <v>(3.1)</v>
      </c>
      <c r="H12" s="18"/>
      <c r="I12" s="18" t="str">
        <f>"(3.2)"</f>
        <v>(3.2)</v>
      </c>
      <c r="J12" s="18"/>
      <c r="K12" s="18" t="str">
        <f>"(3.3)"</f>
        <v>(3.3)</v>
      </c>
      <c r="L12" s="18"/>
      <c r="M12" s="18" t="str">
        <f>"(3.4a)"</f>
        <v>(3.4a)</v>
      </c>
      <c r="N12" s="18"/>
      <c r="O12" s="604" t="str">
        <f>"(3.4)"</f>
        <v>(3.4)</v>
      </c>
      <c r="P12" s="18"/>
      <c r="Q12" s="18" t="str">
        <f>"(3.5)"</f>
        <v>(3.5)</v>
      </c>
      <c r="R12" s="18"/>
      <c r="S12" s="18" t="str">
        <f>"(3.6)"</f>
        <v>(3.6)</v>
      </c>
      <c r="T12" s="18"/>
      <c r="U12" s="18" t="str">
        <f>"(3.7)"</f>
        <v>(3.7)</v>
      </c>
      <c r="V12" s="18"/>
      <c r="W12" s="18" t="str">
        <f>"(3.8)"</f>
        <v>(3.8)</v>
      </c>
      <c r="X12" s="18"/>
      <c r="Y12" s="13"/>
    </row>
    <row r="13" spans="1:25" s="7" customFormat="1">
      <c r="B13" s="11"/>
      <c r="C13" s="12"/>
      <c r="D13" s="12"/>
      <c r="E13" s="12"/>
      <c r="F13" s="12"/>
      <c r="G13" s="605"/>
      <c r="H13" s="12"/>
      <c r="I13" s="12"/>
      <c r="J13" s="12"/>
      <c r="K13" s="12"/>
      <c r="L13" s="12"/>
      <c r="M13" s="12"/>
      <c r="N13" s="12"/>
      <c r="O13" s="605"/>
      <c r="P13" s="12"/>
      <c r="Q13" s="12"/>
      <c r="R13" s="12"/>
      <c r="S13" s="12"/>
      <c r="T13" s="12"/>
      <c r="U13" s="12"/>
      <c r="V13" s="12"/>
      <c r="W13" s="12"/>
      <c r="X13" s="12"/>
      <c r="Y13" s="13"/>
    </row>
    <row r="14" spans="1:25" s="7" customFormat="1">
      <c r="B14" s="11"/>
      <c r="C14" s="12" t="s">
        <v>33</v>
      </c>
      <c r="D14" s="12"/>
      <c r="E14" s="25">
        <f>'[7](3.1a)_Goodnoe_Hills-orig'!S54</f>
        <v>23998.180081300361</v>
      </c>
      <c r="F14" s="12"/>
      <c r="G14" s="606">
        <f>'(3.1b)_Goodnoe_Hills - Repower'!S71</f>
        <v>20279.851149041704</v>
      </c>
      <c r="H14" s="12"/>
      <c r="I14" s="25">
        <f>'(3.2)_Marengo'!$S$54</f>
        <v>31977.637511687299</v>
      </c>
      <c r="J14" s="12"/>
      <c r="K14" s="25">
        <f>'(3.3)_Marengo 2'!$S$54</f>
        <v>16471.141688628581</v>
      </c>
      <c r="L14" s="25"/>
      <c r="M14" s="25">
        <f>'(3.4a)_Leaning Juniper-orig'!S54</f>
        <v>23505.013714272351</v>
      </c>
      <c r="N14" s="12"/>
      <c r="O14" s="606">
        <f>'(3.4b)_Leaning Juniper -Repower'!S73</f>
        <v>21752.206130388346</v>
      </c>
      <c r="P14" s="12"/>
      <c r="Q14" s="25">
        <f>'(3.5)_Lemolo 1 (2003IRP)'!$S$66</f>
        <v>51.351375492717658</v>
      </c>
      <c r="R14" s="12"/>
      <c r="S14" s="25">
        <f>'(3.6)_Lemolo 2 (2008 IRP)'!$S$58</f>
        <v>886.73874951453615</v>
      </c>
      <c r="T14" s="12"/>
      <c r="U14" s="25">
        <f>'(3.7)_JC Boyle (2004 IRP)'!$S$47</f>
        <v>113.44495737553754</v>
      </c>
      <c r="V14" s="12"/>
      <c r="W14" s="25">
        <f>'(3.8)_Prospect 2 (2003 IRP)'!$S$66</f>
        <v>39.061852998687137</v>
      </c>
      <c r="X14" s="12"/>
      <c r="Y14" s="13"/>
    </row>
    <row r="15" spans="1:25" s="7" customFormat="1">
      <c r="B15" s="11"/>
      <c r="C15" s="12"/>
      <c r="D15" s="12"/>
      <c r="E15" s="12"/>
      <c r="F15" s="12"/>
      <c r="G15" s="605"/>
      <c r="H15" s="12"/>
      <c r="I15" s="12"/>
      <c r="J15" s="12"/>
      <c r="K15" s="12"/>
      <c r="L15" s="12"/>
      <c r="M15" s="12"/>
      <c r="N15" s="12"/>
      <c r="O15" s="605"/>
      <c r="P15" s="12"/>
      <c r="Q15" s="12"/>
      <c r="R15" s="12"/>
      <c r="S15" s="12"/>
      <c r="T15" s="12"/>
      <c r="U15" s="12"/>
      <c r="V15" s="12"/>
      <c r="W15" s="12"/>
      <c r="X15" s="12"/>
      <c r="Y15" s="13"/>
    </row>
    <row r="16" spans="1:25" s="7" customFormat="1">
      <c r="B16" s="11"/>
      <c r="C16" s="12" t="s">
        <v>34</v>
      </c>
      <c r="D16" s="12"/>
      <c r="E16" s="25">
        <f>'[7](3.1a)_Goodnoe_Hills-orig'!U54</f>
        <v>20223.968248878362</v>
      </c>
      <c r="F16" s="12"/>
      <c r="G16" s="606">
        <f>'(3.1b)_Goodnoe_Hills - Repower'!U71</f>
        <v>15628.68978043069</v>
      </c>
      <c r="H16" s="12"/>
      <c r="I16" s="25">
        <f>'(3.2)_Marengo'!$U$54</f>
        <v>29431.93571696318</v>
      </c>
      <c r="J16" s="12"/>
      <c r="K16" s="25">
        <f>'(3.3)_Marengo 2'!$U$54</f>
        <v>14202.225403499042</v>
      </c>
      <c r="L16" s="25"/>
      <c r="M16" s="25">
        <f>'(3.4a)_Leaning Juniper-orig'!U54</f>
        <v>22409.681464178528</v>
      </c>
      <c r="N16" s="12"/>
      <c r="O16" s="606">
        <f>'(3.4b)_Leaning Juniper -Repower'!U73</f>
        <v>17110.705092721386</v>
      </c>
      <c r="P16" s="12"/>
      <c r="Q16" s="25">
        <f>'(3.5)_Lemolo 1 (2003IRP)'!$U$66</f>
        <v>645.67385605629227</v>
      </c>
      <c r="R16" s="12"/>
      <c r="S16" s="25">
        <f>'(3.6)_Lemolo 2 (2008 IRP)'!$U$58</f>
        <v>2021.1465687017583</v>
      </c>
      <c r="T16" s="12"/>
      <c r="U16" s="25">
        <f>'(3.7)_JC Boyle (2004 IRP)'!$U$47</f>
        <v>2336.8699264847774</v>
      </c>
      <c r="V16" s="12"/>
      <c r="W16" s="25">
        <f>'(3.8)_Prospect 2 (2003 IRP)'!$U$66</f>
        <v>411.16375667828771</v>
      </c>
      <c r="X16" s="12"/>
      <c r="Y16" s="13"/>
    </row>
    <row r="17" spans="2:25" s="7" customFormat="1">
      <c r="B17" s="11"/>
      <c r="C17" s="12"/>
      <c r="D17" s="12"/>
      <c r="E17" s="52" t="s">
        <v>35</v>
      </c>
      <c r="F17" s="12"/>
      <c r="G17" s="607" t="s">
        <v>35</v>
      </c>
      <c r="H17" s="12"/>
      <c r="I17" s="52" t="s">
        <v>35</v>
      </c>
      <c r="J17" s="12"/>
      <c r="K17" s="52" t="s">
        <v>35</v>
      </c>
      <c r="L17" s="52"/>
      <c r="M17" s="52"/>
      <c r="N17" s="12"/>
      <c r="O17" s="607" t="s">
        <v>35</v>
      </c>
      <c r="P17" s="12"/>
      <c r="Q17" s="52" t="s">
        <v>35</v>
      </c>
      <c r="R17" s="12"/>
      <c r="S17" s="52" t="s">
        <v>35</v>
      </c>
      <c r="T17" s="12"/>
      <c r="U17" s="52" t="s">
        <v>35</v>
      </c>
      <c r="V17" s="12"/>
      <c r="W17" s="52" t="s">
        <v>35</v>
      </c>
      <c r="X17" s="12"/>
      <c r="Y17" s="13"/>
    </row>
    <row r="18" spans="2:25" s="7" customFormat="1">
      <c r="B18" s="11"/>
      <c r="C18" s="12" t="s">
        <v>36</v>
      </c>
      <c r="D18" s="12"/>
      <c r="E18" s="205">
        <f>E14-E16</f>
        <v>3774.2118324219991</v>
      </c>
      <c r="F18" s="12"/>
      <c r="G18" s="608">
        <f>G14-G16</f>
        <v>4651.161368611014</v>
      </c>
      <c r="H18" s="12"/>
      <c r="I18" s="205">
        <f>'(3.2)_Marengo'!$W$54</f>
        <v>2545.7017947241116</v>
      </c>
      <c r="J18" s="196"/>
      <c r="K18" s="205">
        <f>'(3.3)_Marengo 2'!$W$54</f>
        <v>2268.9162851295418</v>
      </c>
      <c r="L18" s="205"/>
      <c r="M18" s="205">
        <f>'(3.4a)_Leaning Juniper-orig'!W54</f>
        <v>1095.3322500938236</v>
      </c>
      <c r="N18" s="53"/>
      <c r="O18" s="608">
        <f>'(3.4b)_Leaning Juniper -Repower'!W73</f>
        <v>4641.5010376669461</v>
      </c>
      <c r="P18" s="53"/>
      <c r="Q18" s="205">
        <f>'(3.5)_Lemolo 1 (2003IRP)'!$W$66</f>
        <v>-594.32248056357446</v>
      </c>
      <c r="R18" s="53"/>
      <c r="S18" s="205">
        <f>'(3.6)_Lemolo 2 (2008 IRP)'!$W$58</f>
        <v>-1134.4078191872218</v>
      </c>
      <c r="T18" s="53"/>
      <c r="U18" s="25">
        <f>'(3.7)_JC Boyle (2004 IRP)'!$W$47</f>
        <v>-2223.42496910924</v>
      </c>
      <c r="V18" s="53"/>
      <c r="W18" s="25">
        <f>'(3.8)_Prospect 2 (2003 IRP)'!$W$66</f>
        <v>-372.10190367960053</v>
      </c>
      <c r="X18" s="53"/>
      <c r="Y18" s="13"/>
    </row>
    <row r="19" spans="2:25" s="7" customFormat="1">
      <c r="B19" s="11"/>
      <c r="C19" s="54"/>
      <c r="D19" s="54"/>
      <c r="E19" s="53"/>
      <c r="F19" s="12"/>
      <c r="G19" s="605"/>
      <c r="H19" s="12"/>
      <c r="I19" s="196"/>
      <c r="J19" s="196"/>
      <c r="K19" s="53"/>
      <c r="L19" s="53"/>
      <c r="M19" s="53"/>
      <c r="N19" s="53"/>
      <c r="O19" s="610"/>
      <c r="P19" s="53"/>
      <c r="Q19" s="53"/>
      <c r="R19" s="53"/>
      <c r="S19" s="53"/>
      <c r="T19" s="53"/>
      <c r="U19" s="53"/>
      <c r="V19" s="53"/>
      <c r="W19" s="53"/>
      <c r="X19" s="53"/>
      <c r="Y19" s="13"/>
    </row>
    <row r="20" spans="2:25" s="7" customFormat="1">
      <c r="B20" s="11"/>
      <c r="C20" s="2" t="s">
        <v>37</v>
      </c>
      <c r="D20" s="2"/>
      <c r="E20" s="197">
        <f>'[7](3.1a)_Goodnoe_Hills-orig'!Y54</f>
        <v>14.131675601963146</v>
      </c>
      <c r="F20" s="12"/>
      <c r="G20" s="609">
        <f>'(3.1b)_Goodnoe_Hills - Repower'!Y71</f>
        <v>17.08953726360841</v>
      </c>
      <c r="H20" s="31"/>
      <c r="I20" s="197">
        <f>'(3.2)_Marengo'!$Y$54</f>
        <v>6.4704515517312311</v>
      </c>
      <c r="J20" s="197"/>
      <c r="K20" s="197">
        <f>'(3.3)_Marengo 2'!$Y$54</f>
        <v>12.106425175599828</v>
      </c>
      <c r="L20" s="197"/>
      <c r="M20" s="197">
        <f>'(3.4a)_Leaning Juniper-orig'!Y54</f>
        <v>3.5839563567065311</v>
      </c>
      <c r="N20" s="55"/>
      <c r="O20" s="611">
        <f>'(3.4b)_Leaning Juniper -Repower'!Y73</f>
        <v>18.285241636752332</v>
      </c>
      <c r="P20" s="55"/>
      <c r="Q20" s="197">
        <f>'(3.5)_Lemolo 1 (2003IRP)'!$Y$66</f>
        <v>-45.230021351870242</v>
      </c>
      <c r="R20" s="55"/>
      <c r="S20" s="197">
        <f>'(3.6)_Lemolo 2 (2008 IRP)'!$Y$58</f>
        <v>-65.946274804512385</v>
      </c>
      <c r="T20" s="55"/>
      <c r="U20" s="31">
        <f>'(3.7)_JC Boyle (2004 IRP)'!$Y$47</f>
        <v>-66.436339352473794</v>
      </c>
      <c r="V20" s="55"/>
      <c r="W20" s="31">
        <f>'(3.8)_Prospect 2 (2003 IRP)'!$Y$66</f>
        <v>-40.273516972999651</v>
      </c>
      <c r="X20" s="55"/>
      <c r="Y20" s="13"/>
    </row>
    <row r="21" spans="2:25" s="7" customFormat="1">
      <c r="B21" s="11"/>
      <c r="C21" s="2"/>
      <c r="D21" s="2"/>
      <c r="E21" s="2"/>
      <c r="F21" s="12"/>
      <c r="G21" s="31"/>
      <c r="H21" s="31"/>
      <c r="I21" s="197"/>
      <c r="J21" s="197"/>
      <c r="K21" s="197"/>
      <c r="L21" s="197"/>
      <c r="M21" s="197"/>
      <c r="N21" s="55"/>
      <c r="O21" s="197"/>
      <c r="P21" s="55"/>
      <c r="Q21" s="197"/>
      <c r="R21" s="55"/>
      <c r="S21" s="197"/>
      <c r="T21" s="55"/>
      <c r="U21" s="197"/>
      <c r="V21" s="55"/>
      <c r="W21" s="197"/>
      <c r="X21" s="55"/>
      <c r="Y21" s="13"/>
    </row>
    <row r="22" spans="2:25" s="7" customFormat="1">
      <c r="B22" s="45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7"/>
    </row>
    <row r="25" spans="2:25">
      <c r="I25" s="600"/>
    </row>
  </sheetData>
  <pageMargins left="0.25" right="0.25" top="0.25" bottom="0.75" header="0.3" footer="0.3"/>
  <pageSetup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8"/>
  <sheetViews>
    <sheetView topLeftCell="A16" workbookViewId="0">
      <selection activeCell="D29" sqref="D29"/>
    </sheetView>
  </sheetViews>
  <sheetFormatPr defaultRowHeight="11.25"/>
  <cols>
    <col min="1" max="1" width="14.5" style="48" customWidth="1"/>
    <col min="2" max="2" width="2.5" style="48" customWidth="1"/>
    <col min="3" max="3" width="27.83203125" style="48" customWidth="1"/>
    <col min="4" max="4" width="15.33203125" style="48" customWidth="1"/>
    <col min="5" max="7" width="13.1640625" style="48" customWidth="1"/>
    <col min="8" max="8" width="17.33203125" style="48" customWidth="1"/>
    <col min="9" max="15" width="13.1640625" style="48" customWidth="1"/>
    <col min="16" max="16" width="22.33203125" style="48" customWidth="1"/>
    <col min="17" max="17" width="11.6640625" style="48" customWidth="1"/>
    <col min="18" max="18" width="13" style="48" customWidth="1"/>
    <col min="19" max="19" width="10.33203125" style="48" customWidth="1"/>
    <col min="20" max="20" width="12.5" style="48" customWidth="1"/>
    <col min="21" max="21" width="9.33203125" style="48"/>
    <col min="22" max="22" width="11.1640625" style="48" customWidth="1"/>
    <col min="23" max="23" width="9.33203125" style="48"/>
    <col min="24" max="24" width="11.1640625" style="48" customWidth="1"/>
    <col min="25" max="25" width="9.33203125" style="48"/>
    <col min="26" max="26" width="12.83203125" style="48" bestFit="1" customWidth="1"/>
    <col min="27" max="27" width="11.1640625" style="48" customWidth="1"/>
    <col min="28" max="16384" width="9.33203125" style="48"/>
  </cols>
  <sheetData>
    <row r="1" spans="1:16" s="6" customFormat="1">
      <c r="A1" s="6" t="s">
        <v>0</v>
      </c>
    </row>
    <row r="2" spans="1:16" s="6" customFormat="1">
      <c r="A2" s="6" t="s">
        <v>160</v>
      </c>
    </row>
    <row r="3" spans="1:16" s="6" customFormat="1">
      <c r="A3" s="6" t="s">
        <v>1</v>
      </c>
    </row>
    <row r="4" spans="1:16" s="6" customFormat="1"/>
    <row r="5" spans="1:16" s="6" customFormat="1">
      <c r="A5" s="6" t="s">
        <v>152</v>
      </c>
    </row>
    <row r="6" spans="1:16" s="6" customFormat="1">
      <c r="H6" s="56"/>
    </row>
    <row r="7" spans="1:16">
      <c r="H7" s="57"/>
    </row>
    <row r="8" spans="1:16" s="7" customFormat="1">
      <c r="B8" s="8" t="s">
        <v>7</v>
      </c>
      <c r="C8" s="9"/>
      <c r="D8" s="9"/>
      <c r="E8" s="9"/>
      <c r="F8" s="9"/>
      <c r="G8" s="9"/>
      <c r="H8" s="9"/>
      <c r="I8" s="9"/>
      <c r="J8" s="10"/>
      <c r="K8" s="8" t="s">
        <v>283</v>
      </c>
      <c r="L8" s="9"/>
      <c r="M8" s="9"/>
      <c r="N8" s="9"/>
      <c r="O8" s="9"/>
      <c r="P8" s="10"/>
    </row>
    <row r="9" spans="1:16" s="7" customFormat="1">
      <c r="B9" s="11"/>
      <c r="C9" s="12"/>
      <c r="D9" s="12"/>
      <c r="E9" s="12"/>
      <c r="F9" s="12"/>
      <c r="G9" s="12"/>
      <c r="H9" s="12"/>
      <c r="I9" s="12"/>
      <c r="J9" s="13"/>
      <c r="K9" s="11"/>
      <c r="L9" s="12"/>
      <c r="M9" s="12"/>
      <c r="N9" s="12"/>
      <c r="O9" s="12"/>
      <c r="P9" s="13"/>
    </row>
    <row r="10" spans="1:16" s="7" customFormat="1" ht="33.75">
      <c r="B10" s="11"/>
      <c r="C10" s="5" t="s">
        <v>38</v>
      </c>
      <c r="D10" s="58" t="s">
        <v>39</v>
      </c>
      <c r="E10" s="15" t="s">
        <v>40</v>
      </c>
      <c r="F10" s="15" t="s">
        <v>41</v>
      </c>
      <c r="G10" s="15" t="s">
        <v>42</v>
      </c>
      <c r="H10" s="15" t="s">
        <v>43</v>
      </c>
      <c r="I10" s="15" t="s">
        <v>44</v>
      </c>
      <c r="J10" s="59" t="s">
        <v>45</v>
      </c>
      <c r="K10" s="11"/>
      <c r="L10" s="5" t="s">
        <v>38</v>
      </c>
      <c r="M10" s="58" t="s">
        <v>39</v>
      </c>
      <c r="N10" s="15" t="s">
        <v>40</v>
      </c>
      <c r="O10" s="15" t="s">
        <v>41</v>
      </c>
      <c r="P10" s="59" t="s">
        <v>42</v>
      </c>
    </row>
    <row r="11" spans="1:16" s="7" customFormat="1">
      <c r="B11" s="11"/>
      <c r="C11" s="60" t="s">
        <v>46</v>
      </c>
      <c r="D11" s="60" t="s">
        <v>46</v>
      </c>
      <c r="E11" s="60" t="s">
        <v>46</v>
      </c>
      <c r="F11" s="60" t="s">
        <v>46</v>
      </c>
      <c r="G11" s="60" t="s">
        <v>46</v>
      </c>
      <c r="H11" s="60" t="s">
        <v>46</v>
      </c>
      <c r="I11" s="60" t="s">
        <v>46</v>
      </c>
      <c r="J11" s="61" t="s">
        <v>46</v>
      </c>
      <c r="K11" s="11"/>
      <c r="L11" s="60" t="s">
        <v>46</v>
      </c>
      <c r="M11" s="60" t="s">
        <v>46</v>
      </c>
      <c r="N11" s="60" t="s">
        <v>46</v>
      </c>
      <c r="O11" s="60" t="s">
        <v>46</v>
      </c>
      <c r="P11" s="61" t="s">
        <v>46</v>
      </c>
    </row>
    <row r="12" spans="1:16" s="7" customFormat="1">
      <c r="B12" s="11"/>
      <c r="C12" s="5" t="s">
        <v>15</v>
      </c>
      <c r="D12" s="62">
        <v>94</v>
      </c>
      <c r="E12" s="30">
        <v>0.32430715621392298</v>
      </c>
      <c r="F12" s="53">
        <v>2008</v>
      </c>
      <c r="G12" s="53">
        <v>25</v>
      </c>
      <c r="H12" s="63">
        <v>192.46011054334076</v>
      </c>
      <c r="I12" s="64">
        <v>14.384830645825609</v>
      </c>
      <c r="J12" s="65">
        <v>5.3332720597611454</v>
      </c>
      <c r="K12" s="11"/>
      <c r="L12" s="5" t="s">
        <v>15</v>
      </c>
      <c r="M12" s="62">
        <f>'[8]Data for NPC'!$M$3</f>
        <v>94</v>
      </c>
      <c r="N12" s="30">
        <f>'[8]Data for NPC'!$M$6</f>
        <v>0.34452577526753925</v>
      </c>
      <c r="O12" s="53">
        <f>2019</f>
        <v>2019</v>
      </c>
      <c r="P12" s="594">
        <v>31</v>
      </c>
    </row>
    <row r="13" spans="1:16" s="7" customFormat="1">
      <c r="B13" s="11"/>
      <c r="C13" s="5" t="s">
        <v>32</v>
      </c>
      <c r="D13" s="62">
        <v>140.4</v>
      </c>
      <c r="E13" s="30">
        <v>0.3198868874996067</v>
      </c>
      <c r="F13" s="53">
        <v>2007</v>
      </c>
      <c r="G13" s="53">
        <v>25</v>
      </c>
      <c r="H13" s="63">
        <v>181.53437359001532</v>
      </c>
      <c r="I13" s="64">
        <v>16.892584357750504</v>
      </c>
      <c r="J13" s="65"/>
      <c r="K13" s="11"/>
      <c r="L13" s="5"/>
      <c r="M13" s="62"/>
      <c r="N13" s="30"/>
      <c r="O13" s="53"/>
      <c r="P13" s="594"/>
    </row>
    <row r="14" spans="1:16" s="7" customFormat="1">
      <c r="B14" s="11"/>
      <c r="C14" s="5" t="s">
        <v>19</v>
      </c>
      <c r="D14" s="62">
        <v>70.2</v>
      </c>
      <c r="E14" s="30">
        <v>0.30471886820463195</v>
      </c>
      <c r="F14" s="53">
        <v>2008</v>
      </c>
      <c r="G14" s="53">
        <v>25</v>
      </c>
      <c r="H14" s="63">
        <v>180.81600157565364</v>
      </c>
      <c r="I14" s="64">
        <v>19.612798811178333</v>
      </c>
      <c r="J14" s="65"/>
      <c r="K14" s="11"/>
      <c r="L14" s="5"/>
      <c r="M14" s="62"/>
      <c r="N14" s="30"/>
      <c r="O14" s="53"/>
      <c r="P14" s="594"/>
    </row>
    <row r="15" spans="1:16" s="7" customFormat="1">
      <c r="B15" s="11"/>
      <c r="C15" s="5" t="s">
        <v>16</v>
      </c>
      <c r="D15" s="62">
        <v>100.5</v>
      </c>
      <c r="E15" s="30">
        <v>0.34697866466618793</v>
      </c>
      <c r="F15" s="53">
        <v>2006</v>
      </c>
      <c r="G15" s="53">
        <v>25</v>
      </c>
      <c r="H15" s="63">
        <v>187.53573564552991</v>
      </c>
      <c r="I15" s="64">
        <v>12.630108405506199</v>
      </c>
      <c r="J15" s="65">
        <v>3.0220510108288803</v>
      </c>
      <c r="K15" s="11"/>
      <c r="L15" s="5" t="s">
        <v>16</v>
      </c>
      <c r="M15" s="62">
        <f>'[9](3.4)_Leaning Juniper'!I11</f>
        <v>100.5</v>
      </c>
      <c r="N15" s="30">
        <f>'[9](3.4)_Leaning Juniper'!I12</f>
        <v>0.27084213635021243</v>
      </c>
      <c r="O15" s="53">
        <v>2019</v>
      </c>
      <c r="P15" s="594">
        <v>31</v>
      </c>
    </row>
    <row r="16" spans="1:16" s="7" customFormat="1">
      <c r="B16" s="11"/>
      <c r="C16" s="5" t="s">
        <v>220</v>
      </c>
      <c r="D16" s="62">
        <f>'(3.5)_Lemolo 1 (2003IRP)'!G11</f>
        <v>3.8999999999999986</v>
      </c>
      <c r="E16" s="30">
        <f>'(3.5)_Lemolo 1 (2003IRP)'!G12</f>
        <v>0.38461538461538475</v>
      </c>
      <c r="F16" s="53">
        <f>'(3.5)_Lemolo 1 (2003IRP)'!G13</f>
        <v>2003</v>
      </c>
      <c r="G16" s="53">
        <f>'(3.5)_Lemolo 1 (2003IRP)'!G14</f>
        <v>35</v>
      </c>
      <c r="H16" s="63">
        <f>'(3.5)_Lemolo 1 (2003IRP)'!G15</f>
        <v>155.6371642434062</v>
      </c>
      <c r="I16" s="64"/>
      <c r="J16" s="65"/>
      <c r="K16" s="11"/>
      <c r="L16" s="5"/>
      <c r="M16" s="62"/>
      <c r="N16" s="30"/>
      <c r="O16" s="53"/>
      <c r="P16" s="594"/>
    </row>
    <row r="17" spans="1:32" s="7" customFormat="1">
      <c r="B17" s="11"/>
      <c r="C17" s="5" t="s">
        <v>221</v>
      </c>
      <c r="D17" s="62">
        <f>'(3.6)_Lemolo 2 (2008 IRP)'!G11</f>
        <v>4.2</v>
      </c>
      <c r="E17" s="30">
        <f>'(3.6)_Lemolo 2 (2008 IRP)'!G12</f>
        <v>0.4675472928897586</v>
      </c>
      <c r="F17" s="469">
        <f>'(3.6)_Lemolo 2 (2008 IRP)'!G13</f>
        <v>2009</v>
      </c>
      <c r="G17" s="469">
        <f>'(3.6)_Lemolo 2 (2008 IRP)'!G14</f>
        <v>29</v>
      </c>
      <c r="H17" s="63">
        <f>'(3.6)_Lemolo 2 (2008 IRP)'!G15</f>
        <v>171.69496414373259</v>
      </c>
      <c r="I17" s="64"/>
      <c r="J17" s="65"/>
      <c r="K17" s="11"/>
      <c r="L17" s="5"/>
      <c r="M17" s="62"/>
      <c r="N17" s="30"/>
      <c r="O17" s="469"/>
      <c r="P17" s="595"/>
    </row>
    <row r="18" spans="1:32" s="7" customFormat="1">
      <c r="B18" s="11"/>
      <c r="C18" s="5" t="s">
        <v>224</v>
      </c>
      <c r="D18" s="62">
        <f>'(3.7)_JC Boyle (2004 IRP)'!G11</f>
        <v>22.9</v>
      </c>
      <c r="E18" s="30">
        <f>'(3.7)_JC Boyle (2004 IRP)'!G12</f>
        <v>0.35049851283984751</v>
      </c>
      <c r="F18" s="53">
        <f>'(3.7)_JC Boyle (2004 IRP)'!G13</f>
        <v>2005</v>
      </c>
      <c r="G18" s="53">
        <f>'(3.7)_JC Boyle (2004 IRP)'!G14</f>
        <v>14</v>
      </c>
      <c r="H18" s="63">
        <f>'(3.7)_JC Boyle (2004 IRP)'!G15</f>
        <v>45.891821857092474</v>
      </c>
      <c r="I18" s="64"/>
      <c r="J18" s="65"/>
      <c r="K18" s="11"/>
      <c r="L18" s="5"/>
      <c r="M18" s="62"/>
      <c r="N18" s="30"/>
      <c r="O18" s="53"/>
      <c r="P18" s="594"/>
    </row>
    <row r="19" spans="1:32" s="7" customFormat="1">
      <c r="B19" s="45"/>
      <c r="C19" s="46"/>
      <c r="D19" s="46"/>
      <c r="E19" s="46"/>
      <c r="F19" s="46"/>
      <c r="G19" s="46"/>
      <c r="H19" s="46"/>
      <c r="I19" s="46"/>
      <c r="J19" s="47"/>
      <c r="K19" s="45"/>
      <c r="L19" s="46"/>
      <c r="M19" s="46"/>
      <c r="N19" s="46"/>
      <c r="O19" s="46"/>
      <c r="P19" s="47"/>
    </row>
    <row r="20" spans="1:32" s="7" customFormat="1" ht="16.5" customHeight="1"/>
    <row r="21" spans="1:32" s="66" customFormat="1" ht="12.75">
      <c r="B21" s="582"/>
      <c r="C21" s="67" t="s">
        <v>284</v>
      </c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</row>
    <row r="22" spans="1:32" s="66" customFormat="1" ht="12.75">
      <c r="B22" s="69"/>
      <c r="C22" s="70" t="s">
        <v>47</v>
      </c>
      <c r="D22" s="71"/>
      <c r="E22" s="71"/>
      <c r="F22" s="71"/>
      <c r="G22" s="72"/>
      <c r="H22" s="72"/>
      <c r="I22" s="72"/>
      <c r="J22" s="73" t="s">
        <v>48</v>
      </c>
      <c r="K22" s="74"/>
      <c r="L22" s="75" t="s">
        <v>49</v>
      </c>
      <c r="M22" s="76"/>
      <c r="N22" s="77"/>
      <c r="O22" s="78" t="s">
        <v>50</v>
      </c>
      <c r="P22" s="79"/>
      <c r="Q22" s="80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</row>
    <row r="23" spans="1:32" s="66" customFormat="1" ht="12.75">
      <c r="B23" s="81"/>
      <c r="C23" s="82"/>
      <c r="D23" s="82"/>
      <c r="E23" s="82"/>
      <c r="F23" s="82"/>
      <c r="G23" s="82"/>
      <c r="H23" s="83"/>
      <c r="I23" s="82"/>
      <c r="J23" s="84"/>
      <c r="K23" s="85"/>
      <c r="L23" s="86" t="s">
        <v>51</v>
      </c>
      <c r="M23" s="87"/>
      <c r="N23" s="88"/>
      <c r="O23" s="89"/>
      <c r="P23" s="90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</row>
    <row r="24" spans="1:32" s="66" customFormat="1" ht="48" customHeight="1">
      <c r="B24" s="91" t="s">
        <v>52</v>
      </c>
      <c r="C24" s="92"/>
      <c r="D24" s="92" t="s">
        <v>53</v>
      </c>
      <c r="E24" s="92" t="s">
        <v>54</v>
      </c>
      <c r="F24" s="92" t="s">
        <v>55</v>
      </c>
      <c r="G24" s="92" t="s">
        <v>56</v>
      </c>
      <c r="H24" s="92" t="s">
        <v>57</v>
      </c>
      <c r="I24" s="92" t="s">
        <v>58</v>
      </c>
      <c r="J24" s="93" t="s">
        <v>59</v>
      </c>
      <c r="K24" s="94" t="s">
        <v>60</v>
      </c>
      <c r="L24" s="95" t="s">
        <v>61</v>
      </c>
      <c r="M24" s="95" t="s">
        <v>62</v>
      </c>
      <c r="N24" s="96" t="s">
        <v>63</v>
      </c>
      <c r="O24" s="97" t="s">
        <v>64</v>
      </c>
      <c r="P24" s="94" t="s">
        <v>159</v>
      </c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</row>
    <row r="25" spans="1:32" s="98" customFormat="1" ht="12.75">
      <c r="B25" s="99"/>
      <c r="C25" s="100"/>
      <c r="D25" s="101"/>
      <c r="E25" s="101"/>
      <c r="F25" s="102"/>
      <c r="G25" s="103"/>
      <c r="H25" s="104"/>
      <c r="I25" s="105"/>
      <c r="J25" s="106"/>
      <c r="K25" s="107"/>
      <c r="L25" s="106"/>
      <c r="M25" s="106"/>
      <c r="N25" s="108"/>
      <c r="O25" s="106"/>
      <c r="P25" s="109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</row>
    <row r="26" spans="1:32" s="111" customFormat="1" ht="12.75">
      <c r="B26" s="112" t="s">
        <v>264</v>
      </c>
      <c r="C26" s="113"/>
      <c r="D26" s="114"/>
      <c r="E26" s="114"/>
      <c r="F26" s="115"/>
      <c r="G26" s="115"/>
      <c r="H26" s="116"/>
      <c r="I26" s="117"/>
      <c r="J26" s="236" t="s">
        <v>297</v>
      </c>
      <c r="K26" s="105"/>
      <c r="L26" s="236" t="s">
        <v>297</v>
      </c>
      <c r="M26" s="236" t="s">
        <v>297</v>
      </c>
      <c r="N26" s="108"/>
      <c r="O26" s="236" t="s">
        <v>297</v>
      </c>
      <c r="P26" s="119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</row>
    <row r="27" spans="1:32" s="111" customFormat="1" ht="12.75">
      <c r="A27" s="111" t="s">
        <v>250</v>
      </c>
      <c r="B27" s="621" t="s">
        <v>301</v>
      </c>
      <c r="C27" s="121"/>
      <c r="D27" s="239">
        <v>0.78</v>
      </c>
      <c r="E27" s="239">
        <v>0.93794999999999995</v>
      </c>
      <c r="F27" s="615"/>
      <c r="G27" s="241">
        <v>442.17121874999998</v>
      </c>
      <c r="H27" s="242">
        <v>6463.5860879785032</v>
      </c>
      <c r="I27" s="243">
        <v>3021267.5034749997</v>
      </c>
      <c r="J27" s="244">
        <v>1485.1943106566662</v>
      </c>
      <c r="K27" s="616">
        <v>6.7898535686010855E-2</v>
      </c>
      <c r="L27" s="241">
        <v>21.260763433965998</v>
      </c>
      <c r="M27" s="241">
        <v>0</v>
      </c>
      <c r="N27" s="129">
        <v>21.260763433965998</v>
      </c>
      <c r="O27" s="246">
        <v>2.2553065750725811</v>
      </c>
      <c r="P27" s="246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</row>
    <row r="28" spans="1:32" s="111" customFormat="1" ht="12.75">
      <c r="B28" s="621" t="s">
        <v>302</v>
      </c>
      <c r="C28" s="121"/>
      <c r="D28" s="141">
        <v>0.12</v>
      </c>
      <c r="E28" s="239">
        <v>0.95430399999999993</v>
      </c>
      <c r="F28" s="615"/>
      <c r="G28" s="241">
        <v>62.999968750000001</v>
      </c>
      <c r="H28" s="242">
        <v>8203.1378481266383</v>
      </c>
      <c r="I28" s="252">
        <v>66225.567150000003</v>
      </c>
      <c r="J28" s="244">
        <v>407.47795766862254</v>
      </c>
      <c r="K28" s="616">
        <v>6.7898535686010855E-2</v>
      </c>
      <c r="L28" s="250">
        <v>4.8587893451560964</v>
      </c>
      <c r="M28" s="250">
        <v>0</v>
      </c>
      <c r="N28" s="138">
        <v>4.8587893451560964</v>
      </c>
      <c r="O28" s="246">
        <v>0.15649818878161617</v>
      </c>
      <c r="P28" s="255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</row>
    <row r="29" spans="1:32" s="111" customFormat="1" ht="13.5" thickBot="1">
      <c r="B29" s="460" t="s">
        <v>68</v>
      </c>
      <c r="C29" s="121"/>
      <c r="D29" s="583">
        <f>SUMPRODUCT(D27:D28,$G27:$G28)/SUM($G27:$G28)</f>
        <v>0.6976913086021953</v>
      </c>
      <c r="E29" s="584"/>
      <c r="F29" s="249"/>
      <c r="G29" s="584"/>
      <c r="H29" s="585">
        <f>SUMPRODUCT(H27:H28,$I27:$I28)/SUM($I27:$I28)</f>
        <v>6500.8988201101647</v>
      </c>
      <c r="I29" s="584"/>
      <c r="J29" s="585">
        <f>SUMPRODUCT(J27:J28,$G27:$G28)/SUM($G27:$G28)</f>
        <v>1350.7921550317262</v>
      </c>
      <c r="K29" s="145"/>
      <c r="L29" s="586">
        <f>SUMPRODUCT(L27:L28,$G27:$G28)/SUM($G27:$G28)</f>
        <v>19.215270973980179</v>
      </c>
      <c r="M29" s="586">
        <f t="shared" ref="M29" si="0">SUMPRODUCT(M27:M28,$G27:$G28)/SUM($G27:$G28)</f>
        <v>0</v>
      </c>
      <c r="N29" s="586">
        <f>SUMPRODUCT(N27:N28,$G27:$G28)/SUM($G27:$G28)</f>
        <v>19.215270973980179</v>
      </c>
      <c r="O29" s="586">
        <f>SUMPRODUCT(O27:O28,$I27:$I28)/SUM($I27:$I28)</f>
        <v>2.2102879231948753</v>
      </c>
      <c r="P29" s="138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</row>
    <row r="30" spans="1:32" s="111" customFormat="1" ht="13.5" thickBot="1">
      <c r="B30" s="113" t="s">
        <v>267</v>
      </c>
      <c r="C30" s="470"/>
      <c r="D30" s="122">
        <f>[10]Sheet1!$C$12</f>
        <v>0.33</v>
      </c>
      <c r="E30" s="122"/>
      <c r="F30" s="123"/>
      <c r="G30" s="124">
        <f>[10]Sheet1!$F$12</f>
        <v>194.47378125</v>
      </c>
      <c r="H30" s="125"/>
      <c r="I30" s="126"/>
      <c r="J30" s="124">
        <v>843</v>
      </c>
      <c r="K30" s="589">
        <v>6.9599999999999995E-2</v>
      </c>
      <c r="L30" s="137">
        <v>16.100000000000001</v>
      </c>
      <c r="M30" s="128">
        <v>0.05</v>
      </c>
      <c r="N30" s="593">
        <f>L30+M30</f>
        <v>16.150000000000002</v>
      </c>
      <c r="O30" s="130">
        <f>'[11]Table 6.2 P2'!$H$133</f>
        <v>6.61</v>
      </c>
      <c r="P30" s="13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</row>
    <row r="31" spans="1:32" ht="12.75">
      <c r="A31" s="267"/>
      <c r="B31" s="110" t="s">
        <v>287</v>
      </c>
      <c r="G31" s="147"/>
    </row>
    <row r="34" spans="1:32" s="66" customFormat="1" ht="12.75">
      <c r="B34" s="582"/>
      <c r="C34" s="67" t="s">
        <v>285</v>
      </c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</row>
    <row r="35" spans="1:32" s="66" customFormat="1" ht="12.75">
      <c r="B35" s="69"/>
      <c r="C35" s="70" t="s">
        <v>47</v>
      </c>
      <c r="D35" s="71"/>
      <c r="E35" s="71"/>
      <c r="F35" s="71"/>
      <c r="G35" s="72"/>
      <c r="H35" s="72"/>
      <c r="I35" s="72"/>
      <c r="J35" s="73" t="s">
        <v>48</v>
      </c>
      <c r="K35" s="74"/>
      <c r="L35" s="75" t="s">
        <v>49</v>
      </c>
      <c r="M35" s="76"/>
      <c r="N35" s="77"/>
      <c r="O35" s="78" t="s">
        <v>50</v>
      </c>
      <c r="P35" s="79"/>
      <c r="Q35" s="80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</row>
    <row r="36" spans="1:32" s="66" customFormat="1" ht="12.75">
      <c r="B36" s="81"/>
      <c r="C36" s="82"/>
      <c r="D36" s="82"/>
      <c r="E36" s="82"/>
      <c r="F36" s="82"/>
      <c r="G36" s="82"/>
      <c r="H36" s="83"/>
      <c r="I36" s="82"/>
      <c r="J36" s="84"/>
      <c r="K36" s="85"/>
      <c r="L36" s="86" t="s">
        <v>51</v>
      </c>
      <c r="M36" s="87"/>
      <c r="N36" s="88"/>
      <c r="O36" s="89"/>
      <c r="P36" s="90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</row>
    <row r="37" spans="1:32" s="66" customFormat="1" ht="48" customHeight="1">
      <c r="B37" s="91" t="s">
        <v>52</v>
      </c>
      <c r="C37" s="92"/>
      <c r="D37" s="92" t="s">
        <v>53</v>
      </c>
      <c r="E37" s="92" t="s">
        <v>54</v>
      </c>
      <c r="F37" s="92" t="s">
        <v>55</v>
      </c>
      <c r="G37" s="92" t="s">
        <v>56</v>
      </c>
      <c r="H37" s="92" t="s">
        <v>57</v>
      </c>
      <c r="I37" s="92" t="s">
        <v>58</v>
      </c>
      <c r="J37" s="93" t="s">
        <v>59</v>
      </c>
      <c r="K37" s="94" t="s">
        <v>60</v>
      </c>
      <c r="L37" s="95" t="s">
        <v>61</v>
      </c>
      <c r="M37" s="95" t="s">
        <v>62</v>
      </c>
      <c r="N37" s="96" t="s">
        <v>63</v>
      </c>
      <c r="O37" s="97" t="s">
        <v>64</v>
      </c>
      <c r="P37" s="94" t="s">
        <v>159</v>
      </c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</row>
    <row r="38" spans="1:32" s="98" customFormat="1" ht="12.75">
      <c r="B38" s="99"/>
      <c r="C38" s="100"/>
      <c r="D38" s="101"/>
      <c r="E38" s="101"/>
      <c r="F38" s="102"/>
      <c r="G38" s="103"/>
      <c r="H38" s="104"/>
      <c r="I38" s="105"/>
      <c r="J38" s="106"/>
      <c r="K38" s="107"/>
      <c r="L38" s="106"/>
      <c r="M38" s="106"/>
      <c r="N38" s="108"/>
      <c r="O38" s="106"/>
      <c r="P38" s="109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</row>
    <row r="39" spans="1:32" s="111" customFormat="1" ht="12.75">
      <c r="B39" s="112" t="s">
        <v>286</v>
      </c>
      <c r="C39" s="113"/>
      <c r="D39" s="114"/>
      <c r="E39" s="114"/>
      <c r="F39" s="115"/>
      <c r="G39" s="115"/>
      <c r="H39" s="116"/>
      <c r="I39" s="117"/>
      <c r="J39" s="236">
        <v>2016</v>
      </c>
      <c r="K39" s="105"/>
      <c r="L39" s="236">
        <v>2016</v>
      </c>
      <c r="M39" s="236">
        <v>2016</v>
      </c>
      <c r="N39" s="108"/>
      <c r="O39" s="236">
        <v>2016</v>
      </c>
      <c r="P39" s="119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</row>
    <row r="40" spans="1:32" s="111" customFormat="1" ht="12.75">
      <c r="A40" s="111" t="s">
        <v>65</v>
      </c>
      <c r="B40" s="121" t="s">
        <v>265</v>
      </c>
      <c r="C40" s="121"/>
      <c r="D40" s="122">
        <f>'[11]Table 6.2 P2'!$C$20</f>
        <v>0.78</v>
      </c>
      <c r="E40" s="122">
        <f>1-'[11]Table 6.1'!$L$22/100-'[11]Table 6.1'!$M$22/100</f>
        <v>0.93699999999999994</v>
      </c>
      <c r="F40" s="123"/>
      <c r="G40" s="124">
        <f>'[11]Table 6.1'!$E$22</f>
        <v>385.35346874999999</v>
      </c>
      <c r="H40" s="587">
        <f>'[11]Table 6.1'!$K$22</f>
        <v>6362</v>
      </c>
      <c r="I40" s="588">
        <f>G40*D40*8760</f>
        <v>2633043.1812750003</v>
      </c>
      <c r="J40" s="124">
        <f>'[11]Table 6.2 P1'!$C$20</f>
        <v>1484.3381350587799</v>
      </c>
      <c r="K40" s="589">
        <f>'[11]Table 6.2 P1'!$D$20</f>
        <v>7.2562879502455491E-2</v>
      </c>
      <c r="L40" s="128">
        <f>'[11]Table 6.2 P1'!$F$20</f>
        <v>21.68</v>
      </c>
      <c r="M40" s="128">
        <f>'[11]Table 6.2 P1'!$H$20</f>
        <v>3.3180439885901754E-2</v>
      </c>
      <c r="N40" s="590">
        <f>L40+M40</f>
        <v>21.713180439885903</v>
      </c>
      <c r="O40" s="130">
        <f>'[11]Table 6.2 P2'!$H$20+'[11]Table 6.2 P2'!$J$20</f>
        <v>2.0592662948867351</v>
      </c>
      <c r="P40" s="13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</row>
    <row r="41" spans="1:32" s="111" customFormat="1" ht="12.75">
      <c r="A41" s="111" t="s">
        <v>65</v>
      </c>
      <c r="B41" s="121" t="s">
        <v>266</v>
      </c>
      <c r="C41" s="121"/>
      <c r="D41" s="131">
        <f>'[11]Table 6.2 P2'!$C$21</f>
        <v>0.12</v>
      </c>
      <c r="E41" s="122">
        <f>1-'[11]Table 6.1'!$L$23/100-'[11]Table 6.1'!$M$23/100</f>
        <v>0.95399999999999996</v>
      </c>
      <c r="F41" s="132"/>
      <c r="G41" s="124">
        <f>'[11]Table 6.1'!$E$23</f>
        <v>51.003718749999997</v>
      </c>
      <c r="H41" s="587">
        <f>'[11]Table 6.1'!$K$23</f>
        <v>9012</v>
      </c>
      <c r="I41" s="591">
        <f>G41*D41*8760</f>
        <v>53615.109149999997</v>
      </c>
      <c r="J41" s="124">
        <f>'[11]Table 6.2 P1'!$C$21</f>
        <v>443.00439708045104</v>
      </c>
      <c r="K41" s="589">
        <f>'[11]Table 6.2 P1'!$D$21</f>
        <v>7.2562879502455491E-2</v>
      </c>
      <c r="L41" s="137">
        <f>'[11]Table 6.2 P1'!$F$21</f>
        <v>5.39</v>
      </c>
      <c r="M41" s="137">
        <f>'[11]Table 6.2 P1'!$H$21</f>
        <v>0</v>
      </c>
      <c r="N41" s="592">
        <f>L41+M41</f>
        <v>5.39</v>
      </c>
      <c r="O41" s="130">
        <f>'[11]Table 6.2 P2'!$H$21+'[11]Table 6.2 P2'!$J$21</f>
        <v>0.15</v>
      </c>
      <c r="P41" s="139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</row>
    <row r="42" spans="1:32" s="111" customFormat="1" ht="13.5" thickBot="1">
      <c r="B42" s="460" t="s">
        <v>68</v>
      </c>
      <c r="C42" s="121"/>
      <c r="D42" s="583">
        <f>SUMPRODUCT(D40:D41,$G40:$G41)/SUM($G40:$G41)</f>
        <v>0.70285573530285894</v>
      </c>
      <c r="E42" s="584"/>
      <c r="F42" s="132"/>
      <c r="G42" s="584"/>
      <c r="H42" s="585">
        <f>SUMPRODUCT(H40:H41,$I40:$I41)/SUM($I40:$I41)</f>
        <v>6414.883554173548</v>
      </c>
      <c r="I42" s="584"/>
      <c r="J42" s="585">
        <f>SUMPRODUCT(J40:J41,$G40:$G41)/SUM($G40:$G41)</f>
        <v>1362.6215812395926</v>
      </c>
      <c r="K42" s="145"/>
      <c r="L42" s="586">
        <f>SUMPRODUCT(L40:L41,$G40:$G41)/SUM($G40:$G41)</f>
        <v>19.775939284975109</v>
      </c>
      <c r="M42" s="586">
        <f t="shared" ref="M42:N42" si="1">SUMPRODUCT(M40:M41,$G40:$G41)/SUM($G40:$G41)</f>
        <v>2.9302135889953902E-2</v>
      </c>
      <c r="N42" s="586">
        <f t="shared" si="1"/>
        <v>19.805241420865066</v>
      </c>
      <c r="O42" s="586">
        <f>SUMPRODUCT(O40:O41,$I40:$I41)/SUM($I40:$I41)</f>
        <v>2.02116486562735</v>
      </c>
      <c r="P42" s="138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</row>
    <row r="43" spans="1:32" s="111" customFormat="1" ht="13.5" thickBot="1">
      <c r="B43" s="113" t="s">
        <v>267</v>
      </c>
      <c r="C43" s="470"/>
      <c r="D43" s="122">
        <f>[11]Database!$AJ$44</f>
        <v>0.33</v>
      </c>
      <c r="E43" s="122"/>
      <c r="F43" s="123"/>
      <c r="G43" s="124">
        <f>[11]Database!$E$44</f>
        <v>199.924125</v>
      </c>
      <c r="H43" s="125"/>
      <c r="I43" s="126"/>
      <c r="J43" s="124">
        <v>702</v>
      </c>
      <c r="K43" s="589">
        <v>7.3700000000000002E-2</v>
      </c>
      <c r="L43" s="137">
        <v>15.97</v>
      </c>
      <c r="M43" s="128">
        <v>0.05</v>
      </c>
      <c r="N43" s="593">
        <v>16.02</v>
      </c>
      <c r="O43" s="130">
        <f>'[11]Table 6.2 P2'!$H$133</f>
        <v>6.61</v>
      </c>
      <c r="P43" s="13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</row>
    <row r="44" spans="1:32" ht="12.75">
      <c r="A44" s="267"/>
      <c r="B44" s="110" t="s">
        <v>282</v>
      </c>
      <c r="G44" s="147"/>
    </row>
    <row r="45" spans="1:32" s="7" customFormat="1"/>
    <row r="48" spans="1:32" s="66" customFormat="1" ht="12.75">
      <c r="B48" s="67" t="s">
        <v>175</v>
      </c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</row>
    <row r="49" spans="1:32" s="66" customFormat="1" ht="12.75">
      <c r="B49" s="69"/>
      <c r="C49" s="70" t="s">
        <v>47</v>
      </c>
      <c r="D49" s="71"/>
      <c r="E49" s="71"/>
      <c r="F49" s="71"/>
      <c r="G49" s="72"/>
      <c r="H49" s="72"/>
      <c r="I49" s="72"/>
      <c r="J49" s="73" t="s">
        <v>48</v>
      </c>
      <c r="K49" s="74"/>
      <c r="L49" s="75" t="s">
        <v>49</v>
      </c>
      <c r="M49" s="76"/>
      <c r="N49" s="77"/>
      <c r="O49" s="78" t="s">
        <v>50</v>
      </c>
      <c r="P49" s="79"/>
      <c r="Q49" s="80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</row>
    <row r="50" spans="1:32" s="66" customFormat="1" ht="12.75">
      <c r="B50" s="81"/>
      <c r="C50" s="82"/>
      <c r="D50" s="82"/>
      <c r="E50" s="82"/>
      <c r="F50" s="82"/>
      <c r="G50" s="82"/>
      <c r="H50" s="83"/>
      <c r="I50" s="82"/>
      <c r="J50" s="84"/>
      <c r="K50" s="85"/>
      <c r="L50" s="86" t="s">
        <v>51</v>
      </c>
      <c r="M50" s="87"/>
      <c r="N50" s="88"/>
      <c r="O50" s="89"/>
      <c r="P50" s="90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</row>
    <row r="51" spans="1:32" s="66" customFormat="1" ht="48" customHeight="1">
      <c r="B51" s="91" t="s">
        <v>52</v>
      </c>
      <c r="C51" s="92"/>
      <c r="D51" s="92" t="s">
        <v>53</v>
      </c>
      <c r="E51" s="92" t="s">
        <v>54</v>
      </c>
      <c r="F51" s="92" t="s">
        <v>55</v>
      </c>
      <c r="G51" s="92" t="s">
        <v>56</v>
      </c>
      <c r="H51" s="92" t="s">
        <v>57</v>
      </c>
      <c r="I51" s="92" t="s">
        <v>58</v>
      </c>
      <c r="J51" s="93" t="s">
        <v>59</v>
      </c>
      <c r="K51" s="94" t="s">
        <v>60</v>
      </c>
      <c r="L51" s="95" t="s">
        <v>61</v>
      </c>
      <c r="M51" s="95" t="s">
        <v>62</v>
      </c>
      <c r="N51" s="96" t="s">
        <v>63</v>
      </c>
      <c r="O51" s="97" t="s">
        <v>64</v>
      </c>
      <c r="P51" s="94" t="s">
        <v>159</v>
      </c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</row>
    <row r="52" spans="1:32" s="98" customFormat="1" ht="12.75">
      <c r="B52" s="99"/>
      <c r="C52" s="100"/>
      <c r="D52" s="101"/>
      <c r="E52" s="101"/>
      <c r="F52" s="102"/>
      <c r="G52" s="103"/>
      <c r="H52" s="104"/>
      <c r="I52" s="105"/>
      <c r="J52" s="106"/>
      <c r="K52" s="107"/>
      <c r="L52" s="106"/>
      <c r="M52" s="106"/>
      <c r="N52" s="108"/>
      <c r="O52" s="106"/>
      <c r="P52" s="109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</row>
    <row r="53" spans="1:32" s="111" customFormat="1" ht="12.75">
      <c r="B53" s="112" t="str">
        <f>B48</f>
        <v>2007 IRP Proxy Resource</v>
      </c>
      <c r="C53" s="113"/>
      <c r="D53" s="114"/>
      <c r="E53" s="114"/>
      <c r="F53" s="115"/>
      <c r="G53" s="115"/>
      <c r="H53" s="116"/>
      <c r="I53" s="117"/>
      <c r="J53" s="118">
        <v>2006</v>
      </c>
      <c r="K53" s="115"/>
      <c r="L53" s="118">
        <v>2006</v>
      </c>
      <c r="M53" s="118">
        <v>2006</v>
      </c>
      <c r="N53" s="108"/>
      <c r="O53" s="118">
        <v>2006</v>
      </c>
      <c r="P53" s="119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</row>
    <row r="54" spans="1:32" s="111" customFormat="1" ht="12.75">
      <c r="A54" s="111" t="s">
        <v>65</v>
      </c>
      <c r="B54" s="121" t="s">
        <v>66</v>
      </c>
      <c r="C54" s="121"/>
      <c r="D54" s="122">
        <v>0.56000000000000005</v>
      </c>
      <c r="E54" s="122">
        <v>0.92</v>
      </c>
      <c r="F54" s="123"/>
      <c r="G54" s="124">
        <v>492</v>
      </c>
      <c r="H54" s="125">
        <v>7163.6978653530377</v>
      </c>
      <c r="I54" s="126">
        <f>G54*D54*8760</f>
        <v>2413555.2000000002</v>
      </c>
      <c r="J54" s="124">
        <v>741</v>
      </c>
      <c r="K54" s="127">
        <v>8.6199999999999999E-2</v>
      </c>
      <c r="L54" s="128">
        <v>9.07</v>
      </c>
      <c r="M54" s="128">
        <v>0.5</v>
      </c>
      <c r="N54" s="129">
        <f>L54+M54</f>
        <v>9.57</v>
      </c>
      <c r="O54" s="130">
        <v>2.36</v>
      </c>
      <c r="P54" s="130">
        <v>2.27</v>
      </c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</row>
    <row r="55" spans="1:32" s="111" customFormat="1" ht="12.75">
      <c r="A55" s="111" t="s">
        <v>65</v>
      </c>
      <c r="B55" s="121" t="s">
        <v>67</v>
      </c>
      <c r="C55" s="121"/>
      <c r="D55" s="131">
        <v>0.16</v>
      </c>
      <c r="E55" s="131">
        <v>0.92</v>
      </c>
      <c r="F55" s="132"/>
      <c r="G55" s="133">
        <v>110</v>
      </c>
      <c r="H55" s="134">
        <v>8867.8486690962327</v>
      </c>
      <c r="I55" s="135">
        <f>G55*D55*8760</f>
        <v>154176</v>
      </c>
      <c r="J55" s="133">
        <v>249</v>
      </c>
      <c r="K55" s="136">
        <v>8.6199999999999999E-2</v>
      </c>
      <c r="L55" s="137">
        <v>0</v>
      </c>
      <c r="M55" s="137">
        <v>0.5</v>
      </c>
      <c r="N55" s="138">
        <f>L55+M55</f>
        <v>0.5</v>
      </c>
      <c r="O55" s="139">
        <v>0.1</v>
      </c>
      <c r="P55" s="139">
        <v>2.81</v>
      </c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</row>
    <row r="56" spans="1:32" s="111" customFormat="1" ht="12.75">
      <c r="B56" s="460" t="s">
        <v>68</v>
      </c>
      <c r="C56" s="121"/>
      <c r="D56" s="141">
        <f>SUMPRODUCT(D54:D55,$G54:$G55)/SUM($G54:$G55)</f>
        <v>0.48691029900332239</v>
      </c>
      <c r="E56" s="132"/>
      <c r="F56" s="132"/>
      <c r="G56" s="142"/>
      <c r="H56" s="143">
        <f>SUMPRODUCT(H54:H55,$I54:$I55)/SUM($I54:$I55)</f>
        <v>7266.0213306432961</v>
      </c>
      <c r="I56" s="132"/>
      <c r="J56" s="144">
        <f>SUMPRODUCT(J54:J55,$G54:$G55)/SUM($G54:$G55)</f>
        <v>651.09966777408636</v>
      </c>
      <c r="K56" s="145"/>
      <c r="L56" s="138">
        <f>SUMPRODUCT(L54:L55,$G54:$G55)/SUM($G54:$G55)</f>
        <v>7.4126910299003335</v>
      </c>
      <c r="M56" s="138">
        <f>SUMPRODUCT(M54:M55,$G54:$G55)/SUM($G54:$G55)</f>
        <v>0.5</v>
      </c>
      <c r="N56" s="138">
        <f>SUMPRODUCT(N54:N55,$G54:$G55)/SUM($G54:$G55)</f>
        <v>7.9126910299003335</v>
      </c>
      <c r="O56" s="138">
        <f>SUMPRODUCT(O54:O55,$I54:$I55)/SUM($I54:$I55)</f>
        <v>2.2243013100436677</v>
      </c>
      <c r="P56" s="138">
        <f>SUMPRODUCT(P54:P55,$I54:$I55)/SUM($I54:$I55)</f>
        <v>2.302423580786026</v>
      </c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</row>
    <row r="57" spans="1:32" s="111" customFormat="1" ht="12.75">
      <c r="B57" s="113" t="s">
        <v>69</v>
      </c>
      <c r="C57" s="470"/>
      <c r="D57" s="122">
        <v>0.21</v>
      </c>
      <c r="E57" s="122"/>
      <c r="F57" s="123"/>
      <c r="G57" s="124">
        <v>332</v>
      </c>
      <c r="H57" s="125"/>
      <c r="I57" s="126"/>
      <c r="J57" s="124">
        <f>(423+485)/2</f>
        <v>454</v>
      </c>
      <c r="K57" s="127">
        <v>8.3299999999999999E-2</v>
      </c>
      <c r="L57" s="128">
        <v>5.25</v>
      </c>
      <c r="M57" s="128">
        <v>0.5</v>
      </c>
      <c r="N57" s="129">
        <f>L57+M57</f>
        <v>5.75</v>
      </c>
      <c r="O57" s="130">
        <v>9.8699999999999992</v>
      </c>
      <c r="P57" s="130">
        <v>3.79</v>
      </c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</row>
    <row r="58" spans="1:32" ht="12.75">
      <c r="A58" s="267"/>
      <c r="B58" s="110" t="s">
        <v>70</v>
      </c>
      <c r="G58" s="147"/>
    </row>
    <row r="59" spans="1:32" ht="21" customHeight="1">
      <c r="G59" s="147"/>
    </row>
    <row r="61" spans="1:32" ht="12.75">
      <c r="B61" s="211" t="str">
        <f>"2008 IRP Proxy Resource, 2008 IRP Table 6.4"</f>
        <v>2008 IRP Proxy Resource, 2008 IRP Table 6.4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98"/>
      <c r="R61" s="298"/>
      <c r="S61" s="298"/>
      <c r="T61" s="298"/>
      <c r="U61" s="212"/>
      <c r="V61" s="212"/>
    </row>
    <row r="62" spans="1:32" ht="12.75">
      <c r="B62" s="445"/>
      <c r="C62" s="446" t="s">
        <v>47</v>
      </c>
      <c r="D62" s="447"/>
      <c r="E62" s="447"/>
      <c r="F62" s="447"/>
      <c r="G62" s="448"/>
      <c r="H62" s="448"/>
      <c r="I62" s="448"/>
      <c r="J62" s="73" t="s">
        <v>48</v>
      </c>
      <c r="K62" s="74"/>
      <c r="L62" s="75" t="s">
        <v>49</v>
      </c>
      <c r="M62" s="449"/>
      <c r="N62" s="450"/>
      <c r="O62" s="78" t="s">
        <v>50</v>
      </c>
      <c r="P62" s="79"/>
      <c r="Q62" s="268"/>
      <c r="R62" s="268"/>
      <c r="S62" s="268"/>
      <c r="T62" s="268"/>
      <c r="U62" s="267"/>
    </row>
    <row r="63" spans="1:32" ht="12.75">
      <c r="B63" s="457"/>
      <c r="C63" s="456"/>
      <c r="D63" s="213"/>
      <c r="E63" s="213"/>
      <c r="F63" s="213"/>
      <c r="G63" s="214"/>
      <c r="H63" s="215"/>
      <c r="I63" s="213"/>
      <c r="J63" s="217"/>
      <c r="K63" s="216"/>
      <c r="L63" s="218" t="s">
        <v>51</v>
      </c>
      <c r="M63" s="76"/>
      <c r="N63" s="77"/>
      <c r="O63" s="219"/>
      <c r="P63" s="220"/>
      <c r="X63" s="221" t="s">
        <v>168</v>
      </c>
      <c r="Y63" s="222"/>
      <c r="Z63" s="222"/>
      <c r="AA63" s="223"/>
    </row>
    <row r="64" spans="1:32" ht="66" customHeight="1">
      <c r="B64" s="455" t="s">
        <v>52</v>
      </c>
      <c r="C64" s="224"/>
      <c r="D64" s="92" t="s">
        <v>53</v>
      </c>
      <c r="E64" s="92" t="s">
        <v>54</v>
      </c>
      <c r="F64" s="92" t="s">
        <v>55</v>
      </c>
      <c r="G64" s="92" t="s">
        <v>56</v>
      </c>
      <c r="H64" s="92" t="s">
        <v>57</v>
      </c>
      <c r="I64" s="92" t="s">
        <v>58</v>
      </c>
      <c r="J64" s="225" t="s">
        <v>59</v>
      </c>
      <c r="K64" s="92" t="s">
        <v>60</v>
      </c>
      <c r="L64" s="226" t="s">
        <v>61</v>
      </c>
      <c r="M64" s="226" t="s">
        <v>62</v>
      </c>
      <c r="N64" s="227" t="s">
        <v>63</v>
      </c>
      <c r="O64" s="228" t="s">
        <v>64</v>
      </c>
      <c r="P64" s="228" t="s">
        <v>169</v>
      </c>
      <c r="Q64" s="440" t="s">
        <v>176</v>
      </c>
      <c r="X64" s="92" t="s">
        <v>170</v>
      </c>
      <c r="Y64" s="92" t="s">
        <v>171</v>
      </c>
      <c r="Z64" s="92" t="s">
        <v>172</v>
      </c>
      <c r="AA64" s="229" t="s">
        <v>173</v>
      </c>
    </row>
    <row r="65" spans="1:32" ht="12.75">
      <c r="B65" s="451"/>
      <c r="C65" s="101"/>
      <c r="D65" s="101"/>
      <c r="E65" s="101"/>
      <c r="F65" s="230"/>
      <c r="G65" s="103"/>
      <c r="H65" s="104"/>
      <c r="I65" s="105"/>
      <c r="J65" s="106"/>
      <c r="K65" s="107"/>
      <c r="L65" s="106"/>
      <c r="M65" s="106"/>
      <c r="N65" s="108"/>
      <c r="O65" s="106"/>
      <c r="P65" s="441"/>
      <c r="Q65" s="109"/>
      <c r="X65" s="231"/>
      <c r="Y65" s="231"/>
      <c r="Z65" s="231"/>
      <c r="AA65" s="232"/>
    </row>
    <row r="66" spans="1:32" ht="12.75">
      <c r="B66" s="112" t="str">
        <f>B61</f>
        <v>2008 IRP Proxy Resource, 2008 IRP Table 6.4</v>
      </c>
      <c r="C66" s="105"/>
      <c r="D66" s="233"/>
      <c r="E66" s="233"/>
      <c r="F66" s="105"/>
      <c r="G66" s="105"/>
      <c r="H66" s="234"/>
      <c r="I66" s="235"/>
      <c r="J66" s="236">
        <v>2008</v>
      </c>
      <c r="K66" s="105"/>
      <c r="L66" s="236">
        <v>2008</v>
      </c>
      <c r="M66" s="236">
        <v>2008</v>
      </c>
      <c r="N66" s="108"/>
      <c r="O66" s="236">
        <v>2008</v>
      </c>
      <c r="P66" s="236">
        <v>2010</v>
      </c>
      <c r="Q66" s="441">
        <v>2008</v>
      </c>
      <c r="X66" s="237"/>
      <c r="Y66" s="234"/>
      <c r="Z66" s="234"/>
      <c r="AA66" s="238"/>
    </row>
    <row r="67" spans="1:32" ht="12.75">
      <c r="B67" s="452" t="s">
        <v>174</v>
      </c>
      <c r="C67" s="110"/>
      <c r="D67" s="239">
        <v>0.56000000000000005</v>
      </c>
      <c r="E67" s="239">
        <v>0.92</v>
      </c>
      <c r="F67" s="240"/>
      <c r="G67" s="241">
        <v>505.93497958333285</v>
      </c>
      <c r="H67" s="242">
        <v>7098.0908239498294</v>
      </c>
      <c r="I67" s="243">
        <f>G67*D67*8760</f>
        <v>2481914.6358439978</v>
      </c>
      <c r="J67" s="244">
        <v>1243.767380590491</v>
      </c>
      <c r="K67" s="245">
        <v>8.5860000000000006E-2</v>
      </c>
      <c r="L67" s="241">
        <v>7.7719621817459537</v>
      </c>
      <c r="M67" s="241">
        <v>0.5</v>
      </c>
      <c r="N67" s="129">
        <f>L67+M67</f>
        <v>8.2719621817459537</v>
      </c>
      <c r="O67" s="246">
        <v>2.9424640533057906</v>
      </c>
      <c r="P67" s="246">
        <v>5.96</v>
      </c>
      <c r="Q67" s="442">
        <v>2.25</v>
      </c>
      <c r="R67" s="121"/>
      <c r="S67" s="266"/>
      <c r="T67" s="266"/>
      <c r="U67" s="265"/>
      <c r="V67" s="266"/>
      <c r="X67" s="247">
        <v>5.9999999999999995E-4</v>
      </c>
      <c r="Y67" s="246">
        <v>1.0999999999999999E-2</v>
      </c>
      <c r="Z67" s="246">
        <v>0.255</v>
      </c>
      <c r="AA67" s="248">
        <v>118</v>
      </c>
    </row>
    <row r="68" spans="1:32" ht="12.75">
      <c r="B68" s="452" t="s">
        <v>67</v>
      </c>
      <c r="C68" s="110"/>
      <c r="D68" s="141">
        <v>0.16</v>
      </c>
      <c r="E68" s="141">
        <v>0.92</v>
      </c>
      <c r="F68" s="249"/>
      <c r="G68" s="250">
        <v>63.739957916667045</v>
      </c>
      <c r="H68" s="251">
        <v>8557.4573633663476</v>
      </c>
      <c r="I68" s="252">
        <f>G68*D68*8760</f>
        <v>89337.925016000532</v>
      </c>
      <c r="J68" s="253">
        <v>627.54983384669913</v>
      </c>
      <c r="K68" s="254">
        <v>8.5860000000000006E-2</v>
      </c>
      <c r="L68" s="250">
        <v>1.5955454525552297</v>
      </c>
      <c r="M68" s="250">
        <v>0.5</v>
      </c>
      <c r="N68" s="138">
        <f>L68+M68</f>
        <v>2.0955454525552297</v>
      </c>
      <c r="O68" s="255">
        <v>0.39314252692066332</v>
      </c>
      <c r="P68" s="255">
        <v>7.18</v>
      </c>
      <c r="Q68" s="443">
        <v>2.71</v>
      </c>
      <c r="R68" s="121"/>
      <c r="S68" s="266"/>
      <c r="T68" s="266"/>
      <c r="U68" s="265"/>
      <c r="V68" s="266"/>
      <c r="X68" s="256">
        <v>5.9999999999999995E-4</v>
      </c>
      <c r="Y68" s="255">
        <v>1.0999999999999999E-2</v>
      </c>
      <c r="Z68" s="255">
        <v>0.255</v>
      </c>
      <c r="AA68" s="257">
        <v>118</v>
      </c>
    </row>
    <row r="69" spans="1:32" ht="13.5" thickBot="1">
      <c r="B69" s="453" t="s">
        <v>68</v>
      </c>
      <c r="C69" s="454"/>
      <c r="D69" s="141">
        <f>SUMPRODUCT(D67:D68,$G67:$G68)/SUM($G67:$G68)</f>
        <v>0.51524468168012605</v>
      </c>
      <c r="E69" s="249"/>
      <c r="F69" s="249"/>
      <c r="G69" s="249"/>
      <c r="H69" s="143">
        <f>SUMPRODUCT(H67:H68,$I67:$I68)/SUM($I67:$I68)</f>
        <v>7148.796375187334</v>
      </c>
      <c r="I69" s="249"/>
      <c r="J69" s="144">
        <f>SUMPRODUCT(J67:J68,$G67:$G68)/SUM($G67:$G68)</f>
        <v>1174.8198494434653</v>
      </c>
      <c r="K69" s="145"/>
      <c r="L69" s="138">
        <f>SUMPRODUCT(L67:L68,$G67:$G68)/SUM($G67:$G68)</f>
        <v>7.0808934397681389</v>
      </c>
      <c r="M69" s="138">
        <f>SUMPRODUCT(M67:M68,$G67:$G68)/SUM($G67:$G68)</f>
        <v>0.5</v>
      </c>
      <c r="N69" s="138">
        <f>SUMPRODUCT(N67:N68,$G67:$G68)/SUM($G67:$G68)</f>
        <v>7.5808934397681389</v>
      </c>
      <c r="O69" s="138">
        <f>SUMPRODUCT(O67:O68,$I67:$I68)/SUM($I67:$I68)</f>
        <v>2.8538881199911357</v>
      </c>
      <c r="P69" s="138">
        <f>SUMPRODUCT(P67:P68,$I67:$I68)/SUM($I67:$I68)</f>
        <v>6.0023887836530019</v>
      </c>
      <c r="Q69" s="444">
        <f>SUMPRODUCT(Q67:Q68,$I67:$I68)/SUM($I67:$I68)</f>
        <v>2.26598265613146</v>
      </c>
      <c r="X69" s="258">
        <f>SUMPRODUCT(X67:X68,$I67:$I68)/SUM($I67:$I68)</f>
        <v>5.9999999999999995E-4</v>
      </c>
      <c r="Y69" s="259">
        <f>SUMPRODUCT(Y67:Y68,$I67:$I68)/SUM($I67:$I68)</f>
        <v>1.0999999999999999E-2</v>
      </c>
      <c r="Z69" s="259">
        <f>SUMPRODUCT(Z67:Z68,$I67:$I68)/SUM($I67:$I68)</f>
        <v>0.255</v>
      </c>
      <c r="AA69" s="260">
        <f>SUMPRODUCT(AA67:AA68,$I67:$I68)/SUM($I67:$I68)</f>
        <v>118.00000000000001</v>
      </c>
    </row>
    <row r="70" spans="1:32" s="98" customFormat="1" ht="12.75">
      <c r="B70" s="278" t="s">
        <v>69</v>
      </c>
      <c r="C70" s="279"/>
      <c r="D70" s="239">
        <v>0.21</v>
      </c>
      <c r="E70" s="239"/>
      <c r="F70" s="240"/>
      <c r="G70" s="244"/>
      <c r="H70" s="242"/>
      <c r="I70" s="243"/>
      <c r="J70" s="244">
        <v>747</v>
      </c>
      <c r="K70" s="245">
        <v>8.6199999999999999E-2</v>
      </c>
      <c r="L70" s="241">
        <v>3.74</v>
      </c>
      <c r="M70" s="241">
        <v>0.5</v>
      </c>
      <c r="N70" s="129">
        <f>L70+M70</f>
        <v>4.24</v>
      </c>
      <c r="O70" s="246">
        <v>4.47</v>
      </c>
      <c r="P70" s="246">
        <v>9.7799999999999994</v>
      </c>
      <c r="Q70" s="249">
        <v>3.7</v>
      </c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</row>
    <row r="71" spans="1:32" ht="12.75">
      <c r="Q71" s="274"/>
      <c r="X71" s="48" t="s">
        <v>181</v>
      </c>
      <c r="Y71" s="48" t="s">
        <v>181</v>
      </c>
      <c r="Z71" s="48" t="s">
        <v>181</v>
      </c>
      <c r="AA71" s="48" t="s">
        <v>181</v>
      </c>
    </row>
    <row r="73" spans="1:32" s="66" customFormat="1" ht="12.75">
      <c r="B73" s="67" t="s">
        <v>177</v>
      </c>
      <c r="R73" s="68"/>
      <c r="S73" s="68"/>
      <c r="T73" s="68"/>
      <c r="U73" s="68"/>
      <c r="V73" s="68"/>
      <c r="W73" s="68"/>
      <c r="AB73" s="68"/>
      <c r="AC73" s="68"/>
      <c r="AD73" s="68"/>
      <c r="AE73" s="68"/>
      <c r="AF73" s="68"/>
    </row>
    <row r="74" spans="1:32" s="66" customFormat="1" ht="12.75">
      <c r="B74" s="69"/>
      <c r="C74" s="70" t="s">
        <v>47</v>
      </c>
      <c r="D74" s="71"/>
      <c r="E74" s="71"/>
      <c r="F74" s="71"/>
      <c r="G74" s="72"/>
      <c r="H74" s="72"/>
      <c r="I74" s="72"/>
      <c r="J74" s="73" t="s">
        <v>48</v>
      </c>
      <c r="K74" s="74"/>
      <c r="L74" s="75" t="s">
        <v>49</v>
      </c>
      <c r="M74" s="76"/>
      <c r="N74" s="77"/>
      <c r="O74" s="78" t="s">
        <v>50</v>
      </c>
      <c r="P74" s="79"/>
      <c r="Q74" s="80"/>
      <c r="R74" s="68"/>
      <c r="S74" s="68"/>
      <c r="T74" s="68"/>
      <c r="U74" s="68"/>
      <c r="V74" s="68"/>
      <c r="W74" s="68"/>
      <c r="AB74" s="68"/>
      <c r="AC74" s="68"/>
      <c r="AD74" s="68"/>
      <c r="AE74" s="68"/>
      <c r="AF74" s="68"/>
    </row>
    <row r="75" spans="1:32" s="66" customFormat="1" ht="12.75">
      <c r="B75" s="81"/>
      <c r="C75" s="82"/>
      <c r="D75" s="82"/>
      <c r="E75" s="82"/>
      <c r="F75" s="82"/>
      <c r="G75" s="82"/>
      <c r="H75" s="83"/>
      <c r="I75" s="82"/>
      <c r="J75" s="84"/>
      <c r="K75" s="85"/>
      <c r="L75" s="86" t="s">
        <v>51</v>
      </c>
      <c r="M75" s="87"/>
      <c r="N75" s="88"/>
      <c r="O75" s="89"/>
      <c r="P75" s="90"/>
      <c r="R75" s="48"/>
      <c r="W75" s="68"/>
      <c r="X75" s="221" t="s">
        <v>168</v>
      </c>
      <c r="Y75" s="222"/>
      <c r="Z75" s="222"/>
      <c r="AA75" s="223"/>
      <c r="AB75" s="68"/>
      <c r="AC75" s="68"/>
      <c r="AD75" s="68"/>
      <c r="AE75" s="68"/>
      <c r="AF75" s="68"/>
    </row>
    <row r="76" spans="1:32" s="66" customFormat="1" ht="48" customHeight="1">
      <c r="B76" s="91" t="s">
        <v>52</v>
      </c>
      <c r="C76" s="92"/>
      <c r="D76" s="92" t="s">
        <v>53</v>
      </c>
      <c r="E76" s="92" t="s">
        <v>54</v>
      </c>
      <c r="F76" s="92" t="s">
        <v>55</v>
      </c>
      <c r="G76" s="92" t="s">
        <v>56</v>
      </c>
      <c r="H76" s="92" t="s">
        <v>57</v>
      </c>
      <c r="I76" s="92" t="s">
        <v>58</v>
      </c>
      <c r="J76" s="93" t="s">
        <v>59</v>
      </c>
      <c r="K76" s="94" t="s">
        <v>60</v>
      </c>
      <c r="L76" s="95" t="s">
        <v>61</v>
      </c>
      <c r="M76" s="95" t="s">
        <v>62</v>
      </c>
      <c r="N76" s="96" t="s">
        <v>63</v>
      </c>
      <c r="O76" s="97" t="s">
        <v>64</v>
      </c>
      <c r="P76" s="94" t="s">
        <v>176</v>
      </c>
      <c r="R76" s="48"/>
      <c r="W76" s="68"/>
      <c r="X76" s="92" t="s">
        <v>170</v>
      </c>
      <c r="Y76" s="92" t="s">
        <v>171</v>
      </c>
      <c r="Z76" s="92" t="s">
        <v>172</v>
      </c>
      <c r="AA76" s="229" t="s">
        <v>173</v>
      </c>
      <c r="AB76" s="68"/>
      <c r="AC76" s="68"/>
      <c r="AD76" s="68"/>
      <c r="AE76" s="68"/>
      <c r="AF76" s="68"/>
    </row>
    <row r="77" spans="1:32" s="98" customFormat="1" ht="12.75">
      <c r="B77" s="99"/>
      <c r="C77" s="100"/>
      <c r="D77" s="101"/>
      <c r="E77" s="101"/>
      <c r="F77" s="102"/>
      <c r="G77" s="103"/>
      <c r="H77" s="104"/>
      <c r="I77" s="105"/>
      <c r="J77" s="106"/>
      <c r="K77" s="107"/>
      <c r="L77" s="106"/>
      <c r="M77" s="106"/>
      <c r="N77" s="108"/>
      <c r="O77" s="106"/>
      <c r="P77" s="109"/>
      <c r="R77" s="48"/>
      <c r="S77" s="48"/>
      <c r="T77" s="48"/>
      <c r="U77" s="48"/>
      <c r="V77" s="48"/>
      <c r="W77" s="110"/>
      <c r="X77" s="237"/>
      <c r="Y77" s="234"/>
      <c r="Z77" s="234"/>
      <c r="AA77" s="238"/>
      <c r="AB77" s="110"/>
      <c r="AC77" s="110"/>
      <c r="AD77" s="110"/>
      <c r="AE77" s="110"/>
      <c r="AF77" s="110"/>
    </row>
    <row r="78" spans="1:32" s="111" customFormat="1" ht="12.75">
      <c r="B78" s="112" t="s">
        <v>177</v>
      </c>
      <c r="C78" s="113"/>
      <c r="D78" s="114"/>
      <c r="E78" s="114"/>
      <c r="F78" s="115"/>
      <c r="G78" s="115"/>
      <c r="H78" s="116"/>
      <c r="I78" s="117"/>
      <c r="J78" s="118">
        <v>2002</v>
      </c>
      <c r="K78" s="115"/>
      <c r="L78" s="118">
        <v>2002</v>
      </c>
      <c r="M78" s="118">
        <v>2002</v>
      </c>
      <c r="N78" s="108"/>
      <c r="O78" s="118">
        <v>2002</v>
      </c>
      <c r="P78" s="118">
        <v>2002</v>
      </c>
      <c r="R78" s="267" t="s">
        <v>183</v>
      </c>
      <c r="S78" s="267" t="s">
        <v>182</v>
      </c>
      <c r="T78" s="267" t="s">
        <v>182</v>
      </c>
      <c r="U78" s="48" t="s">
        <v>182</v>
      </c>
      <c r="V78" s="48" t="s">
        <v>182</v>
      </c>
      <c r="W78" s="120"/>
      <c r="X78" s="247">
        <v>1.47E-3</v>
      </c>
      <c r="Y78" s="246">
        <v>8.8000000000000005E-3</v>
      </c>
      <c r="Z78" s="246">
        <v>0.255</v>
      </c>
      <c r="AA78" s="248">
        <v>118</v>
      </c>
      <c r="AB78" s="120"/>
      <c r="AC78" s="120"/>
      <c r="AD78" s="120"/>
      <c r="AE78" s="120"/>
      <c r="AF78" s="120"/>
    </row>
    <row r="79" spans="1:32" s="111" customFormat="1" ht="12.75">
      <c r="A79" s="111" t="s">
        <v>65</v>
      </c>
      <c r="B79" s="121" t="s">
        <v>246</v>
      </c>
      <c r="C79" s="121"/>
      <c r="D79" s="122">
        <v>0.86</v>
      </c>
      <c r="E79" s="122"/>
      <c r="F79" s="123"/>
      <c r="G79" s="124">
        <v>490</v>
      </c>
      <c r="H79" s="125">
        <v>7074</v>
      </c>
      <c r="I79" s="126">
        <f>G79*D79*8760</f>
        <v>3691464</v>
      </c>
      <c r="J79" s="124">
        <f>631+66</f>
        <v>697</v>
      </c>
      <c r="K79" s="127">
        <v>8.6099999999999996E-2</v>
      </c>
      <c r="L79" s="128">
        <v>7</v>
      </c>
      <c r="M79" s="128">
        <v>0.2</v>
      </c>
      <c r="N79" s="129">
        <f>L79+M79</f>
        <v>7.2</v>
      </c>
      <c r="O79" s="130">
        <v>1.61</v>
      </c>
      <c r="P79" s="130">
        <f>SUM(S79:V79)</f>
        <v>3.1097027406600004</v>
      </c>
      <c r="R79" s="120" t="s">
        <v>178</v>
      </c>
      <c r="S79" s="439">
        <f>X78*($H79/1000)*(1/2000)*X$82</f>
        <v>1.52862066E-3</v>
      </c>
      <c r="T79" s="439">
        <f>Y78*($H79/1000)*(1/2000)*Y$82</f>
        <v>6.2251199999999998E-3</v>
      </c>
      <c r="U79" s="265">
        <f>Z78*($H79/1000000000)*(1/2000)*Z$82</f>
        <v>0.18038700000000002</v>
      </c>
      <c r="V79" s="266">
        <f>AA78*($H79/1000)*(1/2000)*AA$82</f>
        <v>2.9215620000000002</v>
      </c>
      <c r="W79" s="120"/>
      <c r="X79" s="256">
        <v>1.47E-3</v>
      </c>
      <c r="Y79" s="246">
        <v>8.8000000000000005E-3</v>
      </c>
      <c r="Z79" s="255">
        <v>0.255</v>
      </c>
      <c r="AA79" s="257">
        <v>118</v>
      </c>
      <c r="AB79" s="120"/>
      <c r="AC79" s="120"/>
      <c r="AD79" s="120"/>
      <c r="AE79" s="120"/>
      <c r="AF79" s="120"/>
    </row>
    <row r="80" spans="1:32" s="111" customFormat="1" ht="12.75">
      <c r="A80" s="111" t="s">
        <v>65</v>
      </c>
      <c r="B80" s="121" t="s">
        <v>248</v>
      </c>
      <c r="C80" s="121"/>
      <c r="D80" s="131">
        <v>0.23</v>
      </c>
      <c r="E80" s="131"/>
      <c r="F80" s="132"/>
      <c r="G80" s="133">
        <v>80</v>
      </c>
      <c r="H80" s="134">
        <v>9219</v>
      </c>
      <c r="I80" s="135">
        <f>G80*D80*8760</f>
        <v>161184.00000000003</v>
      </c>
      <c r="J80" s="133">
        <v>184</v>
      </c>
      <c r="K80" s="136">
        <v>8.6099999999999996E-2</v>
      </c>
      <c r="L80" s="137">
        <v>2.75</v>
      </c>
      <c r="M80" s="137">
        <v>0.2</v>
      </c>
      <c r="N80" s="138">
        <f>L80+M80</f>
        <v>2.95</v>
      </c>
      <c r="O80" s="139">
        <v>0</v>
      </c>
      <c r="P80" s="139">
        <f>SUM(S80:V80)</f>
        <v>4.0526363537099996</v>
      </c>
      <c r="R80" s="120" t="s">
        <v>179</v>
      </c>
      <c r="S80" s="439">
        <f>X79*($H80/1000)*(1/2000)*X$82</f>
        <v>1.9921337099999999E-3</v>
      </c>
      <c r="T80" s="439">
        <f>Y79*($H80/1000)*(1/2000)*Y$82</f>
        <v>8.1127200000000003E-3</v>
      </c>
      <c r="U80" s="265">
        <f>Z79*($H80/1000000000)*(1/2000)*Z$82</f>
        <v>0.23508449999999997</v>
      </c>
      <c r="V80" s="266">
        <f>AA79*($H80/1000)*(1/2000)*AA$82</f>
        <v>3.8074469999999998</v>
      </c>
      <c r="W80" s="120"/>
      <c r="AB80" s="120"/>
      <c r="AC80" s="120"/>
      <c r="AD80" s="120"/>
      <c r="AE80" s="120"/>
      <c r="AF80" s="120"/>
    </row>
    <row r="81" spans="1:32" s="111" customFormat="1" ht="12.75">
      <c r="B81" s="460" t="s">
        <v>68</v>
      </c>
      <c r="C81" s="121"/>
      <c r="D81" s="461">
        <f>SUMPRODUCT(D79:D80,$G79:$G80)/SUM($G79:$G80)</f>
        <v>0.77157894736842092</v>
      </c>
      <c r="E81" s="462"/>
      <c r="F81" s="462"/>
      <c r="G81" s="463"/>
      <c r="H81" s="464">
        <f>SUMPRODUCT(H79:H80,$I79:$I80)/SUM($I79:$I80)</f>
        <v>7163.7407912687586</v>
      </c>
      <c r="I81" s="462"/>
      <c r="J81" s="465">
        <f>SUMPRODUCT(J79:J80,$G79:$G80)/SUM($G79:$G80)</f>
        <v>625</v>
      </c>
      <c r="K81" s="466"/>
      <c r="L81" s="277">
        <f>SUMPRODUCT(L79:L80,$G79:$G80)/SUM($G79:$G80)</f>
        <v>6.4035087719298245</v>
      </c>
      <c r="M81" s="277">
        <f>SUMPRODUCT(M79:M80,$G79:$G80)/SUM($G79:$G80)</f>
        <v>0.2</v>
      </c>
      <c r="N81" s="277">
        <f>SUMPRODUCT(N79:N80,$G79:$G80)/SUM($G79:$G80)</f>
        <v>6.6035087719298247</v>
      </c>
      <c r="O81" s="277">
        <f>SUMPRODUCT(O79:O80,$I79:$I80)/SUM($I79:$I80)</f>
        <v>1.5426421100500227</v>
      </c>
      <c r="P81" s="277">
        <f>SUMPRODUCT(P79:P80,$I79:$I80)/SUM($I79:$I80)</f>
        <v>3.1491524416152528</v>
      </c>
      <c r="R81" s="267"/>
      <c r="S81" s="267"/>
      <c r="T81" s="267"/>
      <c r="U81" s="48"/>
      <c r="V81" s="48"/>
      <c r="W81" s="120"/>
      <c r="X81" s="48" t="s">
        <v>181</v>
      </c>
      <c r="Y81" s="48" t="s">
        <v>181</v>
      </c>
      <c r="Z81" s="48" t="s">
        <v>181</v>
      </c>
      <c r="AA81" s="48" t="s">
        <v>181</v>
      </c>
      <c r="AB81" s="120"/>
      <c r="AC81" s="120"/>
      <c r="AD81" s="120"/>
      <c r="AE81" s="120"/>
      <c r="AF81" s="120"/>
    </row>
    <row r="82" spans="1:32" s="111" customFormat="1" ht="12.75">
      <c r="B82" s="113" t="s">
        <v>180</v>
      </c>
      <c r="C82" s="467"/>
      <c r="D82" s="131">
        <v>0.23</v>
      </c>
      <c r="E82" s="131"/>
      <c r="F82" s="132"/>
      <c r="G82" s="133">
        <v>115</v>
      </c>
      <c r="H82" s="468">
        <v>12176</v>
      </c>
      <c r="I82" s="135"/>
      <c r="J82" s="133">
        <v>482</v>
      </c>
      <c r="K82" s="136">
        <v>9.5899999999999999E-2</v>
      </c>
      <c r="L82" s="137">
        <v>10.050000000000001</v>
      </c>
      <c r="M82" s="137"/>
      <c r="N82" s="138">
        <f>L82+M82</f>
        <v>10.050000000000001</v>
      </c>
      <c r="O82" s="139">
        <v>2.86</v>
      </c>
      <c r="P82" s="139"/>
      <c r="R82" s="267"/>
      <c r="S82" s="267"/>
      <c r="T82" s="267"/>
      <c r="U82" s="48"/>
      <c r="V82" s="48"/>
      <c r="W82" s="120"/>
      <c r="X82" s="48">
        <v>294</v>
      </c>
      <c r="Y82" s="48">
        <v>200</v>
      </c>
      <c r="Z82" s="264">
        <f>100000*2000</f>
        <v>200000000</v>
      </c>
      <c r="AA82" s="48">
        <v>7</v>
      </c>
      <c r="AB82" s="120"/>
      <c r="AC82" s="120"/>
      <c r="AD82" s="120"/>
      <c r="AE82" s="120"/>
      <c r="AF82" s="120"/>
    </row>
    <row r="83" spans="1:32" ht="12.75">
      <c r="A83" s="267"/>
      <c r="B83" s="110" t="s">
        <v>247</v>
      </c>
      <c r="G83" s="147"/>
      <c r="R83" s="267"/>
      <c r="S83" s="267"/>
      <c r="T83" s="267"/>
    </row>
    <row r="84" spans="1:32">
      <c r="A84" s="267"/>
      <c r="R84" s="267"/>
      <c r="S84" s="267"/>
      <c r="T84" s="267"/>
    </row>
    <row r="85" spans="1:32" ht="12.75">
      <c r="R85" s="267"/>
      <c r="S85" s="267"/>
      <c r="T85" s="267"/>
      <c r="X85" s="66"/>
      <c r="Y85" s="66"/>
      <c r="Z85" s="66"/>
      <c r="AA85" s="66"/>
    </row>
    <row r="86" spans="1:32" ht="12.75">
      <c r="R86" s="267"/>
      <c r="S86" s="267"/>
      <c r="T86" s="267"/>
      <c r="X86" s="68"/>
      <c r="Y86" s="68"/>
      <c r="Z86" s="68"/>
      <c r="AA86" s="68"/>
    </row>
    <row r="87" spans="1:32" ht="12.75">
      <c r="A87" s="66"/>
      <c r="B87" s="67" t="s">
        <v>184</v>
      </c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8"/>
      <c r="S87" s="68"/>
      <c r="T87" s="68"/>
      <c r="U87" s="68"/>
      <c r="V87" s="68"/>
      <c r="W87" s="68"/>
      <c r="X87" s="267"/>
      <c r="Y87" s="267"/>
      <c r="Z87" s="267"/>
      <c r="AA87" s="267"/>
    </row>
    <row r="88" spans="1:32" ht="12.75">
      <c r="A88" s="66"/>
      <c r="B88" s="69"/>
      <c r="C88" s="70" t="s">
        <v>47</v>
      </c>
      <c r="D88" s="71"/>
      <c r="E88" s="71"/>
      <c r="F88" s="71"/>
      <c r="G88" s="72"/>
      <c r="H88" s="72"/>
      <c r="I88" s="72"/>
      <c r="J88" s="73" t="s">
        <v>48</v>
      </c>
      <c r="K88" s="74"/>
      <c r="L88" s="75" t="s">
        <v>49</v>
      </c>
      <c r="M88" s="76"/>
      <c r="N88" s="77"/>
      <c r="O88" s="78" t="s">
        <v>50</v>
      </c>
      <c r="P88" s="79"/>
      <c r="Q88" s="80"/>
      <c r="R88" s="68"/>
      <c r="S88" s="68"/>
      <c r="T88" s="68"/>
      <c r="U88" s="68"/>
      <c r="V88" s="68"/>
      <c r="W88" s="68"/>
      <c r="X88" s="267"/>
      <c r="Y88" s="267"/>
      <c r="Z88" s="267"/>
      <c r="AA88" s="267"/>
    </row>
    <row r="89" spans="1:32" ht="12.75">
      <c r="A89" s="66"/>
      <c r="B89" s="81"/>
      <c r="C89" s="82"/>
      <c r="D89" s="82"/>
      <c r="E89" s="82"/>
      <c r="F89" s="82"/>
      <c r="G89" s="82"/>
      <c r="H89" s="83"/>
      <c r="I89" s="82"/>
      <c r="J89" s="84"/>
      <c r="K89" s="85"/>
      <c r="L89" s="86" t="s">
        <v>51</v>
      </c>
      <c r="M89" s="87"/>
      <c r="N89" s="88"/>
      <c r="O89" s="89"/>
      <c r="P89" s="90"/>
      <c r="Q89" s="66"/>
      <c r="R89" s="267"/>
      <c r="S89" s="68"/>
      <c r="T89" s="68"/>
      <c r="U89" s="66"/>
      <c r="V89" s="66"/>
      <c r="W89" s="68"/>
      <c r="X89" s="268"/>
      <c r="Y89" s="268"/>
      <c r="Z89" s="268"/>
      <c r="AA89" s="268"/>
    </row>
    <row r="90" spans="1:32" ht="38.25">
      <c r="A90" s="66"/>
      <c r="B90" s="458" t="s">
        <v>52</v>
      </c>
      <c r="C90" s="94"/>
      <c r="D90" s="94" t="s">
        <v>53</v>
      </c>
      <c r="E90" s="94" t="s">
        <v>54</v>
      </c>
      <c r="F90" s="94" t="s">
        <v>55</v>
      </c>
      <c r="G90" s="94" t="s">
        <v>56</v>
      </c>
      <c r="H90" s="94" t="s">
        <v>57</v>
      </c>
      <c r="I90" s="94" t="s">
        <v>58</v>
      </c>
      <c r="J90" s="93" t="s">
        <v>59</v>
      </c>
      <c r="K90" s="94" t="s">
        <v>60</v>
      </c>
      <c r="L90" s="95" t="s">
        <v>61</v>
      </c>
      <c r="M90" s="95" t="s">
        <v>62</v>
      </c>
      <c r="N90" s="96" t="s">
        <v>63</v>
      </c>
      <c r="O90" s="97" t="s">
        <v>64</v>
      </c>
      <c r="P90" s="94" t="s">
        <v>176</v>
      </c>
      <c r="Q90" s="66"/>
      <c r="R90" s="267"/>
      <c r="S90" s="68"/>
      <c r="T90" s="68"/>
      <c r="U90" s="66"/>
      <c r="V90" s="66"/>
      <c r="W90" s="68"/>
      <c r="X90" s="269"/>
      <c r="Y90" s="269"/>
      <c r="Z90" s="269"/>
      <c r="AA90" s="269"/>
    </row>
    <row r="91" spans="1:32" ht="12.75">
      <c r="A91" s="98"/>
      <c r="B91" s="99"/>
      <c r="C91" s="100"/>
      <c r="D91" s="101"/>
      <c r="E91" s="101"/>
      <c r="F91" s="102"/>
      <c r="G91" s="103"/>
      <c r="H91" s="104"/>
      <c r="I91" s="105"/>
      <c r="J91" s="106"/>
      <c r="K91" s="107"/>
      <c r="L91" s="106"/>
      <c r="M91" s="106"/>
      <c r="N91" s="108"/>
      <c r="O91" s="106"/>
      <c r="P91" s="109"/>
      <c r="Q91" s="98"/>
      <c r="R91" s="267"/>
      <c r="S91" s="267"/>
      <c r="T91" s="267"/>
      <c r="W91" s="110"/>
      <c r="X91" s="270"/>
      <c r="Y91" s="271"/>
      <c r="Z91" s="271"/>
      <c r="AA91" s="271"/>
    </row>
    <row r="92" spans="1:32" ht="12.75">
      <c r="A92" s="111"/>
      <c r="B92" s="112" t="s">
        <v>184</v>
      </c>
      <c r="C92" s="113"/>
      <c r="D92" s="114"/>
      <c r="E92" s="114"/>
      <c r="F92" s="115"/>
      <c r="G92" s="115"/>
      <c r="H92" s="116"/>
      <c r="I92" s="117"/>
      <c r="J92" s="118">
        <v>2004</v>
      </c>
      <c r="K92" s="115"/>
      <c r="L92" s="118">
        <v>2004</v>
      </c>
      <c r="M92" s="118">
        <v>2004</v>
      </c>
      <c r="N92" s="108"/>
      <c r="O92" s="118">
        <v>2004</v>
      </c>
      <c r="P92" s="118">
        <v>2004</v>
      </c>
      <c r="Q92" s="111"/>
      <c r="R92" s="267"/>
      <c r="S92" s="267"/>
      <c r="T92" s="267"/>
      <c r="W92" s="120"/>
      <c r="X92" s="272"/>
      <c r="Y92" s="273"/>
      <c r="Z92" s="274"/>
      <c r="AA92" s="274"/>
    </row>
    <row r="93" spans="1:32" ht="12.75">
      <c r="A93" s="111" t="s">
        <v>250</v>
      </c>
      <c r="B93" s="121" t="s">
        <v>246</v>
      </c>
      <c r="C93" s="121"/>
      <c r="D93" s="122">
        <v>0.56000000000000005</v>
      </c>
      <c r="E93" s="122"/>
      <c r="F93" s="123"/>
      <c r="G93" s="124">
        <v>420</v>
      </c>
      <c r="H93" s="125">
        <v>7462</v>
      </c>
      <c r="I93" s="126">
        <f>G93*D93*8760</f>
        <v>2060352.0000000002</v>
      </c>
      <c r="J93" s="124">
        <v>789</v>
      </c>
      <c r="K93" s="127">
        <v>7.9299999999999995E-2</v>
      </c>
      <c r="L93" s="128">
        <v>10.63</v>
      </c>
      <c r="M93" s="128">
        <v>1.35</v>
      </c>
      <c r="N93" s="129">
        <f>L93+M93</f>
        <v>11.98</v>
      </c>
      <c r="O93" s="130">
        <v>3.27</v>
      </c>
      <c r="P93" s="130">
        <v>2.3199999999999998</v>
      </c>
      <c r="Q93" s="111"/>
      <c r="R93" s="120"/>
      <c r="S93" s="439"/>
      <c r="T93" s="439"/>
      <c r="U93" s="265"/>
      <c r="V93" s="266"/>
      <c r="W93" s="120"/>
      <c r="X93" s="272"/>
      <c r="Y93" s="273"/>
      <c r="Z93" s="274"/>
      <c r="AA93" s="274"/>
    </row>
    <row r="94" spans="1:32" ht="12.75">
      <c r="A94" s="111"/>
      <c r="B94" s="121" t="s">
        <v>248</v>
      </c>
      <c r="C94" s="121"/>
      <c r="D94" s="131">
        <v>0.16</v>
      </c>
      <c r="E94" s="131"/>
      <c r="F94" s="132"/>
      <c r="G94" s="133">
        <v>105</v>
      </c>
      <c r="H94" s="134">
        <v>9512</v>
      </c>
      <c r="I94" s="135">
        <f>G94*D94*8760</f>
        <v>147168</v>
      </c>
      <c r="J94" s="133">
        <v>207</v>
      </c>
      <c r="K94" s="127">
        <v>7.9299999999999995E-2</v>
      </c>
      <c r="L94" s="137">
        <v>2.93</v>
      </c>
      <c r="M94" s="137">
        <v>1.35</v>
      </c>
      <c r="N94" s="138">
        <f>L94+M94</f>
        <v>4.28</v>
      </c>
      <c r="O94" s="139">
        <v>0.1</v>
      </c>
      <c r="P94" s="139">
        <v>2.96</v>
      </c>
      <c r="Q94" s="111"/>
      <c r="R94" s="120"/>
      <c r="S94" s="439"/>
      <c r="T94" s="439"/>
      <c r="U94" s="265"/>
      <c r="V94" s="266"/>
      <c r="W94" s="120"/>
      <c r="X94" s="120"/>
      <c r="Y94" s="120"/>
      <c r="Z94" s="120"/>
      <c r="AA94" s="120"/>
    </row>
    <row r="95" spans="1:32" ht="12.75">
      <c r="A95" s="111"/>
      <c r="B95" s="459" t="s">
        <v>68</v>
      </c>
      <c r="C95" s="140"/>
      <c r="D95" s="141">
        <f>SUMPRODUCT(D93:D94,$G93:$G94)/SUM($G93:$G94)</f>
        <v>0.48000000000000004</v>
      </c>
      <c r="E95" s="132"/>
      <c r="F95" s="132"/>
      <c r="G95" s="142"/>
      <c r="H95" s="143">
        <f>SUMPRODUCT(H93:H94,$I93:$I94)/SUM($I93:$I94)</f>
        <v>7598.6666666666679</v>
      </c>
      <c r="I95" s="132"/>
      <c r="J95" s="144">
        <f>SUMPRODUCT(J93:J94,$G93:$G94)/SUM($G93:$G94)</f>
        <v>672.6</v>
      </c>
      <c r="K95" s="145"/>
      <c r="L95" s="138">
        <f>SUMPRODUCT(L93:L94,$G93:$G94)/SUM($G93:$G94)</f>
        <v>9.09</v>
      </c>
      <c r="M95" s="138">
        <f>SUMPRODUCT(M93:M94,$G93:$G94)/SUM($G93:$G94)</f>
        <v>1.35</v>
      </c>
      <c r="N95" s="138">
        <f>SUMPRODUCT(N93:N94,$G93:$G94)/SUM($G93:$G94)</f>
        <v>10.44</v>
      </c>
      <c r="O95" s="138">
        <f>SUMPRODUCT(O93:O94,$I93:$I94)/SUM($I93:$I94)</f>
        <v>3.0586666666666669</v>
      </c>
      <c r="P95" s="138">
        <f>SUMPRODUCT(P93:P94,$I93:$I94)/SUM($I93:$I94)</f>
        <v>2.3626666666666671</v>
      </c>
      <c r="Q95" s="111"/>
      <c r="R95" s="267"/>
      <c r="S95" s="267"/>
      <c r="T95" s="267"/>
      <c r="W95" s="120"/>
      <c r="X95" s="267"/>
      <c r="Y95" s="267"/>
      <c r="Z95" s="267"/>
      <c r="AA95" s="267"/>
    </row>
    <row r="96" spans="1:32" ht="12.75">
      <c r="A96" s="111"/>
      <c r="B96" s="140" t="s">
        <v>180</v>
      </c>
      <c r="C96" s="146"/>
      <c r="D96" s="122">
        <v>0.16</v>
      </c>
      <c r="E96" s="122"/>
      <c r="F96" s="123"/>
      <c r="G96" s="124">
        <v>281</v>
      </c>
      <c r="H96" s="125">
        <v>11052</v>
      </c>
      <c r="I96" s="126"/>
      <c r="J96" s="124">
        <v>408</v>
      </c>
      <c r="K96" s="127">
        <v>7.6700000000000004E-2</v>
      </c>
      <c r="L96" s="128">
        <v>10.97</v>
      </c>
      <c r="M96" s="128"/>
      <c r="N96" s="129">
        <f>L96+M96</f>
        <v>10.97</v>
      </c>
      <c r="O96" s="130">
        <v>5.35</v>
      </c>
      <c r="P96" s="130"/>
      <c r="Q96" s="111"/>
      <c r="W96" s="120"/>
      <c r="X96" s="267"/>
      <c r="Y96" s="267"/>
      <c r="Z96" s="275"/>
      <c r="AA96" s="267"/>
    </row>
    <row r="97" spans="1:7" ht="15" customHeight="1">
      <c r="A97" s="267"/>
      <c r="B97" s="110" t="s">
        <v>249</v>
      </c>
      <c r="G97" s="147"/>
    </row>
    <row r="98" spans="1:7">
      <c r="A98" s="267"/>
    </row>
  </sheetData>
  <pageMargins left="0.25" right="0.25" top="0.25" bottom="0.75" header="0.3" footer="0.3"/>
  <pageSetup scale="56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82"/>
  <sheetViews>
    <sheetView zoomScale="85" zoomScaleNormal="85" workbookViewId="0">
      <selection activeCell="BD12" sqref="BD12"/>
    </sheetView>
  </sheetViews>
  <sheetFormatPr defaultRowHeight="11.25"/>
  <cols>
    <col min="1" max="1" width="2.83203125" style="4" customWidth="1"/>
    <col min="2" max="2" width="3" style="4" customWidth="1"/>
    <col min="3" max="8" width="15.1640625" style="4" customWidth="1"/>
    <col min="9" max="11" width="16" style="4" customWidth="1"/>
    <col min="12" max="12" width="10.1640625" style="4" customWidth="1"/>
    <col min="13" max="14" width="14.6640625" style="4" customWidth="1"/>
    <col min="15" max="15" width="17.6640625" style="4" customWidth="1"/>
    <col min="16" max="16" width="15.1640625" style="4" customWidth="1"/>
    <col min="17" max="17" width="13.33203125" style="4" customWidth="1"/>
    <col min="18" max="18" width="2.6640625" style="4" customWidth="1"/>
    <col min="19" max="19" width="3" style="4" customWidth="1"/>
    <col min="20" max="21" width="15.1640625" style="4" customWidth="1"/>
    <col min="22" max="22" width="11.6640625" style="4" customWidth="1"/>
    <col min="23" max="23" width="12.1640625" style="4" customWidth="1"/>
    <col min="24" max="26" width="15.1640625" style="4" customWidth="1"/>
    <col min="27" max="27" width="8.83203125" style="4" customWidth="1"/>
    <col min="28" max="28" width="9.83203125" style="4" customWidth="1"/>
    <col min="29" max="29" width="1" style="4" customWidth="1"/>
    <col min="30" max="30" width="1.1640625" style="4" customWidth="1"/>
    <col min="31" max="31" width="2.33203125" style="4" customWidth="1"/>
    <col min="32" max="32" width="9.33203125" style="4"/>
    <col min="33" max="33" width="11.6640625" style="4" customWidth="1"/>
    <col min="34" max="34" width="16" style="4" customWidth="1"/>
    <col min="35" max="35" width="10.6640625" style="4" bestFit="1" customWidth="1"/>
    <col min="36" max="36" width="7.33203125" style="4" customWidth="1"/>
    <col min="37" max="37" width="9.33203125" style="4"/>
    <col min="38" max="38" width="15.1640625" style="4" customWidth="1"/>
    <col min="39" max="40" width="9.33203125" style="4"/>
    <col min="41" max="41" width="10.6640625" style="4" customWidth="1"/>
    <col min="42" max="42" width="4" style="4" customWidth="1"/>
    <col min="43" max="43" width="6.33203125" style="4" customWidth="1"/>
    <col min="44" max="45" width="11.1640625" style="4" customWidth="1"/>
    <col min="46" max="47" width="9.33203125" style="4"/>
    <col min="48" max="48" width="6.33203125" style="4" customWidth="1"/>
    <col min="49" max="50" width="11.1640625" style="515" customWidth="1"/>
    <col min="51" max="52" width="9.33203125" style="515"/>
    <col min="53" max="53" width="6.33203125" style="4" customWidth="1"/>
    <col min="54" max="55" width="11.1640625" style="515" customWidth="1"/>
    <col min="56" max="57" width="9.33203125" style="515"/>
    <col min="58" max="69" width="9.33203125" style="4"/>
    <col min="70" max="70" width="22" style="4" customWidth="1"/>
    <col min="71" max="16384" width="9.33203125" style="4"/>
  </cols>
  <sheetData>
    <row r="1" spans="1:73" s="311" customFormat="1">
      <c r="A1" s="311" t="s">
        <v>0</v>
      </c>
      <c r="AV1" s="515"/>
      <c r="AW1" s="532"/>
      <c r="AX1" s="532"/>
      <c r="AY1" s="532"/>
      <c r="AZ1" s="532"/>
      <c r="BA1" s="629"/>
      <c r="BB1" s="630"/>
      <c r="BC1" s="630"/>
      <c r="BD1" s="630"/>
      <c r="BE1" s="630"/>
      <c r="BG1" s="311" t="s">
        <v>71</v>
      </c>
    </row>
    <row r="2" spans="1:73" s="311" customFormat="1">
      <c r="A2" s="311" t="s">
        <v>160</v>
      </c>
      <c r="AV2" s="515"/>
      <c r="AW2" s="532"/>
      <c r="AX2" s="532"/>
      <c r="AY2" s="532"/>
      <c r="AZ2" s="532"/>
      <c r="BA2" s="629"/>
      <c r="BB2" s="630"/>
      <c r="BC2" s="630"/>
      <c r="BD2" s="630"/>
      <c r="BE2" s="630"/>
      <c r="BG2" s="311" t="s">
        <v>73</v>
      </c>
    </row>
    <row r="3" spans="1:73" s="311" customFormat="1">
      <c r="A3" s="311" t="s">
        <v>1</v>
      </c>
      <c r="AV3" s="515"/>
      <c r="AW3" s="532"/>
      <c r="AX3" s="532"/>
      <c r="AY3" s="532"/>
      <c r="AZ3" s="532"/>
      <c r="BA3" s="629"/>
      <c r="BB3" s="630"/>
      <c r="BC3" s="630"/>
      <c r="BD3" s="630"/>
      <c r="BE3" s="630"/>
      <c r="BG3" s="311" t="s">
        <v>75</v>
      </c>
    </row>
    <row r="4" spans="1:73" s="311" customFormat="1">
      <c r="AV4" s="515"/>
      <c r="AW4" s="532"/>
      <c r="AX4" s="532"/>
      <c r="AY4" s="532"/>
      <c r="AZ4" s="532"/>
      <c r="BA4" s="629"/>
      <c r="BB4" s="630"/>
      <c r="BC4" s="630"/>
      <c r="BD4" s="630"/>
      <c r="BE4" s="630"/>
      <c r="BG4" s="311" t="s">
        <v>76</v>
      </c>
    </row>
    <row r="5" spans="1:73" s="311" customFormat="1">
      <c r="A5" s="311" t="s">
        <v>153</v>
      </c>
      <c r="AV5" s="515"/>
      <c r="AW5" s="532"/>
      <c r="AX5" s="532"/>
      <c r="AY5" s="532"/>
      <c r="AZ5" s="532"/>
      <c r="BA5" s="629"/>
      <c r="BB5" s="630"/>
      <c r="BC5" s="630"/>
      <c r="BD5" s="630"/>
      <c r="BE5" s="630"/>
      <c r="BG5" s="311" t="s">
        <v>77</v>
      </c>
    </row>
    <row r="6" spans="1:73">
      <c r="A6" s="7"/>
      <c r="B6" s="7"/>
      <c r="C6" s="7"/>
      <c r="AV6" s="515"/>
      <c r="BA6" s="629"/>
      <c r="BB6" s="629"/>
      <c r="BC6" s="629"/>
      <c r="BD6" s="629"/>
      <c r="BE6" s="629"/>
      <c r="BG6" s="311" t="s">
        <v>78</v>
      </c>
    </row>
    <row r="7" spans="1:73">
      <c r="AV7" s="515"/>
      <c r="BA7" s="629"/>
      <c r="BB7" s="629"/>
      <c r="BC7" s="629"/>
      <c r="BD7" s="629"/>
      <c r="BE7" s="629"/>
      <c r="BG7" s="4" t="s">
        <v>79</v>
      </c>
    </row>
    <row r="8" spans="1:73">
      <c r="B8" s="427" t="s">
        <v>80</v>
      </c>
      <c r="C8" s="428"/>
      <c r="D8" s="428"/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428"/>
      <c r="P8" s="428"/>
      <c r="Q8" s="428"/>
      <c r="S8" s="429" t="s">
        <v>81</v>
      </c>
      <c r="T8" s="429"/>
      <c r="U8" s="429"/>
      <c r="V8" s="429"/>
      <c r="W8" s="429"/>
      <c r="X8" s="429"/>
      <c r="Y8" s="429"/>
      <c r="Z8" s="429"/>
      <c r="AA8" s="429"/>
      <c r="AB8" s="429"/>
      <c r="AC8" s="429"/>
      <c r="AH8" s="311" t="s">
        <v>72</v>
      </c>
      <c r="AV8" s="515"/>
      <c r="BA8" s="629"/>
      <c r="BB8" s="629"/>
      <c r="BC8" s="629"/>
      <c r="BD8" s="629"/>
      <c r="BE8" s="629"/>
      <c r="BG8" s="4" t="s">
        <v>82</v>
      </c>
    </row>
    <row r="9" spans="1:73">
      <c r="AH9" s="311" t="s">
        <v>74</v>
      </c>
      <c r="AI9" s="289"/>
      <c r="AM9" s="4" t="s">
        <v>208</v>
      </c>
      <c r="AR9" s="4" t="s">
        <v>207</v>
      </c>
      <c r="AV9" s="515"/>
      <c r="AW9" s="515" t="s">
        <v>296</v>
      </c>
      <c r="BA9" s="629"/>
      <c r="BB9" s="629" t="s">
        <v>296</v>
      </c>
      <c r="BC9" s="629"/>
      <c r="BD9" s="629"/>
      <c r="BE9" s="629"/>
      <c r="BG9" s="4" t="s">
        <v>83</v>
      </c>
    </row>
    <row r="10" spans="1:73" ht="32.25" customHeight="1">
      <c r="C10" s="327"/>
      <c r="D10" s="327" t="s">
        <v>84</v>
      </c>
      <c r="E10" s="327" t="s">
        <v>84</v>
      </c>
      <c r="F10" s="327" t="s">
        <v>84</v>
      </c>
      <c r="G10" s="527" t="s">
        <v>280</v>
      </c>
      <c r="H10" s="622" t="s">
        <v>305</v>
      </c>
      <c r="I10" s="430" t="s">
        <v>85</v>
      </c>
      <c r="J10" s="430" t="s">
        <v>192</v>
      </c>
      <c r="K10" s="430" t="s">
        <v>197</v>
      </c>
      <c r="L10" s="430" t="s">
        <v>205</v>
      </c>
      <c r="M10" s="528" t="s">
        <v>276</v>
      </c>
      <c r="N10" s="623" t="s">
        <v>304</v>
      </c>
      <c r="O10" s="327" t="s">
        <v>212</v>
      </c>
      <c r="P10" s="327" t="s">
        <v>205</v>
      </c>
      <c r="Q10" s="430" t="s">
        <v>209</v>
      </c>
      <c r="T10" s="327"/>
      <c r="U10" s="327"/>
      <c r="V10" s="327" t="s">
        <v>84</v>
      </c>
      <c r="W10" s="327" t="s">
        <v>84</v>
      </c>
      <c r="X10" s="327" t="s">
        <v>84</v>
      </c>
      <c r="Y10" s="327"/>
      <c r="Z10" s="327"/>
      <c r="AA10" s="327"/>
      <c r="AB10" s="327"/>
      <c r="AH10" s="311" t="s">
        <v>86</v>
      </c>
      <c r="AI10" s="289"/>
      <c r="AM10" s="289" t="s">
        <v>203</v>
      </c>
      <c r="AR10" s="289" t="s">
        <v>204</v>
      </c>
      <c r="AS10" s="289"/>
      <c r="AV10" s="515"/>
      <c r="AW10" s="533" t="s">
        <v>279</v>
      </c>
      <c r="AX10" s="533"/>
      <c r="BA10" s="629"/>
      <c r="BB10" s="631" t="s">
        <v>303</v>
      </c>
      <c r="BC10" s="631"/>
      <c r="BD10" s="629"/>
      <c r="BE10" s="629"/>
      <c r="BG10" s="4" t="s">
        <v>87</v>
      </c>
      <c r="BR10" s="4" t="s">
        <v>186</v>
      </c>
      <c r="BS10" s="4" t="s">
        <v>193</v>
      </c>
      <c r="BT10" s="4" t="s">
        <v>194</v>
      </c>
    </row>
    <row r="11" spans="1:73" ht="22.5">
      <c r="C11" s="327" t="s">
        <v>88</v>
      </c>
      <c r="D11" s="327" t="s">
        <v>89</v>
      </c>
      <c r="E11" s="327" t="s">
        <v>90</v>
      </c>
      <c r="F11" s="327" t="s">
        <v>91</v>
      </c>
      <c r="G11" s="528"/>
      <c r="H11" s="623"/>
      <c r="I11" s="430" t="s">
        <v>210</v>
      </c>
      <c r="J11" s="430" t="s">
        <v>210</v>
      </c>
      <c r="K11" s="430" t="s">
        <v>210</v>
      </c>
      <c r="L11" s="430" t="s">
        <v>210</v>
      </c>
      <c r="M11" s="527" t="s">
        <v>211</v>
      </c>
      <c r="N11" s="622" t="s">
        <v>211</v>
      </c>
      <c r="O11" s="327" t="s">
        <v>211</v>
      </c>
      <c r="P11" s="327" t="s">
        <v>211</v>
      </c>
      <c r="Q11" s="327" t="s">
        <v>92</v>
      </c>
      <c r="T11" s="327" t="s">
        <v>88</v>
      </c>
      <c r="U11" s="327" t="s">
        <v>93</v>
      </c>
      <c r="V11" s="327" t="s">
        <v>89</v>
      </c>
      <c r="W11" s="327" t="s">
        <v>90</v>
      </c>
      <c r="X11" s="327" t="s">
        <v>91</v>
      </c>
      <c r="Y11" s="327" t="s">
        <v>94</v>
      </c>
      <c r="Z11" s="327" t="s">
        <v>95</v>
      </c>
      <c r="AA11" s="327" t="s">
        <v>96</v>
      </c>
      <c r="AB11" s="327" t="s">
        <v>97</v>
      </c>
      <c r="AF11" s="4" t="s">
        <v>88</v>
      </c>
      <c r="AG11" s="4" t="s">
        <v>93</v>
      </c>
      <c r="AH11" s="289" t="s">
        <v>98</v>
      </c>
      <c r="AI11" s="289" t="s">
        <v>99</v>
      </c>
      <c r="AM11" s="289" t="s">
        <v>99</v>
      </c>
      <c r="AN11" s="431" t="s">
        <v>195</v>
      </c>
      <c r="AO11" s="431" t="s">
        <v>196</v>
      </c>
      <c r="AQ11" s="4" t="s">
        <v>88</v>
      </c>
      <c r="AR11" s="289" t="s">
        <v>99</v>
      </c>
      <c r="AS11" s="289" t="s">
        <v>99</v>
      </c>
      <c r="AT11" s="431" t="s">
        <v>195</v>
      </c>
      <c r="AU11" s="431" t="s">
        <v>196</v>
      </c>
      <c r="AV11" s="515" t="s">
        <v>88</v>
      </c>
      <c r="AW11" s="533" t="s">
        <v>99</v>
      </c>
      <c r="AX11" s="533" t="s">
        <v>99</v>
      </c>
      <c r="AY11" s="534" t="s">
        <v>195</v>
      </c>
      <c r="AZ11" s="534" t="s">
        <v>196</v>
      </c>
      <c r="BA11" s="629" t="s">
        <v>88</v>
      </c>
      <c r="BB11" s="631" t="s">
        <v>99</v>
      </c>
      <c r="BC11" s="631" t="s">
        <v>99</v>
      </c>
      <c r="BD11" s="632" t="s">
        <v>195</v>
      </c>
      <c r="BE11" s="632" t="s">
        <v>196</v>
      </c>
      <c r="BG11" s="4" t="s">
        <v>100</v>
      </c>
      <c r="BR11" s="4" t="s">
        <v>185</v>
      </c>
      <c r="BS11" s="4" t="s">
        <v>187</v>
      </c>
      <c r="BT11" s="4" t="s">
        <v>188</v>
      </c>
      <c r="BU11" s="4" t="s">
        <v>206</v>
      </c>
    </row>
    <row r="12" spans="1:73">
      <c r="C12" s="291">
        <v>2003</v>
      </c>
      <c r="D12" s="281">
        <f t="shared" ref="D12:F14" si="0">D13/(1+$O13)</f>
        <v>61.282160463674074</v>
      </c>
      <c r="E12" s="281">
        <f t="shared" si="0"/>
        <v>50.468002675669666</v>
      </c>
      <c r="F12" s="281">
        <f t="shared" si="0"/>
        <v>56.625700486208387</v>
      </c>
      <c r="G12" s="529"/>
      <c r="H12" s="624"/>
      <c r="I12" s="282">
        <f>I13/(1+$O13)</f>
        <v>8.6661602591289011</v>
      </c>
      <c r="J12" s="282">
        <f>J13/(1+$BR$37)</f>
        <v>3.7170731707317075</v>
      </c>
      <c r="K12" s="276"/>
      <c r="L12" s="276"/>
      <c r="M12" s="531"/>
      <c r="N12" s="628"/>
      <c r="O12" s="210"/>
      <c r="P12" s="210"/>
      <c r="Q12" s="210"/>
      <c r="T12" s="327"/>
      <c r="U12" s="327"/>
      <c r="V12" s="327"/>
      <c r="W12" s="327"/>
      <c r="X12" s="327"/>
      <c r="Y12" s="327"/>
      <c r="Z12" s="327"/>
      <c r="AA12" s="327"/>
      <c r="AB12" s="327"/>
      <c r="AH12" s="289"/>
      <c r="AI12" s="289"/>
      <c r="AK12" s="4">
        <f>YEAR(AL12)</f>
        <v>2004</v>
      </c>
      <c r="AL12" s="432">
        <v>38230</v>
      </c>
      <c r="AM12" s="4">
        <f>AVERAGE(AN12:AO12)</f>
        <v>5.2698228344999993</v>
      </c>
      <c r="AN12" s="4">
        <v>5.394645669</v>
      </c>
      <c r="AO12" s="4">
        <v>5.1449999999999996</v>
      </c>
      <c r="AQ12" s="4">
        <f>YEAR(AR12)</f>
        <v>2008</v>
      </c>
      <c r="AR12" s="356">
        <v>39630</v>
      </c>
      <c r="AS12" s="4">
        <f>AVERAGE(AT12:AU12)</f>
        <v>11.8</v>
      </c>
      <c r="AT12" s="4">
        <v>11.85</v>
      </c>
      <c r="AU12" s="4">
        <v>11.75</v>
      </c>
      <c r="AV12" s="515">
        <f t="shared" ref="AV12:AV75" si="1">YEAR(AW12)</f>
        <v>2015</v>
      </c>
      <c r="AW12" s="535">
        <v>42005</v>
      </c>
      <c r="AX12" s="515">
        <f t="shared" ref="AX12:AX62" si="2">AVERAGE(AY12:AZ12)</f>
        <v>2.7747580645161287</v>
      </c>
      <c r="AY12" s="596">
        <f>'[12]Forward Price Curve'!AE93</f>
        <v>2.7880645161290318</v>
      </c>
      <c r="AZ12" s="596">
        <f>'[12]Forward Price Curve'!AD93</f>
        <v>2.7614516129032256</v>
      </c>
      <c r="BA12" s="629">
        <f t="shared" ref="BA12:BA75" si="3">YEAR(BB12)</f>
        <v>2018</v>
      </c>
      <c r="BB12" s="633">
        <v>43101</v>
      </c>
      <c r="BC12" s="629">
        <f t="shared" ref="BC12:BC75" si="4">AVERAGE(BD12:BE12)</f>
        <v>2.7073387096774191</v>
      </c>
      <c r="BD12" s="634">
        <f>[13]Prices!AO9</f>
        <v>2.7169354838709676</v>
      </c>
      <c r="BE12" s="634">
        <f>[13]Prices!AP9</f>
        <v>2.697741935483871</v>
      </c>
      <c r="BR12" s="4">
        <v>2004</v>
      </c>
      <c r="BS12" s="433">
        <v>3.81</v>
      </c>
      <c r="BT12" s="433">
        <v>3.63</v>
      </c>
    </row>
    <row r="13" spans="1:73">
      <c r="C13" s="291">
        <v>2004</v>
      </c>
      <c r="D13" s="281">
        <f t="shared" si="0"/>
        <v>61.282160463674074</v>
      </c>
      <c r="E13" s="281">
        <f t="shared" si="0"/>
        <v>50.468002675669666</v>
      </c>
      <c r="F13" s="281">
        <f t="shared" si="0"/>
        <v>56.625700486208387</v>
      </c>
      <c r="G13" s="529"/>
      <c r="H13" s="624"/>
      <c r="I13" s="282">
        <f>I14/(1+$O14)</f>
        <v>8.6661602591289011</v>
      </c>
      <c r="J13" s="276">
        <f t="shared" ref="J13:J32" si="5">INDEX($BS$12:$BS$31,MATCH($C13,$BR$12:$BR$31,0),1)</f>
        <v>3.81</v>
      </c>
      <c r="K13" s="209">
        <f>AVERAGEIF($AK$12:$AK$383,$C13,$AM$12:$AM$383)</f>
        <v>5.5731220929000003</v>
      </c>
      <c r="L13" s="209"/>
      <c r="M13" s="531"/>
      <c r="N13" s="628"/>
      <c r="O13" s="210"/>
      <c r="P13" s="210"/>
      <c r="Q13" s="210"/>
      <c r="T13" s="327"/>
      <c r="U13" s="327"/>
      <c r="V13" s="327"/>
      <c r="W13" s="327"/>
      <c r="X13" s="327"/>
      <c r="Y13" s="327"/>
      <c r="Z13" s="327"/>
      <c r="AA13" s="327"/>
      <c r="AB13" s="327"/>
      <c r="AH13" s="289"/>
      <c r="AI13" s="289"/>
      <c r="AK13" s="4">
        <f t="shared" ref="AK13:AK76" si="6">YEAR(AL13)</f>
        <v>2004</v>
      </c>
      <c r="AL13" s="432">
        <v>38260</v>
      </c>
      <c r="AM13" s="4">
        <f t="shared" ref="AM13:AM76" si="7">AVERAGE(AN13:AO13)</f>
        <v>5.3128441459999998</v>
      </c>
      <c r="AN13" s="4">
        <v>5.4616882919999998</v>
      </c>
      <c r="AO13" s="4">
        <v>5.1639999999999997</v>
      </c>
      <c r="AQ13" s="4">
        <f t="shared" ref="AQ13:AQ76" si="8">YEAR(AR13)</f>
        <v>2008</v>
      </c>
      <c r="AR13" s="356">
        <v>39661</v>
      </c>
      <c r="AS13" s="4">
        <f t="shared" ref="AS13:AS76" si="9">AVERAGE(AT13:AU13)</f>
        <v>12.195499999999999</v>
      </c>
      <c r="AT13" s="4">
        <v>12.288</v>
      </c>
      <c r="AU13" s="4">
        <v>12.103</v>
      </c>
      <c r="AV13" s="515">
        <f t="shared" si="1"/>
        <v>2015</v>
      </c>
      <c r="AW13" s="535">
        <v>42036</v>
      </c>
      <c r="AX13" s="515">
        <f t="shared" si="2"/>
        <v>2.3497321428571434</v>
      </c>
      <c r="AY13" s="596">
        <f>'[12]Forward Price Curve'!AE94</f>
        <v>2.3876785714285722</v>
      </c>
      <c r="AZ13" s="596">
        <f>'[12]Forward Price Curve'!AD94</f>
        <v>2.3117857142857146</v>
      </c>
      <c r="BA13" s="629">
        <f t="shared" si="3"/>
        <v>2018</v>
      </c>
      <c r="BB13" s="633">
        <v>43132</v>
      </c>
      <c r="BC13" s="629">
        <f t="shared" si="4"/>
        <v>2.1688392857142853</v>
      </c>
      <c r="BD13" s="634">
        <f>[13]Prices!AO10</f>
        <v>2.176071428571428</v>
      </c>
      <c r="BE13" s="634">
        <f>[13]Prices!AP10</f>
        <v>2.1616071428571426</v>
      </c>
      <c r="BR13" s="4">
        <v>2005</v>
      </c>
      <c r="BS13" s="433">
        <v>3.96</v>
      </c>
      <c r="BT13" s="433">
        <v>3.77</v>
      </c>
    </row>
    <row r="14" spans="1:73">
      <c r="C14" s="291">
        <v>2005</v>
      </c>
      <c r="D14" s="281">
        <f t="shared" si="0"/>
        <v>61.282160463674074</v>
      </c>
      <c r="E14" s="281">
        <f t="shared" si="0"/>
        <v>50.468002675669666</v>
      </c>
      <c r="F14" s="281">
        <f t="shared" si="0"/>
        <v>56.625700486208387</v>
      </c>
      <c r="G14" s="529"/>
      <c r="H14" s="624"/>
      <c r="I14" s="282">
        <f>I15/(1+$O15)</f>
        <v>8.6661602591289011</v>
      </c>
      <c r="J14" s="276">
        <f t="shared" si="5"/>
        <v>3.96</v>
      </c>
      <c r="K14" s="209">
        <f t="shared" ref="K14:K43" si="10">AVERAGEIF($AK$12:$AK$383,$C14,$AM$12:$AM$383)</f>
        <v>5.5083917806249998</v>
      </c>
      <c r="L14" s="209"/>
      <c r="M14" s="531"/>
      <c r="N14" s="628"/>
      <c r="O14" s="210"/>
      <c r="P14" s="210"/>
      <c r="Q14" s="210"/>
      <c r="T14" s="327"/>
      <c r="U14" s="327"/>
      <c r="V14" s="327"/>
      <c r="W14" s="327"/>
      <c r="X14" s="327"/>
      <c r="Y14" s="327"/>
      <c r="Z14" s="327"/>
      <c r="AA14" s="327"/>
      <c r="AB14" s="327"/>
      <c r="AH14" s="289"/>
      <c r="AI14" s="289"/>
      <c r="AK14" s="4">
        <f t="shared" si="6"/>
        <v>2004</v>
      </c>
      <c r="AL14" s="432">
        <v>38291</v>
      </c>
      <c r="AM14" s="4">
        <f t="shared" si="7"/>
        <v>5.3528441459999998</v>
      </c>
      <c r="AN14" s="4">
        <v>5.5016882919999999</v>
      </c>
      <c r="AO14" s="4">
        <v>5.2039999999999997</v>
      </c>
      <c r="AQ14" s="4">
        <f t="shared" si="8"/>
        <v>2008</v>
      </c>
      <c r="AR14" s="356">
        <v>39692</v>
      </c>
      <c r="AS14" s="4">
        <f t="shared" si="9"/>
        <v>12.238</v>
      </c>
      <c r="AT14" s="4">
        <v>12.278</v>
      </c>
      <c r="AU14" s="4">
        <v>12.198</v>
      </c>
      <c r="AV14" s="515">
        <f t="shared" si="1"/>
        <v>2015</v>
      </c>
      <c r="AW14" s="535">
        <v>42064</v>
      </c>
      <c r="AX14" s="515">
        <f t="shared" si="2"/>
        <v>2.2695967741935492</v>
      </c>
      <c r="AY14" s="596">
        <f>'[12]Forward Price Curve'!AE95</f>
        <v>2.3482258064516142</v>
      </c>
      <c r="AZ14" s="596">
        <f>'[12]Forward Price Curve'!AD95</f>
        <v>2.1909677419354838</v>
      </c>
      <c r="BA14" s="629">
        <f t="shared" si="3"/>
        <v>2018</v>
      </c>
      <c r="BB14" s="633">
        <v>43160</v>
      </c>
      <c r="BC14" s="629">
        <f t="shared" si="4"/>
        <v>2.0997580645161289</v>
      </c>
      <c r="BD14" s="634">
        <f>[13]Prices!AO11</f>
        <v>2.1046774193548385</v>
      </c>
      <c r="BE14" s="634">
        <f>[13]Prices!AP11</f>
        <v>2.0948387096774188</v>
      </c>
      <c r="BR14" s="4">
        <v>2006</v>
      </c>
      <c r="BS14" s="433">
        <v>4</v>
      </c>
      <c r="BT14" s="433">
        <v>3.82</v>
      </c>
    </row>
    <row r="15" spans="1:73">
      <c r="C15" s="291">
        <v>2006</v>
      </c>
      <c r="D15" s="209">
        <f t="array" ref="D15">SUM((V$15:V$383)*(Y$15:Y$383)*($T$15:$T$383=$C15))/SUM((Y$15:Y$383)*($T$15:$T$383=$C15))</f>
        <v>63.181907438047965</v>
      </c>
      <c r="E15" s="209">
        <f t="array" ref="E15">SUM((W$15:W$383)*(Z$15:Z$383)*($T$15:$T$383=$C15))/SUM((Z$15:Z$383)*($T$15:$T$383=$C15))</f>
        <v>52.032510758615423</v>
      </c>
      <c r="F15" s="209">
        <f t="array" ref="F15">(SUM((X$15:X$383)*(Y$15:Y$383)*($T$15:$T$383=$C15))+SUM((X$15:X$383)*(Z$15:Z$383)*($T$15:$T$383=$C15)))/(SUM((Y$15:Y$383)*($T$15:$T$383=$C15))+SUM((Z$15:Z$383)*($T$15:$T$383=$C15)))</f>
        <v>58.381097201280845</v>
      </c>
      <c r="G15" s="530"/>
      <c r="H15" s="625"/>
      <c r="I15" s="209">
        <f>(SUM((AH$15:AH$383)*(Y$15:Y$383)*($T$15:$T$383=$C15))+SUM((AH$15:AH$383)*(Z$15:Z$383)*($T$15:$T$383=$C15)))/(SUM((Y$15:Y$383)*($T$15:$T$383=$C15))+SUM((Z$15:Z$383)*($T$15:$T$383=$C15)))</f>
        <v>8.9348112271618962</v>
      </c>
      <c r="J15" s="276">
        <f t="shared" si="5"/>
        <v>4</v>
      </c>
      <c r="K15" s="209">
        <f t="shared" si="10"/>
        <v>5.0513097146666661</v>
      </c>
      <c r="L15" s="209"/>
      <c r="M15" s="531">
        <f>'[14]Extended Forecast'!D15</f>
        <v>3.2000000000000001E-2</v>
      </c>
      <c r="N15" s="628">
        <f>'[15]Extended Forecast'!K15</f>
        <v>3.2000000000000001E-2</v>
      </c>
      <c r="O15" s="210">
        <v>3.1E-2</v>
      </c>
      <c r="P15" s="210"/>
      <c r="Q15" s="357">
        <f t="shared" ref="Q15" si="11">Q16/(1+O15)</f>
        <v>4.9466537342386037</v>
      </c>
      <c r="T15" s="4">
        <f>+YEAR(U15)</f>
        <v>2006</v>
      </c>
      <c r="U15" s="434">
        <v>38718</v>
      </c>
      <c r="V15" s="435">
        <f>V27/(1+$O$15)</f>
        <v>78.040737148399614</v>
      </c>
      <c r="W15" s="435">
        <f>W27/(1+$O$15)</f>
        <v>70.305528612997094</v>
      </c>
      <c r="X15" s="357">
        <f t="shared" ref="X15:X22" si="12">V15*0.57+W15*0.43</f>
        <v>74.714597478176529</v>
      </c>
      <c r="Y15" s="343">
        <v>400</v>
      </c>
      <c r="Z15" s="343">
        <v>344</v>
      </c>
      <c r="AA15" s="343">
        <f>Y15/(Y15+Z15)</f>
        <v>0.5376344086021505</v>
      </c>
      <c r="AB15" s="343">
        <f>Z15/(Y15+Z15)</f>
        <v>0.46236559139784944</v>
      </c>
      <c r="AF15" s="4">
        <f t="shared" ref="AF15:AF26" si="13">+YEAR(AG15)</f>
        <v>2006</v>
      </c>
      <c r="AG15" s="432">
        <v>38718</v>
      </c>
      <c r="AH15" s="149">
        <f>AI15</f>
        <v>8.9348112271618962</v>
      </c>
      <c r="AI15" s="150">
        <f>AI27/(1+$O$15)</f>
        <v>8.9348112271618962</v>
      </c>
      <c r="AK15" s="4">
        <f t="shared" si="6"/>
        <v>2004</v>
      </c>
      <c r="AL15" s="432">
        <v>38321</v>
      </c>
      <c r="AM15" s="4">
        <f t="shared" si="7"/>
        <v>5.8505496689999994</v>
      </c>
      <c r="AN15" s="4">
        <v>5.8830993380000001</v>
      </c>
      <c r="AO15" s="4">
        <v>5.8179999999999996</v>
      </c>
      <c r="AQ15" s="4">
        <f t="shared" si="8"/>
        <v>2008</v>
      </c>
      <c r="AR15" s="356">
        <v>39722</v>
      </c>
      <c r="AS15" s="4">
        <f t="shared" si="9"/>
        <v>12.463750000000001</v>
      </c>
      <c r="AT15" s="4">
        <v>12.28</v>
      </c>
      <c r="AU15" s="4">
        <v>12.647500000000001</v>
      </c>
      <c r="AV15" s="515">
        <f t="shared" si="1"/>
        <v>2015</v>
      </c>
      <c r="AW15" s="535">
        <v>42095</v>
      </c>
      <c r="AX15" s="515">
        <f t="shared" si="2"/>
        <v>2.2114166666666675</v>
      </c>
      <c r="AY15" s="596">
        <f>'[12]Forward Price Curve'!AE96</f>
        <v>2.260333333333334</v>
      </c>
      <c r="AZ15" s="596">
        <f>'[12]Forward Price Curve'!AD96</f>
        <v>2.1625000000000005</v>
      </c>
      <c r="BA15" s="629">
        <f t="shared" si="3"/>
        <v>2018</v>
      </c>
      <c r="BB15" s="633">
        <v>43191</v>
      </c>
      <c r="BC15" s="629">
        <f t="shared" si="4"/>
        <v>1.9435833333333334</v>
      </c>
      <c r="BD15" s="634">
        <f>[13]Prices!AO12</f>
        <v>1.9496666666666667</v>
      </c>
      <c r="BE15" s="634">
        <f>[13]Prices!AP12</f>
        <v>1.9375000000000002</v>
      </c>
      <c r="BG15" s="4" t="s">
        <v>101</v>
      </c>
      <c r="BR15" s="4">
        <v>2007</v>
      </c>
      <c r="BS15" s="433">
        <v>4.22</v>
      </c>
      <c r="BT15" s="433">
        <v>4.04</v>
      </c>
    </row>
    <row r="16" spans="1:73">
      <c r="C16" s="4">
        <f>+C15+1</f>
        <v>2007</v>
      </c>
      <c r="D16" s="209">
        <f t="array" ref="D16">SUM((V$15:V$383)*(Y$15:Y$383)*($T$15:$T$383=$C16))/SUM((Y$15:Y$383)*($T$15:$T$383=$C16))</f>
        <v>69.601889250814324</v>
      </c>
      <c r="E16" s="209">
        <f t="array" ref="E16">SUM((W$15:W$383)*(Z$15:Z$383)*($T$15:$T$383=$C16))/SUM((Z$15:Z$383)*($T$15:$T$383=$C16))</f>
        <v>57.56770270270269</v>
      </c>
      <c r="F16" s="209">
        <f t="array" ref="F16">(SUM((X$15:X$383)*(Y$15:Y$383)*($T$15:$T$383=$C16))+SUM((X$15:X$383)*(Z$15:Z$383)*($T$15:$T$383=$C16)))/(SUM((Y$15:Y$383)*($T$15:$T$383=$C16))+SUM((Z$15:Z$383)*($T$15:$T$383=$C16)))</f>
        <v>64.461059246575331</v>
      </c>
      <c r="G16" s="530"/>
      <c r="H16" s="625"/>
      <c r="I16" s="209">
        <f t="array" ref="I16">(SUM((AH$15:AH$383)*(Y$15:Y$383)*($T$15:$T$383=$C16))+SUM((AH$15:AH$383)*(Z$15:Z$383)*($T$15:$T$383=$C16)))/(SUM((Y$15:Y$383)*($T$15:$T$383=$C16))+SUM((Z$15:Z$383)*($T$15:$T$383=$C16)))</f>
        <v>8.0291312655031408</v>
      </c>
      <c r="J16" s="276">
        <f t="shared" si="5"/>
        <v>4.22</v>
      </c>
      <c r="K16" s="209">
        <f t="shared" si="10"/>
        <v>4.6075531055833343</v>
      </c>
      <c r="L16" s="276"/>
      <c r="M16" s="531">
        <f>'[14]Extended Forecast'!D16</f>
        <v>2.9000000000000001E-2</v>
      </c>
      <c r="N16" s="628">
        <f>'[15]Extended Forecast'!K16</f>
        <v>2.9000000000000001E-2</v>
      </c>
      <c r="O16" s="210">
        <v>1.9E-2</v>
      </c>
      <c r="P16" s="210"/>
      <c r="Q16" s="357">
        <v>5.0999999999999996</v>
      </c>
      <c r="T16" s="4">
        <f t="shared" ref="T16:T79" si="14">+YEAR(U16)</f>
        <v>2006</v>
      </c>
      <c r="U16" s="434">
        <f t="shared" ref="U16:U27" si="15">EOMONTH(U15,0)+1</f>
        <v>38749</v>
      </c>
      <c r="V16" s="435">
        <f t="shared" ref="V16:W22" si="16">V28/(1+$O$15)</f>
        <v>73.705140640155193</v>
      </c>
      <c r="W16" s="435">
        <f t="shared" si="16"/>
        <v>66.435499515033953</v>
      </c>
      <c r="X16" s="357">
        <f t="shared" si="12"/>
        <v>70.579194956353049</v>
      </c>
      <c r="Y16" s="343">
        <v>384</v>
      </c>
      <c r="Z16" s="343">
        <v>288</v>
      </c>
      <c r="AA16" s="343">
        <f t="shared" ref="AA16:AA79" si="17">Y16/(Y16+Z16)</f>
        <v>0.5714285714285714</v>
      </c>
      <c r="AB16" s="343">
        <f t="shared" ref="AB16:AB79" si="18">Z16/(Y16+Z16)</f>
        <v>0.42857142857142855</v>
      </c>
      <c r="AF16" s="4">
        <f t="shared" si="13"/>
        <v>2006</v>
      </c>
      <c r="AG16" s="432">
        <v>38749</v>
      </c>
      <c r="AH16" s="149">
        <f t="shared" ref="AH16:AH79" si="19">AI16</f>
        <v>8.9760162003450414</v>
      </c>
      <c r="AI16" s="150">
        <f t="shared" ref="AI16:AI21" si="20">AI28/(1+$O$15)</f>
        <v>8.9760162003450414</v>
      </c>
      <c r="AK16" s="4">
        <f t="shared" si="6"/>
        <v>2004</v>
      </c>
      <c r="AL16" s="432">
        <v>38352</v>
      </c>
      <c r="AM16" s="4">
        <f t="shared" si="7"/>
        <v>6.0795496690000004</v>
      </c>
      <c r="AN16" s="4">
        <v>6.1120993380000002</v>
      </c>
      <c r="AO16" s="4">
        <v>6.0469999999999997</v>
      </c>
      <c r="AQ16" s="4">
        <f t="shared" si="8"/>
        <v>2008</v>
      </c>
      <c r="AR16" s="356">
        <v>39753</v>
      </c>
      <c r="AS16" s="4">
        <f t="shared" si="9"/>
        <v>12.91625</v>
      </c>
      <c r="AT16" s="4">
        <v>12.545</v>
      </c>
      <c r="AU16" s="4">
        <v>13.2875</v>
      </c>
      <c r="AV16" s="515">
        <f t="shared" si="1"/>
        <v>2015</v>
      </c>
      <c r="AW16" s="535">
        <v>42125</v>
      </c>
      <c r="AX16" s="515">
        <f t="shared" si="2"/>
        <v>2.4567741935483864</v>
      </c>
      <c r="AY16" s="596">
        <f>'[12]Forward Price Curve'!AE97</f>
        <v>2.5498387096774193</v>
      </c>
      <c r="AZ16" s="596">
        <f>'[12]Forward Price Curve'!AD97</f>
        <v>2.363709677419354</v>
      </c>
      <c r="BA16" s="629">
        <f t="shared" si="3"/>
        <v>2018</v>
      </c>
      <c r="BB16" s="633">
        <v>43221</v>
      </c>
      <c r="BC16" s="629">
        <f t="shared" si="4"/>
        <v>1.5073387096774196</v>
      </c>
      <c r="BD16" s="634">
        <f>[13]Prices!AO13</f>
        <v>1.6269354838709678</v>
      </c>
      <c r="BE16" s="634">
        <f>[13]Prices!AP13</f>
        <v>1.3877419354838714</v>
      </c>
      <c r="BG16" s="4" t="s">
        <v>102</v>
      </c>
      <c r="BR16" s="4">
        <v>2008</v>
      </c>
      <c r="BS16" s="433">
        <v>4.42</v>
      </c>
      <c r="BT16" s="433">
        <v>4.26</v>
      </c>
    </row>
    <row r="17" spans="3:72">
      <c r="C17" s="4">
        <f>+C16+1</f>
        <v>2008</v>
      </c>
      <c r="D17" s="209">
        <f t="array" ref="D17">SUM((V$15:V$383)*(Y$15:Y$383)*($T$15:$T$383=$C17))/SUM((Y$15:Y$383)*($T$15:$T$383=$C17))</f>
        <v>69.778360389610398</v>
      </c>
      <c r="E17" s="209">
        <f t="array" ref="E17">SUM((W$15:W$383)*(Z$15:Z$383)*($T$15:$T$383=$C17))/SUM((Z$15:Z$383)*($T$15:$T$383=$C17))</f>
        <v>57.537904564315362</v>
      </c>
      <c r="F17" s="209">
        <f t="array" ref="F17">(SUM((X$15:X$383)*(Y$15:Y$383)*($T$15:$T$383=$C17))+SUM((X$15:X$383)*(Z$15:Z$383)*($T$15:$T$383=$C17)))/(SUM((Y$15:Y$383)*($T$15:$T$383=$C17))+SUM((Z$15:Z$383)*($T$15:$T$383=$C17)))</f>
        <v>64.5269524590164</v>
      </c>
      <c r="G17" s="530"/>
      <c r="H17" s="625"/>
      <c r="I17" s="209">
        <f t="array" ref="I17">(SUM((AH$15:AH$383)*(Y$15:Y$383)*($T$15:$T$383=$C17))+SUM((AH$15:AH$383)*(Z$15:Z$383)*($T$15:$T$383=$C17)))/(SUM((Y$15:Y$383)*($T$15:$T$383=$C17))+SUM((Z$15:Z$383)*($T$15:$T$383=$C17)))</f>
        <v>7.9707205782722266</v>
      </c>
      <c r="J17" s="276">
        <f t="shared" si="5"/>
        <v>4.42</v>
      </c>
      <c r="K17" s="209">
        <f t="shared" si="10"/>
        <v>4.278110837291667</v>
      </c>
      <c r="L17" s="276">
        <f>AVERAGEIF($AQ$12:$AQ$383,$C17,$AS$12:$AS$383)</f>
        <v>12.545583333333333</v>
      </c>
      <c r="M17" s="531">
        <f>'[14]Extended Forecast'!D17</f>
        <v>0.03</v>
      </c>
      <c r="N17" s="628">
        <f>'[15]Extended Forecast'!K17</f>
        <v>0.03</v>
      </c>
      <c r="O17" s="210">
        <v>1.7000000000000001E-2</v>
      </c>
      <c r="P17" s="210">
        <v>3.4000000000000002E-2</v>
      </c>
      <c r="Q17" s="357">
        <f t="shared" ref="Q17:Q44" si="21">Q16*(1+O17)</f>
        <v>5.1866999999999992</v>
      </c>
      <c r="T17" s="4">
        <f t="shared" si="14"/>
        <v>2006</v>
      </c>
      <c r="U17" s="434">
        <f t="shared" si="15"/>
        <v>38777</v>
      </c>
      <c r="V17" s="435">
        <f t="shared" si="16"/>
        <v>65.03394762366635</v>
      </c>
      <c r="W17" s="435">
        <f t="shared" si="16"/>
        <v>56.760426770126102</v>
      </c>
      <c r="X17" s="357">
        <f t="shared" si="12"/>
        <v>61.476333656644037</v>
      </c>
      <c r="Y17" s="343">
        <v>432</v>
      </c>
      <c r="Z17" s="343">
        <v>312</v>
      </c>
      <c r="AA17" s="343">
        <f t="shared" si="17"/>
        <v>0.58064516129032262</v>
      </c>
      <c r="AB17" s="343">
        <f t="shared" si="18"/>
        <v>0.41935483870967744</v>
      </c>
      <c r="AF17" s="4">
        <f t="shared" si="13"/>
        <v>2006</v>
      </c>
      <c r="AG17" s="432">
        <v>38777</v>
      </c>
      <c r="AH17" s="149">
        <f t="shared" si="19"/>
        <v>8.8260300979583945</v>
      </c>
      <c r="AI17" s="150">
        <f t="shared" si="20"/>
        <v>8.8260300979583945</v>
      </c>
      <c r="AK17" s="4">
        <f t="shared" si="6"/>
        <v>2005</v>
      </c>
      <c r="AL17" s="432">
        <v>38383</v>
      </c>
      <c r="AM17" s="4">
        <f t="shared" si="7"/>
        <v>6.2105496690000006</v>
      </c>
      <c r="AN17" s="4">
        <v>6.2430993380000004</v>
      </c>
      <c r="AO17" s="4">
        <v>6.1779999999999999</v>
      </c>
      <c r="AQ17" s="4">
        <f t="shared" si="8"/>
        <v>2008</v>
      </c>
      <c r="AR17" s="356">
        <v>39783</v>
      </c>
      <c r="AS17" s="4">
        <f t="shared" si="9"/>
        <v>13.66</v>
      </c>
      <c r="AT17" s="4">
        <v>13.125</v>
      </c>
      <c r="AU17" s="4">
        <v>14.195</v>
      </c>
      <c r="AV17" s="515">
        <f t="shared" si="1"/>
        <v>2015</v>
      </c>
      <c r="AW17" s="535">
        <v>42156</v>
      </c>
      <c r="AX17" s="515">
        <f t="shared" si="2"/>
        <v>2.3834166666666672</v>
      </c>
      <c r="AY17" s="596">
        <f>'[12]Forward Price Curve'!AE98</f>
        <v>2.5126666666666675</v>
      </c>
      <c r="AZ17" s="596">
        <f>'[12]Forward Price Curve'!AD98</f>
        <v>2.2541666666666669</v>
      </c>
      <c r="BA17" s="629">
        <f t="shared" si="3"/>
        <v>2018</v>
      </c>
      <c r="BB17" s="633">
        <v>43252</v>
      </c>
      <c r="BC17" s="629">
        <f t="shared" si="4"/>
        <v>1.7749999999999999</v>
      </c>
      <c r="BD17" s="634">
        <f>[13]Prices!AO14</f>
        <v>2.0499999999999998</v>
      </c>
      <c r="BE17" s="634">
        <f>[13]Prices!AP14</f>
        <v>1.5</v>
      </c>
      <c r="BG17" s="4" t="s">
        <v>103</v>
      </c>
      <c r="BR17" s="4">
        <v>2009</v>
      </c>
      <c r="BS17" s="433">
        <v>4.29</v>
      </c>
      <c r="BT17" s="433">
        <v>4.1399999999999997</v>
      </c>
    </row>
    <row r="18" spans="3:72">
      <c r="C18" s="4">
        <f t="shared" ref="C18:C60" si="22">+C17+1</f>
        <v>2009</v>
      </c>
      <c r="D18" s="209">
        <f t="array" ref="D18">SUM((V$15:V$383)*(Y$15:Y$383)*($T$15:$T$383=$C18))/SUM((Y$15:Y$383)*($T$15:$T$383=$C18))</f>
        <v>66.730374592833869</v>
      </c>
      <c r="E18" s="209">
        <f t="array" ref="E18">SUM((W$15:W$383)*(Z$15:Z$383)*($T$15:$T$383=$C18))/SUM((Z$15:Z$383)*($T$15:$T$383=$C18))</f>
        <v>54.76019750519751</v>
      </c>
      <c r="F18" s="209">
        <f t="array" ref="F18">(SUM((X$15:X$383)*(Y$15:Y$383)*($T$15:$T$383=$C18))+SUM((X$15:X$383)*(Z$15:Z$383)*($T$15:$T$383=$C18)))/(SUM((Y$15:Y$383)*($T$15:$T$383=$C18))+SUM((Z$15:Z$383)*($T$15:$T$383=$C18)))</f>
        <v>61.597048630136982</v>
      </c>
      <c r="G18" s="530"/>
      <c r="H18" s="625"/>
      <c r="I18" s="209">
        <f t="array" ref="I18">(SUM((AH$15:AH$383)*(Y$15:Y$383)*($T$15:$T$383=$C18))+SUM((AH$15:AH$383)*(Z$15:Z$383)*($T$15:$T$383=$C18)))/(SUM((Y$15:Y$383)*($T$15:$T$383=$C18))+SUM((Z$15:Z$383)*($T$15:$T$383=$C18)))</f>
        <v>7.7758276535043622</v>
      </c>
      <c r="J18" s="276">
        <f t="shared" si="5"/>
        <v>4.29</v>
      </c>
      <c r="K18" s="209">
        <f t="shared" si="10"/>
        <v>4.2066481892916672</v>
      </c>
      <c r="L18" s="276">
        <f t="shared" ref="L18:L46" si="23">AVERAGEIF($AQ$12:$AQ$383,$C18,$AS$12:$AS$383)</f>
        <v>11.848729166666667</v>
      </c>
      <c r="M18" s="531">
        <f>'[14]Extended Forecast'!D18</f>
        <v>3.0000000000000001E-3</v>
      </c>
      <c r="N18" s="628">
        <f>'[15]Extended Forecast'!K18</f>
        <v>3.0000000000000001E-3</v>
      </c>
      <c r="O18" s="210">
        <v>1.7000000000000001E-2</v>
      </c>
      <c r="P18" s="210">
        <v>2.1999999999999999E-2</v>
      </c>
      <c r="Q18" s="357">
        <f t="shared" si="21"/>
        <v>5.2748738999999985</v>
      </c>
      <c r="T18" s="4">
        <f t="shared" si="14"/>
        <v>2006</v>
      </c>
      <c r="U18" s="434">
        <f t="shared" si="15"/>
        <v>38808</v>
      </c>
      <c r="V18" s="435">
        <f t="shared" si="16"/>
        <v>56.74102812803104</v>
      </c>
      <c r="W18" s="435">
        <f t="shared" si="16"/>
        <v>41.610087293889428</v>
      </c>
      <c r="X18" s="357">
        <f t="shared" si="12"/>
        <v>50.234723569350152</v>
      </c>
      <c r="Y18" s="343">
        <v>400</v>
      </c>
      <c r="Z18" s="343">
        <v>320</v>
      </c>
      <c r="AA18" s="343">
        <f t="shared" si="17"/>
        <v>0.55555555555555558</v>
      </c>
      <c r="AB18" s="343">
        <f t="shared" si="18"/>
        <v>0.44444444444444442</v>
      </c>
      <c r="AF18" s="4">
        <f t="shared" si="13"/>
        <v>2006</v>
      </c>
      <c r="AG18" s="432">
        <v>38808</v>
      </c>
      <c r="AH18" s="149">
        <f t="shared" si="19"/>
        <v>6.9779046407480143</v>
      </c>
      <c r="AI18" s="150">
        <f t="shared" si="20"/>
        <v>6.9779046407480143</v>
      </c>
      <c r="AK18" s="4">
        <f t="shared" si="6"/>
        <v>2005</v>
      </c>
      <c r="AL18" s="432">
        <v>38411</v>
      </c>
      <c r="AM18" s="4">
        <f t="shared" si="7"/>
        <v>6.1605496689999999</v>
      </c>
      <c r="AN18" s="4">
        <v>6.1930993379999997</v>
      </c>
      <c r="AO18" s="4">
        <v>6.1280000000000001</v>
      </c>
      <c r="AQ18" s="4">
        <f t="shared" si="8"/>
        <v>2009</v>
      </c>
      <c r="AR18" s="356">
        <v>39814</v>
      </c>
      <c r="AS18" s="4">
        <f t="shared" si="9"/>
        <v>13.9175</v>
      </c>
      <c r="AT18" s="4">
        <v>13.315</v>
      </c>
      <c r="AU18" s="4">
        <v>14.52</v>
      </c>
      <c r="AV18" s="515">
        <f t="shared" si="1"/>
        <v>2015</v>
      </c>
      <c r="AW18" s="535">
        <v>42186</v>
      </c>
      <c r="AX18" s="515">
        <f t="shared" si="2"/>
        <v>2.4612096774193546</v>
      </c>
      <c r="AY18" s="596">
        <f>'[12]Forward Price Curve'!AE99</f>
        <v>2.6649999999999996</v>
      </c>
      <c r="AZ18" s="596">
        <f>'[12]Forward Price Curve'!AD99</f>
        <v>2.2574193548387096</v>
      </c>
      <c r="BA18" s="629">
        <f t="shared" si="3"/>
        <v>2018</v>
      </c>
      <c r="BB18" s="633">
        <v>43282</v>
      </c>
      <c r="BC18" s="629">
        <f t="shared" si="4"/>
        <v>2.2631451612903226</v>
      </c>
      <c r="BD18" s="634">
        <f>[13]Prices!AO15</f>
        <v>2.3737096774193547</v>
      </c>
      <c r="BE18" s="634">
        <f>[13]Prices!AP15</f>
        <v>2.1525806451612906</v>
      </c>
      <c r="BG18" s="4" t="s">
        <v>104</v>
      </c>
      <c r="BR18" s="4">
        <v>2010</v>
      </c>
      <c r="BS18" s="433">
        <v>3.77</v>
      </c>
      <c r="BT18" s="433">
        <v>3.65</v>
      </c>
    </row>
    <row r="19" spans="3:72">
      <c r="C19" s="4">
        <f t="shared" si="22"/>
        <v>2010</v>
      </c>
      <c r="D19" s="209">
        <f t="array" ref="D19">SUM((V$15:V$383)*(Y$15:Y$383)*($T$15:$T$383=$C19))/SUM((Y$15:Y$383)*($T$15:$T$383=$C19))</f>
        <v>62.227996742671003</v>
      </c>
      <c r="E19" s="209">
        <f t="array" ref="E19">SUM((W$15:W$383)*(Z$15:Z$383)*($T$15:$T$383=$C19))/SUM((Z$15:Z$383)*($T$15:$T$383=$C19))</f>
        <v>51.022224532224534</v>
      </c>
      <c r="F19" s="209">
        <f t="array" ref="F19">(SUM((X$15:X$383)*(Y$15:Y$383)*($T$15:$T$383=$C19))+SUM((X$15:X$383)*(Z$15:Z$383)*($T$15:$T$383=$C19)))/(SUM((Y$15:Y$383)*($T$15:$T$383=$C19))+SUM((Z$15:Z$383)*($T$15:$T$383=$C19)))</f>
        <v>57.41954863013698</v>
      </c>
      <c r="G19" s="530"/>
      <c r="H19" s="625"/>
      <c r="I19" s="209">
        <f t="array" ref="I19">(SUM((AH$15:AH$383)*(Y$15:Y$383)*($T$15:$T$383=$C19))+SUM((AH$15:AH$383)*(Z$15:Z$383)*($T$15:$T$383=$C19)))/(SUM((Y$15:Y$383)*($T$15:$T$383=$C19))+SUM((Z$15:Z$383)*($T$15:$T$383=$C19)))</f>
        <v>7.4774457529777205</v>
      </c>
      <c r="J19" s="276">
        <f t="shared" si="5"/>
        <v>3.77</v>
      </c>
      <c r="K19" s="209">
        <f t="shared" si="10"/>
        <v>4.3357920622499995</v>
      </c>
      <c r="L19" s="276">
        <f t="shared" si="23"/>
        <v>10.836874999999999</v>
      </c>
      <c r="M19" s="531">
        <f>'[14]Extended Forecast'!D19</f>
        <v>1.2999999999999999E-2</v>
      </c>
      <c r="N19" s="628">
        <f>'[15]Extended Forecast'!K19</f>
        <v>1.2999999999999999E-2</v>
      </c>
      <c r="O19" s="210">
        <v>1.9E-2</v>
      </c>
      <c r="P19" s="210">
        <v>1.7000000000000001E-2</v>
      </c>
      <c r="Q19" s="357">
        <f t="shared" si="21"/>
        <v>5.3750965040999983</v>
      </c>
      <c r="T19" s="4">
        <f t="shared" si="14"/>
        <v>2006</v>
      </c>
      <c r="U19" s="434">
        <f t="shared" si="15"/>
        <v>38838</v>
      </c>
      <c r="V19" s="435">
        <f t="shared" si="16"/>
        <v>46.556741028128037</v>
      </c>
      <c r="W19" s="435">
        <f t="shared" si="16"/>
        <v>31.901066925315231</v>
      </c>
      <c r="X19" s="357">
        <f t="shared" si="12"/>
        <v>40.254801163918529</v>
      </c>
      <c r="Y19" s="343">
        <v>416</v>
      </c>
      <c r="Z19" s="343">
        <v>328</v>
      </c>
      <c r="AA19" s="343">
        <f t="shared" si="17"/>
        <v>0.55913978494623651</v>
      </c>
      <c r="AB19" s="343">
        <f t="shared" si="18"/>
        <v>0.44086021505376344</v>
      </c>
      <c r="AF19" s="4">
        <f t="shared" si="13"/>
        <v>2006</v>
      </c>
      <c r="AG19" s="432">
        <v>38838</v>
      </c>
      <c r="AH19" s="149">
        <f t="shared" si="19"/>
        <v>6.8295667372886948</v>
      </c>
      <c r="AI19" s="150">
        <f>AI31/(1+$O$15)</f>
        <v>6.8295667372886948</v>
      </c>
      <c r="AK19" s="4">
        <f t="shared" si="6"/>
        <v>2005</v>
      </c>
      <c r="AL19" s="432">
        <v>38442</v>
      </c>
      <c r="AM19" s="4">
        <f t="shared" si="7"/>
        <v>6.0055496690000005</v>
      </c>
      <c r="AN19" s="4">
        <v>6.0380993380000003</v>
      </c>
      <c r="AO19" s="4">
        <v>5.9729999999999999</v>
      </c>
      <c r="AQ19" s="4">
        <f t="shared" si="8"/>
        <v>2009</v>
      </c>
      <c r="AR19" s="356">
        <v>39845</v>
      </c>
      <c r="AS19" s="4">
        <f t="shared" si="9"/>
        <v>13.906749999999999</v>
      </c>
      <c r="AT19" s="4">
        <v>13.3255</v>
      </c>
      <c r="AU19" s="4">
        <v>14.488</v>
      </c>
      <c r="AV19" s="515">
        <f t="shared" si="1"/>
        <v>2015</v>
      </c>
      <c r="AW19" s="535">
        <v>42217</v>
      </c>
      <c r="AX19" s="515">
        <f t="shared" si="2"/>
        <v>2.5201612903225805</v>
      </c>
      <c r="AY19" s="596">
        <f>'[12]Forward Price Curve'!AE100</f>
        <v>2.5983870967741929</v>
      </c>
      <c r="AZ19" s="596">
        <f>'[12]Forward Price Curve'!AD100</f>
        <v>2.4419354838709681</v>
      </c>
      <c r="BA19" s="629">
        <f t="shared" si="3"/>
        <v>2018</v>
      </c>
      <c r="BB19" s="633">
        <v>43313</v>
      </c>
      <c r="BC19" s="629">
        <f t="shared" si="4"/>
        <v>2.4433064516129042</v>
      </c>
      <c r="BD19" s="634">
        <f>[13]Prices!AO16</f>
        <v>2.5282258064516143</v>
      </c>
      <c r="BE19" s="634">
        <f>[13]Prices!AP16</f>
        <v>2.358387096774194</v>
      </c>
      <c r="BR19" s="4">
        <v>2011</v>
      </c>
      <c r="BS19" s="433">
        <v>3.91</v>
      </c>
      <c r="BT19" s="433">
        <v>4.01</v>
      </c>
    </row>
    <row r="20" spans="3:72">
      <c r="C20" s="4">
        <f t="shared" si="22"/>
        <v>2011</v>
      </c>
      <c r="D20" s="209">
        <f t="array" ref="D20">SUM((V$15:V$383)*(Y$15:Y$383)*($T$15:$T$383=$C20))/SUM((Y$15:Y$383)*($T$15:$T$383=$C20))</f>
        <v>58.269169381107488</v>
      </c>
      <c r="E20" s="209">
        <f t="array" ref="E20">SUM((W$15:W$383)*(Z$15:Z$383)*($T$15:$T$383=$C20))/SUM((Z$15:Z$383)*($T$15:$T$383=$C20))</f>
        <v>47.480977130977131</v>
      </c>
      <c r="F20" s="209">
        <f t="array" ref="F20">(SUM((X$15:X$383)*(Y$15:Y$383)*($T$15:$T$383=$C20))+SUM((X$15:X$383)*(Z$15:Z$383)*($T$15:$T$383=$C20)))/(SUM((Y$15:Y$383)*($T$15:$T$383=$C20))+SUM((Z$15:Z$383)*($T$15:$T$383=$C20)))</f>
        <v>53.634548630136983</v>
      </c>
      <c r="G20" s="530"/>
      <c r="H20" s="625"/>
      <c r="I20" s="209">
        <f t="array" ref="I20">(SUM((AH$15:AH$383)*(Y$15:Y$383)*($T$15:$T$383=$C20))+SUM((AH$15:AH$383)*(Z$15:Z$383)*($T$15:$T$383=$C20)))/(SUM((Y$15:Y$383)*($T$15:$T$383=$C20))+SUM((Z$15:Z$383)*($T$15:$T$383=$C20)))</f>
        <v>7.0821436233211914</v>
      </c>
      <c r="J20" s="276">
        <f t="shared" si="5"/>
        <v>3.91</v>
      </c>
      <c r="K20" s="209">
        <f t="shared" si="10"/>
        <v>4.395833333333333</v>
      </c>
      <c r="L20" s="276">
        <f t="shared" si="23"/>
        <v>10.419479166666667</v>
      </c>
      <c r="M20" s="531">
        <f>'[14]Extended Forecast'!D20</f>
        <v>2.5999999999999999E-2</v>
      </c>
      <c r="N20" s="628">
        <f>'[15]Extended Forecast'!K20</f>
        <v>2.5999999999999999E-2</v>
      </c>
      <c r="O20" s="210">
        <v>1.9E-2</v>
      </c>
      <c r="P20" s="210">
        <v>1.9E-2</v>
      </c>
      <c r="Q20" s="357">
        <f t="shared" si="21"/>
        <v>5.4772233376778976</v>
      </c>
      <c r="T20" s="4">
        <f t="shared" si="14"/>
        <v>2006</v>
      </c>
      <c r="U20" s="434">
        <f t="shared" si="15"/>
        <v>38869</v>
      </c>
      <c r="V20" s="435">
        <f t="shared" si="16"/>
        <v>43.161978661493698</v>
      </c>
      <c r="W20" s="435">
        <f t="shared" si="16"/>
        <v>30.514064015518915</v>
      </c>
      <c r="X20" s="357">
        <f t="shared" si="12"/>
        <v>37.723375363724536</v>
      </c>
      <c r="Y20" s="343">
        <v>416</v>
      </c>
      <c r="Z20" s="343">
        <v>304</v>
      </c>
      <c r="AA20" s="343">
        <f t="shared" si="17"/>
        <v>0.57777777777777772</v>
      </c>
      <c r="AB20" s="343">
        <f t="shared" si="18"/>
        <v>0.42222222222222222</v>
      </c>
      <c r="AF20" s="4">
        <f t="shared" si="13"/>
        <v>2006</v>
      </c>
      <c r="AG20" s="432">
        <v>38869</v>
      </c>
      <c r="AH20" s="149">
        <f t="shared" si="19"/>
        <v>6.9122733594619028</v>
      </c>
      <c r="AI20" s="150">
        <f t="shared" si="20"/>
        <v>6.9122733594619028</v>
      </c>
      <c r="AK20" s="4">
        <f t="shared" si="6"/>
        <v>2005</v>
      </c>
      <c r="AL20" s="432">
        <v>38472</v>
      </c>
      <c r="AM20" s="4">
        <f t="shared" si="7"/>
        <v>5.3331220135000006</v>
      </c>
      <c r="AN20" s="4">
        <v>5.4254084110000003</v>
      </c>
      <c r="AO20" s="4">
        <v>5.240835616</v>
      </c>
      <c r="AQ20" s="4">
        <f t="shared" si="8"/>
        <v>2009</v>
      </c>
      <c r="AR20" s="356">
        <v>39873</v>
      </c>
      <c r="AS20" s="4">
        <f t="shared" si="9"/>
        <v>13.205</v>
      </c>
      <c r="AT20" s="4">
        <v>13.01</v>
      </c>
      <c r="AU20" s="4">
        <v>13.4</v>
      </c>
      <c r="AV20" s="515">
        <f t="shared" si="1"/>
        <v>2015</v>
      </c>
      <c r="AW20" s="535">
        <v>42248</v>
      </c>
      <c r="AX20" s="515">
        <f t="shared" si="2"/>
        <v>2.5133333333333328</v>
      </c>
      <c r="AY20" s="596">
        <f>'[12]Forward Price Curve'!AE101</f>
        <v>2.529833333333332</v>
      </c>
      <c r="AZ20" s="596">
        <f>'[12]Forward Price Curve'!AD101</f>
        <v>2.4968333333333339</v>
      </c>
      <c r="BA20" s="629">
        <f t="shared" si="3"/>
        <v>2018</v>
      </c>
      <c r="BB20" s="633">
        <v>43344</v>
      </c>
      <c r="BC20" s="629">
        <f t="shared" si="4"/>
        <v>2.3125</v>
      </c>
      <c r="BD20" s="634">
        <f>[13]Prices!AO17</f>
        <v>2.3220000000000001</v>
      </c>
      <c r="BE20" s="634">
        <f>[13]Prices!AP17</f>
        <v>2.3029999999999999</v>
      </c>
      <c r="BR20" s="4">
        <v>2012</v>
      </c>
      <c r="BS20" s="433">
        <v>4.4000000000000004</v>
      </c>
      <c r="BT20" s="433">
        <v>4.53</v>
      </c>
    </row>
    <row r="21" spans="3:72">
      <c r="C21" s="4">
        <f t="shared" si="22"/>
        <v>2012</v>
      </c>
      <c r="D21" s="209">
        <f t="array" ref="D21">SUM((V$15:V$383)*(Y$15:Y$383)*($T$15:$T$383=$C21))/SUM((Y$15:Y$383)*($T$15:$T$383=$C21))</f>
        <v>55.031872964169381</v>
      </c>
      <c r="E21" s="209">
        <f t="array" ref="E21">SUM((W$15:W$383)*(Z$15:Z$383)*($T$15:$T$383=$C21))/SUM((Z$15:Z$383)*($T$15:$T$383=$C21))</f>
        <v>45.94305268595042</v>
      </c>
      <c r="F21" s="209">
        <f t="array" ref="F21">(SUM((X$15:X$383)*(Y$15:Y$383)*($T$15:$T$383=$C21))+SUM((X$15:X$383)*(Z$15:Z$383)*($T$15:$T$383=$C21)))/(SUM((Y$15:Y$383)*($T$15:$T$383=$C21))+SUM((Z$15:Z$383)*($T$15:$T$383=$C21)))</f>
        <v>51.146028415300542</v>
      </c>
      <c r="G21" s="530"/>
      <c r="H21" s="625"/>
      <c r="I21" s="209">
        <f t="array" ref="I21">(SUM((AH$15:AH$383)*(Y$15:Y$383)*($T$15:$T$383=$C21))+SUM((AH$15:AH$383)*(Z$15:Z$383)*($T$15:$T$383=$C21)))/(SUM((Y$15:Y$383)*($T$15:$T$383=$C21))+SUM((Z$15:Z$383)*($T$15:$T$383=$C21)))</f>
        <v>6.7024699037828679</v>
      </c>
      <c r="J21" s="276">
        <f t="shared" si="5"/>
        <v>4.4000000000000004</v>
      </c>
      <c r="K21" s="209">
        <f t="shared" si="10"/>
        <v>4.4341666666666661</v>
      </c>
      <c r="L21" s="276">
        <f t="shared" si="23"/>
        <v>10.428681771666666</v>
      </c>
      <c r="M21" s="531">
        <f>'[14]Extended Forecast'!D21</f>
        <v>0.02</v>
      </c>
      <c r="N21" s="628">
        <f>'[15]Extended Forecast'!K21</f>
        <v>0.02</v>
      </c>
      <c r="O21" s="210">
        <v>0.02</v>
      </c>
      <c r="P21" s="210">
        <v>1.9E-2</v>
      </c>
      <c r="Q21" s="357">
        <f t="shared" si="21"/>
        <v>5.5867678044314557</v>
      </c>
      <c r="T21" s="4">
        <f t="shared" si="14"/>
        <v>2006</v>
      </c>
      <c r="U21" s="434">
        <f t="shared" si="15"/>
        <v>38899</v>
      </c>
      <c r="V21" s="435">
        <f t="shared" si="16"/>
        <v>69.398642095053347</v>
      </c>
      <c r="W21" s="435">
        <f t="shared" si="16"/>
        <v>54.122211445198836</v>
      </c>
      <c r="X21" s="357">
        <f t="shared" si="12"/>
        <v>62.829776915615909</v>
      </c>
      <c r="Y21" s="343">
        <v>400</v>
      </c>
      <c r="Z21" s="343">
        <v>344</v>
      </c>
      <c r="AA21" s="343">
        <f t="shared" si="17"/>
        <v>0.5376344086021505</v>
      </c>
      <c r="AB21" s="343">
        <f t="shared" si="18"/>
        <v>0.46236559139784944</v>
      </c>
      <c r="AF21" s="4">
        <f t="shared" si="13"/>
        <v>2006</v>
      </c>
      <c r="AG21" s="432">
        <v>38899</v>
      </c>
      <c r="AH21" s="149">
        <f t="shared" si="19"/>
        <v>7.0711927000346524</v>
      </c>
      <c r="AI21" s="150">
        <f t="shared" si="20"/>
        <v>7.0711927000346524</v>
      </c>
      <c r="AK21" s="4">
        <f t="shared" si="6"/>
        <v>2005</v>
      </c>
      <c r="AL21" s="432">
        <v>38503</v>
      </c>
      <c r="AM21" s="4">
        <f t="shared" si="7"/>
        <v>5.1861220135000003</v>
      </c>
      <c r="AN21" s="4">
        <v>5.278408411</v>
      </c>
      <c r="AO21" s="4">
        <v>5.0938356159999998</v>
      </c>
      <c r="AQ21" s="4">
        <f t="shared" si="8"/>
        <v>2009</v>
      </c>
      <c r="AR21" s="356">
        <v>39904</v>
      </c>
      <c r="AS21" s="4">
        <f t="shared" si="9"/>
        <v>10.885000000000002</v>
      </c>
      <c r="AT21" s="4">
        <v>11.005000000000001</v>
      </c>
      <c r="AU21" s="4">
        <v>10.765000000000001</v>
      </c>
      <c r="AV21" s="515">
        <f t="shared" si="1"/>
        <v>2015</v>
      </c>
      <c r="AW21" s="535">
        <v>42278</v>
      </c>
      <c r="AX21" s="515">
        <f t="shared" si="2"/>
        <v>2.1750806451612901</v>
      </c>
      <c r="AY21" s="596">
        <f>'[12]Forward Price Curve'!AE102</f>
        <v>2.1909677419354834</v>
      </c>
      <c r="AZ21" s="596">
        <f>'[12]Forward Price Curve'!AD102</f>
        <v>2.1591935483870968</v>
      </c>
      <c r="BA21" s="629">
        <f t="shared" si="3"/>
        <v>2018</v>
      </c>
      <c r="BB21" s="633">
        <v>43374</v>
      </c>
      <c r="BC21" s="629">
        <f t="shared" si="4"/>
        <v>2.125</v>
      </c>
      <c r="BD21" s="634">
        <f>[13]Prices!AO18</f>
        <v>2</v>
      </c>
      <c r="BE21" s="634">
        <f>[13]Prices!AP18</f>
        <v>2.25</v>
      </c>
      <c r="BR21" s="4">
        <v>2013</v>
      </c>
      <c r="BS21" s="433">
        <v>4.6399999999999997</v>
      </c>
      <c r="BT21" s="433">
        <v>4.7699999999999996</v>
      </c>
    </row>
    <row r="22" spans="3:72">
      <c r="C22" s="4">
        <f t="shared" si="22"/>
        <v>2013</v>
      </c>
      <c r="D22" s="209">
        <f t="array" ref="D22">SUM((V$15:V$383)*(Y$15:Y$383)*($T$15:$T$383=$C22))/SUM((Y$15:Y$383)*($T$15:$T$383=$C22))</f>
        <v>54.365325732899016</v>
      </c>
      <c r="E22" s="209">
        <f t="array" ref="E22">SUM((W$15:W$383)*(Z$15:Z$383)*($T$15:$T$383=$C22))/SUM((Z$15:Z$383)*($T$15:$T$383=$C22))</f>
        <v>45.07450623700624</v>
      </c>
      <c r="F22" s="209">
        <f t="array" ref="F22">(SUM((X$15:X$383)*(Y$15:Y$383)*($T$15:$T$383=$C22))+SUM((X$15:X$383)*(Z$15:Z$383)*($T$15:$T$383=$C22)))/(SUM((Y$15:Y$383)*($T$15:$T$383=$C22))+SUM((Z$15:Z$383)*($T$15:$T$383=$C22)))</f>
        <v>50.379454999999993</v>
      </c>
      <c r="G22" s="530"/>
      <c r="H22" s="625"/>
      <c r="I22" s="209">
        <f t="array" ref="I22">(SUM((AH$15:AH$383)*(Y$15:Y$383)*($T$15:$T$383=$C22))+SUM((AH$15:AH$383)*(Z$15:Z$383)*($T$15:$T$383=$C22)))/(SUM((Y$15:Y$383)*($T$15:$T$383=$C22))+SUM((Z$15:Z$383)*($T$15:$T$383=$C22)))</f>
        <v>6.6994948806584134</v>
      </c>
      <c r="J22" s="276">
        <f t="shared" si="5"/>
        <v>4.6399999999999997</v>
      </c>
      <c r="K22" s="209">
        <f t="shared" si="10"/>
        <v>4.5629166666666672</v>
      </c>
      <c r="L22" s="276">
        <f t="shared" si="23"/>
        <v>10.632848438333333</v>
      </c>
      <c r="M22" s="531">
        <f>'[14]Extended Forecast'!D22</f>
        <v>1.4999999999999999E-2</v>
      </c>
      <c r="N22" s="628">
        <f>'[15]Extended Forecast'!K22</f>
        <v>1.4999999999999999E-2</v>
      </c>
      <c r="O22" s="210">
        <v>1.9E-2</v>
      </c>
      <c r="P22" s="210">
        <v>1.7999999999999999E-2</v>
      </c>
      <c r="Q22" s="357">
        <f t="shared" si="21"/>
        <v>5.6929163927156532</v>
      </c>
      <c r="T22" s="4">
        <f t="shared" si="14"/>
        <v>2006</v>
      </c>
      <c r="U22" s="434">
        <f t="shared" si="15"/>
        <v>38930</v>
      </c>
      <c r="V22" s="435">
        <f t="shared" si="16"/>
        <v>81.736178467507273</v>
      </c>
      <c r="W22" s="435">
        <f t="shared" si="16"/>
        <v>63.743937924345303</v>
      </c>
      <c r="X22" s="357">
        <f t="shared" si="12"/>
        <v>73.999515033947631</v>
      </c>
      <c r="Y22" s="343">
        <v>432</v>
      </c>
      <c r="Z22" s="343">
        <v>312</v>
      </c>
      <c r="AA22" s="343">
        <f t="shared" si="17"/>
        <v>0.58064516129032262</v>
      </c>
      <c r="AB22" s="343">
        <f t="shared" si="18"/>
        <v>0.41935483870967744</v>
      </c>
      <c r="AF22" s="4">
        <f t="shared" si="13"/>
        <v>2006</v>
      </c>
      <c r="AG22" s="432">
        <v>38930</v>
      </c>
      <c r="AH22" s="149">
        <f t="shared" si="19"/>
        <v>7.1601954421102452</v>
      </c>
      <c r="AI22" s="150">
        <f>AI34/(1+$O$15)</f>
        <v>7.1601954421102452</v>
      </c>
      <c r="AK22" s="4">
        <f t="shared" si="6"/>
        <v>2005</v>
      </c>
      <c r="AL22" s="432">
        <v>38533</v>
      </c>
      <c r="AM22" s="4">
        <f t="shared" si="7"/>
        <v>5.2011220135</v>
      </c>
      <c r="AN22" s="4">
        <v>5.2934084109999997</v>
      </c>
      <c r="AO22" s="4">
        <v>5.1088356160000004</v>
      </c>
      <c r="AQ22" s="4">
        <f t="shared" si="8"/>
        <v>2009</v>
      </c>
      <c r="AR22" s="356">
        <v>39934</v>
      </c>
      <c r="AS22" s="4">
        <f t="shared" si="9"/>
        <v>10.7325</v>
      </c>
      <c r="AT22" s="4">
        <v>10.8475</v>
      </c>
      <c r="AU22" s="4">
        <v>10.6175</v>
      </c>
      <c r="AV22" s="515">
        <f t="shared" si="1"/>
        <v>2015</v>
      </c>
      <c r="AW22" s="535">
        <v>42309</v>
      </c>
      <c r="AX22" s="515">
        <f t="shared" si="2"/>
        <v>2.1590000000000003</v>
      </c>
      <c r="AY22" s="596">
        <f>'[12]Forward Price Curve'!AE103</f>
        <v>2.1646666666666672</v>
      </c>
      <c r="AZ22" s="596">
        <f>'[12]Forward Price Curve'!AD103</f>
        <v>2.1533333333333333</v>
      </c>
      <c r="BA22" s="629">
        <f t="shared" si="3"/>
        <v>2018</v>
      </c>
      <c r="BB22" s="633">
        <v>43405</v>
      </c>
      <c r="BC22" s="629">
        <f t="shared" si="4"/>
        <v>2.32925</v>
      </c>
      <c r="BD22" s="634">
        <f>[13]Prices!AO19</f>
        <v>2.3105000000000002</v>
      </c>
      <c r="BE22" s="634">
        <f>[13]Prices!AP19</f>
        <v>2.3479999999999999</v>
      </c>
      <c r="BR22" s="4">
        <v>2014</v>
      </c>
      <c r="BS22" s="433">
        <v>4.45</v>
      </c>
      <c r="BT22" s="433">
        <v>4.53</v>
      </c>
    </row>
    <row r="23" spans="3:72">
      <c r="C23" s="4">
        <f t="shared" si="22"/>
        <v>2014</v>
      </c>
      <c r="D23" s="209">
        <f t="array" ref="D23">SUM((V$15:V$383)*(Y$15:Y$383)*($T$15:$T$383=$C23))/SUM((Y$15:Y$383)*($T$15:$T$383=$C23))</f>
        <v>55.048241042345268</v>
      </c>
      <c r="E23" s="209">
        <f t="array" ref="E23">SUM((W$15:W$383)*(Z$15:Z$383)*($T$15:$T$383=$C23))/SUM((Z$15:Z$383)*($T$15:$T$383=$C23))</f>
        <v>45.659729729729733</v>
      </c>
      <c r="F23" s="209">
        <f t="array" ref="F23">(SUM((X$15:X$383)*(Y$15:Y$383)*($T$15:$T$383=$C23))+SUM((X$15:X$383)*(Z$15:Z$383)*($T$15:$T$383=$C23)))/(SUM((Y$15:Y$383)*($T$15:$T$383=$C23))+SUM((Z$15:Z$383)*($T$15:$T$383=$C23)))</f>
        <v>51.016862739726022</v>
      </c>
      <c r="G23" s="530"/>
      <c r="H23" s="625"/>
      <c r="I23" s="209">
        <f t="array" ref="I23">(SUM((AH$15:AH$383)*(Y$15:Y$383)*($T$15:$T$383=$C23))+SUM((AH$15:AH$383)*(Z$15:Z$383)*($T$15:$T$383=$C23)))/(SUM((Y$15:Y$383)*($T$15:$T$383=$C23))+SUM((Z$15:Z$383)*($T$15:$T$383=$C23)))</f>
        <v>6.9140085811973453</v>
      </c>
      <c r="J23" s="276">
        <f t="shared" si="5"/>
        <v>4.45</v>
      </c>
      <c r="K23" s="209">
        <f t="shared" si="10"/>
        <v>4.7508333333333326</v>
      </c>
      <c r="L23" s="276">
        <f t="shared" si="23"/>
        <v>10.346954939583332</v>
      </c>
      <c r="M23" s="531">
        <f>'[14]Extended Forecast'!D23</f>
        <v>1.7000000000000001E-2</v>
      </c>
      <c r="N23" s="628">
        <f>'[15]Extended Forecast'!K23</f>
        <v>1.7000000000000001E-2</v>
      </c>
      <c r="O23" s="210">
        <v>1.7999999999999999E-2</v>
      </c>
      <c r="P23" s="210">
        <v>1.7999999999999999E-2</v>
      </c>
      <c r="Q23" s="357">
        <f t="shared" si="21"/>
        <v>5.7953888877845348</v>
      </c>
      <c r="T23" s="4">
        <f t="shared" si="14"/>
        <v>2006</v>
      </c>
      <c r="U23" s="434">
        <f t="shared" si="15"/>
        <v>38961</v>
      </c>
      <c r="V23" s="150">
        <v>56.25</v>
      </c>
      <c r="W23" s="150">
        <v>46</v>
      </c>
      <c r="X23" s="357">
        <f>V23*0.57+W23*0.43</f>
        <v>51.842500000000001</v>
      </c>
      <c r="Y23" s="343">
        <v>400</v>
      </c>
      <c r="Z23" s="343">
        <v>320</v>
      </c>
      <c r="AA23" s="343">
        <f t="shared" si="17"/>
        <v>0.55555555555555558</v>
      </c>
      <c r="AB23" s="343">
        <f t="shared" si="18"/>
        <v>0.44444444444444442</v>
      </c>
      <c r="AF23" s="4">
        <f t="shared" si="13"/>
        <v>2006</v>
      </c>
      <c r="AG23" s="432">
        <v>38961</v>
      </c>
      <c r="AH23" s="149">
        <f t="shared" si="19"/>
        <v>4.9205655247417077</v>
      </c>
      <c r="AI23" s="150">
        <v>4.9205655247417077</v>
      </c>
      <c r="AK23" s="4">
        <f t="shared" si="6"/>
        <v>2005</v>
      </c>
      <c r="AL23" s="432">
        <v>38564</v>
      </c>
      <c r="AM23" s="4">
        <f t="shared" si="7"/>
        <v>5.2411220135000001</v>
      </c>
      <c r="AN23" s="4">
        <v>5.3334084109999997</v>
      </c>
      <c r="AO23" s="4">
        <v>5.1488356160000004</v>
      </c>
      <c r="AQ23" s="4">
        <f t="shared" si="8"/>
        <v>2009</v>
      </c>
      <c r="AR23" s="356">
        <v>39965</v>
      </c>
      <c r="AS23" s="4">
        <f t="shared" si="9"/>
        <v>10.84</v>
      </c>
      <c r="AT23" s="4">
        <v>10.952500000000001</v>
      </c>
      <c r="AU23" s="4">
        <v>10.727499999999999</v>
      </c>
      <c r="AV23" s="515">
        <f t="shared" si="1"/>
        <v>2015</v>
      </c>
      <c r="AW23" s="535">
        <v>42339</v>
      </c>
      <c r="AX23" s="515">
        <f t="shared" si="2"/>
        <v>2.1495967741935482</v>
      </c>
      <c r="AY23" s="596">
        <f>'[12]Forward Price Curve'!AE104</f>
        <v>2.1637096774193543</v>
      </c>
      <c r="AZ23" s="596">
        <f>'[12]Forward Price Curve'!AD104</f>
        <v>2.1354838709677426</v>
      </c>
      <c r="BA23" s="629">
        <f t="shared" si="3"/>
        <v>2018</v>
      </c>
      <c r="BB23" s="633">
        <v>43435</v>
      </c>
      <c r="BC23" s="629">
        <f t="shared" si="4"/>
        <v>2.8347500000000001</v>
      </c>
      <c r="BD23" s="634">
        <f>[13]Prices!AO20</f>
        <v>2.4485000000000001</v>
      </c>
      <c r="BE23" s="634">
        <f>[13]Prices!AP20</f>
        <v>3.2210000000000001</v>
      </c>
      <c r="BR23" s="4">
        <v>2015</v>
      </c>
      <c r="BS23" s="433">
        <v>4.88</v>
      </c>
      <c r="BT23" s="433">
        <v>4.97</v>
      </c>
    </row>
    <row r="24" spans="3:72">
      <c r="C24" s="4">
        <f t="shared" si="22"/>
        <v>2015</v>
      </c>
      <c r="D24" s="209">
        <f t="array" ref="D24">SUM((V$15:V$383)*(Y$15:Y$383)*($T$15:$T$383=$C24))/SUM((Y$15:Y$383)*($T$15:$T$383=$C24))</f>
        <v>59.510325732899027</v>
      </c>
      <c r="E24" s="209">
        <f t="array" ref="E24">SUM((W$15:W$383)*(Z$15:Z$383)*($T$15:$T$383=$C24))/SUM((Z$15:Z$383)*($T$15:$T$383=$C24))</f>
        <v>49.937941787941796</v>
      </c>
      <c r="F24" s="209">
        <f t="array" ref="F24">(SUM((X$15:X$383)*(Y$15:Y$383)*($T$15:$T$383=$C24))+SUM((X$15:X$383)*(Z$15:Z$383)*($T$15:$T$383=$C24)))/(SUM((Y$15:Y$383)*($T$15:$T$383=$C24))+SUM((Z$15:Z$383)*($T$15:$T$383=$C24)))</f>
        <v>55.392994520547944</v>
      </c>
      <c r="G24" s="597">
        <f t="shared" ref="G24:G51" si="24">AVERAGEIF($AV$12:$AV$383,$C24,$AX$12:$AX$383)</f>
        <v>2.3686730190732201</v>
      </c>
      <c r="H24" s="626"/>
      <c r="I24" s="209">
        <f t="array" ref="I24">(SUM((AH$15:AH$383)*(Y$15:Y$383)*($T$15:$T$383=$C24))+SUM((AH$15:AH$383)*(Z$15:Z$383)*($T$15:$T$383=$C24)))/(SUM((Y$15:Y$383)*($T$15:$T$383=$C24))+SUM((Z$15:Z$383)*($T$15:$T$383=$C24)))</f>
        <v>7.3164011858738007</v>
      </c>
      <c r="J24" s="276">
        <f t="shared" si="5"/>
        <v>4.88</v>
      </c>
      <c r="K24" s="209">
        <f t="shared" si="10"/>
        <v>4.8512499999999994</v>
      </c>
      <c r="L24" s="276">
        <f t="shared" si="23"/>
        <v>9.3330180370833329</v>
      </c>
      <c r="M24" s="531">
        <f>'[14]Extended Forecast'!D24</f>
        <v>6.0000000000000001E-3</v>
      </c>
      <c r="N24" s="628">
        <f>'[15]Extended Forecast'!K24</f>
        <v>6.0000000000000001E-3</v>
      </c>
      <c r="O24" s="210">
        <v>1.7999999999999999E-2</v>
      </c>
      <c r="P24" s="210">
        <v>1.9E-2</v>
      </c>
      <c r="Q24" s="357">
        <f t="shared" si="21"/>
        <v>5.8997058877646564</v>
      </c>
      <c r="T24" s="4">
        <f t="shared" si="14"/>
        <v>2006</v>
      </c>
      <c r="U24" s="434">
        <f t="shared" si="15"/>
        <v>38991</v>
      </c>
      <c r="V24" s="150">
        <v>49.75</v>
      </c>
      <c r="W24" s="150">
        <v>42</v>
      </c>
      <c r="X24" s="357">
        <f t="shared" ref="X24:X87" si="25">V24*0.57+W24*0.43</f>
        <v>46.417499999999997</v>
      </c>
      <c r="Y24" s="343">
        <v>416</v>
      </c>
      <c r="Z24" s="343">
        <v>328</v>
      </c>
      <c r="AA24" s="343">
        <f t="shared" si="17"/>
        <v>0.55913978494623651</v>
      </c>
      <c r="AB24" s="343">
        <f t="shared" si="18"/>
        <v>0.44086021505376344</v>
      </c>
      <c r="AF24" s="4">
        <f t="shared" si="13"/>
        <v>2006</v>
      </c>
      <c r="AG24" s="432">
        <v>38991</v>
      </c>
      <c r="AH24" s="149">
        <f t="shared" si="19"/>
        <v>4.9712044589450795</v>
      </c>
      <c r="AI24" s="150">
        <v>4.9712044589450795</v>
      </c>
      <c r="AK24" s="4">
        <f t="shared" si="6"/>
        <v>2005</v>
      </c>
      <c r="AL24" s="432">
        <v>38595</v>
      </c>
      <c r="AM24" s="4">
        <f t="shared" si="7"/>
        <v>5.2561220135000006</v>
      </c>
      <c r="AN24" s="4">
        <v>5.3484084110000003</v>
      </c>
      <c r="AO24" s="4">
        <v>5.1638356160000001</v>
      </c>
      <c r="AQ24" s="4">
        <f t="shared" si="8"/>
        <v>2009</v>
      </c>
      <c r="AR24" s="356">
        <v>39995</v>
      </c>
      <c r="AS24" s="4">
        <f t="shared" si="9"/>
        <v>10.99925</v>
      </c>
      <c r="AT24" s="4">
        <v>11.0505</v>
      </c>
      <c r="AU24" s="4">
        <v>10.948</v>
      </c>
      <c r="AV24" s="515">
        <f t="shared" si="1"/>
        <v>2016</v>
      </c>
      <c r="AW24" s="535">
        <v>42370</v>
      </c>
      <c r="AX24" s="515">
        <f t="shared" si="2"/>
        <v>2.271854838709678</v>
      </c>
      <c r="AY24" s="596">
        <f>'[12]Forward Price Curve'!AE105</f>
        <v>2.2696774193548386</v>
      </c>
      <c r="AZ24" s="596">
        <f>'[12]Forward Price Curve'!AD105</f>
        <v>2.2740322580645169</v>
      </c>
      <c r="BA24" s="629">
        <f t="shared" si="3"/>
        <v>2019</v>
      </c>
      <c r="BB24" s="633">
        <v>43466</v>
      </c>
      <c r="BC24" s="629">
        <f t="shared" si="4"/>
        <v>2.8815</v>
      </c>
      <c r="BD24" s="634">
        <f>[13]Prices!AO21</f>
        <v>2.5590000000000002</v>
      </c>
      <c r="BE24" s="634">
        <f>[13]Prices!AP21</f>
        <v>3.2040000000000002</v>
      </c>
      <c r="BR24" s="4">
        <v>2016</v>
      </c>
      <c r="BS24" s="433">
        <v>5.0999999999999996</v>
      </c>
      <c r="BT24" s="433">
        <v>5.2</v>
      </c>
    </row>
    <row r="25" spans="3:72">
      <c r="C25" s="4">
        <f t="shared" si="22"/>
        <v>2016</v>
      </c>
      <c r="D25" s="209">
        <f t="array" ref="D25">SUM((V$15:V$383)*(Y$15:Y$383)*($T$15:$T$383=$C25))/SUM((Y$15:Y$383)*($T$15:$T$383=$C25))</f>
        <v>65.509415584415578</v>
      </c>
      <c r="E25" s="209">
        <f t="array" ref="E25">SUM((W$15:W$383)*(Z$15:Z$383)*($T$15:$T$383=$C25))/SUM((Z$15:Z$383)*($T$15:$T$383=$C25))</f>
        <v>53.69304979253112</v>
      </c>
      <c r="F25" s="209">
        <f t="array" ref="F25">(SUM((X$15:X$383)*(Y$15:Y$383)*($T$15:$T$383=$C25))+SUM((X$15:X$383)*(Z$15:Z$383)*($T$15:$T$383=$C25)))/(SUM((Y$15:Y$383)*($T$15:$T$383=$C25))+SUM((Z$15:Z$383)*($T$15:$T$383=$C25)))</f>
        <v>60.441771311475406</v>
      </c>
      <c r="G25" s="597">
        <f t="shared" si="24"/>
        <v>2.2680550766283525</v>
      </c>
      <c r="H25" s="626"/>
      <c r="I25" s="209">
        <f t="array" ref="I25">(SUM((AH$15:AH$383)*(Y$15:Y$383)*($T$15:$T$383=$C25))+SUM((AH$15:AH$383)*(Z$15:Z$383)*($T$15:$T$383=$C25)))/(SUM((Y$15:Y$383)*($T$15:$T$383=$C25))+SUM((Z$15:Z$383)*($T$15:$T$383=$C25)))</f>
        <v>7.9211828417083421</v>
      </c>
      <c r="J25" s="276">
        <f t="shared" si="5"/>
        <v>5.0999999999999996</v>
      </c>
      <c r="K25" s="209">
        <f t="shared" si="10"/>
        <v>5.003333333333333</v>
      </c>
      <c r="L25" s="276">
        <f t="shared" si="23"/>
        <v>8.9541666666666657</v>
      </c>
      <c r="M25" s="531">
        <f>'[14]Extended Forecast'!D25</f>
        <v>1.2999999999999999E-2</v>
      </c>
      <c r="N25" s="628">
        <f>'[15]Extended Forecast'!K25</f>
        <v>1.2E-2</v>
      </c>
      <c r="O25" s="210">
        <v>1.7999999999999999E-2</v>
      </c>
      <c r="P25" s="210">
        <v>0.02</v>
      </c>
      <c r="Q25" s="357">
        <f t="shared" si="21"/>
        <v>6.0059005937444203</v>
      </c>
      <c r="T25" s="4">
        <f t="shared" si="14"/>
        <v>2006</v>
      </c>
      <c r="U25" s="434">
        <f t="shared" si="15"/>
        <v>39022</v>
      </c>
      <c r="V25" s="150">
        <v>63</v>
      </c>
      <c r="W25" s="150">
        <v>52.92</v>
      </c>
      <c r="X25" s="357">
        <f t="shared" si="25"/>
        <v>58.665599999999998</v>
      </c>
      <c r="Y25" s="343">
        <v>400</v>
      </c>
      <c r="Z25" s="343">
        <v>320</v>
      </c>
      <c r="AA25" s="343">
        <f t="shared" si="17"/>
        <v>0.55555555555555558</v>
      </c>
      <c r="AB25" s="343">
        <f t="shared" si="18"/>
        <v>0.44444444444444442</v>
      </c>
      <c r="AF25" s="4">
        <f t="shared" si="13"/>
        <v>2006</v>
      </c>
      <c r="AG25" s="432">
        <v>39022</v>
      </c>
      <c r="AH25" s="149">
        <f t="shared" si="19"/>
        <v>6.8752623708537257</v>
      </c>
      <c r="AI25" s="150">
        <v>6.8752623708537257</v>
      </c>
      <c r="AK25" s="4">
        <f t="shared" si="6"/>
        <v>2005</v>
      </c>
      <c r="AL25" s="432">
        <v>38625</v>
      </c>
      <c r="AM25" s="4">
        <f t="shared" si="7"/>
        <v>5.2391220134999994</v>
      </c>
      <c r="AN25" s="4">
        <v>5.331408411</v>
      </c>
      <c r="AO25" s="4">
        <v>5.1468356159999997</v>
      </c>
      <c r="AQ25" s="4">
        <f t="shared" si="8"/>
        <v>2009</v>
      </c>
      <c r="AR25" s="356">
        <v>40026</v>
      </c>
      <c r="AS25" s="4">
        <f t="shared" si="9"/>
        <v>11.112500000000001</v>
      </c>
      <c r="AT25" s="4">
        <v>11.145</v>
      </c>
      <c r="AU25" s="4">
        <v>11.08</v>
      </c>
      <c r="AV25" s="515">
        <f t="shared" si="1"/>
        <v>2016</v>
      </c>
      <c r="AW25" s="535">
        <v>42401</v>
      </c>
      <c r="AX25" s="515">
        <f t="shared" si="2"/>
        <v>1.6898275862068965</v>
      </c>
      <c r="AY25" s="596">
        <f>'[12]Forward Price Curve'!AE106</f>
        <v>1.7268965517241381</v>
      </c>
      <c r="AZ25" s="596">
        <f>'[12]Forward Price Curve'!AD106</f>
        <v>1.6527586206896552</v>
      </c>
      <c r="BA25" s="629">
        <f t="shared" si="3"/>
        <v>2019</v>
      </c>
      <c r="BB25" s="633">
        <v>43497</v>
      </c>
      <c r="BC25" s="629">
        <f t="shared" si="4"/>
        <v>2.5324999999999998</v>
      </c>
      <c r="BD25" s="634">
        <f>[13]Prices!AO22</f>
        <v>2.4449999999999998</v>
      </c>
      <c r="BE25" s="634">
        <f>[13]Prices!AP22</f>
        <v>2.62</v>
      </c>
      <c r="BR25" s="4">
        <v>2017</v>
      </c>
      <c r="BS25" s="433">
        <v>5.22</v>
      </c>
      <c r="BT25" s="433">
        <v>5.32</v>
      </c>
    </row>
    <row r="26" spans="3:72">
      <c r="C26" s="4">
        <f t="shared" si="22"/>
        <v>2017</v>
      </c>
      <c r="D26" s="209">
        <f t="array" ref="D26">SUM((V$15:V$383)*(Y$15:Y$383)*($T$15:$T$383=$C26))/SUM((Y$15:Y$383)*($T$15:$T$383=$C26))</f>
        <v>72.198039215686279</v>
      </c>
      <c r="E26" s="209">
        <f t="array" ref="E26">SUM((W$15:W$383)*(Z$15:Z$383)*($T$15:$T$383=$C26))/SUM((Z$15:Z$383)*($T$15:$T$383=$C26))</f>
        <v>60.206853002070403</v>
      </c>
      <c r="F26" s="209">
        <f t="array" ref="F26">(SUM((X$15:X$383)*(Y$15:Y$383)*($T$15:$T$383=$C26))+SUM((X$15:X$383)*(Z$15:Z$383)*($T$15:$T$383=$C26)))/(SUM((Y$15:Y$383)*($T$15:$T$383=$C26))+SUM((Z$15:Z$383)*($T$15:$T$383=$C26)))</f>
        <v>67.035628493150682</v>
      </c>
      <c r="G26" s="597">
        <f t="shared" si="24"/>
        <v>3.0318916666666667</v>
      </c>
      <c r="H26" s="626"/>
      <c r="I26" s="209">
        <f t="array" ref="I26">(SUM((AH$15:AH$383)*(Y$15:Y$383)*($T$15:$T$383=$C26))+SUM((AH$15:AH$383)*(Z$15:Z$383)*($T$15:$T$383=$C26)))/(SUM((Y$15:Y$383)*($T$15:$T$383=$C26))+SUM((Z$15:Z$383)*($T$15:$T$383=$C26)))</f>
        <v>8.5467545643478058</v>
      </c>
      <c r="J26" s="276">
        <f t="shared" si="5"/>
        <v>5.22</v>
      </c>
      <c r="K26" s="209">
        <f t="shared" si="10"/>
        <v>5.1620833333333334</v>
      </c>
      <c r="L26" s="276">
        <f t="shared" si="23"/>
        <v>9.6420833333333338</v>
      </c>
      <c r="M26" s="531">
        <f>'[14]Extended Forecast'!D26</f>
        <v>1.9E-2</v>
      </c>
      <c r="N26" s="628">
        <f>'[15]Extended Forecast'!K26</f>
        <v>0.02</v>
      </c>
      <c r="O26" s="210">
        <v>1.7999999999999999E-2</v>
      </c>
      <c r="P26" s="210">
        <v>0.02</v>
      </c>
      <c r="Q26" s="357">
        <f t="shared" si="21"/>
        <v>6.1140068044318197</v>
      </c>
      <c r="T26" s="4">
        <f t="shared" si="14"/>
        <v>2006</v>
      </c>
      <c r="U26" s="434">
        <f t="shared" si="15"/>
        <v>39052</v>
      </c>
      <c r="V26" s="150">
        <v>75.599999999999994</v>
      </c>
      <c r="W26" s="150">
        <v>66.959999999999994</v>
      </c>
      <c r="X26" s="357">
        <f t="shared" si="25"/>
        <v>71.884799999999984</v>
      </c>
      <c r="Y26" s="343">
        <v>400</v>
      </c>
      <c r="Z26" s="343">
        <v>344</v>
      </c>
      <c r="AA26" s="343">
        <f t="shared" si="17"/>
        <v>0.5376344086021505</v>
      </c>
      <c r="AB26" s="343">
        <f t="shared" si="18"/>
        <v>0.46236559139784944</v>
      </c>
      <c r="AF26" s="4">
        <f t="shared" si="13"/>
        <v>2006</v>
      </c>
      <c r="AG26" s="432">
        <v>39052</v>
      </c>
      <c r="AH26" s="149">
        <f t="shared" si="19"/>
        <v>8.5881498096791731</v>
      </c>
      <c r="AI26" s="150">
        <v>8.5881498096791731</v>
      </c>
      <c r="AK26" s="4">
        <f t="shared" si="6"/>
        <v>2005</v>
      </c>
      <c r="AL26" s="432">
        <v>38656</v>
      </c>
      <c r="AM26" s="4">
        <f t="shared" si="7"/>
        <v>5.2591220135000007</v>
      </c>
      <c r="AN26" s="4">
        <v>5.3514084110000004</v>
      </c>
      <c r="AO26" s="4">
        <v>5.1668356160000002</v>
      </c>
      <c r="AQ26" s="4">
        <f t="shared" si="8"/>
        <v>2009</v>
      </c>
      <c r="AR26" s="356">
        <v>40057</v>
      </c>
      <c r="AS26" s="4">
        <f t="shared" si="9"/>
        <v>11.055</v>
      </c>
      <c r="AT26" s="4">
        <v>11.14</v>
      </c>
      <c r="AU26" s="4">
        <v>10.97</v>
      </c>
      <c r="AV26" s="515">
        <f t="shared" si="1"/>
        <v>2016</v>
      </c>
      <c r="AW26" s="535">
        <v>42430</v>
      </c>
      <c r="AX26" s="515">
        <f t="shared" si="2"/>
        <v>1.4091129032258063</v>
      </c>
      <c r="AY26" s="596">
        <f>'[12]Forward Price Curve'!AE107</f>
        <v>1.425806451612903</v>
      </c>
      <c r="AZ26" s="596">
        <f>'[12]Forward Price Curve'!AD107</f>
        <v>1.3924193548387096</v>
      </c>
      <c r="BA26" s="629">
        <f t="shared" si="3"/>
        <v>2019</v>
      </c>
      <c r="BB26" s="633">
        <v>43525</v>
      </c>
      <c r="BC26" s="629">
        <f t="shared" si="4"/>
        <v>2.0255000000000001</v>
      </c>
      <c r="BD26" s="634">
        <f>[13]Prices!AO23</f>
        <v>2.0179999999999998</v>
      </c>
      <c r="BE26" s="634">
        <f>[13]Prices!AP23</f>
        <v>2.0329999999999999</v>
      </c>
      <c r="BR26" s="4">
        <v>2018</v>
      </c>
      <c r="BS26" s="433">
        <v>5.34</v>
      </c>
      <c r="BT26" s="433">
        <v>5.44</v>
      </c>
    </row>
    <row r="27" spans="3:72">
      <c r="C27" s="4">
        <f t="shared" si="22"/>
        <v>2018</v>
      </c>
      <c r="D27" s="209">
        <f t="array" ref="D27">SUM((V$15:V$383)*(Y$15:Y$383)*($T$15:$T$383=$C27))/SUM((Y$15:Y$383)*($T$15:$T$383=$C27))</f>
        <v>78.589869706840389</v>
      </c>
      <c r="E27" s="209">
        <f t="array" ref="E27">SUM((W$15:W$383)*(Z$15:Z$383)*($T$15:$T$383=$C27))/SUM((Z$15:Z$383)*($T$15:$T$383=$C27))</f>
        <v>64.369480249480247</v>
      </c>
      <c r="F27" s="209">
        <f t="array" ref="F27">(SUM((X$15:X$383)*(Y$15:Y$383)*($T$15:$T$383=$C27))+SUM((X$15:X$383)*(Z$15:Z$383)*($T$15:$T$383=$C27)))/(SUM((Y$15:Y$383)*($T$15:$T$383=$C27))+SUM((Z$15:Z$383)*($T$15:$T$383=$C27)))</f>
        <v>72.472873150684933</v>
      </c>
      <c r="G27" s="597">
        <f t="shared" si="24"/>
        <v>2.745204166666666</v>
      </c>
      <c r="H27" s="626">
        <f>AVERAGEIF($BA$12:$BA$287,$C27,$BC$12:$BC$287)</f>
        <v>2.2091508096518182</v>
      </c>
      <c r="I27" s="209">
        <f t="array" ref="I27">(SUM((AH$15:AH$383)*(Y$15:Y$383)*($T$15:$T$383=$C27))+SUM((AH$15:AH$383)*(Z$15:Z$383)*($T$15:$T$383=$C27)))/(SUM((Y$15:Y$383)*($T$15:$T$383=$C27))+SUM((Z$15:Z$383)*($T$15:$T$383=$C27)))</f>
        <v>9.1071488375904099</v>
      </c>
      <c r="J27" s="276">
        <f t="shared" si="5"/>
        <v>5.34</v>
      </c>
      <c r="K27" s="209">
        <f t="shared" si="10"/>
        <v>5.333333333333333</v>
      </c>
      <c r="L27" s="276">
        <f t="shared" si="23"/>
        <v>11.30625</v>
      </c>
      <c r="M27" s="531">
        <f>'[14]Extended Forecast'!D27</f>
        <v>1.7999999999999999E-2</v>
      </c>
      <c r="N27" s="628">
        <f>'[15]Extended Forecast'!K27</f>
        <v>2.4E-2</v>
      </c>
      <c r="O27" s="210">
        <v>1.7999999999999999E-2</v>
      </c>
      <c r="P27" s="210">
        <v>0.02</v>
      </c>
      <c r="Q27" s="357">
        <f t="shared" si="21"/>
        <v>6.2240589269115922</v>
      </c>
      <c r="T27" s="4">
        <f t="shared" si="14"/>
        <v>2007</v>
      </c>
      <c r="U27" s="434">
        <f t="shared" si="15"/>
        <v>39083</v>
      </c>
      <c r="V27" s="150">
        <v>80.459999999999994</v>
      </c>
      <c r="W27" s="150">
        <v>72.484999999999999</v>
      </c>
      <c r="X27" s="357">
        <f t="shared" si="25"/>
        <v>77.030749999999998</v>
      </c>
      <c r="Y27" s="343">
        <v>416</v>
      </c>
      <c r="Z27" s="343">
        <v>328</v>
      </c>
      <c r="AA27" s="343">
        <f t="shared" si="17"/>
        <v>0.55913978494623651</v>
      </c>
      <c r="AB27" s="343">
        <f t="shared" si="18"/>
        <v>0.44086021505376344</v>
      </c>
      <c r="AF27" s="4">
        <f>+YEAR(AG27)</f>
        <v>2007</v>
      </c>
      <c r="AG27" s="432">
        <v>39083</v>
      </c>
      <c r="AH27" s="149">
        <f t="shared" si="19"/>
        <v>9.2117903752039147</v>
      </c>
      <c r="AI27" s="150">
        <v>9.2117903752039147</v>
      </c>
      <c r="AK27" s="4">
        <f t="shared" si="6"/>
        <v>2005</v>
      </c>
      <c r="AL27" s="432">
        <v>38686</v>
      </c>
      <c r="AM27" s="4">
        <f t="shared" si="7"/>
        <v>5.421599133</v>
      </c>
      <c r="AN27" s="4">
        <v>5.5163626499999996</v>
      </c>
      <c r="AO27" s="4">
        <v>5.3268356160000003</v>
      </c>
      <c r="AQ27" s="4">
        <f t="shared" si="8"/>
        <v>2009</v>
      </c>
      <c r="AR27" s="356">
        <v>40087</v>
      </c>
      <c r="AS27" s="4">
        <f t="shared" si="9"/>
        <v>11.12125</v>
      </c>
      <c r="AT27" s="4">
        <v>11.115</v>
      </c>
      <c r="AU27" s="4">
        <v>11.1275</v>
      </c>
      <c r="AV27" s="515">
        <f t="shared" si="1"/>
        <v>2016</v>
      </c>
      <c r="AW27" s="535">
        <v>42461</v>
      </c>
      <c r="AX27" s="515">
        <f t="shared" si="2"/>
        <v>1.4209999999999998</v>
      </c>
      <c r="AY27" s="596">
        <f>'[12]Forward Price Curve'!AE108</f>
        <v>1.5316666666666667</v>
      </c>
      <c r="AZ27" s="596">
        <f>'[12]Forward Price Curve'!AD108</f>
        <v>1.3103333333333331</v>
      </c>
      <c r="BA27" s="629">
        <f t="shared" si="3"/>
        <v>2019</v>
      </c>
      <c r="BB27" s="633">
        <v>43556</v>
      </c>
      <c r="BC27" s="629">
        <f t="shared" si="4"/>
        <v>1.5285</v>
      </c>
      <c r="BD27" s="634">
        <f>[13]Prices!AO24</f>
        <v>1.5985</v>
      </c>
      <c r="BE27" s="634">
        <f>[13]Prices!AP24</f>
        <v>1.4584999999999999</v>
      </c>
      <c r="BR27" s="4">
        <v>2019</v>
      </c>
      <c r="BS27" s="433">
        <v>5.46</v>
      </c>
      <c r="BT27" s="433">
        <v>5.57</v>
      </c>
    </row>
    <row r="28" spans="3:72">
      <c r="C28" s="4">
        <f t="shared" si="22"/>
        <v>2019</v>
      </c>
      <c r="D28" s="209">
        <f t="array" ref="D28">SUM((V$15:V$383)*(Y$15:Y$383)*($T$15:$T$383=$C28))/SUM((Y$15:Y$383)*($T$15:$T$383=$C28))</f>
        <v>84.90358306188925</v>
      </c>
      <c r="E28" s="209">
        <f t="array" ref="E28">SUM((W$15:W$383)*(Z$15:Z$383)*($T$15:$T$383=$C28))/SUM((Z$15:Z$383)*($T$15:$T$383=$C28))</f>
        <v>69.085634095634092</v>
      </c>
      <c r="F28" s="209">
        <f t="array" ref="F28">(SUM((X$15:X$383)*(Y$15:Y$383)*($T$15:$T$383=$C28))+SUM((X$15:X$383)*(Z$15:Z$383)*($T$15:$T$383=$C28)))/(SUM((Y$15:Y$383)*($T$15:$T$383=$C28))+SUM((Z$15:Z$383)*($T$15:$T$383=$C28)))</f>
        <v>78.125856164383563</v>
      </c>
      <c r="G28" s="597">
        <f t="shared" si="24"/>
        <v>2.6163124999999998</v>
      </c>
      <c r="H28" s="626">
        <f>AVERAGEIF($BA$12:$BA$287,$C28,$BC$12:$BC$287)</f>
        <v>1.9742583333333332</v>
      </c>
      <c r="I28" s="209">
        <f t="array" ref="I28">(SUM((AH$15:AH$383)*(Y$15:Y$383)*($T$15:$T$383=$C28))+SUM((AH$15:AH$383)*(Z$15:Z$383)*($T$15:$T$383=$C28)))/(SUM((Y$15:Y$383)*($T$15:$T$383=$C28))+SUM((Z$15:Z$383)*($T$15:$T$383=$C28)))</f>
        <v>9.7289597532905745</v>
      </c>
      <c r="J28" s="276">
        <f t="shared" si="5"/>
        <v>5.46</v>
      </c>
      <c r="K28" s="209">
        <f t="shared" si="10"/>
        <v>5.5149999999999997</v>
      </c>
      <c r="L28" s="276">
        <f t="shared" si="23"/>
        <v>11.752083333333331</v>
      </c>
      <c r="M28" s="531">
        <f>'[14]Extended Forecast'!D28</f>
        <v>2.3E-2</v>
      </c>
      <c r="N28" s="628">
        <f>'[15]Extended Forecast'!K28</f>
        <v>1.9E-2</v>
      </c>
      <c r="O28" s="210">
        <v>1.7999999999999999E-2</v>
      </c>
      <c r="P28" s="210">
        <v>0.02</v>
      </c>
      <c r="Q28" s="357">
        <f t="shared" si="21"/>
        <v>6.3360919875960011</v>
      </c>
      <c r="T28" s="4">
        <f t="shared" si="14"/>
        <v>2007</v>
      </c>
      <c r="U28" s="434">
        <f>EOMONTH(U27,0)+1</f>
        <v>39114</v>
      </c>
      <c r="V28" s="150">
        <v>75.989999999999995</v>
      </c>
      <c r="W28" s="150">
        <v>68.495000000000005</v>
      </c>
      <c r="X28" s="357">
        <f t="shared" si="25"/>
        <v>72.767150000000001</v>
      </c>
      <c r="Y28" s="343">
        <v>384</v>
      </c>
      <c r="Z28" s="343">
        <v>288</v>
      </c>
      <c r="AA28" s="343">
        <f t="shared" si="17"/>
        <v>0.5714285714285714</v>
      </c>
      <c r="AB28" s="343">
        <f t="shared" si="18"/>
        <v>0.42857142857142855</v>
      </c>
      <c r="AF28" s="4">
        <f t="shared" ref="AF28:AF91" si="26">+YEAR(AG28)</f>
        <v>2007</v>
      </c>
      <c r="AG28" s="432">
        <f>EOMONTH(AG27,0)+1</f>
        <v>39114</v>
      </c>
      <c r="AH28" s="149">
        <f t="shared" si="19"/>
        <v>9.2542727025557365</v>
      </c>
      <c r="AI28" s="150">
        <v>9.2542727025557365</v>
      </c>
      <c r="AK28" s="4">
        <f t="shared" si="6"/>
        <v>2005</v>
      </c>
      <c r="AL28" s="432">
        <v>38717</v>
      </c>
      <c r="AM28" s="4">
        <f t="shared" si="7"/>
        <v>5.586599133</v>
      </c>
      <c r="AN28" s="4">
        <v>5.6813626499999996</v>
      </c>
      <c r="AO28" s="4">
        <v>5.4918356160000004</v>
      </c>
      <c r="AQ28" s="4">
        <f t="shared" si="8"/>
        <v>2009</v>
      </c>
      <c r="AR28" s="356">
        <v>40118</v>
      </c>
      <c r="AS28" s="4">
        <f t="shared" si="9"/>
        <v>12.0275</v>
      </c>
      <c r="AT28" s="4">
        <v>11.585000000000001</v>
      </c>
      <c r="AU28" s="4">
        <v>12.47</v>
      </c>
      <c r="AV28" s="515">
        <f t="shared" si="1"/>
        <v>2016</v>
      </c>
      <c r="AW28" s="535">
        <v>42491</v>
      </c>
      <c r="AX28" s="515">
        <f t="shared" si="2"/>
        <v>1.4932258064516128</v>
      </c>
      <c r="AY28" s="596">
        <f>'[12]Forward Price Curve'!AE109</f>
        <v>1.6372580645161288</v>
      </c>
      <c r="AZ28" s="596">
        <f>'[12]Forward Price Curve'!AD109</f>
        <v>1.3491935483870967</v>
      </c>
      <c r="BA28" s="629">
        <f t="shared" si="3"/>
        <v>2019</v>
      </c>
      <c r="BB28" s="633">
        <v>43586</v>
      </c>
      <c r="BC28" s="629">
        <f t="shared" si="4"/>
        <v>1.508</v>
      </c>
      <c r="BD28" s="634">
        <f>[13]Prices!AO25</f>
        <v>1.5905</v>
      </c>
      <c r="BE28" s="634">
        <f>[13]Prices!AP25</f>
        <v>1.4255</v>
      </c>
      <c r="BR28" s="4">
        <v>2020</v>
      </c>
      <c r="BS28" s="433">
        <v>5.59</v>
      </c>
      <c r="BT28" s="433">
        <v>5.7</v>
      </c>
    </row>
    <row r="29" spans="3:72">
      <c r="C29" s="4">
        <f t="shared" si="22"/>
        <v>2020</v>
      </c>
      <c r="D29" s="209">
        <f t="array" ref="D29">SUM((V$15:V$383)*(Y$15:Y$383)*($T$15:$T$383=$C29))/SUM((Y$15:Y$383)*($T$15:$T$383=$C29))</f>
        <v>85.778798701298697</v>
      </c>
      <c r="E29" s="209">
        <f t="array" ref="E29">SUM((W$15:W$383)*(Z$15:Z$383)*($T$15:$T$383=$C29))/SUM((Z$15:Z$383)*($T$15:$T$383=$C29))</f>
        <v>72.797489626556015</v>
      </c>
      <c r="F29" s="209">
        <f t="array" ref="F29">(SUM((X$15:X$383)*(Y$15:Y$383)*($T$15:$T$383=$C29))+SUM((X$15:X$383)*(Z$15:Z$383)*($T$15:$T$383=$C29)))/(SUM((Y$15:Y$383)*($T$15:$T$383=$C29))+SUM((Z$15:Z$383)*($T$15:$T$383=$C29)))</f>
        <v>80.228144808743139</v>
      </c>
      <c r="G29" s="597">
        <f t="shared" si="24"/>
        <v>2.6944208333333339</v>
      </c>
      <c r="H29" s="626">
        <f t="shared" ref="H29:H48" si="27">AVERAGEIF($BA$12:$BA$287,$C29,$BC$12:$BC$287)</f>
        <v>1.8849916666666668</v>
      </c>
      <c r="I29" s="209">
        <f t="array" ref="I29">(SUM((AH$15:AH$383)*(Y$15:Y$383)*($T$15:$T$383=$C29))+SUM((AH$15:AH$383)*(Z$15:Z$383)*($T$15:$T$383=$C29)))/(SUM((Y$15:Y$383)*($T$15:$T$383=$C29))+SUM((Z$15:Z$383)*($T$15:$T$383=$C29)))</f>
        <v>10.107309478601163</v>
      </c>
      <c r="J29" s="276">
        <f t="shared" si="5"/>
        <v>5.59</v>
      </c>
      <c r="K29" s="209">
        <f t="shared" si="10"/>
        <v>5.7024999999999997</v>
      </c>
      <c r="L29" s="276">
        <f t="shared" si="23"/>
        <v>11.473750000000003</v>
      </c>
      <c r="M29" s="531">
        <f>'[14]Extended Forecast'!D29</f>
        <v>2.5999999999999999E-2</v>
      </c>
      <c r="N29" s="628">
        <f>'[15]Extended Forecast'!K29</f>
        <v>2.5000000000000001E-2</v>
      </c>
      <c r="O29" s="210">
        <v>1.7999999999999999E-2</v>
      </c>
      <c r="P29" s="210">
        <v>0.02</v>
      </c>
      <c r="Q29" s="357">
        <f t="shared" si="21"/>
        <v>6.4501416433727297</v>
      </c>
      <c r="T29" s="4">
        <f t="shared" si="14"/>
        <v>2007</v>
      </c>
      <c r="U29" s="434">
        <f t="shared" ref="U29:U38" si="28">EOMONTH(U28,0)+1</f>
        <v>39142</v>
      </c>
      <c r="V29" s="150">
        <v>67.05</v>
      </c>
      <c r="W29" s="150">
        <v>58.52</v>
      </c>
      <c r="X29" s="357">
        <f t="shared" si="25"/>
        <v>63.382099999999994</v>
      </c>
      <c r="Y29" s="343">
        <v>432</v>
      </c>
      <c r="Z29" s="343">
        <v>312</v>
      </c>
      <c r="AA29" s="343">
        <f t="shared" si="17"/>
        <v>0.58064516129032262</v>
      </c>
      <c r="AB29" s="343">
        <f t="shared" si="18"/>
        <v>0.41935483870967744</v>
      </c>
      <c r="AF29" s="4">
        <f t="shared" si="26"/>
        <v>2007</v>
      </c>
      <c r="AG29" s="432">
        <f t="shared" ref="AG29:AG92" si="29">EOMONTH(AG28,0)+1</f>
        <v>39142</v>
      </c>
      <c r="AH29" s="149">
        <f t="shared" si="19"/>
        <v>9.0996370309951047</v>
      </c>
      <c r="AI29" s="150">
        <v>9.0996370309951047</v>
      </c>
      <c r="AK29" s="4">
        <f t="shared" si="6"/>
        <v>2006</v>
      </c>
      <c r="AL29" s="432">
        <v>38748</v>
      </c>
      <c r="AM29" s="4">
        <f t="shared" si="7"/>
        <v>5.7839892920000002</v>
      </c>
      <c r="AN29" s="4">
        <v>5.8454580360000001</v>
      </c>
      <c r="AO29" s="4">
        <v>5.7225205480000003</v>
      </c>
      <c r="AQ29" s="4">
        <f t="shared" si="8"/>
        <v>2009</v>
      </c>
      <c r="AR29" s="356">
        <v>40148</v>
      </c>
      <c r="AS29" s="4">
        <f t="shared" si="9"/>
        <v>12.3825</v>
      </c>
      <c r="AT29" s="4">
        <v>11.94</v>
      </c>
      <c r="AU29" s="4">
        <v>12.824999999999999</v>
      </c>
      <c r="AV29" s="515">
        <f t="shared" si="1"/>
        <v>2016</v>
      </c>
      <c r="AW29" s="535">
        <v>42522</v>
      </c>
      <c r="AX29" s="515">
        <f t="shared" si="2"/>
        <v>2.0781666666666667</v>
      </c>
      <c r="AY29" s="596">
        <f>'[12]Forward Price Curve'!AE110</f>
        <v>2.2161666666666666</v>
      </c>
      <c r="AZ29" s="596">
        <f>'[12]Forward Price Curve'!AD110</f>
        <v>1.9401666666666668</v>
      </c>
      <c r="BA29" s="629">
        <f t="shared" si="3"/>
        <v>2019</v>
      </c>
      <c r="BB29" s="633">
        <v>43617</v>
      </c>
      <c r="BC29" s="629">
        <f t="shared" si="4"/>
        <v>1.50485</v>
      </c>
      <c r="BD29" s="634">
        <f>[13]Prices!AO26</f>
        <v>1.5967</v>
      </c>
      <c r="BE29" s="634">
        <f>[13]Prices!AP26</f>
        <v>1.413</v>
      </c>
      <c r="BR29" s="4">
        <v>2021</v>
      </c>
      <c r="BS29" s="433">
        <v>5.68</v>
      </c>
      <c r="BT29" s="433">
        <v>5.79</v>
      </c>
    </row>
    <row r="30" spans="3:72">
      <c r="C30" s="4">
        <f t="shared" si="22"/>
        <v>2021</v>
      </c>
      <c r="D30" s="209">
        <f t="array" ref="D30">SUM((V$15:V$383)*(Y$15:Y$383)*($T$15:$T$383=$C30))/SUM((Y$15:Y$383)*($T$15:$T$383=$C30))</f>
        <v>85.96977198697067</v>
      </c>
      <c r="E30" s="209">
        <f t="array" ref="E30">SUM((W$15:W$383)*(Z$15:Z$383)*($T$15:$T$383=$C30))/SUM((Z$15:Z$383)*($T$15:$T$383=$C30))</f>
        <v>74.402765072765064</v>
      </c>
      <c r="F30" s="209">
        <f t="array" ref="F30">(SUM((X$15:X$383)*(Y$15:Y$383)*($T$15:$T$383=$C30))+SUM((X$15:X$383)*(Z$15:Z$383)*($T$15:$T$383=$C30)))/(SUM((Y$15:Y$383)*($T$15:$T$383=$C30))+SUM((Z$15:Z$383)*($T$15:$T$383=$C30)))</f>
        <v>81.014897260273969</v>
      </c>
      <c r="G30" s="597">
        <f t="shared" si="24"/>
        <v>2.8767624999999999</v>
      </c>
      <c r="H30" s="626">
        <f t="shared" si="27"/>
        <v>1.9506749999999997</v>
      </c>
      <c r="I30" s="209">
        <f t="array" ref="I30">(SUM((AH$15:AH$383)*(Y$15:Y$383)*($T$15:$T$383=$C30))+SUM((AH$15:AH$383)*(Z$15:Z$383)*($T$15:$T$383=$C30)))/(SUM((Y$15:Y$383)*($T$15:$T$383=$C30))+SUM((Z$15:Z$383)*($T$15:$T$383=$C30)))</f>
        <v>10.286225465001079</v>
      </c>
      <c r="J30" s="276">
        <f t="shared" si="5"/>
        <v>5.68</v>
      </c>
      <c r="K30" s="209">
        <f t="shared" si="10"/>
        <v>5.8954166666666659</v>
      </c>
      <c r="L30" s="276">
        <f t="shared" si="23"/>
        <v>11.692083333333334</v>
      </c>
      <c r="M30" s="531">
        <f>'[14]Extended Forecast'!D30</f>
        <v>2.4E-2</v>
      </c>
      <c r="N30" s="628">
        <f>'[15]Extended Forecast'!K30</f>
        <v>2.4E-2</v>
      </c>
      <c r="O30" s="210">
        <v>1.7999999999999999E-2</v>
      </c>
      <c r="P30" s="210">
        <v>1.9E-2</v>
      </c>
      <c r="Q30" s="357">
        <f t="shared" si="21"/>
        <v>6.5662441929534392</v>
      </c>
      <c r="T30" s="4">
        <f t="shared" si="14"/>
        <v>2007</v>
      </c>
      <c r="U30" s="434">
        <f t="shared" si="28"/>
        <v>39173</v>
      </c>
      <c r="V30" s="150">
        <v>58.5</v>
      </c>
      <c r="W30" s="150">
        <v>42.9</v>
      </c>
      <c r="X30" s="357">
        <f t="shared" si="25"/>
        <v>51.792000000000002</v>
      </c>
      <c r="Y30" s="343">
        <v>400</v>
      </c>
      <c r="Z30" s="343">
        <v>320</v>
      </c>
      <c r="AA30" s="343">
        <f t="shared" si="17"/>
        <v>0.55555555555555558</v>
      </c>
      <c r="AB30" s="343">
        <f t="shared" si="18"/>
        <v>0.44444444444444442</v>
      </c>
      <c r="AF30" s="4">
        <f t="shared" si="26"/>
        <v>2007</v>
      </c>
      <c r="AG30" s="432">
        <f t="shared" si="29"/>
        <v>39173</v>
      </c>
      <c r="AH30" s="149">
        <f t="shared" si="19"/>
        <v>7.1942196846112019</v>
      </c>
      <c r="AI30" s="150">
        <v>7.1942196846112019</v>
      </c>
      <c r="AK30" s="4">
        <f t="shared" si="6"/>
        <v>2006</v>
      </c>
      <c r="AL30" s="432">
        <v>38776</v>
      </c>
      <c r="AM30" s="4">
        <f t="shared" si="7"/>
        <v>5.7339892920000004</v>
      </c>
      <c r="AN30" s="4">
        <v>5.7954580360000003</v>
      </c>
      <c r="AO30" s="4">
        <v>5.6725205479999996</v>
      </c>
      <c r="AQ30" s="4">
        <f t="shared" si="8"/>
        <v>2010</v>
      </c>
      <c r="AR30" s="356">
        <v>40179</v>
      </c>
      <c r="AS30" s="4">
        <f t="shared" si="9"/>
        <v>12.602499999999999</v>
      </c>
      <c r="AT30" s="4">
        <v>12.16</v>
      </c>
      <c r="AU30" s="4">
        <v>13.045</v>
      </c>
      <c r="AV30" s="515">
        <f t="shared" si="1"/>
        <v>2016</v>
      </c>
      <c r="AW30" s="535">
        <v>42552</v>
      </c>
      <c r="AX30" s="515">
        <f t="shared" si="2"/>
        <v>2.3968548387096771</v>
      </c>
      <c r="AY30" s="596">
        <f>'[12]Forward Price Curve'!AE111</f>
        <v>2.4861290322580643</v>
      </c>
      <c r="AZ30" s="596">
        <f>'[12]Forward Price Curve'!AD111</f>
        <v>2.3075806451612904</v>
      </c>
      <c r="BA30" s="629">
        <f t="shared" si="3"/>
        <v>2019</v>
      </c>
      <c r="BB30" s="633">
        <v>43647</v>
      </c>
      <c r="BC30" s="629">
        <f t="shared" si="4"/>
        <v>1.7918499999999999</v>
      </c>
      <c r="BD30" s="634">
        <f>[13]Prices!AO27</f>
        <v>1.7386999999999999</v>
      </c>
      <c r="BE30" s="634">
        <f>[13]Prices!AP27</f>
        <v>1.845</v>
      </c>
      <c r="BR30" s="4">
        <v>2022</v>
      </c>
      <c r="BS30" s="433">
        <v>5.72</v>
      </c>
      <c r="BT30" s="433">
        <v>5.83</v>
      </c>
    </row>
    <row r="31" spans="3:72">
      <c r="C31" s="4">
        <f t="shared" si="22"/>
        <v>2022</v>
      </c>
      <c r="D31" s="209">
        <f t="array" ref="D31">SUM((V$15:V$383)*(Y$15:Y$383)*($T$15:$T$383=$C31))/SUM((Y$15:Y$383)*($T$15:$T$383=$C31))</f>
        <v>85.168078175895758</v>
      </c>
      <c r="E31" s="209">
        <f t="array" ref="E31">SUM((W$15:W$383)*(Z$15:Z$383)*($T$15:$T$383=$C31))/SUM((Z$15:Z$383)*($T$15:$T$383=$C31))</f>
        <v>75.580145530145515</v>
      </c>
      <c r="F31" s="209">
        <f t="array" ref="F31">(SUM((X$15:X$383)*(Y$15:Y$383)*($T$15:$T$383=$C31))+SUM((X$15:X$383)*(Z$15:Z$383)*($T$15:$T$383=$C31)))/(SUM((Y$15:Y$383)*($T$15:$T$383=$C31))+SUM((Z$15:Z$383)*($T$15:$T$383=$C31)))</f>
        <v>81.061868493150669</v>
      </c>
      <c r="G31" s="597">
        <f t="shared" si="24"/>
        <v>3.0098541666666665</v>
      </c>
      <c r="H31" s="626">
        <f t="shared" si="27"/>
        <v>2.431295833333333</v>
      </c>
      <c r="I31" s="209">
        <f t="array" ref="I31">(SUM((AH$15:AH$383)*(Y$15:Y$383)*($T$15:$T$383=$C31))+SUM((AH$15:AH$383)*(Z$15:Z$383)*($T$15:$T$383=$C31)))/(SUM((Y$15:Y$383)*($T$15:$T$383=$C31))+SUM((Z$15:Z$383)*($T$15:$T$383=$C31)))</f>
        <v>10.481890917487915</v>
      </c>
      <c r="J31" s="276">
        <f t="shared" si="5"/>
        <v>5.72</v>
      </c>
      <c r="K31" s="209">
        <f t="shared" si="10"/>
        <v>6.1033333333333344</v>
      </c>
      <c r="L31" s="276">
        <f t="shared" si="23"/>
        <v>11.912916666666668</v>
      </c>
      <c r="M31" s="531">
        <f>'[14]Extended Forecast'!D31</f>
        <v>2.3E-2</v>
      </c>
      <c r="N31" s="628">
        <f>'[15]Extended Forecast'!K31</f>
        <v>2.4E-2</v>
      </c>
      <c r="O31" s="210">
        <v>1.9E-2</v>
      </c>
      <c r="P31" s="210">
        <v>1.9E-2</v>
      </c>
      <c r="Q31" s="357">
        <f t="shared" si="21"/>
        <v>6.6910028326195539</v>
      </c>
      <c r="T31" s="4">
        <f t="shared" si="14"/>
        <v>2007</v>
      </c>
      <c r="U31" s="434">
        <f t="shared" si="28"/>
        <v>39203</v>
      </c>
      <c r="V31" s="150">
        <v>48</v>
      </c>
      <c r="W31" s="150">
        <v>32.89</v>
      </c>
      <c r="X31" s="357">
        <f t="shared" si="25"/>
        <v>41.502699999999997</v>
      </c>
      <c r="Y31" s="343">
        <v>416</v>
      </c>
      <c r="Z31" s="343">
        <v>328</v>
      </c>
      <c r="AA31" s="343">
        <f t="shared" si="17"/>
        <v>0.55913978494623651</v>
      </c>
      <c r="AB31" s="343">
        <f t="shared" si="18"/>
        <v>0.44086021505376344</v>
      </c>
      <c r="AF31" s="4">
        <f t="shared" si="26"/>
        <v>2007</v>
      </c>
      <c r="AG31" s="432">
        <f t="shared" si="29"/>
        <v>39203</v>
      </c>
      <c r="AH31" s="149">
        <f t="shared" si="19"/>
        <v>7.0412833061446438</v>
      </c>
      <c r="AI31" s="150">
        <v>7.0412833061446438</v>
      </c>
      <c r="AK31" s="4">
        <f t="shared" si="6"/>
        <v>2006</v>
      </c>
      <c r="AL31" s="432">
        <v>38807</v>
      </c>
      <c r="AM31" s="4">
        <f t="shared" si="7"/>
        <v>5.5589892919999997</v>
      </c>
      <c r="AN31" s="4">
        <v>5.6204580359999996</v>
      </c>
      <c r="AO31" s="4">
        <v>5.4975205479999998</v>
      </c>
      <c r="AQ31" s="4">
        <f t="shared" si="8"/>
        <v>2010</v>
      </c>
      <c r="AR31" s="356">
        <v>40210</v>
      </c>
      <c r="AS31" s="4">
        <f t="shared" si="9"/>
        <v>12.537500000000001</v>
      </c>
      <c r="AT31" s="4">
        <v>12.095000000000001</v>
      </c>
      <c r="AU31" s="4">
        <v>12.98</v>
      </c>
      <c r="AV31" s="515">
        <f t="shared" si="1"/>
        <v>2016</v>
      </c>
      <c r="AW31" s="535">
        <v>42583</v>
      </c>
      <c r="AX31" s="515">
        <f t="shared" si="2"/>
        <v>2.5364516129032255</v>
      </c>
      <c r="AY31" s="596">
        <f>'[12]Forward Price Curve'!AE112</f>
        <v>2.5683870967741931</v>
      </c>
      <c r="AZ31" s="596">
        <f>'[12]Forward Price Curve'!AD112</f>
        <v>2.5045161290322584</v>
      </c>
      <c r="BA31" s="629">
        <f t="shared" si="3"/>
        <v>2019</v>
      </c>
      <c r="BB31" s="633">
        <v>43678</v>
      </c>
      <c r="BC31" s="629">
        <f t="shared" si="4"/>
        <v>1.7826500000000001</v>
      </c>
      <c r="BD31" s="634">
        <f>[13]Prices!AO28</f>
        <v>1.7658</v>
      </c>
      <c r="BE31" s="634">
        <f>[13]Prices!AP28</f>
        <v>1.7995000000000001</v>
      </c>
      <c r="BR31" s="4">
        <v>2023</v>
      </c>
      <c r="BS31" s="433">
        <v>5.85</v>
      </c>
      <c r="BT31" s="433">
        <v>5.97</v>
      </c>
    </row>
    <row r="32" spans="3:72">
      <c r="C32" s="4">
        <f t="shared" si="22"/>
        <v>2023</v>
      </c>
      <c r="D32" s="209">
        <f t="array" ref="D32">SUM((V$15:V$383)*(Y$15:Y$383)*($T$15:$T$383=$C32))/SUM((Y$15:Y$383)*($T$15:$T$383=$C32))</f>
        <v>87.361633986928112</v>
      </c>
      <c r="E32" s="209">
        <f t="array" ref="E32">SUM((W$15:W$383)*(Z$15:Z$383)*($T$15:$T$383=$C32))/SUM((Z$15:Z$383)*($T$15:$T$383=$C32))</f>
        <v>77.669503105590053</v>
      </c>
      <c r="F32" s="209">
        <f t="array" ref="F32">(SUM((X$15:X$383)*(Y$15:Y$383)*($T$15:$T$383=$C32))+SUM((X$15:X$383)*(Z$15:Z$383)*($T$15:$T$383=$C32)))/(SUM((Y$15:Y$383)*($T$15:$T$383=$C32))+SUM((Z$15:Z$383)*($T$15:$T$383=$C32)))</f>
        <v>83.203268493150688</v>
      </c>
      <c r="G32" s="597">
        <f t="shared" si="24"/>
        <v>3.4771000000000001</v>
      </c>
      <c r="H32" s="626">
        <f t="shared" si="27"/>
        <v>2.9371999999999994</v>
      </c>
      <c r="I32" s="209">
        <f t="array" ref="I32">(SUM((AH$15:AH$383)*(Y$15:Y$383)*($T$15:$T$383=$C32))+SUM((AH$15:AH$383)*(Z$15:Z$383)*($T$15:$T$383=$C32)))/(SUM((Y$15:Y$383)*($T$15:$T$383=$C32))+SUM((Z$15:Z$383)*($T$15:$T$383=$C32)))</f>
        <v>10.679539654517416</v>
      </c>
      <c r="J32" s="276">
        <f t="shared" si="5"/>
        <v>5.85</v>
      </c>
      <c r="K32" s="209">
        <f t="shared" si="10"/>
        <v>6.3149999999999986</v>
      </c>
      <c r="L32" s="276">
        <f t="shared" si="23"/>
        <v>12.139166666666668</v>
      </c>
      <c r="M32" s="531">
        <f>'[14]Extended Forecast'!D32</f>
        <v>2.3E-2</v>
      </c>
      <c r="N32" s="628">
        <f>'[15]Extended Forecast'!K32</f>
        <v>2.4E-2</v>
      </c>
      <c r="O32" s="210">
        <v>1.9E-2</v>
      </c>
      <c r="P32" s="210">
        <v>1.9E-2</v>
      </c>
      <c r="Q32" s="357">
        <f t="shared" si="21"/>
        <v>6.8181318864393248</v>
      </c>
      <c r="T32" s="4">
        <f t="shared" si="14"/>
        <v>2007</v>
      </c>
      <c r="U32" s="434">
        <f t="shared" si="28"/>
        <v>39234</v>
      </c>
      <c r="V32" s="150">
        <v>44.5</v>
      </c>
      <c r="W32" s="150">
        <v>31.46</v>
      </c>
      <c r="X32" s="357">
        <f t="shared" si="25"/>
        <v>38.892800000000001</v>
      </c>
      <c r="Y32" s="343">
        <v>416</v>
      </c>
      <c r="Z32" s="343">
        <v>304</v>
      </c>
      <c r="AA32" s="343">
        <f t="shared" si="17"/>
        <v>0.57777777777777772</v>
      </c>
      <c r="AB32" s="343">
        <f t="shared" si="18"/>
        <v>0.42222222222222222</v>
      </c>
      <c r="AF32" s="4">
        <f t="shared" si="26"/>
        <v>2007</v>
      </c>
      <c r="AG32" s="432">
        <f t="shared" si="29"/>
        <v>39234</v>
      </c>
      <c r="AH32" s="149">
        <f t="shared" si="19"/>
        <v>7.1265538336052208</v>
      </c>
      <c r="AI32" s="150">
        <v>7.1265538336052208</v>
      </c>
      <c r="AK32" s="4">
        <f t="shared" si="6"/>
        <v>2006</v>
      </c>
      <c r="AL32" s="432">
        <v>38837</v>
      </c>
      <c r="AM32" s="4">
        <f t="shared" si="7"/>
        <v>4.8926438289999998</v>
      </c>
      <c r="AN32" s="4">
        <v>4.9677671099999996</v>
      </c>
      <c r="AO32" s="4">
        <v>4.8175205480000001</v>
      </c>
      <c r="AQ32" s="4">
        <f t="shared" si="8"/>
        <v>2010</v>
      </c>
      <c r="AR32" s="356">
        <v>40238</v>
      </c>
      <c r="AS32" s="4">
        <f t="shared" si="9"/>
        <v>12.287500000000001</v>
      </c>
      <c r="AT32" s="4">
        <v>11.845000000000001</v>
      </c>
      <c r="AU32" s="4">
        <v>12.73</v>
      </c>
      <c r="AV32" s="515">
        <f t="shared" si="1"/>
        <v>2016</v>
      </c>
      <c r="AW32" s="535">
        <v>42614</v>
      </c>
      <c r="AX32" s="515">
        <f t="shared" si="2"/>
        <v>2.6564166666666669</v>
      </c>
      <c r="AY32" s="596">
        <f>'[12]Forward Price Curve'!AE113</f>
        <v>2.6613333333333338</v>
      </c>
      <c r="AZ32" s="596">
        <f>'[12]Forward Price Curve'!AD113</f>
        <v>2.6514999999999995</v>
      </c>
      <c r="BA32" s="629">
        <f t="shared" si="3"/>
        <v>2019</v>
      </c>
      <c r="BB32" s="633">
        <v>43709</v>
      </c>
      <c r="BC32" s="629">
        <f t="shared" si="4"/>
        <v>1.7725</v>
      </c>
      <c r="BD32" s="634">
        <f>[13]Prices!AO29</f>
        <v>1.76</v>
      </c>
      <c r="BE32" s="634">
        <f>[13]Prices!AP29</f>
        <v>1.7849999999999999</v>
      </c>
    </row>
    <row r="33" spans="3:71">
      <c r="C33" s="4">
        <f t="shared" si="22"/>
        <v>2024</v>
      </c>
      <c r="D33" s="209">
        <f t="array" ref="D33">SUM((V$15:V$383)*(Y$15:Y$383)*($T$15:$T$383=$C33))/SUM((Y$15:Y$383)*($T$15:$T$383=$C33))</f>
        <v>87.465941558441557</v>
      </c>
      <c r="E33" s="209">
        <f t="array" ref="E33">SUM((W$15:W$383)*(Z$15:Z$383)*($T$15:$T$383=$C33))/SUM((Z$15:Z$383)*($T$15:$T$383=$C33))</f>
        <v>78.932676348547716</v>
      </c>
      <c r="F33" s="209">
        <f t="array" ref="F33">(SUM((X$15:X$383)*(Y$15:Y$383)*($T$15:$T$383=$C33))+SUM((X$15:X$383)*(Z$15:Z$383)*($T$15:$T$383=$C33)))/(SUM((Y$15:Y$383)*($T$15:$T$383=$C33))+SUM((Z$15:Z$383)*($T$15:$T$383=$C33)))</f>
        <v>83.801019398907087</v>
      </c>
      <c r="G33" s="597">
        <f t="shared" si="24"/>
        <v>3.9537833333333325</v>
      </c>
      <c r="H33" s="626">
        <f t="shared" si="27"/>
        <v>3.4675625000000001</v>
      </c>
      <c r="I33" s="209">
        <f t="array" ref="I33">(SUM((AH$15:AH$383)*(Y$15:Y$383)*($T$15:$T$383=$C33))+SUM((AH$15:AH$383)*(Z$15:Z$383)*($T$15:$T$383=$C33)))/(SUM((Y$15:Y$383)*($T$15:$T$383=$C33))+SUM((Z$15:Z$383)*($T$15:$T$383=$C33)))</f>
        <v>10.883589278444866</v>
      </c>
      <c r="J33" s="282">
        <f>J32*(1+$BR$37)</f>
        <v>5.996249999999999</v>
      </c>
      <c r="K33" s="209">
        <f t="shared" si="10"/>
        <v>6.5370833333333325</v>
      </c>
      <c r="L33" s="276">
        <f t="shared" si="23"/>
        <v>12.371250000000002</v>
      </c>
      <c r="M33" s="531">
        <f>'[14]Extended Forecast'!D33</f>
        <v>2.3E-2</v>
      </c>
      <c r="N33" s="628">
        <f>'[15]Extended Forecast'!K33</f>
        <v>2.3E-2</v>
      </c>
      <c r="O33" s="210">
        <v>1.9E-2</v>
      </c>
      <c r="P33" s="210">
        <v>1.9E-2</v>
      </c>
      <c r="Q33" s="357">
        <f t="shared" si="21"/>
        <v>6.9476763922816716</v>
      </c>
      <c r="T33" s="4">
        <f t="shared" si="14"/>
        <v>2007</v>
      </c>
      <c r="U33" s="434">
        <f t="shared" si="28"/>
        <v>39264</v>
      </c>
      <c r="V33" s="150">
        <v>71.55</v>
      </c>
      <c r="W33" s="150">
        <v>55.8</v>
      </c>
      <c r="X33" s="357">
        <f t="shared" si="25"/>
        <v>64.777500000000003</v>
      </c>
      <c r="Y33" s="343">
        <v>400</v>
      </c>
      <c r="Z33" s="343">
        <v>344</v>
      </c>
      <c r="AA33" s="343">
        <f t="shared" si="17"/>
        <v>0.5376344086021505</v>
      </c>
      <c r="AB33" s="343">
        <f t="shared" si="18"/>
        <v>0.46236559139784944</v>
      </c>
      <c r="AF33" s="4">
        <f t="shared" si="26"/>
        <v>2007</v>
      </c>
      <c r="AG33" s="432">
        <f t="shared" si="29"/>
        <v>39264</v>
      </c>
      <c r="AH33" s="149">
        <f t="shared" si="19"/>
        <v>7.2903996737357257</v>
      </c>
      <c r="AI33" s="150">
        <v>7.2903996737357257</v>
      </c>
      <c r="AK33" s="4">
        <f t="shared" si="6"/>
        <v>2006</v>
      </c>
      <c r="AL33" s="432">
        <v>38868</v>
      </c>
      <c r="AM33" s="4">
        <f t="shared" si="7"/>
        <v>4.7426438290000004</v>
      </c>
      <c r="AN33" s="4">
        <v>4.8177671100000001</v>
      </c>
      <c r="AO33" s="4">
        <v>4.6675205479999997</v>
      </c>
      <c r="AQ33" s="4">
        <f t="shared" si="8"/>
        <v>2010</v>
      </c>
      <c r="AR33" s="356">
        <v>40269</v>
      </c>
      <c r="AS33" s="4">
        <f t="shared" si="9"/>
        <v>10.01</v>
      </c>
      <c r="AT33" s="4">
        <v>10.065</v>
      </c>
      <c r="AU33" s="4">
        <v>9.9550000000000001</v>
      </c>
      <c r="AV33" s="515">
        <f t="shared" si="1"/>
        <v>2016</v>
      </c>
      <c r="AW33" s="535">
        <v>42644</v>
      </c>
      <c r="AX33" s="515">
        <f t="shared" si="2"/>
        <v>2.665</v>
      </c>
      <c r="AY33" s="596">
        <f>'[12]Forward Price Curve'!AE114</f>
        <v>2.68</v>
      </c>
      <c r="AZ33" s="596">
        <f>'[12]Forward Price Curve'!AD114</f>
        <v>2.65</v>
      </c>
      <c r="BA33" s="629">
        <f t="shared" si="3"/>
        <v>2019</v>
      </c>
      <c r="BB33" s="633">
        <v>43739</v>
      </c>
      <c r="BC33" s="629">
        <f t="shared" si="4"/>
        <v>1.80375</v>
      </c>
      <c r="BD33" s="634">
        <f>[13]Prices!AO30</f>
        <v>1.7524999999999999</v>
      </c>
      <c r="BE33" s="634">
        <f>[13]Prices!AP30</f>
        <v>1.855</v>
      </c>
      <c r="BH33" s="436"/>
      <c r="BR33" s="4" t="s">
        <v>192</v>
      </c>
    </row>
    <row r="34" spans="3:71">
      <c r="C34" s="4">
        <f t="shared" si="22"/>
        <v>2025</v>
      </c>
      <c r="D34" s="209">
        <f t="array" ref="D34">SUM((V$15:V$383)*(Y$15:Y$383)*($T$15:$T$383=$C34))/SUM((Y$15:Y$383)*($T$15:$T$383=$C34))</f>
        <v>88.983257328990234</v>
      </c>
      <c r="E34" s="209">
        <f t="array" ref="E34">SUM((W$15:W$383)*(Z$15:Z$383)*($T$15:$T$383=$C34))/SUM((Z$15:Z$383)*($T$15:$T$383=$C34))</f>
        <v>81.403617463617465</v>
      </c>
      <c r="F34" s="209">
        <f t="array" ref="F34">(SUM((X$15:X$383)*(Y$15:Y$383)*($T$15:$T$383=$C34))+SUM((X$15:X$383)*(Z$15:Z$383)*($T$15:$T$383=$C34)))/(SUM((Y$15:Y$383)*($T$15:$T$383=$C34))+SUM((Z$15:Z$383)*($T$15:$T$383=$C34)))</f>
        <v>85.729098904109577</v>
      </c>
      <c r="G34" s="597">
        <f t="shared" si="24"/>
        <v>4.1086708333333339</v>
      </c>
      <c r="H34" s="626">
        <f t="shared" si="27"/>
        <v>3.8251624999999998</v>
      </c>
      <c r="I34" s="209">
        <f t="array" ref="I34">(SUM((AH$15:AH$383)*(Y$15:Y$383)*($T$15:$T$383=$C34))+SUM((AH$15:AH$383)*(Z$15:Z$383)*($T$15:$T$383=$C34)))/(SUM((Y$15:Y$383)*($T$15:$T$383=$C34))+SUM((Z$15:Z$383)*($T$15:$T$383=$C34)))</f>
        <v>11.090126110825569</v>
      </c>
      <c r="J34" s="282">
        <f t="shared" ref="J34:J60" si="30">J33*(1+$BR$37)</f>
        <v>6.146156249999998</v>
      </c>
      <c r="K34" s="209">
        <f t="shared" si="10"/>
        <v>6.765416666666666</v>
      </c>
      <c r="L34" s="276">
        <f t="shared" si="23"/>
        <v>12.592916666666667</v>
      </c>
      <c r="M34" s="531">
        <f>'[14]Extended Forecast'!D34</f>
        <v>2.3E-2</v>
      </c>
      <c r="N34" s="628">
        <f>'[15]Extended Forecast'!K34</f>
        <v>2.1999999999999999E-2</v>
      </c>
      <c r="O34" s="210">
        <v>1.9E-2</v>
      </c>
      <c r="P34" s="210">
        <v>1.7999999999999999E-2</v>
      </c>
      <c r="Q34" s="357">
        <f t="shared" si="21"/>
        <v>7.0796822437350224</v>
      </c>
      <c r="T34" s="4">
        <f t="shared" si="14"/>
        <v>2007</v>
      </c>
      <c r="U34" s="434">
        <f t="shared" si="28"/>
        <v>39295</v>
      </c>
      <c r="V34" s="150">
        <v>84.27</v>
      </c>
      <c r="W34" s="150">
        <v>65.72</v>
      </c>
      <c r="X34" s="357">
        <f t="shared" si="25"/>
        <v>76.293499999999995</v>
      </c>
      <c r="Y34" s="343">
        <v>432</v>
      </c>
      <c r="Z34" s="343">
        <v>312</v>
      </c>
      <c r="AA34" s="343">
        <f t="shared" si="17"/>
        <v>0.58064516129032262</v>
      </c>
      <c r="AB34" s="343">
        <f t="shared" si="18"/>
        <v>0.41935483870967744</v>
      </c>
      <c r="AF34" s="4">
        <f t="shared" si="26"/>
        <v>2007</v>
      </c>
      <c r="AG34" s="432">
        <f t="shared" si="29"/>
        <v>39295</v>
      </c>
      <c r="AH34" s="149">
        <f t="shared" si="19"/>
        <v>7.3821615008156618</v>
      </c>
      <c r="AI34" s="150">
        <v>7.3821615008156618</v>
      </c>
      <c r="AK34" s="4">
        <f t="shared" si="6"/>
        <v>2006</v>
      </c>
      <c r="AL34" s="432">
        <v>38898</v>
      </c>
      <c r="AM34" s="4">
        <f t="shared" si="7"/>
        <v>4.7476438289999994</v>
      </c>
      <c r="AN34" s="4">
        <v>4.82276711</v>
      </c>
      <c r="AO34" s="4">
        <v>4.6725205479999996</v>
      </c>
      <c r="AQ34" s="4">
        <f t="shared" si="8"/>
        <v>2010</v>
      </c>
      <c r="AR34" s="356">
        <v>40299</v>
      </c>
      <c r="AS34" s="4">
        <f t="shared" si="9"/>
        <v>9.8449999999999989</v>
      </c>
      <c r="AT34" s="4">
        <v>9.9</v>
      </c>
      <c r="AU34" s="4">
        <v>9.7899999999999991</v>
      </c>
      <c r="AV34" s="515">
        <f t="shared" si="1"/>
        <v>2016</v>
      </c>
      <c r="AW34" s="535">
        <v>42675</v>
      </c>
      <c r="AX34" s="515">
        <f t="shared" si="2"/>
        <v>3.0488999999999997</v>
      </c>
      <c r="AY34" s="596">
        <f>'[12]Forward Price Curve'!AE115</f>
        <v>3.0278</v>
      </c>
      <c r="AZ34" s="596">
        <f>'[12]Forward Price Curve'!AD115</f>
        <v>3.07</v>
      </c>
      <c r="BA34" s="629">
        <f t="shared" si="3"/>
        <v>2019</v>
      </c>
      <c r="BB34" s="633">
        <v>43770</v>
      </c>
      <c r="BC34" s="629">
        <f t="shared" si="4"/>
        <v>2.0677500000000002</v>
      </c>
      <c r="BD34" s="634">
        <f>[13]Prices!AO31</f>
        <v>1.9715</v>
      </c>
      <c r="BE34" s="634">
        <f>[13]Prices!AP31</f>
        <v>2.1640000000000001</v>
      </c>
      <c r="BH34" s="436"/>
      <c r="BR34" s="4" t="s">
        <v>189</v>
      </c>
    </row>
    <row r="35" spans="3:71">
      <c r="C35" s="4">
        <f t="shared" si="22"/>
        <v>2026</v>
      </c>
      <c r="D35" s="209">
        <f t="array" ref="D35">SUM((V$15:V$383)*(Y$15:Y$383)*($T$15:$T$383=$C35))/SUM((Y$15:Y$383)*($T$15:$T$383=$C35))</f>
        <v>90.695830618892501</v>
      </c>
      <c r="E35" s="209">
        <f t="array" ref="E35">SUM((W$15:W$383)*(Z$15:Z$383)*($T$15:$T$383=$C35))/SUM((Z$15:Z$383)*($T$15:$T$383=$C35))</f>
        <v>82.942245322245327</v>
      </c>
      <c r="F35" s="209">
        <f t="array" ref="F35">(SUM((X$15:X$383)*(Y$15:Y$383)*($T$15:$T$383=$C35))+SUM((X$15:X$383)*(Z$15:Z$383)*($T$15:$T$383=$C35)))/(SUM((Y$15:Y$383)*($T$15:$T$383=$C35))+SUM((Z$15:Z$383)*($T$15:$T$383=$C35)))</f>
        <v>87.357894794520547</v>
      </c>
      <c r="G35" s="597">
        <f t="shared" si="24"/>
        <v>4.1864999999999997</v>
      </c>
      <c r="H35" s="626">
        <f t="shared" si="27"/>
        <v>4.0344208333333329</v>
      </c>
      <c r="I35" s="209">
        <f t="array" ref="I35">(SUM((AH$15:AH$383)*(Y$15:Y$383)*($T$15:$T$383=$C35))+SUM((AH$15:AH$383)*(Z$15:Z$383)*($T$15:$T$383=$C35)))/(SUM((Y$15:Y$383)*($T$15:$T$383=$C35))+SUM((Z$15:Z$383)*($T$15:$T$383=$C35)))</f>
        <v>11.299115883408938</v>
      </c>
      <c r="J35" s="282">
        <f t="shared" si="30"/>
        <v>6.2998101562499977</v>
      </c>
      <c r="K35" s="209">
        <f t="shared" si="10"/>
        <v>7.0025000000000004</v>
      </c>
      <c r="L35" s="276">
        <f t="shared" si="23"/>
        <v>12.819166666666668</v>
      </c>
      <c r="M35" s="531">
        <f>'[14]Extended Forecast'!D35</f>
        <v>2.1999999999999999E-2</v>
      </c>
      <c r="N35" s="628">
        <f>'[15]Extended Forecast'!K35</f>
        <v>2.1999999999999999E-2</v>
      </c>
      <c r="O35" s="210">
        <v>1.9E-2</v>
      </c>
      <c r="P35" s="210">
        <v>1.7999999999999999E-2</v>
      </c>
      <c r="Q35" s="357">
        <f t="shared" si="21"/>
        <v>7.2141962063659868</v>
      </c>
      <c r="T35" s="4">
        <f t="shared" si="14"/>
        <v>2007</v>
      </c>
      <c r="U35" s="434">
        <f t="shared" si="28"/>
        <v>39326</v>
      </c>
      <c r="V35" s="150">
        <v>82.68</v>
      </c>
      <c r="W35" s="150">
        <v>64.48</v>
      </c>
      <c r="X35" s="357">
        <f t="shared" si="25"/>
        <v>74.853999999999999</v>
      </c>
      <c r="Y35" s="343">
        <v>384</v>
      </c>
      <c r="Z35" s="343">
        <v>336</v>
      </c>
      <c r="AA35" s="343">
        <f t="shared" si="17"/>
        <v>0.53333333333333333</v>
      </c>
      <c r="AB35" s="343">
        <f t="shared" si="18"/>
        <v>0.46666666666666667</v>
      </c>
      <c r="AF35" s="4">
        <f t="shared" si="26"/>
        <v>2007</v>
      </c>
      <c r="AG35" s="432">
        <f t="shared" si="29"/>
        <v>39326</v>
      </c>
      <c r="AH35" s="149">
        <f t="shared" si="19"/>
        <v>7.473923327895597</v>
      </c>
      <c r="AI35" s="150">
        <v>7.473923327895597</v>
      </c>
      <c r="AK35" s="4">
        <f t="shared" si="6"/>
        <v>2006</v>
      </c>
      <c r="AL35" s="432">
        <v>38929</v>
      </c>
      <c r="AM35" s="4">
        <f t="shared" si="7"/>
        <v>4.7676438289999998</v>
      </c>
      <c r="AN35" s="4">
        <v>4.8427671099999996</v>
      </c>
      <c r="AO35" s="4">
        <v>4.6925205480000001</v>
      </c>
      <c r="AQ35" s="4">
        <f t="shared" si="8"/>
        <v>2010</v>
      </c>
      <c r="AR35" s="356">
        <v>40330</v>
      </c>
      <c r="AS35" s="4">
        <f t="shared" si="9"/>
        <v>9.9250000000000007</v>
      </c>
      <c r="AT35" s="4">
        <v>9.98</v>
      </c>
      <c r="AU35" s="4">
        <v>9.8699999999999992</v>
      </c>
      <c r="AV35" s="515">
        <f t="shared" si="1"/>
        <v>2016</v>
      </c>
      <c r="AW35" s="535">
        <v>42705</v>
      </c>
      <c r="AX35" s="515">
        <f t="shared" si="2"/>
        <v>3.5498500000000002</v>
      </c>
      <c r="AY35" s="596">
        <f>'[12]Forward Price Curve'!AE116</f>
        <v>3.4497</v>
      </c>
      <c r="AZ35" s="596">
        <f>'[12]Forward Price Curve'!AD116</f>
        <v>3.65</v>
      </c>
      <c r="BA35" s="629">
        <f t="shared" si="3"/>
        <v>2019</v>
      </c>
      <c r="BB35" s="633">
        <v>43800</v>
      </c>
      <c r="BC35" s="629">
        <f t="shared" si="4"/>
        <v>2.4917500000000001</v>
      </c>
      <c r="BD35" s="634">
        <f>[13]Prices!AO32</f>
        <v>2.1455000000000002</v>
      </c>
      <c r="BE35" s="634">
        <f>[13]Prices!AP32</f>
        <v>2.8380000000000001</v>
      </c>
      <c r="BH35" s="436"/>
      <c r="BR35" s="4" t="s">
        <v>190</v>
      </c>
    </row>
    <row r="36" spans="3:71">
      <c r="C36" s="4">
        <f t="shared" si="22"/>
        <v>2027</v>
      </c>
      <c r="D36" s="209">
        <f t="array" ref="D36">SUM((V$15:V$383)*(Y$15:Y$383)*($T$15:$T$383=$C36))/SUM((Y$15:Y$383)*($T$15:$T$383=$C36))</f>
        <v>92.386319218241056</v>
      </c>
      <c r="E36" s="209">
        <f t="array" ref="E36">SUM((W$15:W$383)*(Z$15:Z$383)*($T$15:$T$383=$C36))/SUM((Z$15:Z$383)*($T$15:$T$383=$C36))</f>
        <v>84.557920997920988</v>
      </c>
      <c r="F36" s="209">
        <f t="array" ref="F36">(SUM((X$15:X$383)*(Y$15:Y$383)*($T$15:$T$383=$C36))+SUM((X$15:X$383)*(Z$15:Z$383)*($T$15:$T$383=$C36)))/(SUM((Y$15:Y$383)*($T$15:$T$383=$C36))+SUM((Z$15:Z$383)*($T$15:$T$383=$C36)))</f>
        <v>89.017453424657518</v>
      </c>
      <c r="G36" s="597">
        <f t="shared" si="24"/>
        <v>4.4573125000000005</v>
      </c>
      <c r="H36" s="626">
        <f t="shared" si="27"/>
        <v>3.9925249999999992</v>
      </c>
      <c r="I36" s="209">
        <f t="array" ref="I36">(SUM((AH$15:AH$383)*(Y$15:Y$383)*($T$15:$T$383=$C36))+SUM((AH$15:AH$383)*(Z$15:Z$383)*($T$15:$T$383=$C36)))/(SUM((Y$15:Y$383)*($T$15:$T$383=$C36))+SUM((Z$15:Z$383)*($T$15:$T$383=$C36)))</f>
        <v>11.51262158558478</v>
      </c>
      <c r="J36" s="282">
        <f t="shared" si="30"/>
        <v>6.4573054101562475</v>
      </c>
      <c r="K36" s="209">
        <f t="shared" si="10"/>
        <v>7.2479166666666659</v>
      </c>
      <c r="L36" s="276">
        <f t="shared" si="23"/>
        <v>13.063749999999999</v>
      </c>
      <c r="M36" s="531">
        <f>'[14]Extended Forecast'!D36</f>
        <v>2.1999999999999999E-2</v>
      </c>
      <c r="N36" s="628">
        <f>'[15]Extended Forecast'!K36</f>
        <v>2.1999999999999999E-2</v>
      </c>
      <c r="O36" s="210">
        <v>1.9E-2</v>
      </c>
      <c r="P36" s="210">
        <v>1.9E-2</v>
      </c>
      <c r="Q36" s="357">
        <f t="shared" si="21"/>
        <v>7.35126593428694</v>
      </c>
      <c r="T36" s="4">
        <f t="shared" si="14"/>
        <v>2007</v>
      </c>
      <c r="U36" s="434">
        <f t="shared" si="28"/>
        <v>39356</v>
      </c>
      <c r="V36" s="150">
        <v>59.8</v>
      </c>
      <c r="W36" s="150">
        <v>54.365000000000002</v>
      </c>
      <c r="X36" s="357">
        <f t="shared" si="25"/>
        <v>57.462949999999999</v>
      </c>
      <c r="Y36" s="343">
        <v>432</v>
      </c>
      <c r="Z36" s="343">
        <v>312</v>
      </c>
      <c r="AA36" s="343">
        <f t="shared" si="17"/>
        <v>0.58064516129032262</v>
      </c>
      <c r="AB36" s="343">
        <f t="shared" si="18"/>
        <v>0.41935483870967744</v>
      </c>
      <c r="AF36" s="4">
        <f t="shared" si="26"/>
        <v>2007</v>
      </c>
      <c r="AG36" s="432">
        <f t="shared" si="29"/>
        <v>39356</v>
      </c>
      <c r="AH36" s="149">
        <f t="shared" si="19"/>
        <v>7.6119059271343117</v>
      </c>
      <c r="AI36" s="150">
        <v>7.6119059271343117</v>
      </c>
      <c r="AK36" s="4">
        <f t="shared" si="6"/>
        <v>2006</v>
      </c>
      <c r="AL36" s="432">
        <v>38960</v>
      </c>
      <c r="AM36" s="4">
        <f t="shared" si="7"/>
        <v>4.7856438289999996</v>
      </c>
      <c r="AN36" s="4">
        <v>4.8607671100000003</v>
      </c>
      <c r="AO36" s="4">
        <v>4.7105205479999999</v>
      </c>
      <c r="AQ36" s="4">
        <f t="shared" si="8"/>
        <v>2010</v>
      </c>
      <c r="AR36" s="356">
        <v>40360</v>
      </c>
      <c r="AS36" s="4">
        <f t="shared" si="9"/>
        <v>10.02</v>
      </c>
      <c r="AT36" s="4">
        <v>10.074999999999999</v>
      </c>
      <c r="AU36" s="4">
        <v>9.9649999999999999</v>
      </c>
      <c r="AV36" s="515">
        <f t="shared" si="1"/>
        <v>2017</v>
      </c>
      <c r="AW36" s="535">
        <v>42736</v>
      </c>
      <c r="AX36" s="515">
        <f t="shared" si="2"/>
        <v>3.5389499999999998</v>
      </c>
      <c r="AY36" s="596">
        <f>'[12]Forward Price Curve'!AE117</f>
        <v>3.5049000000000001</v>
      </c>
      <c r="AZ36" s="596">
        <f>'[12]Forward Price Curve'!AD117</f>
        <v>3.573</v>
      </c>
      <c r="BA36" s="629">
        <f t="shared" si="3"/>
        <v>2020</v>
      </c>
      <c r="BB36" s="633">
        <v>43831</v>
      </c>
      <c r="BC36" s="629">
        <f t="shared" si="4"/>
        <v>2.4710000000000001</v>
      </c>
      <c r="BD36" s="634">
        <f>[13]Prices!AO33</f>
        <v>2.2360000000000002</v>
      </c>
      <c r="BE36" s="634">
        <f>[13]Prices!AP33</f>
        <v>2.706</v>
      </c>
      <c r="BR36" s="4" t="s">
        <v>191</v>
      </c>
    </row>
    <row r="37" spans="3:71">
      <c r="C37" s="4">
        <f t="shared" si="22"/>
        <v>2028</v>
      </c>
      <c r="D37" s="209">
        <f t="array" ref="D37">SUM((V$15:V$383)*(Y$15:Y$383)*($T$15:$T$383=$C37))/SUM((Y$15:Y$383)*($T$15:$T$383=$C37))</f>
        <v>94.137035830618885</v>
      </c>
      <c r="E37" s="209">
        <f t="array" ref="E37">SUM((W$15:W$383)*(Z$15:Z$383)*($T$15:$T$383=$C37))/SUM((Z$15:Z$383)*($T$15:$T$383=$C37))</f>
        <v>86.209256198347092</v>
      </c>
      <c r="F37" s="209">
        <f t="array" ref="F37">(SUM((X$15:X$383)*(Y$15:Y$383)*($T$15:$T$383=$C37))+SUM((X$15:X$383)*(Z$15:Z$383)*($T$15:$T$383=$C37)))/(SUM((Y$15:Y$383)*($T$15:$T$383=$C37))+SUM((Z$15:Z$383)*($T$15:$T$383=$C37)))</f>
        <v>90.723929234972672</v>
      </c>
      <c r="G37" s="597">
        <f t="shared" si="24"/>
        <v>4.6136041666666676</v>
      </c>
      <c r="H37" s="626">
        <f t="shared" si="27"/>
        <v>3.9325250000000005</v>
      </c>
      <c r="I37" s="209">
        <f t="array" ref="I37">(SUM((AH$15:AH$383)*(Y$15:Y$383)*($T$15:$T$383=$C37))+SUM((AH$15:AH$383)*(Z$15:Z$383)*($T$15:$T$383=$C37)))/(SUM((Y$15:Y$383)*($T$15:$T$383=$C37))+SUM((Z$15:Z$383)*($T$15:$T$383=$C37)))</f>
        <v>11.7332358254813</v>
      </c>
      <c r="J37" s="282">
        <f t="shared" si="30"/>
        <v>6.6187380454101534</v>
      </c>
      <c r="K37" s="209">
        <f t="shared" si="10"/>
        <v>7.5008333333333326</v>
      </c>
      <c r="L37" s="276">
        <f t="shared" si="23"/>
        <v>13.311666666666667</v>
      </c>
      <c r="M37" s="531">
        <f>'[14]Extended Forecast'!D37</f>
        <v>2.1999999999999999E-2</v>
      </c>
      <c r="N37" s="628">
        <f>'[15]Extended Forecast'!K37</f>
        <v>2.1999999999999999E-2</v>
      </c>
      <c r="O37" s="210">
        <v>1.9E-2</v>
      </c>
      <c r="P37" s="210">
        <v>1.9E-2</v>
      </c>
      <c r="Q37" s="357">
        <f t="shared" si="21"/>
        <v>7.4909399870383915</v>
      </c>
      <c r="T37" s="4">
        <f t="shared" si="14"/>
        <v>2007</v>
      </c>
      <c r="U37" s="434">
        <f t="shared" si="28"/>
        <v>39387</v>
      </c>
      <c r="V37" s="150">
        <v>74.002499999999998</v>
      </c>
      <c r="W37" s="150">
        <v>64.19</v>
      </c>
      <c r="X37" s="357">
        <f t="shared" si="25"/>
        <v>69.783124999999998</v>
      </c>
      <c r="Y37" s="343">
        <v>400</v>
      </c>
      <c r="Z37" s="343">
        <v>320</v>
      </c>
      <c r="AA37" s="343">
        <f t="shared" si="17"/>
        <v>0.55555555555555558</v>
      </c>
      <c r="AB37" s="343">
        <f t="shared" si="18"/>
        <v>0.44444444444444442</v>
      </c>
      <c r="AF37" s="4">
        <f t="shared" si="26"/>
        <v>2007</v>
      </c>
      <c r="AG37" s="432">
        <f t="shared" si="29"/>
        <v>39387</v>
      </c>
      <c r="AH37" s="149">
        <f t="shared" si="19"/>
        <v>8.4234883088635115</v>
      </c>
      <c r="AI37" s="150">
        <v>8.4234883088635115</v>
      </c>
      <c r="AK37" s="4">
        <f t="shared" si="6"/>
        <v>2006</v>
      </c>
      <c r="AL37" s="432">
        <v>38990</v>
      </c>
      <c r="AM37" s="4">
        <f t="shared" si="7"/>
        <v>4.7606438290000002</v>
      </c>
      <c r="AN37" s="4">
        <v>4.8357671099999999</v>
      </c>
      <c r="AO37" s="4">
        <v>4.6855205480000004</v>
      </c>
      <c r="AQ37" s="4">
        <f t="shared" si="8"/>
        <v>2010</v>
      </c>
      <c r="AR37" s="356">
        <v>40391</v>
      </c>
      <c r="AS37" s="4">
        <f t="shared" si="9"/>
        <v>10.09</v>
      </c>
      <c r="AT37" s="4">
        <v>10.145</v>
      </c>
      <c r="AU37" s="4">
        <v>10.035</v>
      </c>
      <c r="AV37" s="515">
        <f t="shared" si="1"/>
        <v>2017</v>
      </c>
      <c r="AW37" s="535">
        <v>42767</v>
      </c>
      <c r="AX37" s="515">
        <f t="shared" si="2"/>
        <v>3.4752000000000001</v>
      </c>
      <c r="AY37" s="596">
        <f>'[12]Forward Price Curve'!AE118</f>
        <v>3.4973999999999998</v>
      </c>
      <c r="AZ37" s="596">
        <f>'[12]Forward Price Curve'!AD118</f>
        <v>3.4529999999999998</v>
      </c>
      <c r="BA37" s="629">
        <f t="shared" si="3"/>
        <v>2020</v>
      </c>
      <c r="BB37" s="633">
        <v>43862</v>
      </c>
      <c r="BC37" s="629">
        <f t="shared" si="4"/>
        <v>2.2885</v>
      </c>
      <c r="BD37" s="634">
        <f>[13]Prices!AO34</f>
        <v>2.1785000000000001</v>
      </c>
      <c r="BE37" s="634">
        <f>[13]Prices!AP34</f>
        <v>2.3984999999999999</v>
      </c>
      <c r="BR37" s="262">
        <v>2.5000000000000001E-2</v>
      </c>
    </row>
    <row r="38" spans="3:71">
      <c r="C38" s="4">
        <f t="shared" si="22"/>
        <v>2029</v>
      </c>
      <c r="D38" s="209">
        <f t="array" ref="D38">SUM((V$15:V$383)*(Y$15:Y$383)*($T$15:$T$383=$C38))/SUM((Y$15:Y$383)*($T$15:$T$383=$C38))</f>
        <v>95.943843648208457</v>
      </c>
      <c r="E38" s="209">
        <f t="array" ref="E38">SUM((W$15:W$383)*(Z$15:Z$383)*($T$15:$T$383=$C38))/SUM((Z$15:Z$383)*($T$15:$T$383=$C38))</f>
        <v>87.8204365904366</v>
      </c>
      <c r="F38" s="209">
        <f t="array" ref="F38">(SUM((X$15:X$383)*(Y$15:Y$383)*($T$15:$T$383=$C38))+SUM((X$15:X$383)*(Z$15:Z$383)*($T$15:$T$383=$C38)))/(SUM((Y$15:Y$383)*($T$15:$T$383=$C38))+SUM((Z$15:Z$383)*($T$15:$T$383=$C38)))</f>
        <v>92.43199589041096</v>
      </c>
      <c r="G38" s="597">
        <f t="shared" si="24"/>
        <v>4.7541666666666673</v>
      </c>
      <c r="H38" s="626">
        <f t="shared" si="27"/>
        <v>4.2515375000000004</v>
      </c>
      <c r="I38" s="209">
        <f t="array" ref="I38">(SUM((AH$15:AH$383)*(Y$15:Y$383)*($T$15:$T$383=$C38))+SUM((AH$15:AH$383)*(Z$15:Z$383)*($T$15:$T$383=$C38)))/(SUM((Y$15:Y$383)*($T$15:$T$383=$C38))+SUM((Z$15:Z$383)*($T$15:$T$383=$C38)))</f>
        <v>11.952938687642925</v>
      </c>
      <c r="J38" s="282">
        <f t="shared" si="30"/>
        <v>6.7842064965454068</v>
      </c>
      <c r="K38" s="209">
        <f t="shared" si="10"/>
        <v>7.7633333333333328</v>
      </c>
      <c r="L38" s="276">
        <f t="shared" si="23"/>
        <v>13.565833333333336</v>
      </c>
      <c r="M38" s="531">
        <f>'[14]Extended Forecast'!D38</f>
        <v>2.1999999999999999E-2</v>
      </c>
      <c r="N38" s="628">
        <f>'[15]Extended Forecast'!K38</f>
        <v>2.1999999999999999E-2</v>
      </c>
      <c r="O38" s="210">
        <v>1.9E-2</v>
      </c>
      <c r="P38" s="210">
        <v>1.9E-2</v>
      </c>
      <c r="Q38" s="357">
        <f t="shared" si="21"/>
        <v>7.63326784679212</v>
      </c>
      <c r="T38" s="4">
        <f t="shared" si="14"/>
        <v>2007</v>
      </c>
      <c r="U38" s="434">
        <f t="shared" si="28"/>
        <v>39417</v>
      </c>
      <c r="V38" s="150">
        <v>90.447500000000005</v>
      </c>
      <c r="W38" s="150">
        <v>77.944999999999993</v>
      </c>
      <c r="X38" s="357">
        <f t="shared" si="25"/>
        <v>85.071424999999991</v>
      </c>
      <c r="Y38" s="343">
        <v>400</v>
      </c>
      <c r="Z38" s="343">
        <v>344</v>
      </c>
      <c r="AA38" s="343">
        <f t="shared" si="17"/>
        <v>0.5376344086021505</v>
      </c>
      <c r="AB38" s="343">
        <f t="shared" si="18"/>
        <v>0.46236559139784944</v>
      </c>
      <c r="AF38" s="4">
        <f t="shared" si="26"/>
        <v>2007</v>
      </c>
      <c r="AG38" s="432">
        <f t="shared" si="29"/>
        <v>39417</v>
      </c>
      <c r="AH38" s="149">
        <f t="shared" si="19"/>
        <v>9.2972648178357797</v>
      </c>
      <c r="AI38" s="150">
        <v>9.2972648178357797</v>
      </c>
      <c r="AK38" s="4">
        <f t="shared" si="6"/>
        <v>2006</v>
      </c>
      <c r="AL38" s="432">
        <v>39021</v>
      </c>
      <c r="AM38" s="4">
        <f t="shared" si="7"/>
        <v>4.7806438290000006</v>
      </c>
      <c r="AN38" s="4">
        <v>4.8557671100000004</v>
      </c>
      <c r="AO38" s="4">
        <v>4.705520548</v>
      </c>
      <c r="AQ38" s="4">
        <f t="shared" si="8"/>
        <v>2010</v>
      </c>
      <c r="AR38" s="356">
        <v>40422</v>
      </c>
      <c r="AS38" s="4">
        <f t="shared" si="9"/>
        <v>10.115</v>
      </c>
      <c r="AT38" s="4">
        <v>10.17</v>
      </c>
      <c r="AU38" s="4">
        <v>10.06</v>
      </c>
      <c r="AV38" s="515">
        <f t="shared" si="1"/>
        <v>2017</v>
      </c>
      <c r="AW38" s="535">
        <v>42795</v>
      </c>
      <c r="AX38" s="515">
        <f t="shared" si="2"/>
        <v>3.1306500000000002</v>
      </c>
      <c r="AY38" s="596">
        <f>'[12]Forward Price Curve'!AE119</f>
        <v>3.2363</v>
      </c>
      <c r="AZ38" s="596">
        <f>'[12]Forward Price Curve'!AD119</f>
        <v>3.0249999999999999</v>
      </c>
      <c r="BA38" s="629">
        <f t="shared" si="3"/>
        <v>2020</v>
      </c>
      <c r="BB38" s="633">
        <v>43891</v>
      </c>
      <c r="BC38" s="629">
        <f t="shared" si="4"/>
        <v>1.9978500000000001</v>
      </c>
      <c r="BD38" s="634">
        <f>[13]Prices!AO35</f>
        <v>2.0122</v>
      </c>
      <c r="BE38" s="634">
        <f>[13]Prices!AP35</f>
        <v>1.9835</v>
      </c>
    </row>
    <row r="39" spans="3:71">
      <c r="C39" s="4">
        <f t="shared" si="22"/>
        <v>2030</v>
      </c>
      <c r="D39" s="209">
        <f t="array" ref="D39">SUM((V$15:V$383)*(Y$15:Y$383)*($T$15:$T$383=$C39))/SUM((Y$15:Y$383)*($T$15:$T$383=$C39))</f>
        <v>97.846775244299678</v>
      </c>
      <c r="E39" s="209">
        <f t="array" ref="E39">SUM((W$15:W$383)*(Z$15:Z$383)*($T$15:$T$383=$C39))/SUM((Z$15:Z$383)*($T$15:$T$383=$C39))</f>
        <v>89.549085239085244</v>
      </c>
      <c r="F39" s="209">
        <f t="array" ref="F39">(SUM((X$15:X$383)*(Y$15:Y$383)*($T$15:$T$383=$C39))+SUM((X$15:X$383)*(Z$15:Z$383)*($T$15:$T$383=$C39)))/(SUM((Y$15:Y$383)*($T$15:$T$383=$C39))+SUM((Z$15:Z$383)*($T$15:$T$383=$C39)))</f>
        <v>94.281371506849311</v>
      </c>
      <c r="G39" s="597">
        <f t="shared" si="24"/>
        <v>5.052529166666667</v>
      </c>
      <c r="H39" s="626">
        <f t="shared" si="27"/>
        <v>4.8100083333333341</v>
      </c>
      <c r="I39" s="209">
        <f t="array" ref="I39">(SUM((AH$15:AH$383)*(Y$15:Y$383)*($T$15:$T$383=$C39))+SUM((AH$15:AH$383)*(Z$15:Z$383)*($T$15:$T$383=$C39)))/(SUM((Y$15:Y$383)*($T$15:$T$383=$C39))+SUM((Z$15:Z$383)*($T$15:$T$383=$C39)))</f>
        <v>12.192776449380618</v>
      </c>
      <c r="J39" s="282">
        <f t="shared" si="30"/>
        <v>6.9538116589590411</v>
      </c>
      <c r="K39" s="209">
        <f t="shared" si="10"/>
        <v>8.0354166666666647</v>
      </c>
      <c r="L39" s="276">
        <f t="shared" si="23"/>
        <v>13.822083333333332</v>
      </c>
      <c r="M39" s="531">
        <f>'[14]Extended Forecast'!D39</f>
        <v>2.1999999999999999E-2</v>
      </c>
      <c r="N39" s="628">
        <f>'[15]Extended Forecast'!K39</f>
        <v>2.1999999999999999E-2</v>
      </c>
      <c r="O39" s="210">
        <v>0.02</v>
      </c>
      <c r="P39" s="210">
        <v>1.9E-2</v>
      </c>
      <c r="Q39" s="357">
        <f t="shared" si="21"/>
        <v>7.7859332037279625</v>
      </c>
      <c r="T39" s="4">
        <f t="shared" si="14"/>
        <v>2008</v>
      </c>
      <c r="U39" s="434">
        <f>EOMONTH(U38,0)+1</f>
        <v>39448</v>
      </c>
      <c r="V39" s="150">
        <v>86.4</v>
      </c>
      <c r="W39" s="150">
        <v>76.504999999999995</v>
      </c>
      <c r="X39" s="357">
        <f t="shared" si="25"/>
        <v>82.145150000000001</v>
      </c>
      <c r="Y39" s="343">
        <v>416</v>
      </c>
      <c r="Z39" s="343">
        <v>328</v>
      </c>
      <c r="AA39" s="343">
        <f t="shared" si="17"/>
        <v>0.55913978494623651</v>
      </c>
      <c r="AB39" s="343">
        <f t="shared" si="18"/>
        <v>0.44086021505376344</v>
      </c>
      <c r="AF39" s="4">
        <f t="shared" si="26"/>
        <v>2008</v>
      </c>
      <c r="AG39" s="432">
        <f t="shared" si="29"/>
        <v>39448</v>
      </c>
      <c r="AH39" s="149">
        <f t="shared" si="19"/>
        <v>9.8274442631865142</v>
      </c>
      <c r="AI39" s="150">
        <v>9.8274442631865142</v>
      </c>
      <c r="AK39" s="4">
        <f t="shared" si="6"/>
        <v>2006</v>
      </c>
      <c r="AL39" s="432">
        <v>39051</v>
      </c>
      <c r="AM39" s="4">
        <f t="shared" si="7"/>
        <v>4.9481209484999997</v>
      </c>
      <c r="AN39" s="4">
        <v>5.0257213490000003</v>
      </c>
      <c r="AO39" s="4">
        <v>4.870520548</v>
      </c>
      <c r="AQ39" s="4">
        <f t="shared" si="8"/>
        <v>2010</v>
      </c>
      <c r="AR39" s="356">
        <v>40452</v>
      </c>
      <c r="AS39" s="4">
        <f t="shared" si="9"/>
        <v>10.205</v>
      </c>
      <c r="AT39" s="4">
        <v>10.26</v>
      </c>
      <c r="AU39" s="4">
        <v>10.15</v>
      </c>
      <c r="AV39" s="515">
        <f t="shared" si="1"/>
        <v>2017</v>
      </c>
      <c r="AW39" s="535">
        <v>42826</v>
      </c>
      <c r="AX39" s="515">
        <f t="shared" si="2"/>
        <v>2.7704</v>
      </c>
      <c r="AY39" s="596">
        <f>'[12]Forward Price Curve'!AE120</f>
        <v>2.9582999999999999</v>
      </c>
      <c r="AZ39" s="596">
        <f>'[12]Forward Price Curve'!AD120</f>
        <v>2.5825</v>
      </c>
      <c r="BA39" s="629">
        <f t="shared" si="3"/>
        <v>2020</v>
      </c>
      <c r="BB39" s="633">
        <v>43922</v>
      </c>
      <c r="BC39" s="629">
        <f t="shared" si="4"/>
        <v>1.5547499999999999</v>
      </c>
      <c r="BD39" s="634">
        <f>[13]Prices!AO36</f>
        <v>1.6435</v>
      </c>
      <c r="BE39" s="634">
        <f>[13]Prices!AP36</f>
        <v>1.466</v>
      </c>
    </row>
    <row r="40" spans="3:71">
      <c r="C40" s="4">
        <f t="shared" si="22"/>
        <v>2031</v>
      </c>
      <c r="D40" s="209">
        <f t="array" ref="D40">SUM((V$15:V$383)*(Y$15:Y$383)*($T$15:$T$383=$C40))/SUM((Y$15:Y$383)*($T$15:$T$383=$C40))</f>
        <v>99.815504885993491</v>
      </c>
      <c r="E40" s="209">
        <f t="array" ref="E40">SUM((W$15:W$383)*(Z$15:Z$383)*($T$15:$T$383=$C40))/SUM((Z$15:Z$383)*($T$15:$T$383=$C40))</f>
        <v>91.314677754677746</v>
      </c>
      <c r="F40" s="209">
        <f t="array" ref="F40">(SUM((X$15:X$383)*(Y$15:Y$383)*($T$15:$T$383=$C40))+SUM((X$15:X$383)*(Z$15:Z$383)*($T$15:$T$383=$C40)))/(SUM((Y$15:Y$383)*($T$15:$T$383=$C40))+SUM((Z$15:Z$383)*($T$15:$T$383=$C40)))</f>
        <v>96.165856438356158</v>
      </c>
      <c r="G40" s="597">
        <f t="shared" si="24"/>
        <v>5.1898791666666666</v>
      </c>
      <c r="H40" s="626">
        <f t="shared" si="27"/>
        <v>5.1210458333333335</v>
      </c>
      <c r="I40" s="209">
        <f t="array" ref="I40">(SUM((AH$15:AH$383)*(Y$15:Y$383)*($T$15:$T$383=$C40))+SUM((AH$15:AH$383)*(Z$15:Z$383)*($T$15:$T$383=$C40)))/(SUM((Y$15:Y$383)*($T$15:$T$383=$C40))+SUM((Z$15:Z$383)*($T$15:$T$383=$C40)))</f>
        <v>12.434327471004936</v>
      </c>
      <c r="J40" s="282">
        <f t="shared" si="30"/>
        <v>7.1276569504330167</v>
      </c>
      <c r="K40" s="209">
        <f t="shared" si="10"/>
        <v>8.3158333333333321</v>
      </c>
      <c r="L40" s="276">
        <f t="shared" si="23"/>
        <v>14.084999999999999</v>
      </c>
      <c r="M40" s="531">
        <f>'[14]Extended Forecast'!D40</f>
        <v>2.1999999999999999E-2</v>
      </c>
      <c r="N40" s="628">
        <f>'[15]Extended Forecast'!K40</f>
        <v>2.1999999999999999E-2</v>
      </c>
      <c r="O40" s="210">
        <v>0.02</v>
      </c>
      <c r="P40" s="210">
        <v>1.9E-2</v>
      </c>
      <c r="Q40" s="357">
        <f t="shared" si="21"/>
        <v>7.9416518678025216</v>
      </c>
      <c r="T40" s="4">
        <f t="shared" si="14"/>
        <v>2008</v>
      </c>
      <c r="U40" s="434">
        <f t="shared" ref="U40:U103" si="31">EOMONTH(U39,0)+1</f>
        <v>39479</v>
      </c>
      <c r="V40" s="150">
        <v>81.599999999999994</v>
      </c>
      <c r="W40" s="150">
        <v>73.644999999999996</v>
      </c>
      <c r="X40" s="357">
        <f t="shared" si="25"/>
        <v>78.179349999999999</v>
      </c>
      <c r="Y40" s="343">
        <v>400</v>
      </c>
      <c r="Z40" s="343">
        <v>296</v>
      </c>
      <c r="AA40" s="343">
        <f t="shared" si="17"/>
        <v>0.57471264367816088</v>
      </c>
      <c r="AB40" s="343">
        <f t="shared" si="18"/>
        <v>0.42528735632183906</v>
      </c>
      <c r="AF40" s="4">
        <f t="shared" si="26"/>
        <v>2008</v>
      </c>
      <c r="AG40" s="432">
        <f t="shared" si="29"/>
        <v>39479</v>
      </c>
      <c r="AH40" s="149">
        <f t="shared" si="19"/>
        <v>9.832542142468732</v>
      </c>
      <c r="AI40" s="150">
        <v>9.832542142468732</v>
      </c>
      <c r="AK40" s="4">
        <f t="shared" si="6"/>
        <v>2006</v>
      </c>
      <c r="AL40" s="432">
        <v>39082</v>
      </c>
      <c r="AM40" s="4">
        <f t="shared" si="7"/>
        <v>5.1131209485000007</v>
      </c>
      <c r="AN40" s="4">
        <v>5.1907213490000004</v>
      </c>
      <c r="AO40" s="4">
        <v>5.035520548</v>
      </c>
      <c r="AQ40" s="4">
        <f t="shared" si="8"/>
        <v>2010</v>
      </c>
      <c r="AR40" s="356">
        <v>40483</v>
      </c>
      <c r="AS40" s="4">
        <f t="shared" si="9"/>
        <v>10.9925</v>
      </c>
      <c r="AT40" s="4">
        <v>10.535</v>
      </c>
      <c r="AU40" s="4">
        <v>11.45</v>
      </c>
      <c r="AV40" s="515">
        <f t="shared" si="1"/>
        <v>2017</v>
      </c>
      <c r="AW40" s="535">
        <v>42856</v>
      </c>
      <c r="AX40" s="515">
        <f t="shared" si="2"/>
        <v>2.6408500000000004</v>
      </c>
      <c r="AY40" s="596">
        <f>'[12]Forward Price Curve'!AE121</f>
        <v>2.9077000000000002</v>
      </c>
      <c r="AZ40" s="596">
        <f>'[12]Forward Price Curve'!AD121</f>
        <v>2.3740000000000001</v>
      </c>
      <c r="BA40" s="629">
        <f t="shared" si="3"/>
        <v>2020</v>
      </c>
      <c r="BB40" s="633">
        <v>43952</v>
      </c>
      <c r="BC40" s="629">
        <f t="shared" si="4"/>
        <v>1.52</v>
      </c>
      <c r="BD40" s="634">
        <f>[13]Prices!AO37</f>
        <v>1.625</v>
      </c>
      <c r="BE40" s="634">
        <f>[13]Prices!AP37</f>
        <v>1.415</v>
      </c>
      <c r="BR40" s="4" t="s">
        <v>197</v>
      </c>
    </row>
    <row r="41" spans="3:71">
      <c r="C41" s="4">
        <f t="shared" si="22"/>
        <v>2032</v>
      </c>
      <c r="D41" s="209">
        <f t="array" ref="D41">SUM((V$15:V$383)*(Y$15:Y$383)*($T$15:$T$383=$C41))/SUM((Y$15:Y$383)*($T$15:$T$383=$C41))</f>
        <v>101.9521103896104</v>
      </c>
      <c r="E41" s="209">
        <f t="array" ref="E41">SUM((W$15:W$383)*(Z$15:Z$383)*($T$15:$T$383=$C41))/SUM((Z$15:Z$383)*($T$15:$T$383=$C41))</f>
        <v>93.232323651452305</v>
      </c>
      <c r="F41" s="209">
        <f t="array" ref="F41">(SUM((X$15:X$383)*(Y$15:Y$383)*($T$15:$T$383=$C41))+SUM((X$15:X$383)*(Z$15:Z$383)*($T$15:$T$383=$C41)))/(SUM((Y$15:Y$383)*($T$15:$T$383=$C41))+SUM((Z$15:Z$383)*($T$15:$T$383=$C41)))</f>
        <v>98.202721857923493</v>
      </c>
      <c r="G41" s="597">
        <f t="shared" si="24"/>
        <v>5.3326874999999996</v>
      </c>
      <c r="H41" s="626">
        <f t="shared" si="27"/>
        <v>5.4231541666666665</v>
      </c>
      <c r="I41" s="209">
        <f t="array" ref="I41">(SUM((AH$15:AH$383)*(Y$15:Y$383)*($T$15:$T$383=$C41))+SUM((AH$15:AH$383)*(Z$15:Z$383)*($T$15:$T$383=$C41)))/(SUM((Y$15:Y$383)*($T$15:$T$383=$C41))+SUM((Z$15:Z$383)*($T$15:$T$383=$C41)))</f>
        <v>12.698146444521699</v>
      </c>
      <c r="J41" s="282">
        <f t="shared" si="30"/>
        <v>7.3058483741938414</v>
      </c>
      <c r="K41" s="209">
        <f t="shared" si="10"/>
        <v>8.6074999999999999</v>
      </c>
      <c r="L41" s="276">
        <f t="shared" si="23"/>
        <v>14.351666666666667</v>
      </c>
      <c r="M41" s="531">
        <f>'[14]Extended Forecast'!D41</f>
        <v>2.1999999999999999E-2</v>
      </c>
      <c r="N41" s="628">
        <f>'[15]Extended Forecast'!K41</f>
        <v>2.1000000000000001E-2</v>
      </c>
      <c r="O41" s="210">
        <v>2.1000000000000001E-2</v>
      </c>
      <c r="P41" s="210">
        <v>1.9E-2</v>
      </c>
      <c r="Q41" s="357">
        <f t="shared" si="21"/>
        <v>8.1084265570263732</v>
      </c>
      <c r="T41" s="4">
        <f t="shared" si="14"/>
        <v>2008</v>
      </c>
      <c r="U41" s="434">
        <f t="shared" si="31"/>
        <v>39508</v>
      </c>
      <c r="V41" s="150">
        <v>72.8</v>
      </c>
      <c r="W41" s="150">
        <v>64.349999999999994</v>
      </c>
      <c r="X41" s="357">
        <f t="shared" si="25"/>
        <v>69.166499999999985</v>
      </c>
      <c r="Y41" s="343">
        <v>416</v>
      </c>
      <c r="Z41" s="343">
        <v>328</v>
      </c>
      <c r="AA41" s="343">
        <f t="shared" si="17"/>
        <v>0.55913978494623651</v>
      </c>
      <c r="AB41" s="343">
        <f t="shared" si="18"/>
        <v>0.44086021505376344</v>
      </c>
      <c r="AF41" s="4">
        <f t="shared" si="26"/>
        <v>2008</v>
      </c>
      <c r="AG41" s="432">
        <f t="shared" si="29"/>
        <v>39508</v>
      </c>
      <c r="AH41" s="149">
        <f t="shared" si="19"/>
        <v>9.5694915715062514</v>
      </c>
      <c r="AI41" s="150">
        <v>9.5694915715062514</v>
      </c>
      <c r="AK41" s="4">
        <f t="shared" si="6"/>
        <v>2007</v>
      </c>
      <c r="AL41" s="432">
        <v>39113</v>
      </c>
      <c r="AM41" s="4">
        <f t="shared" si="7"/>
        <v>5.2448921345000006</v>
      </c>
      <c r="AN41" s="4">
        <v>5.3016472830000003</v>
      </c>
      <c r="AO41" s="4">
        <v>5.188136986</v>
      </c>
      <c r="AQ41" s="4">
        <f t="shared" si="8"/>
        <v>2010</v>
      </c>
      <c r="AR41" s="356">
        <v>40513</v>
      </c>
      <c r="AS41" s="4">
        <f t="shared" si="9"/>
        <v>11.4125</v>
      </c>
      <c r="AT41" s="4">
        <v>10.955</v>
      </c>
      <c r="AU41" s="4">
        <v>11.87</v>
      </c>
      <c r="AV41" s="515">
        <f t="shared" si="1"/>
        <v>2017</v>
      </c>
      <c r="AW41" s="535">
        <v>42887</v>
      </c>
      <c r="AX41" s="515">
        <f t="shared" si="2"/>
        <v>2.6609500000000001</v>
      </c>
      <c r="AY41" s="596">
        <f>'[12]Forward Price Curve'!AE122</f>
        <v>2.9464000000000001</v>
      </c>
      <c r="AZ41" s="596">
        <f>'[12]Forward Price Curve'!AD122</f>
        <v>2.3755000000000002</v>
      </c>
      <c r="BA41" s="629">
        <f t="shared" si="3"/>
        <v>2020</v>
      </c>
      <c r="BB41" s="633">
        <v>43983</v>
      </c>
      <c r="BC41" s="629">
        <f t="shared" si="4"/>
        <v>1.55335</v>
      </c>
      <c r="BD41" s="634">
        <f>[13]Prices!AO38</f>
        <v>1.6601999999999999</v>
      </c>
      <c r="BE41" s="634">
        <f>[13]Prices!AP38</f>
        <v>1.4464999999999999</v>
      </c>
      <c r="BR41" s="4" t="s">
        <v>198</v>
      </c>
    </row>
    <row r="42" spans="3:71">
      <c r="C42" s="4">
        <f t="shared" si="22"/>
        <v>2033</v>
      </c>
      <c r="D42" s="209">
        <f t="array" ref="D42">SUM((V$15:V$383)*(Y$15:Y$383)*($T$15:$T$383=$C42))/SUM((Y$15:Y$383)*($T$15:$T$383=$C42))</f>
        <v>104.04475570032574</v>
      </c>
      <c r="E42" s="209">
        <f t="array" ref="E42">SUM((W$15:W$383)*(Z$15:Z$383)*($T$15:$T$383=$C42))/SUM((Z$15:Z$383)*($T$15:$T$383=$C42))</f>
        <v>95.224490644490658</v>
      </c>
      <c r="F42" s="209">
        <f t="array" ref="F42">(SUM((X$15:X$383)*(Y$15:Y$383)*($T$15:$T$383=$C42))+SUM((X$15:X$383)*(Z$15:Z$383)*($T$15:$T$383=$C42)))/(SUM((Y$15:Y$383)*($T$15:$T$383=$C42))+SUM((Z$15:Z$383)*($T$15:$T$383=$C42)))</f>
        <v>100.24910465753423</v>
      </c>
      <c r="G42" s="597">
        <f t="shared" si="24"/>
        <v>5.5168416666666671</v>
      </c>
      <c r="H42" s="626">
        <f t="shared" si="27"/>
        <v>5.7402833333333332</v>
      </c>
      <c r="I42" s="209">
        <f t="array" ref="I42">(SUM((AH$15:AH$383)*(Y$15:Y$383)*($T$15:$T$383=$C42))+SUM((AH$15:AH$383)*(Z$15:Z$383)*($T$15:$T$383=$C42)))/(SUM((Y$15:Y$383)*($T$15:$T$383=$C42))+SUM((Z$15:Z$383)*($T$15:$T$383=$C42)))</f>
        <v>12.962411897472569</v>
      </c>
      <c r="J42" s="282">
        <f t="shared" si="30"/>
        <v>7.4884945835486869</v>
      </c>
      <c r="K42" s="209">
        <f t="shared" si="10"/>
        <v>8.9100000000000019</v>
      </c>
      <c r="L42" s="276">
        <f t="shared" si="23"/>
        <v>14.610833333333332</v>
      </c>
      <c r="M42" s="531">
        <f>'[14]Extended Forecast'!D42</f>
        <v>2.1999999999999999E-2</v>
      </c>
      <c r="N42" s="628">
        <f>'[15]Extended Forecast'!K42</f>
        <v>2.1000000000000001E-2</v>
      </c>
      <c r="O42" s="210">
        <v>2.1000000000000001E-2</v>
      </c>
      <c r="P42" s="210">
        <v>1.7999999999999999E-2</v>
      </c>
      <c r="Q42" s="357">
        <f t="shared" si="21"/>
        <v>8.2787035147239258</v>
      </c>
      <c r="T42" s="4">
        <f t="shared" si="14"/>
        <v>2008</v>
      </c>
      <c r="U42" s="434">
        <f t="shared" si="31"/>
        <v>39539</v>
      </c>
      <c r="V42" s="150">
        <v>55.29</v>
      </c>
      <c r="W42" s="150">
        <v>41.7</v>
      </c>
      <c r="X42" s="357">
        <f t="shared" si="25"/>
        <v>49.446299999999994</v>
      </c>
      <c r="Y42" s="343">
        <v>416</v>
      </c>
      <c r="Z42" s="343">
        <v>304</v>
      </c>
      <c r="AA42" s="343">
        <f t="shared" si="17"/>
        <v>0.57777777777777772</v>
      </c>
      <c r="AB42" s="343">
        <f t="shared" si="18"/>
        <v>0.42222222222222222</v>
      </c>
      <c r="AF42" s="4">
        <f t="shared" si="26"/>
        <v>2008</v>
      </c>
      <c r="AG42" s="432">
        <f t="shared" si="29"/>
        <v>39539</v>
      </c>
      <c r="AH42" s="149">
        <f t="shared" si="19"/>
        <v>6.96467917346384</v>
      </c>
      <c r="AI42" s="150">
        <v>6.96467917346384</v>
      </c>
      <c r="AK42" s="4">
        <f t="shared" si="6"/>
        <v>2007</v>
      </c>
      <c r="AL42" s="432">
        <v>39141</v>
      </c>
      <c r="AM42" s="4">
        <f t="shared" si="7"/>
        <v>5.1958921344999993</v>
      </c>
      <c r="AN42" s="4">
        <v>5.2526472829999999</v>
      </c>
      <c r="AO42" s="4">
        <v>5.1391369859999996</v>
      </c>
      <c r="AQ42" s="4">
        <f t="shared" si="8"/>
        <v>2011</v>
      </c>
      <c r="AR42" s="356">
        <v>40544</v>
      </c>
      <c r="AS42" s="4">
        <f t="shared" si="9"/>
        <v>11.647500000000001</v>
      </c>
      <c r="AT42" s="4">
        <v>11.2</v>
      </c>
      <c r="AU42" s="4">
        <v>12.095000000000001</v>
      </c>
      <c r="AV42" s="515">
        <f t="shared" si="1"/>
        <v>2017</v>
      </c>
      <c r="AW42" s="535">
        <v>42917</v>
      </c>
      <c r="AX42" s="515">
        <f t="shared" si="2"/>
        <v>2.8418999999999999</v>
      </c>
      <c r="AY42" s="596">
        <f>'[12]Forward Price Curve'!AE123</f>
        <v>3.0232999999999999</v>
      </c>
      <c r="AZ42" s="596">
        <f>'[12]Forward Price Curve'!AD123</f>
        <v>2.6604999999999999</v>
      </c>
      <c r="BA42" s="629">
        <f t="shared" si="3"/>
        <v>2020</v>
      </c>
      <c r="BB42" s="633">
        <v>44013</v>
      </c>
      <c r="BC42" s="629">
        <f t="shared" si="4"/>
        <v>1.6975</v>
      </c>
      <c r="BD42" s="634">
        <f>[13]Prices!AO39</f>
        <v>1.71</v>
      </c>
      <c r="BE42" s="634">
        <f>[13]Prices!AP39</f>
        <v>1.6850000000000001</v>
      </c>
      <c r="BR42" s="4" t="s">
        <v>199</v>
      </c>
    </row>
    <row r="43" spans="3:71">
      <c r="C43" s="4">
        <f t="shared" si="22"/>
        <v>2034</v>
      </c>
      <c r="D43" s="209">
        <f t="array" ref="D43">SUM((V$15:V$383)*(Y$15:Y$383)*($T$15:$T$383=$C43))/SUM((Y$15:Y$383)*($T$15:$T$383=$C43))</f>
        <v>106.19401960784313</v>
      </c>
      <c r="E43" s="209">
        <f t="array" ref="E43">SUM((W$15:W$383)*(Z$15:Z$383)*($T$15:$T$383=$C43))/SUM((Z$15:Z$383)*($T$15:$T$383=$C43))</f>
        <v>97.271739130434781</v>
      </c>
      <c r="F43" s="209">
        <f t="array" ref="F43">(SUM((X$15:X$383)*(Y$15:Y$383)*($T$15:$T$383=$C43))+SUM((X$15:X$383)*(Z$15:Z$383)*($T$15:$T$383=$C43)))/(SUM((Y$15:Y$383)*($T$15:$T$383=$C43))+SUM((Z$15:Z$383)*($T$15:$T$383=$C43)))</f>
        <v>102.3546008219178</v>
      </c>
      <c r="G43" s="597">
        <f t="shared" si="24"/>
        <v>5.688295833333334</v>
      </c>
      <c r="H43" s="626">
        <f t="shared" si="27"/>
        <v>6.0488291666666667</v>
      </c>
      <c r="I43" s="209">
        <f t="array" ref="I43">(SUM((AH$15:AH$383)*(Y$15:Y$383)*($T$15:$T$383=$C43))+SUM((AH$15:AH$383)*(Z$15:Z$383)*($T$15:$T$383=$C43)))/(SUM((Y$15:Y$383)*($T$15:$T$383=$C43))+SUM((Z$15:Z$383)*($T$15:$T$383=$C43)))</f>
        <v>13.232278263201412</v>
      </c>
      <c r="J43" s="282">
        <f t="shared" si="30"/>
        <v>7.6757069481374032</v>
      </c>
      <c r="K43" s="209">
        <f t="shared" si="10"/>
        <v>9.2114285714285717</v>
      </c>
      <c r="L43" s="276">
        <f t="shared" si="23"/>
        <v>14.875000000000002</v>
      </c>
      <c r="M43" s="531">
        <f>'[14]Extended Forecast'!D43</f>
        <v>2.1999999999999999E-2</v>
      </c>
      <c r="N43" s="628">
        <f>'[15]Extended Forecast'!K43</f>
        <v>2.1000000000000001E-2</v>
      </c>
      <c r="O43" s="210">
        <v>2.1000000000000001E-2</v>
      </c>
      <c r="P43" s="210">
        <v>1.7999999999999999E-2</v>
      </c>
      <c r="Q43" s="357">
        <f t="shared" si="21"/>
        <v>8.4525562885331276</v>
      </c>
      <c r="T43" s="4">
        <f t="shared" si="14"/>
        <v>2008</v>
      </c>
      <c r="U43" s="434">
        <f t="shared" si="31"/>
        <v>39569</v>
      </c>
      <c r="V43" s="150">
        <v>46.56</v>
      </c>
      <c r="W43" s="150">
        <v>31.97</v>
      </c>
      <c r="X43" s="357">
        <f t="shared" si="25"/>
        <v>40.286299999999997</v>
      </c>
      <c r="Y43" s="343">
        <v>416</v>
      </c>
      <c r="Z43" s="343">
        <v>328</v>
      </c>
      <c r="AA43" s="343">
        <f t="shared" si="17"/>
        <v>0.55913978494623651</v>
      </c>
      <c r="AB43" s="343">
        <f t="shared" si="18"/>
        <v>0.44086021505376344</v>
      </c>
      <c r="AF43" s="4">
        <f t="shared" si="26"/>
        <v>2008</v>
      </c>
      <c r="AG43" s="432">
        <f t="shared" si="29"/>
        <v>39569</v>
      </c>
      <c r="AH43" s="149">
        <f t="shared" si="19"/>
        <v>6.7556661228928769</v>
      </c>
      <c r="AI43" s="150">
        <v>6.7556661228928769</v>
      </c>
      <c r="AK43" s="4">
        <f t="shared" si="6"/>
        <v>2007</v>
      </c>
      <c r="AL43" s="432">
        <v>39172</v>
      </c>
      <c r="AM43" s="4">
        <f t="shared" si="7"/>
        <v>5.0058921344999998</v>
      </c>
      <c r="AN43" s="4">
        <v>5.0626472830000004</v>
      </c>
      <c r="AO43" s="4">
        <v>4.9491369860000001</v>
      </c>
      <c r="AQ43" s="4">
        <f t="shared" si="8"/>
        <v>2011</v>
      </c>
      <c r="AR43" s="356">
        <v>40575</v>
      </c>
      <c r="AS43" s="4">
        <f t="shared" si="9"/>
        <v>11.637499999999999</v>
      </c>
      <c r="AT43" s="4">
        <v>11.19</v>
      </c>
      <c r="AU43" s="4">
        <v>12.085000000000001</v>
      </c>
      <c r="AV43" s="515">
        <f t="shared" si="1"/>
        <v>2017</v>
      </c>
      <c r="AW43" s="535">
        <v>42948</v>
      </c>
      <c r="AX43" s="515">
        <f t="shared" si="2"/>
        <v>2.8873500000000001</v>
      </c>
      <c r="AY43" s="596">
        <f>'[12]Forward Price Curve'!AE124</f>
        <v>3.0337000000000001</v>
      </c>
      <c r="AZ43" s="596">
        <f>'[12]Forward Price Curve'!AD124</f>
        <v>2.7410000000000001</v>
      </c>
      <c r="BA43" s="629">
        <f t="shared" si="3"/>
        <v>2020</v>
      </c>
      <c r="BB43" s="633">
        <v>44044</v>
      </c>
      <c r="BC43" s="629">
        <f t="shared" si="4"/>
        <v>1.7156</v>
      </c>
      <c r="BD43" s="634">
        <f>[13]Prices!AO40</f>
        <v>1.7161999999999999</v>
      </c>
      <c r="BE43" s="634">
        <f>[13]Prices!AP40</f>
        <v>1.7150000000000001</v>
      </c>
      <c r="BR43" s="4" t="s">
        <v>200</v>
      </c>
      <c r="BS43" s="210">
        <v>2.0199999999999999E-2</v>
      </c>
    </row>
    <row r="44" spans="3:71">
      <c r="C44" s="4">
        <f t="shared" si="22"/>
        <v>2035</v>
      </c>
      <c r="D44" s="209">
        <f t="array" ref="D44">SUM((V$15:V$383)*(Y$15:Y$383)*($T$15:$T$383=$C44))/SUM((Y$15:Y$383)*($T$15:$T$383=$C44))</f>
        <v>108.47397394136806</v>
      </c>
      <c r="E44" s="209">
        <f t="array" ref="E44">SUM((W$15:W$383)*(Z$15:Z$383)*($T$15:$T$383=$C44))/SUM((Z$15:Z$383)*($T$15:$T$383=$C44))</f>
        <v>99.289002079002088</v>
      </c>
      <c r="F44" s="209">
        <f t="array" ref="F44">(SUM((X$15:X$383)*(Y$15:Y$383)*($T$15:$T$383=$C44))+SUM((X$15:X$383)*(Z$15:Z$383)*($T$15:$T$383=$C44)))/(SUM((Y$15:Y$383)*($T$15:$T$383=$C44))+SUM((Z$15:Z$383)*($T$15:$T$383=$C44)))</f>
        <v>104.5032106849315</v>
      </c>
      <c r="G44" s="597">
        <f t="shared" si="24"/>
        <v>5.846000000000001</v>
      </c>
      <c r="H44" s="626">
        <f t="shared" si="27"/>
        <v>5.7299374999999992</v>
      </c>
      <c r="I44" s="209">
        <f t="array" ref="I44">(SUM((AH$15:AH$383)*(Y$15:Y$383)*($T$15:$T$383=$C44))+SUM((AH$15:AH$383)*(Z$15:Z$383)*($T$15:$T$383=$C44)))/(SUM((Y$15:Y$383)*($T$15:$T$383=$C44))+SUM((Z$15:Z$383)*($T$15:$T$383=$C44)))</f>
        <v>13.511483757551378</v>
      </c>
      <c r="J44" s="282">
        <f t="shared" si="30"/>
        <v>7.8675996218408377</v>
      </c>
      <c r="K44" s="282">
        <f>K43*(1+$BS$45)</f>
        <v>9.5319862857142859</v>
      </c>
      <c r="L44" s="276">
        <f t="shared" si="23"/>
        <v>15.140833333333333</v>
      </c>
      <c r="M44" s="531">
        <f>'[14]Extended Forecast'!D44</f>
        <v>2.1999999999999999E-2</v>
      </c>
      <c r="N44" s="628">
        <f>'[15]Extended Forecast'!K44</f>
        <v>2.1000000000000001E-2</v>
      </c>
      <c r="O44" s="210">
        <v>2.1000000000000001E-2</v>
      </c>
      <c r="P44" s="210">
        <v>1.7999999999999999E-2</v>
      </c>
      <c r="Q44" s="357">
        <f t="shared" si="21"/>
        <v>8.6300599705923222</v>
      </c>
      <c r="T44" s="4">
        <f t="shared" si="14"/>
        <v>2008</v>
      </c>
      <c r="U44" s="434">
        <f t="shared" si="31"/>
        <v>39600</v>
      </c>
      <c r="V44" s="150">
        <v>43.65</v>
      </c>
      <c r="W44" s="150">
        <v>30.58</v>
      </c>
      <c r="X44" s="357">
        <f t="shared" si="25"/>
        <v>38.029899999999998</v>
      </c>
      <c r="Y44" s="343">
        <v>400</v>
      </c>
      <c r="Z44" s="343">
        <v>320</v>
      </c>
      <c r="AA44" s="343">
        <f t="shared" si="17"/>
        <v>0.55555555555555558</v>
      </c>
      <c r="AB44" s="343">
        <f t="shared" si="18"/>
        <v>0.44444444444444442</v>
      </c>
      <c r="AF44" s="4">
        <f t="shared" si="26"/>
        <v>2008</v>
      </c>
      <c r="AG44" s="432">
        <f t="shared" si="29"/>
        <v>39600</v>
      </c>
      <c r="AH44" s="149">
        <f t="shared" si="19"/>
        <v>6.8423300706905925</v>
      </c>
      <c r="AI44" s="150">
        <v>6.8423300706905925</v>
      </c>
      <c r="AK44" s="4">
        <f t="shared" si="6"/>
        <v>2007</v>
      </c>
      <c r="AL44" s="432">
        <v>39202</v>
      </c>
      <c r="AM44" s="4">
        <f t="shared" si="7"/>
        <v>4.4895466709999994</v>
      </c>
      <c r="AN44" s="4">
        <v>4.5599563559999998</v>
      </c>
      <c r="AO44" s="4">
        <v>4.4191369859999998</v>
      </c>
      <c r="AQ44" s="4">
        <f t="shared" si="8"/>
        <v>2011</v>
      </c>
      <c r="AR44" s="356">
        <v>40603</v>
      </c>
      <c r="AS44" s="4">
        <f t="shared" si="9"/>
        <v>11.4025</v>
      </c>
      <c r="AT44" s="4">
        <v>10.955</v>
      </c>
      <c r="AU44" s="4">
        <v>11.85</v>
      </c>
      <c r="AV44" s="515">
        <f t="shared" si="1"/>
        <v>2017</v>
      </c>
      <c r="AW44" s="535">
        <v>42979</v>
      </c>
      <c r="AX44" s="515">
        <f t="shared" si="2"/>
        <v>2.8809</v>
      </c>
      <c r="AY44" s="596">
        <f>'[12]Forward Price Curve'!AE125</f>
        <v>3.0247999999999999</v>
      </c>
      <c r="AZ44" s="596">
        <f>'[12]Forward Price Curve'!AD125</f>
        <v>2.7370000000000001</v>
      </c>
      <c r="BA44" s="629">
        <f t="shared" si="3"/>
        <v>2020</v>
      </c>
      <c r="BB44" s="633">
        <v>44075</v>
      </c>
      <c r="BC44" s="629">
        <f t="shared" si="4"/>
        <v>1.7141</v>
      </c>
      <c r="BD44" s="634">
        <f>[13]Prices!AO41</f>
        <v>1.7146999999999999</v>
      </c>
      <c r="BE44" s="634">
        <f>[13]Prices!AP41</f>
        <v>1.7135</v>
      </c>
      <c r="BR44" s="4" t="s">
        <v>201</v>
      </c>
      <c r="BS44" s="210">
        <v>2.9399999999999999E-2</v>
      </c>
    </row>
    <row r="45" spans="3:71">
      <c r="C45" s="4">
        <f t="shared" si="22"/>
        <v>2036</v>
      </c>
      <c r="D45" s="209">
        <f t="array" ref="D45">SUM((V$15:V$383)*(Y$15:Y$383)*($T$15:$T$383=$C45))/SUM((Y$15:Y$383)*($T$15:$T$383=$C45))</f>
        <v>109.10291827956989</v>
      </c>
      <c r="E45" s="209">
        <f t="array" ref="E45">SUM((W$15:W$383)*(Z$15:Z$383)*($T$15:$T$383=$C45))/SUM((Z$15:Z$383)*($T$15:$T$383=$C45))</f>
        <v>100.69096214689264</v>
      </c>
      <c r="F45" s="209">
        <f t="array" ref="F45">(SUM((X$15:X$383)*(Y$15:Y$383)*($T$15:$T$383=$C45))+SUM((X$15:X$383)*(Z$15:Z$383)*($T$15:$T$383=$C45)))/(SUM((Y$15:Y$383)*($T$15:$T$383=$C45))+SUM((Z$15:Z$383)*($T$15:$T$383=$C45)))</f>
        <v>105.48007397435897</v>
      </c>
      <c r="G45" s="597">
        <f t="shared" si="24"/>
        <v>6.0717541666666675</v>
      </c>
      <c r="H45" s="626">
        <f t="shared" si="27"/>
        <v>5.7778666666666672</v>
      </c>
      <c r="I45" s="209">
        <f t="array" ref="I45">(SUM((AH$15:AH$383)*(Y$15:Y$383)*($T$15:$T$383=$C45))+SUM((AH$15:AH$383)*(Z$15:Z$383)*($T$15:$T$383=$C45)))/(SUM((Y$15:Y$383)*($T$15:$T$383=$C45))+SUM((Z$15:Z$383)*($T$15:$T$383=$C45)))</f>
        <v>13.672603805022238</v>
      </c>
      <c r="J45" s="282">
        <f t="shared" si="30"/>
        <v>8.0642896123868582</v>
      </c>
      <c r="K45" s="282">
        <f t="shared" ref="K45:K60" si="32">K44*(1+$BS$45)</f>
        <v>9.8636994084571423</v>
      </c>
      <c r="L45" s="276">
        <f t="shared" si="23"/>
        <v>15.413750000000002</v>
      </c>
      <c r="M45" s="531">
        <f>'[14]Extended Forecast'!D45</f>
        <v>2.1999999999999999E-2</v>
      </c>
      <c r="N45" s="628">
        <f>'[15]Extended Forecast'!K45</f>
        <v>2.1000000000000001E-2</v>
      </c>
      <c r="O45" s="210">
        <v>2.1000000000000001E-2</v>
      </c>
      <c r="P45" s="210">
        <v>1.7999999999999999E-2</v>
      </c>
      <c r="Q45" s="357"/>
      <c r="T45" s="4">
        <f t="shared" si="14"/>
        <v>2008</v>
      </c>
      <c r="U45" s="434">
        <f t="shared" si="31"/>
        <v>39630</v>
      </c>
      <c r="V45" s="150">
        <v>71.099999999999994</v>
      </c>
      <c r="W45" s="150">
        <v>55.8</v>
      </c>
      <c r="X45" s="357">
        <f t="shared" si="25"/>
        <v>64.520999999999987</v>
      </c>
      <c r="Y45" s="343">
        <v>416</v>
      </c>
      <c r="Z45" s="343">
        <v>328</v>
      </c>
      <c r="AA45" s="343">
        <f t="shared" si="17"/>
        <v>0.55913978494623651</v>
      </c>
      <c r="AB45" s="343">
        <f t="shared" si="18"/>
        <v>0.44086021505376344</v>
      </c>
      <c r="AF45" s="4">
        <f t="shared" si="26"/>
        <v>2008</v>
      </c>
      <c r="AG45" s="432">
        <f t="shared" si="29"/>
        <v>39630</v>
      </c>
      <c r="AH45" s="149">
        <f t="shared" si="19"/>
        <v>7.0220473083197392</v>
      </c>
      <c r="AI45" s="150">
        <v>7.0220473083197392</v>
      </c>
      <c r="AK45" s="4">
        <f t="shared" si="6"/>
        <v>2007</v>
      </c>
      <c r="AL45" s="432">
        <v>39233</v>
      </c>
      <c r="AM45" s="4">
        <f t="shared" si="7"/>
        <v>4.3295466709999992</v>
      </c>
      <c r="AN45" s="4">
        <v>4.3999563559999997</v>
      </c>
      <c r="AO45" s="4">
        <v>4.2591369859999997</v>
      </c>
      <c r="AQ45" s="4">
        <f t="shared" si="8"/>
        <v>2011</v>
      </c>
      <c r="AR45" s="356">
        <v>40634</v>
      </c>
      <c r="AS45" s="4">
        <f t="shared" si="9"/>
        <v>9.6462500000000002</v>
      </c>
      <c r="AT45" s="4">
        <v>9.6974999999999998</v>
      </c>
      <c r="AU45" s="4">
        <v>9.5950000000000006</v>
      </c>
      <c r="AV45" s="515">
        <f t="shared" si="1"/>
        <v>2017</v>
      </c>
      <c r="AW45" s="535">
        <v>43009</v>
      </c>
      <c r="AX45" s="515">
        <f t="shared" si="2"/>
        <v>2.9229000000000003</v>
      </c>
      <c r="AY45" s="596">
        <f>'[12]Forward Price Curve'!AE126</f>
        <v>3.0268000000000002</v>
      </c>
      <c r="AZ45" s="596">
        <f>'[12]Forward Price Curve'!AD126</f>
        <v>2.819</v>
      </c>
      <c r="BA45" s="629">
        <f t="shared" si="3"/>
        <v>2020</v>
      </c>
      <c r="BB45" s="633">
        <v>44105</v>
      </c>
      <c r="BC45" s="629">
        <f t="shared" si="4"/>
        <v>1.7273999999999998</v>
      </c>
      <c r="BD45" s="634">
        <f>[13]Prices!AO42</f>
        <v>1.7367999999999999</v>
      </c>
      <c r="BE45" s="634">
        <f>[13]Prices!AP42</f>
        <v>1.718</v>
      </c>
      <c r="BR45" s="4" t="s">
        <v>202</v>
      </c>
      <c r="BS45" s="210">
        <v>3.4799999999999998E-2</v>
      </c>
    </row>
    <row r="46" spans="3:71">
      <c r="C46" s="4">
        <f t="shared" si="22"/>
        <v>2037</v>
      </c>
      <c r="D46" s="209">
        <f t="shared" ref="D46:D60" si="33">D45*(1+$O46)</f>
        <v>111.39407956344085</v>
      </c>
      <c r="E46" s="209">
        <f t="shared" ref="E46:E60" si="34">E45*(1+$O46)</f>
        <v>102.80547235197739</v>
      </c>
      <c r="F46" s="209">
        <f t="shared" ref="F46:F60" si="35">F45*(1+$O46)</f>
        <v>107.6951555278205</v>
      </c>
      <c r="G46" s="597">
        <f t="shared" si="24"/>
        <v>6.240054166666666</v>
      </c>
      <c r="H46" s="626">
        <f t="shared" si="27"/>
        <v>6.1182749999999997</v>
      </c>
      <c r="I46" s="209">
        <f>I45*(1+$O46)</f>
        <v>13.959728484927703</v>
      </c>
      <c r="J46" s="282">
        <f t="shared" si="30"/>
        <v>8.2658968526965282</v>
      </c>
      <c r="K46" s="282">
        <f t="shared" si="32"/>
        <v>10.20695614787145</v>
      </c>
      <c r="L46" s="276">
        <f t="shared" si="23"/>
        <v>15.707083333333335</v>
      </c>
      <c r="M46" s="531">
        <f>'[14]Extended Forecast'!D46</f>
        <v>2.1999999999999999E-2</v>
      </c>
      <c r="N46" s="628">
        <f>'[15]Extended Forecast'!K46</f>
        <v>2.1000000000000001E-2</v>
      </c>
      <c r="O46" s="210">
        <f>O45</f>
        <v>2.1000000000000001E-2</v>
      </c>
      <c r="P46" s="210">
        <v>1.9E-2</v>
      </c>
      <c r="Q46" s="357"/>
      <c r="T46" s="4">
        <f t="shared" si="14"/>
        <v>2008</v>
      </c>
      <c r="U46" s="434">
        <f t="shared" si="31"/>
        <v>39661</v>
      </c>
      <c r="V46" s="150">
        <v>83.74</v>
      </c>
      <c r="W46" s="150">
        <v>65.72</v>
      </c>
      <c r="X46" s="357">
        <f t="shared" si="25"/>
        <v>75.991399999999999</v>
      </c>
      <c r="Y46" s="343">
        <v>416</v>
      </c>
      <c r="Z46" s="343">
        <v>328</v>
      </c>
      <c r="AA46" s="343">
        <f t="shared" si="17"/>
        <v>0.55913978494623651</v>
      </c>
      <c r="AB46" s="343">
        <f t="shared" si="18"/>
        <v>0.44086021505376344</v>
      </c>
      <c r="AF46" s="4">
        <f t="shared" si="26"/>
        <v>2008</v>
      </c>
      <c r="AG46" s="432">
        <f t="shared" si="29"/>
        <v>39661</v>
      </c>
      <c r="AH46" s="149">
        <f t="shared" si="19"/>
        <v>7.1036133768352361</v>
      </c>
      <c r="AI46" s="150">
        <v>7.1036133768352361</v>
      </c>
      <c r="AK46" s="4">
        <f t="shared" si="6"/>
        <v>2007</v>
      </c>
      <c r="AL46" s="432">
        <v>39263</v>
      </c>
      <c r="AM46" s="4">
        <f t="shared" si="7"/>
        <v>4.3315466709999999</v>
      </c>
      <c r="AN46" s="4">
        <v>4.4019563560000003</v>
      </c>
      <c r="AO46" s="4">
        <v>4.2611369860000003</v>
      </c>
      <c r="AQ46" s="4">
        <f t="shared" si="8"/>
        <v>2011</v>
      </c>
      <c r="AR46" s="356">
        <v>40664</v>
      </c>
      <c r="AS46" s="4">
        <f t="shared" si="9"/>
        <v>9.5862499999999997</v>
      </c>
      <c r="AT46" s="4">
        <v>9.6374999999999993</v>
      </c>
      <c r="AU46" s="4">
        <v>9.5350000000000001</v>
      </c>
      <c r="AV46" s="515">
        <f t="shared" si="1"/>
        <v>2017</v>
      </c>
      <c r="AW46" s="535">
        <v>43040</v>
      </c>
      <c r="AX46" s="515">
        <f t="shared" si="2"/>
        <v>3.2003500000000003</v>
      </c>
      <c r="AY46" s="596">
        <f>'[12]Forward Price Curve'!AE127</f>
        <v>3.1837</v>
      </c>
      <c r="AZ46" s="596">
        <f>'[12]Forward Price Curve'!AD127</f>
        <v>3.2170000000000001</v>
      </c>
      <c r="BA46" s="629">
        <f t="shared" si="3"/>
        <v>2020</v>
      </c>
      <c r="BB46" s="633">
        <v>44136</v>
      </c>
      <c r="BC46" s="629">
        <f t="shared" si="4"/>
        <v>2.0680000000000001</v>
      </c>
      <c r="BD46" s="634">
        <f>[13]Prices!AO43</f>
        <v>1.9179999999999999</v>
      </c>
      <c r="BE46" s="634">
        <f>[13]Prices!AP43</f>
        <v>2.218</v>
      </c>
    </row>
    <row r="47" spans="3:71">
      <c r="C47" s="4">
        <f t="shared" si="22"/>
        <v>2038</v>
      </c>
      <c r="D47" s="209">
        <f t="shared" si="33"/>
        <v>113.73335523427311</v>
      </c>
      <c r="E47" s="209">
        <f t="shared" si="34"/>
        <v>104.96438727136891</v>
      </c>
      <c r="F47" s="209">
        <f t="shared" si="35"/>
        <v>109.95675379390472</v>
      </c>
      <c r="G47" s="597">
        <f t="shared" si="24"/>
        <v>6.5604041666666673</v>
      </c>
      <c r="H47" s="626">
        <f t="shared" si="27"/>
        <v>6.6118625</v>
      </c>
      <c r="I47" s="209">
        <f>I46*(1+$O47)</f>
        <v>14.252882783111184</v>
      </c>
      <c r="J47" s="282">
        <f t="shared" si="30"/>
        <v>8.4725442740139414</v>
      </c>
      <c r="K47" s="282">
        <f>K46*(1+$BS$45)</f>
        <v>10.562158221817375</v>
      </c>
      <c r="L47" s="276">
        <f>AVERAGEIF($AQ$12:$AQ$383,$C47,$AS$12:$AS$383)</f>
        <v>15.973571428571429</v>
      </c>
      <c r="M47" s="531">
        <f>'[14]Extended Forecast'!D47</f>
        <v>2.1999999999999999E-2</v>
      </c>
      <c r="N47" s="628">
        <f>'[15]Extended Forecast'!K47</f>
        <v>2.1000000000000001E-2</v>
      </c>
      <c r="O47" s="210">
        <f t="shared" ref="O47:O48" si="36">O46</f>
        <v>2.1000000000000001E-2</v>
      </c>
      <c r="P47" s="210">
        <v>1.7999999999999999E-2</v>
      </c>
      <c r="Q47" s="357"/>
      <c r="T47" s="4">
        <f t="shared" si="14"/>
        <v>2008</v>
      </c>
      <c r="U47" s="434">
        <f t="shared" si="31"/>
        <v>39692</v>
      </c>
      <c r="V47" s="150">
        <v>82.16</v>
      </c>
      <c r="W47" s="150">
        <v>64.48</v>
      </c>
      <c r="X47" s="357">
        <f t="shared" si="25"/>
        <v>74.557599999999994</v>
      </c>
      <c r="Y47" s="343">
        <v>400</v>
      </c>
      <c r="Z47" s="343">
        <v>320</v>
      </c>
      <c r="AA47" s="343">
        <f t="shared" si="17"/>
        <v>0.55555555555555558</v>
      </c>
      <c r="AB47" s="343">
        <f t="shared" si="18"/>
        <v>0.44444444444444442</v>
      </c>
      <c r="AF47" s="4">
        <f t="shared" si="26"/>
        <v>2008</v>
      </c>
      <c r="AG47" s="432">
        <f t="shared" si="29"/>
        <v>39692</v>
      </c>
      <c r="AH47" s="149">
        <f t="shared" si="19"/>
        <v>7.2004730831973891</v>
      </c>
      <c r="AI47" s="150">
        <v>7.2004730831973891</v>
      </c>
      <c r="AK47" s="4">
        <f t="shared" si="6"/>
        <v>2007</v>
      </c>
      <c r="AL47" s="432">
        <v>39294</v>
      </c>
      <c r="AM47" s="4">
        <f t="shared" si="7"/>
        <v>4.3415466709999997</v>
      </c>
      <c r="AN47" s="4">
        <v>4.4119563560000001</v>
      </c>
      <c r="AO47" s="4">
        <v>4.2711369860000001</v>
      </c>
      <c r="AQ47" s="4">
        <f t="shared" si="8"/>
        <v>2011</v>
      </c>
      <c r="AR47" s="356">
        <v>40695</v>
      </c>
      <c r="AS47" s="4">
        <f t="shared" si="9"/>
        <v>9.6712500000000006</v>
      </c>
      <c r="AT47" s="4">
        <v>9.7225000000000001</v>
      </c>
      <c r="AU47" s="4">
        <v>9.6199999999999992</v>
      </c>
      <c r="AV47" s="515">
        <f t="shared" si="1"/>
        <v>2017</v>
      </c>
      <c r="AW47" s="535">
        <v>43070</v>
      </c>
      <c r="AX47" s="515">
        <f t="shared" si="2"/>
        <v>3.4322999999999997</v>
      </c>
      <c r="AY47" s="596">
        <f>'[12]Forward Price Curve'!AE128</f>
        <v>3.3275999999999999</v>
      </c>
      <c r="AZ47" s="596">
        <f>'[12]Forward Price Curve'!AD128</f>
        <v>3.5369999999999999</v>
      </c>
      <c r="BA47" s="629">
        <f t="shared" si="3"/>
        <v>2020</v>
      </c>
      <c r="BB47" s="633">
        <v>44166</v>
      </c>
      <c r="BC47" s="629">
        <f t="shared" si="4"/>
        <v>2.3118499999999997</v>
      </c>
      <c r="BD47" s="634">
        <f>[13]Prices!AO44</f>
        <v>2.0636999999999999</v>
      </c>
      <c r="BE47" s="634">
        <f>[13]Prices!AP44</f>
        <v>2.56</v>
      </c>
      <c r="BR47" s="4">
        <v>2004</v>
      </c>
      <c r="BS47" s="210">
        <f>BS43</f>
        <v>2.0199999999999999E-2</v>
      </c>
    </row>
    <row r="48" spans="3:71">
      <c r="C48" s="4">
        <f t="shared" si="22"/>
        <v>2039</v>
      </c>
      <c r="D48" s="209">
        <f t="shared" si="33"/>
        <v>116.12175569419283</v>
      </c>
      <c r="E48" s="209">
        <f t="shared" si="34"/>
        <v>107.16863940406765</v>
      </c>
      <c r="F48" s="209">
        <f t="shared" si="35"/>
        <v>112.26584562357671</v>
      </c>
      <c r="G48" s="597">
        <f t="shared" si="24"/>
        <v>6.7722499999999988</v>
      </c>
      <c r="H48" s="626">
        <f t="shared" si="27"/>
        <v>7.0919124999999994</v>
      </c>
      <c r="I48" s="209">
        <f>I47*(1+$O48)</f>
        <v>14.552193321556517</v>
      </c>
      <c r="J48" s="282">
        <f t="shared" si="30"/>
        <v>8.6843578808642885</v>
      </c>
      <c r="K48" s="282">
        <f t="shared" si="32"/>
        <v>10.929721327936619</v>
      </c>
      <c r="L48" s="276"/>
      <c r="M48" s="531">
        <f>'[14]Extended Forecast'!D48</f>
        <v>2.1999999999999999E-2</v>
      </c>
      <c r="N48" s="628">
        <f>'[15]Extended Forecast'!K48</f>
        <v>2.1000000000000001E-2</v>
      </c>
      <c r="O48" s="210">
        <f t="shared" si="36"/>
        <v>2.1000000000000001E-2</v>
      </c>
      <c r="P48" s="210">
        <v>1.7999999999999999E-2</v>
      </c>
      <c r="Q48" s="357"/>
      <c r="T48" s="4">
        <f t="shared" si="14"/>
        <v>2008</v>
      </c>
      <c r="U48" s="434">
        <f t="shared" si="31"/>
        <v>39722</v>
      </c>
      <c r="V48" s="150">
        <v>57.914999999999999</v>
      </c>
      <c r="W48" s="150">
        <v>51.252499999999998</v>
      </c>
      <c r="X48" s="357">
        <f t="shared" si="25"/>
        <v>55.050124999999994</v>
      </c>
      <c r="Y48" s="343">
        <v>432</v>
      </c>
      <c r="Z48" s="343">
        <v>312</v>
      </c>
      <c r="AA48" s="343">
        <f t="shared" si="17"/>
        <v>0.58064516129032262</v>
      </c>
      <c r="AB48" s="343">
        <f t="shared" si="18"/>
        <v>0.41935483870967744</v>
      </c>
      <c r="AF48" s="4">
        <f t="shared" si="26"/>
        <v>2008</v>
      </c>
      <c r="AG48" s="432">
        <f t="shared" si="29"/>
        <v>39722</v>
      </c>
      <c r="AH48" s="149">
        <f t="shared" si="19"/>
        <v>7.3196275149537806</v>
      </c>
      <c r="AI48" s="150">
        <v>7.3196275149537806</v>
      </c>
      <c r="AK48" s="4">
        <f t="shared" si="6"/>
        <v>2007</v>
      </c>
      <c r="AL48" s="432">
        <v>39325</v>
      </c>
      <c r="AM48" s="4">
        <f t="shared" si="7"/>
        <v>4.3644602705000004</v>
      </c>
      <c r="AN48" s="4">
        <v>4.435607665</v>
      </c>
      <c r="AO48" s="4">
        <v>4.2933128759999999</v>
      </c>
      <c r="AQ48" s="4">
        <f t="shared" si="8"/>
        <v>2011</v>
      </c>
      <c r="AR48" s="356">
        <v>40725</v>
      </c>
      <c r="AS48" s="4">
        <f t="shared" si="9"/>
        <v>9.7712500000000002</v>
      </c>
      <c r="AT48" s="4">
        <v>9.8224999999999998</v>
      </c>
      <c r="AU48" s="4">
        <v>9.7200000000000006</v>
      </c>
      <c r="AV48" s="515">
        <f t="shared" si="1"/>
        <v>2018</v>
      </c>
      <c r="AW48" s="535">
        <v>43101</v>
      </c>
      <c r="AX48" s="515">
        <f t="shared" si="2"/>
        <v>3.4073500000000001</v>
      </c>
      <c r="AY48" s="596">
        <f>'[12]Forward Price Curve'!AE129</f>
        <v>3.3912</v>
      </c>
      <c r="AZ48" s="596">
        <f>'[12]Forward Price Curve'!AD129</f>
        <v>3.4235000000000002</v>
      </c>
      <c r="BA48" s="629">
        <f t="shared" si="3"/>
        <v>2021</v>
      </c>
      <c r="BB48" s="633">
        <v>44197</v>
      </c>
      <c r="BC48" s="629">
        <f t="shared" si="4"/>
        <v>2.3321000000000001</v>
      </c>
      <c r="BD48" s="634">
        <f>[13]Prices!AO45</f>
        <v>2.1802000000000001</v>
      </c>
      <c r="BE48" s="634">
        <f>[13]Prices!AP45</f>
        <v>2.484</v>
      </c>
    </row>
    <row r="49" spans="3:57">
      <c r="C49" s="4">
        <f t="shared" si="22"/>
        <v>2040</v>
      </c>
      <c r="D49" s="209">
        <f t="shared" si="33"/>
        <v>118.56031256377086</v>
      </c>
      <c r="E49" s="209">
        <f t="shared" si="34"/>
        <v>109.41918083155306</v>
      </c>
      <c r="F49" s="209">
        <f t="shared" si="35"/>
        <v>114.62342838167181</v>
      </c>
      <c r="G49" s="597">
        <f t="shared" si="24"/>
        <v>7.075779166666667</v>
      </c>
      <c r="H49" s="626">
        <f>AVERAGEIF($BA$12:$BA$287,$C49,$BC$12:$BC$287)</f>
        <v>7.3225625000000001</v>
      </c>
      <c r="I49" s="209">
        <f t="shared" ref="I49:I60" si="37">I48*(1+$O49)</f>
        <v>14.857789381309203</v>
      </c>
      <c r="J49" s="282">
        <f t="shared" si="30"/>
        <v>8.9014668278858942</v>
      </c>
      <c r="K49" s="282">
        <f t="shared" si="32"/>
        <v>11.310075630148813</v>
      </c>
      <c r="L49" s="276"/>
      <c r="M49" s="531">
        <f>'[14]Extended Forecast'!D49</f>
        <v>2.1999999999999999E-2</v>
      </c>
      <c r="N49" s="628">
        <f>'[15]Extended Forecast'!K49</f>
        <v>2.1000000000000001E-2</v>
      </c>
      <c r="O49" s="210">
        <f t="shared" ref="O49" si="38">O48</f>
        <v>2.1000000000000001E-2</v>
      </c>
      <c r="P49" s="210"/>
      <c r="Q49" s="357"/>
      <c r="T49" s="4">
        <f t="shared" si="14"/>
        <v>2008</v>
      </c>
      <c r="U49" s="434">
        <f t="shared" si="31"/>
        <v>39753</v>
      </c>
      <c r="V49" s="150">
        <v>70.784999999999997</v>
      </c>
      <c r="W49" s="150">
        <v>60.515000000000001</v>
      </c>
      <c r="X49" s="357">
        <f t="shared" si="25"/>
        <v>66.368899999999996</v>
      </c>
      <c r="Y49" s="343">
        <v>384</v>
      </c>
      <c r="Z49" s="343">
        <v>336</v>
      </c>
      <c r="AA49" s="343">
        <f t="shared" si="17"/>
        <v>0.53333333333333333</v>
      </c>
      <c r="AB49" s="343">
        <f t="shared" si="18"/>
        <v>0.46666666666666667</v>
      </c>
      <c r="AF49" s="4">
        <f t="shared" si="26"/>
        <v>2008</v>
      </c>
      <c r="AG49" s="432">
        <f t="shared" si="29"/>
        <v>39753</v>
      </c>
      <c r="AH49" s="149">
        <f t="shared" si="19"/>
        <v>8.2083238172920048</v>
      </c>
      <c r="AI49" s="150">
        <v>8.2083238172920048</v>
      </c>
      <c r="AK49" s="4">
        <f t="shared" si="6"/>
        <v>2007</v>
      </c>
      <c r="AL49" s="432">
        <v>39355</v>
      </c>
      <c r="AM49" s="4">
        <f t="shared" si="7"/>
        <v>4.3359193375</v>
      </c>
      <c r="AN49" s="4">
        <v>4.407558538</v>
      </c>
      <c r="AO49" s="4">
        <v>4.2642801370000001</v>
      </c>
      <c r="AQ49" s="4">
        <f t="shared" si="8"/>
        <v>2011</v>
      </c>
      <c r="AR49" s="356">
        <v>40756</v>
      </c>
      <c r="AS49" s="4">
        <f t="shared" si="9"/>
        <v>9.8462500000000013</v>
      </c>
      <c r="AT49" s="4">
        <v>9.8975000000000009</v>
      </c>
      <c r="AU49" s="4">
        <v>9.7949999999999999</v>
      </c>
      <c r="AV49" s="515">
        <f t="shared" si="1"/>
        <v>2018</v>
      </c>
      <c r="AW49" s="535">
        <v>43132</v>
      </c>
      <c r="AX49" s="515">
        <f t="shared" si="2"/>
        <v>3.3311999999999999</v>
      </c>
      <c r="AY49" s="596">
        <f>'[12]Forward Price Curve'!AE130</f>
        <v>3.3538999999999999</v>
      </c>
      <c r="AZ49" s="596">
        <f>'[12]Forward Price Curve'!AD130</f>
        <v>3.3085</v>
      </c>
      <c r="BA49" s="629">
        <f t="shared" si="3"/>
        <v>2021</v>
      </c>
      <c r="BB49" s="633">
        <v>44228</v>
      </c>
      <c r="BC49" s="629">
        <f t="shared" si="4"/>
        <v>2.2283499999999998</v>
      </c>
      <c r="BD49" s="634">
        <f>[13]Prices!AO46</f>
        <v>2.1377000000000002</v>
      </c>
      <c r="BE49" s="634">
        <f>[13]Prices!AP46</f>
        <v>2.319</v>
      </c>
    </row>
    <row r="50" spans="3:57">
      <c r="C50" s="4">
        <f t="shared" si="22"/>
        <v>2041</v>
      </c>
      <c r="D50" s="209">
        <f t="shared" si="33"/>
        <v>121.05007912761005</v>
      </c>
      <c r="E50" s="209">
        <f t="shared" si="34"/>
        <v>111.71698362901567</v>
      </c>
      <c r="F50" s="209">
        <f t="shared" si="35"/>
        <v>117.03052037768691</v>
      </c>
      <c r="G50" s="597">
        <f t="shared" si="24"/>
        <v>7.2385291666666687</v>
      </c>
      <c r="H50" s="627">
        <f>H49*(1+$N$51)</f>
        <v>7.4836588750000006</v>
      </c>
      <c r="I50" s="209">
        <f t="shared" si="37"/>
        <v>15.169802958316696</v>
      </c>
      <c r="J50" s="282">
        <f t="shared" si="30"/>
        <v>9.1240034985830416</v>
      </c>
      <c r="K50" s="282">
        <f t="shared" si="32"/>
        <v>11.703666262077991</v>
      </c>
      <c r="L50" s="276"/>
      <c r="M50" s="531">
        <f>'[14]Extended Forecast'!D50</f>
        <v>2.1999999999999999E-2</v>
      </c>
      <c r="N50" s="628">
        <f>'[15]Extended Forecast'!K50</f>
        <v>2.1000000000000001E-2</v>
      </c>
      <c r="O50" s="210">
        <f t="shared" ref="O50" si="39">O49</f>
        <v>2.1000000000000001E-2</v>
      </c>
      <c r="P50" s="210"/>
      <c r="Q50" s="357"/>
      <c r="T50" s="4">
        <f t="shared" si="14"/>
        <v>2008</v>
      </c>
      <c r="U50" s="434">
        <f t="shared" si="31"/>
        <v>39783</v>
      </c>
      <c r="V50" s="150">
        <v>85.8</v>
      </c>
      <c r="W50" s="150">
        <v>73.482500000000002</v>
      </c>
      <c r="X50" s="357">
        <f t="shared" si="25"/>
        <v>80.503474999999995</v>
      </c>
      <c r="Y50" s="343">
        <v>416</v>
      </c>
      <c r="Z50" s="343">
        <v>328</v>
      </c>
      <c r="AA50" s="343">
        <f t="shared" si="17"/>
        <v>0.55913978494623651</v>
      </c>
      <c r="AB50" s="343">
        <f t="shared" si="18"/>
        <v>0.44086021505376344</v>
      </c>
      <c r="AF50" s="4">
        <f t="shared" si="26"/>
        <v>2008</v>
      </c>
      <c r="AG50" s="432">
        <f t="shared" si="29"/>
        <v>39783</v>
      </c>
      <c r="AH50" s="149">
        <f t="shared" si="19"/>
        <v>9.0364912996193567</v>
      </c>
      <c r="AI50" s="150">
        <v>9.0364912996193567</v>
      </c>
      <c r="AK50" s="4">
        <f t="shared" si="6"/>
        <v>2007</v>
      </c>
      <c r="AL50" s="432">
        <v>39386</v>
      </c>
      <c r="AM50" s="4">
        <f t="shared" si="7"/>
        <v>4.3729029374999993</v>
      </c>
      <c r="AN50" s="4">
        <v>4.4424798479999996</v>
      </c>
      <c r="AO50" s="4">
        <v>4.3033260269999998</v>
      </c>
      <c r="AQ50" s="4">
        <f t="shared" si="8"/>
        <v>2011</v>
      </c>
      <c r="AR50" s="356">
        <v>40787</v>
      </c>
      <c r="AS50" s="4">
        <f t="shared" si="9"/>
        <v>9.8712499999999999</v>
      </c>
      <c r="AT50" s="4">
        <v>9.9224999999999994</v>
      </c>
      <c r="AU50" s="4">
        <v>9.82</v>
      </c>
      <c r="AV50" s="515">
        <f t="shared" si="1"/>
        <v>2018</v>
      </c>
      <c r="AW50" s="535">
        <v>43160</v>
      </c>
      <c r="AX50" s="515">
        <f t="shared" si="2"/>
        <v>3.2502500000000003</v>
      </c>
      <c r="AY50" s="596">
        <f>'[12]Forward Price Curve'!AE131</f>
        <v>3.2745000000000002</v>
      </c>
      <c r="AZ50" s="596">
        <f>'[12]Forward Price Curve'!AD131</f>
        <v>3.226</v>
      </c>
      <c r="BA50" s="629">
        <f t="shared" si="3"/>
        <v>2021</v>
      </c>
      <c r="BB50" s="633">
        <v>44256</v>
      </c>
      <c r="BC50" s="629">
        <f t="shared" si="4"/>
        <v>2.0396000000000001</v>
      </c>
      <c r="BD50" s="634">
        <f>[13]Prices!AO47</f>
        <v>2.0451999999999999</v>
      </c>
      <c r="BE50" s="634">
        <f>[13]Prices!AP47</f>
        <v>2.0339999999999998</v>
      </c>
    </row>
    <row r="51" spans="3:57">
      <c r="C51" s="4">
        <f t="shared" si="22"/>
        <v>2042</v>
      </c>
      <c r="D51" s="209">
        <f t="shared" si="33"/>
        <v>123.59213078928985</v>
      </c>
      <c r="E51" s="209">
        <f t="shared" si="34"/>
        <v>114.06304028522499</v>
      </c>
      <c r="F51" s="209">
        <f t="shared" si="35"/>
        <v>119.48816130561832</v>
      </c>
      <c r="G51" s="597">
        <f t="shared" si="24"/>
        <v>7.4050000000000002</v>
      </c>
      <c r="H51" s="627">
        <f t="shared" ref="H51:H60" si="40">H50*(1+$N$51)</f>
        <v>7.6482993702500011</v>
      </c>
      <c r="I51" s="209">
        <f t="shared" si="37"/>
        <v>15.488368820441345</v>
      </c>
      <c r="J51" s="282">
        <f t="shared" si="30"/>
        <v>9.3521035860476172</v>
      </c>
      <c r="K51" s="282">
        <f t="shared" si="32"/>
        <v>12.110953847998305</v>
      </c>
      <c r="L51" s="276"/>
      <c r="M51" s="531">
        <f>'[14]Extended Forecast'!D51</f>
        <v>2.1999999999999999E-2</v>
      </c>
      <c r="N51" s="628">
        <f>'[15]Extended Forecast'!K51</f>
        <v>2.1999999999999999E-2</v>
      </c>
      <c r="O51" s="210">
        <f t="shared" ref="O51" si="41">O50</f>
        <v>2.1000000000000001E-2</v>
      </c>
      <c r="P51" s="210"/>
      <c r="Q51" s="357"/>
      <c r="T51" s="4">
        <f t="shared" si="14"/>
        <v>2009</v>
      </c>
      <c r="U51" s="434">
        <f t="shared" si="31"/>
        <v>39814</v>
      </c>
      <c r="V51" s="150">
        <v>83.4</v>
      </c>
      <c r="W51" s="150">
        <v>73.754999999999995</v>
      </c>
      <c r="X51" s="357">
        <f t="shared" si="25"/>
        <v>79.252649999999988</v>
      </c>
      <c r="Y51" s="343">
        <v>416</v>
      </c>
      <c r="Z51" s="343">
        <v>328</v>
      </c>
      <c r="AA51" s="343">
        <f t="shared" si="17"/>
        <v>0.55913978494623651</v>
      </c>
      <c r="AB51" s="343">
        <f t="shared" si="18"/>
        <v>0.44086021505376344</v>
      </c>
      <c r="AF51" s="4">
        <f t="shared" si="26"/>
        <v>2009</v>
      </c>
      <c r="AG51" s="432">
        <f t="shared" si="29"/>
        <v>39814</v>
      </c>
      <c r="AH51" s="149">
        <f t="shared" si="19"/>
        <v>9.5853629690048958</v>
      </c>
      <c r="AI51" s="150">
        <v>9.5853629690048958</v>
      </c>
      <c r="AK51" s="4">
        <f t="shared" si="6"/>
        <v>2007</v>
      </c>
      <c r="AL51" s="432">
        <v>39416</v>
      </c>
      <c r="AM51" s="4">
        <f t="shared" si="7"/>
        <v>4.5446511740000002</v>
      </c>
      <c r="AN51" s="4">
        <v>4.6161204299999996</v>
      </c>
      <c r="AO51" s="4">
        <v>4.4731819179999999</v>
      </c>
      <c r="AQ51" s="4">
        <f t="shared" si="8"/>
        <v>2011</v>
      </c>
      <c r="AR51" s="356">
        <v>40817</v>
      </c>
      <c r="AS51" s="4">
        <f t="shared" si="9"/>
        <v>9.9662499999999987</v>
      </c>
      <c r="AT51" s="4">
        <v>10.0175</v>
      </c>
      <c r="AU51" s="4">
        <v>9.9149999999999991</v>
      </c>
      <c r="AV51" s="515">
        <f t="shared" si="1"/>
        <v>2018</v>
      </c>
      <c r="AW51" s="535">
        <v>43191</v>
      </c>
      <c r="AX51" s="515">
        <f t="shared" si="2"/>
        <v>2.36775</v>
      </c>
      <c r="AY51" s="596">
        <f>'[12]Forward Price Curve'!AE132</f>
        <v>2.5819999999999999</v>
      </c>
      <c r="AZ51" s="596">
        <f>'[12]Forward Price Curve'!AD132</f>
        <v>2.1535000000000002</v>
      </c>
      <c r="BA51" s="629">
        <f t="shared" si="3"/>
        <v>2021</v>
      </c>
      <c r="BB51" s="633">
        <v>44287</v>
      </c>
      <c r="BC51" s="629">
        <f t="shared" si="4"/>
        <v>1.6171000000000002</v>
      </c>
      <c r="BD51" s="634">
        <f>[13]Prices!AO48</f>
        <v>1.7352000000000001</v>
      </c>
      <c r="BE51" s="634">
        <f>[13]Prices!AP48</f>
        <v>1.4990000000000001</v>
      </c>
    </row>
    <row r="52" spans="3:57">
      <c r="C52" s="4">
        <f t="shared" si="22"/>
        <v>2043</v>
      </c>
      <c r="D52" s="209">
        <f t="shared" si="33"/>
        <v>126.18756553586493</v>
      </c>
      <c r="E52" s="209">
        <f t="shared" si="34"/>
        <v>116.45836413121469</v>
      </c>
      <c r="F52" s="209">
        <f t="shared" si="35"/>
        <v>121.9974126930363</v>
      </c>
      <c r="G52" s="598">
        <f>G51*(1+$M$51)</f>
        <v>7.5679100000000004</v>
      </c>
      <c r="H52" s="627">
        <f t="shared" si="40"/>
        <v>7.8165619563955016</v>
      </c>
      <c r="I52" s="209">
        <f t="shared" si="37"/>
        <v>15.813624565670612</v>
      </c>
      <c r="J52" s="282">
        <f t="shared" si="30"/>
        <v>9.5859061756988062</v>
      </c>
      <c r="K52" s="282">
        <f t="shared" si="32"/>
        <v>12.532415041908646</v>
      </c>
      <c r="L52" s="276"/>
      <c r="M52" s="531">
        <f>'[14]Extended Forecast'!D52</f>
        <v>2.3E-2</v>
      </c>
      <c r="N52" s="628">
        <f>'[15]Extended Forecast'!K52</f>
        <v>2.1999999999999999E-2</v>
      </c>
      <c r="O52" s="210">
        <f t="shared" ref="O52" si="42">O51</f>
        <v>2.1000000000000001E-2</v>
      </c>
      <c r="P52" s="210"/>
      <c r="Q52" s="357"/>
      <c r="T52" s="4">
        <f t="shared" si="14"/>
        <v>2009</v>
      </c>
      <c r="U52" s="434">
        <f t="shared" si="31"/>
        <v>39845</v>
      </c>
      <c r="V52" s="150">
        <v>78.599999999999994</v>
      </c>
      <c r="W52" s="150">
        <v>70.894999999999996</v>
      </c>
      <c r="X52" s="357">
        <f t="shared" si="25"/>
        <v>75.286849999999987</v>
      </c>
      <c r="Y52" s="343">
        <v>384</v>
      </c>
      <c r="Z52" s="343">
        <v>288</v>
      </c>
      <c r="AA52" s="343">
        <f t="shared" si="17"/>
        <v>0.5714285714285714</v>
      </c>
      <c r="AB52" s="343">
        <f t="shared" si="18"/>
        <v>0.42857142857142855</v>
      </c>
      <c r="AF52" s="4">
        <f t="shared" si="26"/>
        <v>2009</v>
      </c>
      <c r="AG52" s="432">
        <f t="shared" si="29"/>
        <v>39845</v>
      </c>
      <c r="AH52" s="149">
        <f t="shared" si="19"/>
        <v>9.5853629690048958</v>
      </c>
      <c r="AI52" s="150">
        <v>9.5853629690048958</v>
      </c>
      <c r="AK52" s="4">
        <f t="shared" si="6"/>
        <v>2007</v>
      </c>
      <c r="AL52" s="432">
        <v>39447</v>
      </c>
      <c r="AM52" s="4">
        <f t="shared" si="7"/>
        <v>4.7338404599999997</v>
      </c>
      <c r="AN52" s="4">
        <v>4.8000231119999999</v>
      </c>
      <c r="AO52" s="4">
        <v>4.6676578080000004</v>
      </c>
      <c r="AQ52" s="4">
        <f t="shared" si="8"/>
        <v>2011</v>
      </c>
      <c r="AR52" s="356">
        <v>40848</v>
      </c>
      <c r="AS52" s="4">
        <f t="shared" si="9"/>
        <v>10.78125</v>
      </c>
      <c r="AT52" s="4">
        <v>10.3325</v>
      </c>
      <c r="AU52" s="4">
        <v>11.23</v>
      </c>
      <c r="AV52" s="515">
        <f t="shared" si="1"/>
        <v>2018</v>
      </c>
      <c r="AW52" s="535">
        <v>43221</v>
      </c>
      <c r="AX52" s="515">
        <f t="shared" si="2"/>
        <v>2.3014000000000001</v>
      </c>
      <c r="AY52" s="596">
        <f>'[12]Forward Price Curve'!AE133</f>
        <v>2.5383</v>
      </c>
      <c r="AZ52" s="596">
        <f>'[12]Forward Price Curve'!AD133</f>
        <v>2.0644999999999998</v>
      </c>
      <c r="BA52" s="629">
        <f t="shared" si="3"/>
        <v>2021</v>
      </c>
      <c r="BB52" s="633">
        <v>44317</v>
      </c>
      <c r="BC52" s="629">
        <f t="shared" si="4"/>
        <v>1.5720000000000001</v>
      </c>
      <c r="BD52" s="634">
        <f>[13]Prices!AO49</f>
        <v>1.6995</v>
      </c>
      <c r="BE52" s="634">
        <f>[13]Prices!AP49</f>
        <v>1.4444999999999999</v>
      </c>
    </row>
    <row r="53" spans="3:57">
      <c r="C53" s="4">
        <f t="shared" si="22"/>
        <v>2044</v>
      </c>
      <c r="D53" s="209">
        <f t="shared" si="33"/>
        <v>128.83750441211808</v>
      </c>
      <c r="E53" s="209">
        <f t="shared" si="34"/>
        <v>118.9039897779702</v>
      </c>
      <c r="F53" s="209">
        <f t="shared" si="35"/>
        <v>124.55935835959005</v>
      </c>
      <c r="G53" s="598">
        <f>G52*(1+$M$51)</f>
        <v>7.7344040200000004</v>
      </c>
      <c r="H53" s="627">
        <f t="shared" si="40"/>
        <v>7.9885263194362031</v>
      </c>
      <c r="I53" s="209">
        <f t="shared" si="37"/>
        <v>16.145710681549694</v>
      </c>
      <c r="J53" s="282">
        <f t="shared" si="30"/>
        <v>9.825553830091275</v>
      </c>
      <c r="K53" s="282">
        <f t="shared" si="32"/>
        <v>12.968543085367067</v>
      </c>
      <c r="L53" s="276"/>
      <c r="M53" s="531">
        <f>'[14]Extended Forecast'!D53</f>
        <v>2.3E-2</v>
      </c>
      <c r="N53" s="628">
        <f>'[15]Extended Forecast'!K53</f>
        <v>2.1999999999999999E-2</v>
      </c>
      <c r="O53" s="210">
        <f t="shared" ref="O53" si="43">O52</f>
        <v>2.1000000000000001E-2</v>
      </c>
      <c r="P53" s="210"/>
      <c r="Q53" s="357"/>
      <c r="T53" s="4">
        <f t="shared" si="14"/>
        <v>2009</v>
      </c>
      <c r="U53" s="434">
        <f t="shared" si="31"/>
        <v>39873</v>
      </c>
      <c r="V53" s="150">
        <v>69.8</v>
      </c>
      <c r="W53" s="150">
        <v>61.6</v>
      </c>
      <c r="X53" s="357">
        <f t="shared" si="25"/>
        <v>66.274000000000001</v>
      </c>
      <c r="Y53" s="343">
        <v>416</v>
      </c>
      <c r="Z53" s="343">
        <v>328</v>
      </c>
      <c r="AA53" s="343">
        <f t="shared" si="17"/>
        <v>0.55913978494623651</v>
      </c>
      <c r="AB53" s="343">
        <f t="shared" si="18"/>
        <v>0.44086021505376344</v>
      </c>
      <c r="AF53" s="4">
        <f t="shared" si="26"/>
        <v>2009</v>
      </c>
      <c r="AG53" s="432">
        <f t="shared" si="29"/>
        <v>39873</v>
      </c>
      <c r="AH53" s="149">
        <f t="shared" si="19"/>
        <v>9.3044018488308868</v>
      </c>
      <c r="AI53" s="150">
        <v>9.3044018488308868</v>
      </c>
      <c r="AK53" s="4">
        <f t="shared" si="6"/>
        <v>2008</v>
      </c>
      <c r="AL53" s="432">
        <v>39478</v>
      </c>
      <c r="AM53" s="4">
        <f t="shared" si="7"/>
        <v>4.7721493929999994</v>
      </c>
      <c r="AN53" s="4">
        <v>4.8182237179999996</v>
      </c>
      <c r="AO53" s="4">
        <v>4.7260750680000001</v>
      </c>
      <c r="AQ53" s="4">
        <f t="shared" si="8"/>
        <v>2011</v>
      </c>
      <c r="AR53" s="356">
        <v>40878</v>
      </c>
      <c r="AS53" s="4">
        <f t="shared" si="9"/>
        <v>11.206250000000001</v>
      </c>
      <c r="AT53" s="4">
        <v>10.7575</v>
      </c>
      <c r="AU53" s="4">
        <v>11.654999999999999</v>
      </c>
      <c r="AV53" s="515">
        <f t="shared" si="1"/>
        <v>2018</v>
      </c>
      <c r="AW53" s="535">
        <v>43252</v>
      </c>
      <c r="AX53" s="515">
        <f t="shared" si="2"/>
        <v>2.3048500000000001</v>
      </c>
      <c r="AY53" s="596">
        <f>'[12]Forward Price Curve'!AE134</f>
        <v>2.5592000000000001</v>
      </c>
      <c r="AZ53" s="596">
        <f>'[12]Forward Price Curve'!AD134</f>
        <v>2.0505</v>
      </c>
      <c r="BA53" s="629">
        <f t="shared" si="3"/>
        <v>2021</v>
      </c>
      <c r="BB53" s="633">
        <v>44348</v>
      </c>
      <c r="BC53" s="629">
        <f t="shared" si="4"/>
        <v>1.6049</v>
      </c>
      <c r="BD53" s="634">
        <f>[13]Prices!AO50</f>
        <v>1.7318</v>
      </c>
      <c r="BE53" s="634">
        <f>[13]Prices!AP50</f>
        <v>1.478</v>
      </c>
    </row>
    <row r="54" spans="3:57">
      <c r="C54" s="4">
        <f t="shared" si="22"/>
        <v>2045</v>
      </c>
      <c r="D54" s="209">
        <f t="shared" si="33"/>
        <v>131.54309200477255</v>
      </c>
      <c r="E54" s="209">
        <f t="shared" si="34"/>
        <v>121.40097356330756</v>
      </c>
      <c r="F54" s="209">
        <f t="shared" si="35"/>
        <v>127.17510488514142</v>
      </c>
      <c r="G54" s="598">
        <f t="shared" ref="G54:G60" si="44">G53*(1+$M$51)</f>
        <v>7.9045609084400006</v>
      </c>
      <c r="H54" s="627">
        <f t="shared" si="40"/>
        <v>8.164273898463799</v>
      </c>
      <c r="I54" s="209">
        <f t="shared" si="37"/>
        <v>16.484770605862238</v>
      </c>
      <c r="J54" s="282">
        <f t="shared" si="30"/>
        <v>10.071192675843555</v>
      </c>
      <c r="K54" s="282">
        <f t="shared" si="32"/>
        <v>13.41984838473784</v>
      </c>
      <c r="L54" s="276"/>
      <c r="M54" s="531">
        <f>'[14]Extended Forecast'!D54</f>
        <v>2.3E-2</v>
      </c>
      <c r="N54" s="628">
        <f>'[15]Extended Forecast'!K54</f>
        <v>2.1999999999999999E-2</v>
      </c>
      <c r="O54" s="210">
        <f t="shared" ref="O54" si="45">O53</f>
        <v>2.1000000000000001E-2</v>
      </c>
      <c r="P54" s="210"/>
      <c r="Q54" s="357"/>
      <c r="T54" s="4">
        <f t="shared" si="14"/>
        <v>2009</v>
      </c>
      <c r="U54" s="434">
        <f t="shared" si="31"/>
        <v>39904</v>
      </c>
      <c r="V54" s="150">
        <v>52.29</v>
      </c>
      <c r="W54" s="150">
        <v>38.950000000000003</v>
      </c>
      <c r="X54" s="357">
        <f t="shared" si="25"/>
        <v>46.553799999999995</v>
      </c>
      <c r="Y54" s="343">
        <v>416</v>
      </c>
      <c r="Z54" s="343">
        <v>304</v>
      </c>
      <c r="AA54" s="343">
        <f t="shared" si="17"/>
        <v>0.57777777777777772</v>
      </c>
      <c r="AB54" s="343">
        <f t="shared" si="18"/>
        <v>0.42222222222222222</v>
      </c>
      <c r="AF54" s="4">
        <f t="shared" si="26"/>
        <v>2009</v>
      </c>
      <c r="AG54" s="432">
        <f t="shared" si="29"/>
        <v>39904</v>
      </c>
      <c r="AH54" s="149">
        <f t="shared" si="19"/>
        <v>6.837707993474714</v>
      </c>
      <c r="AI54" s="150">
        <v>6.837707993474714</v>
      </c>
      <c r="AK54" s="4">
        <f t="shared" si="6"/>
        <v>2008</v>
      </c>
      <c r="AL54" s="432">
        <v>39507</v>
      </c>
      <c r="AM54" s="4">
        <f t="shared" si="7"/>
        <v>4.6831726289999995</v>
      </c>
      <c r="AN54" s="4">
        <v>4.7338942990000001</v>
      </c>
      <c r="AO54" s="4">
        <v>4.6324509589999998</v>
      </c>
      <c r="AQ54" s="4">
        <f t="shared" si="8"/>
        <v>2012</v>
      </c>
      <c r="AR54" s="356">
        <v>40909</v>
      </c>
      <c r="AS54" s="4">
        <f t="shared" si="9"/>
        <v>11.445452605</v>
      </c>
      <c r="AT54" s="4">
        <v>11.025905209999999</v>
      </c>
      <c r="AU54" s="4">
        <v>11.865</v>
      </c>
      <c r="AV54" s="515">
        <f t="shared" si="1"/>
        <v>2018</v>
      </c>
      <c r="AW54" s="535">
        <v>43282</v>
      </c>
      <c r="AX54" s="515">
        <f t="shared" si="2"/>
        <v>2.4473000000000003</v>
      </c>
      <c r="AY54" s="596">
        <f>'[12]Forward Price Curve'!AE135</f>
        <v>2.6351</v>
      </c>
      <c r="AZ54" s="596">
        <f>'[12]Forward Price Curve'!AD135</f>
        <v>2.2595000000000001</v>
      </c>
      <c r="BA54" s="629">
        <f t="shared" si="3"/>
        <v>2021</v>
      </c>
      <c r="BB54" s="633">
        <v>44378</v>
      </c>
      <c r="BC54" s="629">
        <f t="shared" si="4"/>
        <v>1.7172499999999999</v>
      </c>
      <c r="BD54" s="634">
        <f>[13]Prices!AO51</f>
        <v>1.776</v>
      </c>
      <c r="BE54" s="634">
        <f>[13]Prices!AP51</f>
        <v>1.6585000000000001</v>
      </c>
    </row>
    <row r="55" spans="3:57">
      <c r="C55" s="4">
        <f t="shared" si="22"/>
        <v>2046</v>
      </c>
      <c r="D55" s="209">
        <f t="shared" si="33"/>
        <v>134.30549693687277</v>
      </c>
      <c r="E55" s="209">
        <f t="shared" si="34"/>
        <v>123.95039400813701</v>
      </c>
      <c r="F55" s="209">
        <f t="shared" si="35"/>
        <v>129.84578208772939</v>
      </c>
      <c r="G55" s="598">
        <f t="shared" si="44"/>
        <v>8.0784612484256808</v>
      </c>
      <c r="H55" s="627">
        <f t="shared" si="40"/>
        <v>8.3438879242300033</v>
      </c>
      <c r="I55" s="209">
        <f>I54*(1+$O55)</f>
        <v>16.830950788585344</v>
      </c>
      <c r="J55" s="282">
        <f t="shared" si="30"/>
        <v>10.322972492739643</v>
      </c>
      <c r="K55" s="282">
        <f t="shared" si="32"/>
        <v>13.886859108526716</v>
      </c>
      <c r="L55" s="276"/>
      <c r="M55" s="531">
        <f>'[14]Extended Forecast'!D55</f>
        <v>2.3E-2</v>
      </c>
      <c r="N55" s="628">
        <f>'[15]Extended Forecast'!K55</f>
        <v>2.1999999999999999E-2</v>
      </c>
      <c r="O55" s="210">
        <f t="shared" ref="O55" si="46">O54</f>
        <v>2.1000000000000001E-2</v>
      </c>
      <c r="P55" s="210"/>
      <c r="Q55" s="357"/>
      <c r="T55" s="4">
        <f t="shared" si="14"/>
        <v>2009</v>
      </c>
      <c r="U55" s="434">
        <f t="shared" si="31"/>
        <v>39934</v>
      </c>
      <c r="V55" s="150">
        <v>43.56</v>
      </c>
      <c r="W55" s="150">
        <v>29.22</v>
      </c>
      <c r="X55" s="357">
        <f t="shared" si="25"/>
        <v>37.393799999999999</v>
      </c>
      <c r="Y55" s="343">
        <v>400</v>
      </c>
      <c r="Z55" s="343">
        <v>344</v>
      </c>
      <c r="AA55" s="343">
        <f t="shared" si="17"/>
        <v>0.5376344086021505</v>
      </c>
      <c r="AB55" s="343">
        <f t="shared" si="18"/>
        <v>0.46236559139784944</v>
      </c>
      <c r="AF55" s="4">
        <f t="shared" si="26"/>
        <v>2009</v>
      </c>
      <c r="AG55" s="432">
        <f t="shared" si="29"/>
        <v>39934</v>
      </c>
      <c r="AH55" s="149">
        <f t="shared" si="19"/>
        <v>6.6337928221859714</v>
      </c>
      <c r="AI55" s="150">
        <v>6.6337928221859714</v>
      </c>
      <c r="AK55" s="4">
        <f t="shared" si="6"/>
        <v>2008</v>
      </c>
      <c r="AL55" s="432">
        <v>39538</v>
      </c>
      <c r="AM55" s="4">
        <f t="shared" si="7"/>
        <v>4.4767958649999997</v>
      </c>
      <c r="AN55" s="4">
        <v>4.5331648810000003</v>
      </c>
      <c r="AO55" s="4">
        <v>4.420426849</v>
      </c>
      <c r="AQ55" s="4">
        <f t="shared" si="8"/>
        <v>2012</v>
      </c>
      <c r="AR55" s="356">
        <v>40940</v>
      </c>
      <c r="AS55" s="4">
        <f t="shared" si="9"/>
        <v>11.435452605</v>
      </c>
      <c r="AT55" s="4">
        <v>11.01590521</v>
      </c>
      <c r="AU55" s="4">
        <v>11.855</v>
      </c>
      <c r="AV55" s="515">
        <f t="shared" si="1"/>
        <v>2018</v>
      </c>
      <c r="AW55" s="535">
        <v>43313</v>
      </c>
      <c r="AX55" s="515">
        <f t="shared" si="2"/>
        <v>2.4517500000000001</v>
      </c>
      <c r="AY55" s="596">
        <f>'[12]Forward Price Curve'!AE136</f>
        <v>2.6495000000000002</v>
      </c>
      <c r="AZ55" s="596">
        <f>'[12]Forward Price Curve'!AD136</f>
        <v>2.254</v>
      </c>
      <c r="BA55" s="629">
        <f t="shared" si="3"/>
        <v>2021</v>
      </c>
      <c r="BB55" s="633">
        <v>44409</v>
      </c>
      <c r="BC55" s="629">
        <f t="shared" si="4"/>
        <v>1.7458999999999998</v>
      </c>
      <c r="BD55" s="634">
        <f>[13]Prices!AO52</f>
        <v>1.7952999999999999</v>
      </c>
      <c r="BE55" s="634">
        <f>[13]Prices!AP52</f>
        <v>1.6964999999999999</v>
      </c>
    </row>
    <row r="56" spans="3:57">
      <c r="C56" s="4">
        <f t="shared" si="22"/>
        <v>2047</v>
      </c>
      <c r="D56" s="209">
        <f t="shared" si="33"/>
        <v>137.12591237254708</v>
      </c>
      <c r="E56" s="209">
        <f t="shared" si="34"/>
        <v>126.55335228230787</v>
      </c>
      <c r="F56" s="209">
        <f t="shared" si="35"/>
        <v>132.57254351157169</v>
      </c>
      <c r="G56" s="598">
        <f t="shared" si="44"/>
        <v>8.2561873958910468</v>
      </c>
      <c r="H56" s="627">
        <f t="shared" si="40"/>
        <v>8.5274534585630644</v>
      </c>
      <c r="I56" s="209">
        <f t="shared" si="37"/>
        <v>17.184400755145635</v>
      </c>
      <c r="J56" s="282">
        <f t="shared" si="30"/>
        <v>10.581046805058133</v>
      </c>
      <c r="K56" s="282">
        <f t="shared" si="32"/>
        <v>14.370121805503445</v>
      </c>
      <c r="L56" s="276"/>
      <c r="M56" s="531">
        <f>'[14]Extended Forecast'!D56</f>
        <v>2.1999999999999999E-2</v>
      </c>
      <c r="N56" s="628">
        <f>'[15]Extended Forecast'!K56</f>
        <v>2.1999999999999999E-2</v>
      </c>
      <c r="O56" s="210">
        <f t="shared" ref="O56" si="47">O55</f>
        <v>2.1000000000000001E-2</v>
      </c>
      <c r="P56" s="210"/>
      <c r="Q56" s="357"/>
      <c r="T56" s="4">
        <f t="shared" si="14"/>
        <v>2009</v>
      </c>
      <c r="U56" s="434">
        <f t="shared" si="31"/>
        <v>39965</v>
      </c>
      <c r="V56" s="150">
        <v>40.65</v>
      </c>
      <c r="W56" s="150">
        <v>27.83</v>
      </c>
      <c r="X56" s="357">
        <f t="shared" si="25"/>
        <v>35.1374</v>
      </c>
      <c r="Y56" s="343">
        <v>416</v>
      </c>
      <c r="Z56" s="343">
        <v>304</v>
      </c>
      <c r="AA56" s="343">
        <f t="shared" si="17"/>
        <v>0.57777777777777772</v>
      </c>
      <c r="AB56" s="343">
        <f t="shared" si="18"/>
        <v>0.42222222222222222</v>
      </c>
      <c r="AF56" s="4">
        <f t="shared" si="26"/>
        <v>2009</v>
      </c>
      <c r="AG56" s="432">
        <f t="shared" si="29"/>
        <v>39965</v>
      </c>
      <c r="AH56" s="149">
        <f t="shared" si="19"/>
        <v>6.7153588907014683</v>
      </c>
      <c r="AI56" s="150">
        <v>6.7153588907014683</v>
      </c>
      <c r="AK56" s="4">
        <f t="shared" si="6"/>
        <v>2008</v>
      </c>
      <c r="AL56" s="432">
        <v>39568</v>
      </c>
      <c r="AM56" s="4">
        <f t="shared" si="7"/>
        <v>4.08065547</v>
      </c>
      <c r="AN56" s="4">
        <v>4.1545668310000003</v>
      </c>
      <c r="AO56" s="4">
        <v>4.0067441090000004</v>
      </c>
      <c r="AQ56" s="4">
        <f t="shared" si="8"/>
        <v>2012</v>
      </c>
      <c r="AR56" s="356">
        <v>40969</v>
      </c>
      <c r="AS56" s="4">
        <f t="shared" si="9"/>
        <v>11.205452605</v>
      </c>
      <c r="AT56" s="4">
        <v>10.785905209999999</v>
      </c>
      <c r="AU56" s="4">
        <v>11.625</v>
      </c>
      <c r="AV56" s="515">
        <f t="shared" si="1"/>
        <v>2018</v>
      </c>
      <c r="AW56" s="535">
        <v>43344</v>
      </c>
      <c r="AX56" s="515">
        <f t="shared" si="2"/>
        <v>2.4714999999999998</v>
      </c>
      <c r="AY56" s="596">
        <f>'[12]Forward Price Curve'!AE137</f>
        <v>2.6455000000000002</v>
      </c>
      <c r="AZ56" s="596">
        <f>'[12]Forward Price Curve'!AD137</f>
        <v>2.2974999999999999</v>
      </c>
      <c r="BA56" s="629">
        <f t="shared" si="3"/>
        <v>2021</v>
      </c>
      <c r="BB56" s="633">
        <v>44440</v>
      </c>
      <c r="BC56" s="629">
        <f t="shared" si="4"/>
        <v>1.7490999999999999</v>
      </c>
      <c r="BD56" s="634">
        <f>[13]Prices!AO53</f>
        <v>1.7971999999999999</v>
      </c>
      <c r="BE56" s="634">
        <f>[13]Prices!AP53</f>
        <v>1.7010000000000001</v>
      </c>
    </row>
    <row r="57" spans="3:57">
      <c r="C57" s="4">
        <f t="shared" si="22"/>
        <v>2048</v>
      </c>
      <c r="D57" s="209">
        <f t="shared" si="33"/>
        <v>140.00555653237055</v>
      </c>
      <c r="E57" s="209">
        <f t="shared" si="34"/>
        <v>129.21097268023632</v>
      </c>
      <c r="F57" s="209">
        <f t="shared" si="35"/>
        <v>135.3565669253147</v>
      </c>
      <c r="G57" s="598">
        <f t="shared" si="44"/>
        <v>8.4378235186006503</v>
      </c>
      <c r="H57" s="627">
        <f t="shared" si="40"/>
        <v>8.7150574346514524</v>
      </c>
      <c r="I57" s="209">
        <f t="shared" si="37"/>
        <v>17.545273171003693</v>
      </c>
      <c r="J57" s="282">
        <f t="shared" si="30"/>
        <v>10.845572975184584</v>
      </c>
      <c r="K57" s="282">
        <f t="shared" si="32"/>
        <v>14.870202044334963</v>
      </c>
      <c r="L57" s="276"/>
      <c r="M57" s="531">
        <f>'[14]Extended Forecast'!D57</f>
        <v>2.1999999999999999E-2</v>
      </c>
      <c r="N57" s="628">
        <f>'[15]Extended Forecast'!K57</f>
        <v>2.1999999999999999E-2</v>
      </c>
      <c r="O57" s="210">
        <f t="shared" ref="O57" si="48">O56</f>
        <v>2.1000000000000001E-2</v>
      </c>
      <c r="P57" s="210"/>
      <c r="Q57" s="357"/>
      <c r="T57" s="4">
        <f t="shared" si="14"/>
        <v>2009</v>
      </c>
      <c r="U57" s="434">
        <f t="shared" si="31"/>
        <v>39995</v>
      </c>
      <c r="V57" s="150">
        <v>68.099999999999994</v>
      </c>
      <c r="W57" s="150">
        <v>53.05</v>
      </c>
      <c r="X57" s="357">
        <f t="shared" si="25"/>
        <v>61.628499999999988</v>
      </c>
      <c r="Y57" s="343">
        <v>416</v>
      </c>
      <c r="Z57" s="343">
        <v>328</v>
      </c>
      <c r="AA57" s="343">
        <f t="shared" si="17"/>
        <v>0.55913978494623651</v>
      </c>
      <c r="AB57" s="343">
        <f t="shared" si="18"/>
        <v>0.44086021505376344</v>
      </c>
      <c r="AF57" s="4">
        <f t="shared" si="26"/>
        <v>2009</v>
      </c>
      <c r="AG57" s="432">
        <f t="shared" si="29"/>
        <v>39995</v>
      </c>
      <c r="AH57" s="149">
        <f t="shared" si="19"/>
        <v>6.8193556280587275</v>
      </c>
      <c r="AI57" s="150">
        <v>6.8193556280587275</v>
      </c>
      <c r="AK57" s="4">
        <f t="shared" si="6"/>
        <v>2008</v>
      </c>
      <c r="AL57" s="432">
        <v>39599</v>
      </c>
      <c r="AM57" s="4">
        <f t="shared" si="7"/>
        <v>4.0389790699999999</v>
      </c>
      <c r="AN57" s="4">
        <v>4.1133281400000001</v>
      </c>
      <c r="AO57" s="4">
        <v>3.9646300000000001</v>
      </c>
      <c r="AQ57" s="4">
        <f t="shared" si="8"/>
        <v>2012</v>
      </c>
      <c r="AR57" s="356">
        <v>41000</v>
      </c>
      <c r="AS57" s="4">
        <f t="shared" si="9"/>
        <v>9.7192026049999996</v>
      </c>
      <c r="AT57" s="4">
        <v>9.7984052100000003</v>
      </c>
      <c r="AU57" s="4">
        <v>9.64</v>
      </c>
      <c r="AV57" s="515">
        <f t="shared" si="1"/>
        <v>2018</v>
      </c>
      <c r="AW57" s="535">
        <v>43374</v>
      </c>
      <c r="AX57" s="515">
        <f t="shared" si="2"/>
        <v>2.5008999999999997</v>
      </c>
      <c r="AY57" s="596">
        <f>'[12]Forward Price Curve'!AE138</f>
        <v>2.6722999999999999</v>
      </c>
      <c r="AZ57" s="596">
        <f>'[12]Forward Price Curve'!AD138</f>
        <v>2.3294999999999999</v>
      </c>
      <c r="BA57" s="629">
        <f t="shared" si="3"/>
        <v>2021</v>
      </c>
      <c r="BB57" s="633">
        <v>44470</v>
      </c>
      <c r="BC57" s="629">
        <f t="shared" si="4"/>
        <v>1.7728999999999999</v>
      </c>
      <c r="BD57" s="634">
        <f>[13]Prices!AO54</f>
        <v>1.8072999999999999</v>
      </c>
      <c r="BE57" s="634">
        <f>[13]Prices!AP54</f>
        <v>1.7384999999999999</v>
      </c>
    </row>
    <row r="58" spans="3:57">
      <c r="C58" s="4">
        <f t="shared" si="22"/>
        <v>2049</v>
      </c>
      <c r="D58" s="209">
        <f t="shared" si="33"/>
        <v>142.94567321955032</v>
      </c>
      <c r="E58" s="209">
        <f t="shared" si="34"/>
        <v>131.92440310652128</v>
      </c>
      <c r="F58" s="209">
        <f t="shared" si="35"/>
        <v>138.19905483074629</v>
      </c>
      <c r="G58" s="598">
        <f t="shared" si="44"/>
        <v>8.6234556360098651</v>
      </c>
      <c r="H58" s="627">
        <f t="shared" si="40"/>
        <v>8.9067886982137843</v>
      </c>
      <c r="I58" s="209">
        <f t="shared" si="37"/>
        <v>17.913723907594768</v>
      </c>
      <c r="J58" s="282">
        <f t="shared" si="30"/>
        <v>11.116712299564199</v>
      </c>
      <c r="K58" s="282">
        <f t="shared" si="32"/>
        <v>15.387685075477819</v>
      </c>
      <c r="L58" s="276"/>
      <c r="M58" s="531">
        <f>'[14]Extended Forecast'!D58</f>
        <v>2.1999999999999999E-2</v>
      </c>
      <c r="N58" s="628">
        <f>'[15]Extended Forecast'!K58</f>
        <v>2.1999999999999999E-2</v>
      </c>
      <c r="O58" s="210">
        <f t="shared" ref="O58" si="49">O57</f>
        <v>2.1000000000000001E-2</v>
      </c>
      <c r="P58" s="210"/>
      <c r="Q58" s="357"/>
      <c r="T58" s="4">
        <f t="shared" si="14"/>
        <v>2009</v>
      </c>
      <c r="U58" s="434">
        <f t="shared" si="31"/>
        <v>40026</v>
      </c>
      <c r="V58" s="150">
        <v>80.739999999999995</v>
      </c>
      <c r="W58" s="150">
        <v>62.97</v>
      </c>
      <c r="X58" s="357">
        <f t="shared" si="25"/>
        <v>73.098899999999986</v>
      </c>
      <c r="Y58" s="343">
        <v>416</v>
      </c>
      <c r="Z58" s="343">
        <v>328</v>
      </c>
      <c r="AA58" s="343">
        <f t="shared" si="17"/>
        <v>0.55913978494623651</v>
      </c>
      <c r="AB58" s="343">
        <f t="shared" si="18"/>
        <v>0.44086021505376344</v>
      </c>
      <c r="AF58" s="4">
        <f t="shared" si="26"/>
        <v>2009</v>
      </c>
      <c r="AG58" s="432">
        <f t="shared" si="29"/>
        <v>40026</v>
      </c>
      <c r="AH58" s="149">
        <f t="shared" si="19"/>
        <v>6.9111174551386618</v>
      </c>
      <c r="AI58" s="150">
        <v>6.9111174551386618</v>
      </c>
      <c r="AK58" s="4">
        <f t="shared" si="6"/>
        <v>2008</v>
      </c>
      <c r="AL58" s="432">
        <v>39629</v>
      </c>
      <c r="AM58" s="4">
        <f t="shared" si="7"/>
        <v>4.0555826694999997</v>
      </c>
      <c r="AN58" s="4">
        <v>4.1303694489999998</v>
      </c>
      <c r="AO58" s="4">
        <v>3.98079589</v>
      </c>
      <c r="AQ58" s="4">
        <f t="shared" si="8"/>
        <v>2012</v>
      </c>
      <c r="AR58" s="356">
        <v>41030</v>
      </c>
      <c r="AS58" s="4">
        <f t="shared" si="9"/>
        <v>9.6742026050000014</v>
      </c>
      <c r="AT58" s="4">
        <v>9.7534052100000004</v>
      </c>
      <c r="AU58" s="4">
        <v>9.5950000000000006</v>
      </c>
      <c r="AV58" s="515">
        <f t="shared" si="1"/>
        <v>2018</v>
      </c>
      <c r="AW58" s="535">
        <v>43405</v>
      </c>
      <c r="AX58" s="515">
        <f t="shared" si="2"/>
        <v>2.9172500000000001</v>
      </c>
      <c r="AY58" s="596">
        <f>'[12]Forward Price Curve'!AE139</f>
        <v>2.863</v>
      </c>
      <c r="AZ58" s="596">
        <f>'[12]Forward Price Curve'!AD139</f>
        <v>2.9714999999999998</v>
      </c>
      <c r="BA58" s="629">
        <f t="shared" si="3"/>
        <v>2021</v>
      </c>
      <c r="BB58" s="633">
        <v>44501</v>
      </c>
      <c r="BC58" s="629">
        <f t="shared" si="4"/>
        <v>2.39005</v>
      </c>
      <c r="BD58" s="634">
        <f>[13]Prices!AO55</f>
        <v>2.4327999999999999</v>
      </c>
      <c r="BE58" s="634">
        <f>[13]Prices!AP55</f>
        <v>2.3473000000000002</v>
      </c>
    </row>
    <row r="59" spans="3:57">
      <c r="C59" s="4">
        <f t="shared" si="22"/>
        <v>2050</v>
      </c>
      <c r="D59" s="209">
        <f t="shared" si="33"/>
        <v>145.94753235716087</v>
      </c>
      <c r="E59" s="209">
        <f t="shared" si="34"/>
        <v>134.69481557175823</v>
      </c>
      <c r="F59" s="209">
        <f t="shared" si="35"/>
        <v>141.10123498219195</v>
      </c>
      <c r="G59" s="598">
        <f t="shared" si="44"/>
        <v>8.813171660002082</v>
      </c>
      <c r="H59" s="627">
        <f t="shared" si="40"/>
        <v>9.1027380495744872</v>
      </c>
      <c r="I59" s="209">
        <f t="shared" si="37"/>
        <v>18.289912109654257</v>
      </c>
      <c r="J59" s="282">
        <f t="shared" si="30"/>
        <v>11.394630107053302</v>
      </c>
      <c r="K59" s="282">
        <f>K58*(1+$BS$45)</f>
        <v>15.923176516104446</v>
      </c>
      <c r="L59" s="276"/>
      <c r="M59" s="531">
        <f>'[14]Extended Forecast'!D59</f>
        <v>2.1999999999999999E-2</v>
      </c>
      <c r="N59" s="628">
        <f>'[15]Extended Forecast'!K59</f>
        <v>2.1999999999999999E-2</v>
      </c>
      <c r="O59" s="210">
        <f t="shared" ref="O59" si="50">O58</f>
        <v>2.1000000000000001E-2</v>
      </c>
      <c r="P59" s="210"/>
      <c r="Q59" s="357"/>
      <c r="T59" s="4">
        <f t="shared" si="14"/>
        <v>2009</v>
      </c>
      <c r="U59" s="434">
        <f t="shared" si="31"/>
        <v>40057</v>
      </c>
      <c r="V59" s="150">
        <v>79.16</v>
      </c>
      <c r="W59" s="150">
        <v>61.73</v>
      </c>
      <c r="X59" s="357">
        <f t="shared" si="25"/>
        <v>71.665099999999995</v>
      </c>
      <c r="Y59" s="343">
        <v>400</v>
      </c>
      <c r="Z59" s="343">
        <v>320</v>
      </c>
      <c r="AA59" s="343">
        <f t="shared" si="17"/>
        <v>0.55555555555555558</v>
      </c>
      <c r="AB59" s="343">
        <f t="shared" si="18"/>
        <v>0.44444444444444442</v>
      </c>
      <c r="AF59" s="4">
        <f t="shared" si="26"/>
        <v>2009</v>
      </c>
      <c r="AG59" s="432">
        <f t="shared" si="29"/>
        <v>40057</v>
      </c>
      <c r="AH59" s="149">
        <f t="shared" si="19"/>
        <v>7.0283686786296897</v>
      </c>
      <c r="AI59" s="150">
        <v>7.0283686786296897</v>
      </c>
      <c r="AK59" s="4">
        <f t="shared" si="6"/>
        <v>2008</v>
      </c>
      <c r="AL59" s="432">
        <v>39660</v>
      </c>
      <c r="AM59" s="4">
        <f t="shared" si="7"/>
        <v>4.0952517359999998</v>
      </c>
      <c r="AN59" s="4">
        <v>4.1703303219999999</v>
      </c>
      <c r="AO59" s="4">
        <v>4.0201731499999998</v>
      </c>
      <c r="AQ59" s="4">
        <f t="shared" si="8"/>
        <v>2012</v>
      </c>
      <c r="AR59" s="356">
        <v>41061</v>
      </c>
      <c r="AS59" s="4">
        <f t="shared" si="9"/>
        <v>9.7542026049999997</v>
      </c>
      <c r="AT59" s="4">
        <v>9.8334052100000005</v>
      </c>
      <c r="AU59" s="4">
        <v>9.6750000000000007</v>
      </c>
      <c r="AV59" s="515">
        <f t="shared" si="1"/>
        <v>2018</v>
      </c>
      <c r="AW59" s="535">
        <v>43435</v>
      </c>
      <c r="AX59" s="515">
        <f t="shared" si="2"/>
        <v>3.19095</v>
      </c>
      <c r="AY59" s="596">
        <f>'[12]Forward Price Curve'!AE140</f>
        <v>3.0173999999999999</v>
      </c>
      <c r="AZ59" s="596">
        <f>'[12]Forward Price Curve'!AD140</f>
        <v>3.3645</v>
      </c>
      <c r="BA59" s="629">
        <f t="shared" si="3"/>
        <v>2021</v>
      </c>
      <c r="BB59" s="633">
        <v>44531</v>
      </c>
      <c r="BC59" s="629">
        <f t="shared" si="4"/>
        <v>2.6388499999999997</v>
      </c>
      <c r="BD59" s="634">
        <f>[13]Prices!AO56</f>
        <v>2.6084000000000001</v>
      </c>
      <c r="BE59" s="634">
        <f>[13]Prices!AP56</f>
        <v>2.6692999999999998</v>
      </c>
    </row>
    <row r="60" spans="3:57">
      <c r="C60" s="4">
        <f t="shared" si="22"/>
        <v>2051</v>
      </c>
      <c r="D60" s="209">
        <f t="shared" si="33"/>
        <v>149.01243053666124</v>
      </c>
      <c r="E60" s="209">
        <f t="shared" si="34"/>
        <v>137.52340669876514</v>
      </c>
      <c r="F60" s="209">
        <f t="shared" si="35"/>
        <v>144.06436091681798</v>
      </c>
      <c r="G60" s="598">
        <f t="shared" si="44"/>
        <v>9.0070614365221271</v>
      </c>
      <c r="H60" s="627">
        <f t="shared" si="40"/>
        <v>9.302998286665126</v>
      </c>
      <c r="I60" s="209">
        <f t="shared" si="37"/>
        <v>18.674000263956994</v>
      </c>
      <c r="J60" s="282">
        <f t="shared" si="30"/>
        <v>11.679495859729634</v>
      </c>
      <c r="K60" s="282">
        <f t="shared" si="32"/>
        <v>16.47730305886488</v>
      </c>
      <c r="L60" s="276"/>
      <c r="M60" s="531">
        <f>'[14]Extended Forecast'!D60</f>
        <v>2.1999999999999999E-2</v>
      </c>
      <c r="N60" s="628">
        <f>'[15]Extended Forecast'!K60</f>
        <v>2.1999999999999999E-2</v>
      </c>
      <c r="O60" s="210">
        <f t="shared" ref="O60" si="51">O59</f>
        <v>2.1000000000000001E-2</v>
      </c>
      <c r="P60" s="210"/>
      <c r="Q60" s="357"/>
      <c r="T60" s="4">
        <f t="shared" si="14"/>
        <v>2009</v>
      </c>
      <c r="U60" s="434">
        <f t="shared" si="31"/>
        <v>40087</v>
      </c>
      <c r="V60" s="150">
        <v>54.914999999999999</v>
      </c>
      <c r="W60" s="150">
        <v>48.502499999999998</v>
      </c>
      <c r="X60" s="357">
        <f t="shared" si="25"/>
        <v>52.157624999999996</v>
      </c>
      <c r="Y60" s="343">
        <v>432</v>
      </c>
      <c r="Z60" s="343">
        <v>312</v>
      </c>
      <c r="AA60" s="343">
        <f t="shared" si="17"/>
        <v>0.58064516129032262</v>
      </c>
      <c r="AB60" s="343">
        <f t="shared" si="18"/>
        <v>0.41935483870967744</v>
      </c>
      <c r="AF60" s="4">
        <f t="shared" si="26"/>
        <v>2009</v>
      </c>
      <c r="AG60" s="432">
        <f t="shared" si="29"/>
        <v>40087</v>
      </c>
      <c r="AH60" s="149">
        <f t="shared" si="19"/>
        <v>7.1802854812398049</v>
      </c>
      <c r="AI60" s="150">
        <v>7.1802854812398049</v>
      </c>
      <c r="AK60" s="4">
        <f t="shared" si="6"/>
        <v>2008</v>
      </c>
      <c r="AL60" s="432">
        <v>39691</v>
      </c>
      <c r="AM60" s="4">
        <f t="shared" si="7"/>
        <v>4.1132553359999999</v>
      </c>
      <c r="AN60" s="4">
        <v>4.1887716309999998</v>
      </c>
      <c r="AO60" s="4">
        <v>4.037739041</v>
      </c>
      <c r="AQ60" s="4">
        <f t="shared" si="8"/>
        <v>2012</v>
      </c>
      <c r="AR60" s="356">
        <v>41091</v>
      </c>
      <c r="AS60" s="4">
        <f t="shared" si="9"/>
        <v>9.8542026050000011</v>
      </c>
      <c r="AT60" s="4">
        <v>9.9334052100000001</v>
      </c>
      <c r="AU60" s="4">
        <v>9.7750000000000004</v>
      </c>
      <c r="AV60" s="515">
        <f t="shared" si="1"/>
        <v>2019</v>
      </c>
      <c r="AW60" s="535">
        <v>43466</v>
      </c>
      <c r="AX60" s="515">
        <f t="shared" si="2"/>
        <v>3.1271500000000003</v>
      </c>
      <c r="AY60" s="596">
        <f>'[12]Forward Price Curve'!AE141</f>
        <v>3.1008</v>
      </c>
      <c r="AZ60" s="596">
        <f>'[12]Forward Price Curve'!AD141</f>
        <v>3.1535000000000002</v>
      </c>
      <c r="BA60" s="629">
        <f t="shared" si="3"/>
        <v>2022</v>
      </c>
      <c r="BB60" s="633">
        <v>44562</v>
      </c>
      <c r="BC60" s="629">
        <f t="shared" si="4"/>
        <v>2.6552499999999997</v>
      </c>
      <c r="BD60" s="634">
        <f>[13]Prices!AO57</f>
        <v>2.6781999999999999</v>
      </c>
      <c r="BE60" s="634">
        <f>[13]Prices!AP57</f>
        <v>2.6322999999999999</v>
      </c>
    </row>
    <row r="61" spans="3:57">
      <c r="T61" s="4">
        <f t="shared" si="14"/>
        <v>2009</v>
      </c>
      <c r="U61" s="434">
        <f>EOMONTH(U60,0)+1</f>
        <v>40118</v>
      </c>
      <c r="V61" s="150">
        <v>67.784999999999997</v>
      </c>
      <c r="W61" s="150">
        <v>57.765000000000001</v>
      </c>
      <c r="X61" s="357">
        <f t="shared" si="25"/>
        <v>63.476399999999998</v>
      </c>
      <c r="Y61" s="343">
        <v>384</v>
      </c>
      <c r="Z61" s="343">
        <v>336</v>
      </c>
      <c r="AA61" s="343">
        <f t="shared" si="17"/>
        <v>0.53333333333333333</v>
      </c>
      <c r="AB61" s="343">
        <f t="shared" si="18"/>
        <v>0.46666666666666667</v>
      </c>
      <c r="AF61" s="4">
        <f t="shared" si="26"/>
        <v>2009</v>
      </c>
      <c r="AG61" s="432">
        <f t="shared" si="29"/>
        <v>40118</v>
      </c>
      <c r="AH61" s="149">
        <f t="shared" si="19"/>
        <v>8.0129051114736267</v>
      </c>
      <c r="AI61" s="150">
        <v>8.0129051114736267</v>
      </c>
      <c r="AK61" s="4">
        <f t="shared" si="6"/>
        <v>2008</v>
      </c>
      <c r="AL61" s="432">
        <v>39721</v>
      </c>
      <c r="AM61" s="4">
        <f t="shared" si="7"/>
        <v>4.1018589360000002</v>
      </c>
      <c r="AN61" s="4">
        <v>4.177812941</v>
      </c>
      <c r="AO61" s="4">
        <v>4.0259049310000004</v>
      </c>
      <c r="AQ61" s="4">
        <f t="shared" si="8"/>
        <v>2012</v>
      </c>
      <c r="AR61" s="356">
        <v>41122</v>
      </c>
      <c r="AS61" s="4">
        <f t="shared" si="9"/>
        <v>9.9292026050000004</v>
      </c>
      <c r="AT61" s="4">
        <v>10.008405209999999</v>
      </c>
      <c r="AU61" s="4">
        <v>9.85</v>
      </c>
      <c r="AV61" s="515">
        <f t="shared" si="1"/>
        <v>2019</v>
      </c>
      <c r="AW61" s="535">
        <v>43497</v>
      </c>
      <c r="AX61" s="515">
        <f t="shared" si="2"/>
        <v>3.0002500000000003</v>
      </c>
      <c r="AY61" s="596">
        <f>'[12]Forward Price Curve'!AE142</f>
        <v>3.0665</v>
      </c>
      <c r="AZ61" s="596">
        <f>'[12]Forward Price Curve'!AD142</f>
        <v>2.9340000000000002</v>
      </c>
      <c r="BA61" s="629">
        <f t="shared" si="3"/>
        <v>2022</v>
      </c>
      <c r="BB61" s="633">
        <v>44593</v>
      </c>
      <c r="BC61" s="629">
        <f t="shared" si="4"/>
        <v>2.6064499999999997</v>
      </c>
      <c r="BD61" s="634">
        <f>[13]Prices!AO58</f>
        <v>2.6631</v>
      </c>
      <c r="BE61" s="634">
        <f>[13]Prices!AP58</f>
        <v>2.5497999999999998</v>
      </c>
    </row>
    <row r="62" spans="3:57">
      <c r="T62" s="4">
        <f t="shared" si="14"/>
        <v>2009</v>
      </c>
      <c r="U62" s="434">
        <f t="shared" si="31"/>
        <v>40148</v>
      </c>
      <c r="V62" s="150">
        <v>82.8</v>
      </c>
      <c r="W62" s="150">
        <v>70.732500000000002</v>
      </c>
      <c r="X62" s="357">
        <f t="shared" si="25"/>
        <v>77.610974999999996</v>
      </c>
      <c r="Y62" s="343">
        <v>416</v>
      </c>
      <c r="Z62" s="343">
        <v>328</v>
      </c>
      <c r="AA62" s="343">
        <f t="shared" si="17"/>
        <v>0.55913978494623651</v>
      </c>
      <c r="AB62" s="343">
        <f t="shared" si="18"/>
        <v>0.44086021505376344</v>
      </c>
      <c r="AF62" s="4">
        <f t="shared" si="26"/>
        <v>2009</v>
      </c>
      <c r="AG62" s="432">
        <f t="shared" si="29"/>
        <v>40148</v>
      </c>
      <c r="AH62" s="149">
        <f t="shared" si="19"/>
        <v>8.7900938009787932</v>
      </c>
      <c r="AI62" s="150">
        <v>8.7900938009787932</v>
      </c>
      <c r="AK62" s="4">
        <f t="shared" si="6"/>
        <v>2008</v>
      </c>
      <c r="AL62" s="432">
        <v>39752</v>
      </c>
      <c r="AM62" s="4">
        <f t="shared" si="7"/>
        <v>4.1679125360000002</v>
      </c>
      <c r="AN62" s="4">
        <v>4.2320042500000001</v>
      </c>
      <c r="AO62" s="4">
        <v>4.1038208220000003</v>
      </c>
      <c r="AQ62" s="4">
        <f t="shared" si="8"/>
        <v>2012</v>
      </c>
      <c r="AR62" s="356">
        <v>41153</v>
      </c>
      <c r="AS62" s="4">
        <f t="shared" si="9"/>
        <v>9.949202605</v>
      </c>
      <c r="AT62" s="4">
        <v>10.028405210000001</v>
      </c>
      <c r="AU62" s="4">
        <v>9.8699999999999992</v>
      </c>
      <c r="AV62" s="515">
        <f t="shared" si="1"/>
        <v>2019</v>
      </c>
      <c r="AW62" s="535">
        <v>43525</v>
      </c>
      <c r="AX62" s="515">
        <f t="shared" si="2"/>
        <v>2.9384999999999999</v>
      </c>
      <c r="AY62" s="596">
        <f>'[12]Forward Price Curve'!AE143</f>
        <v>3</v>
      </c>
      <c r="AZ62" s="596">
        <f>'[12]Forward Price Curve'!AD143</f>
        <v>2.8769999999999998</v>
      </c>
      <c r="BA62" s="629">
        <f t="shared" si="3"/>
        <v>2022</v>
      </c>
      <c r="BB62" s="633">
        <v>44621</v>
      </c>
      <c r="BC62" s="629">
        <f t="shared" si="4"/>
        <v>2.4379499999999998</v>
      </c>
      <c r="BD62" s="634">
        <f>[13]Prices!AO59</f>
        <v>2.5613000000000001</v>
      </c>
      <c r="BE62" s="634">
        <f>[13]Prices!AP59</f>
        <v>2.3146</v>
      </c>
    </row>
    <row r="63" spans="3:57">
      <c r="C63" s="437" t="s">
        <v>105</v>
      </c>
      <c r="T63" s="4">
        <f t="shared" si="14"/>
        <v>2010</v>
      </c>
      <c r="U63" s="434">
        <f t="shared" si="31"/>
        <v>40179</v>
      </c>
      <c r="V63" s="150">
        <v>78.900000000000006</v>
      </c>
      <c r="W63" s="150">
        <v>70.004999999999995</v>
      </c>
      <c r="X63" s="357">
        <f t="shared" si="25"/>
        <v>75.075149999999994</v>
      </c>
      <c r="Y63" s="343">
        <v>400</v>
      </c>
      <c r="Z63" s="343">
        <v>344</v>
      </c>
      <c r="AA63" s="343">
        <f t="shared" si="17"/>
        <v>0.5376344086021505</v>
      </c>
      <c r="AB63" s="343">
        <f t="shared" si="18"/>
        <v>0.46236559139784944</v>
      </c>
      <c r="AF63" s="4">
        <f t="shared" si="26"/>
        <v>2010</v>
      </c>
      <c r="AG63" s="432">
        <f t="shared" si="29"/>
        <v>40179</v>
      </c>
      <c r="AH63" s="149">
        <f t="shared" si="19"/>
        <v>9.3525598151169103</v>
      </c>
      <c r="AI63" s="150">
        <v>9.3525598151169103</v>
      </c>
      <c r="AK63" s="4">
        <f t="shared" si="6"/>
        <v>2008</v>
      </c>
      <c r="AL63" s="432">
        <v>39782</v>
      </c>
      <c r="AM63" s="4">
        <f t="shared" si="7"/>
        <v>4.2817435604999998</v>
      </c>
      <c r="AN63" s="4">
        <v>4.3469390389999996</v>
      </c>
      <c r="AO63" s="4">
        <v>4.2165480820000001</v>
      </c>
      <c r="AQ63" s="4">
        <f t="shared" si="8"/>
        <v>2012</v>
      </c>
      <c r="AR63" s="356">
        <v>41183</v>
      </c>
      <c r="AS63" s="4">
        <f t="shared" si="9"/>
        <v>10.039202605</v>
      </c>
      <c r="AT63" s="4">
        <v>10.118405210000001</v>
      </c>
      <c r="AU63" s="4">
        <v>9.9600000000000009</v>
      </c>
      <c r="AV63" s="515">
        <f t="shared" si="1"/>
        <v>2019</v>
      </c>
      <c r="AW63" s="535">
        <v>43556</v>
      </c>
      <c r="AX63" s="515">
        <f t="shared" ref="AX63:AX126" si="52">AVERAGE(AY63:AZ63)</f>
        <v>2.2579000000000002</v>
      </c>
      <c r="AY63" s="596">
        <f>'[12]Forward Price Curve'!AE144</f>
        <v>2.4077999999999999</v>
      </c>
      <c r="AZ63" s="596">
        <f>'[12]Forward Price Curve'!AD144</f>
        <v>2.1080000000000001</v>
      </c>
      <c r="BA63" s="629">
        <f t="shared" si="3"/>
        <v>2022</v>
      </c>
      <c r="BB63" s="633">
        <v>44652</v>
      </c>
      <c r="BC63" s="629">
        <f t="shared" si="4"/>
        <v>2.1803499999999998</v>
      </c>
      <c r="BD63" s="634">
        <f>[13]Prices!AO60</f>
        <v>2.3506</v>
      </c>
      <c r="BE63" s="634">
        <f>[13]Prices!AP60</f>
        <v>2.0101</v>
      </c>
    </row>
    <row r="64" spans="3:57">
      <c r="C64" s="4" t="s">
        <v>106</v>
      </c>
      <c r="T64" s="4">
        <f t="shared" si="14"/>
        <v>2010</v>
      </c>
      <c r="U64" s="434">
        <f t="shared" si="31"/>
        <v>40210</v>
      </c>
      <c r="V64" s="150">
        <v>74.099999999999994</v>
      </c>
      <c r="W64" s="150">
        <v>67.144999999999996</v>
      </c>
      <c r="X64" s="357">
        <f t="shared" si="25"/>
        <v>71.109349999999992</v>
      </c>
      <c r="Y64" s="343">
        <v>384</v>
      </c>
      <c r="Z64" s="343">
        <v>288</v>
      </c>
      <c r="AA64" s="343">
        <f t="shared" si="17"/>
        <v>0.5714285714285714</v>
      </c>
      <c r="AB64" s="343">
        <f t="shared" si="18"/>
        <v>0.42857142857142855</v>
      </c>
      <c r="AF64" s="4">
        <f t="shared" si="26"/>
        <v>2010</v>
      </c>
      <c r="AG64" s="432">
        <f t="shared" si="29"/>
        <v>40210</v>
      </c>
      <c r="AH64" s="149">
        <f t="shared" si="19"/>
        <v>9.3474619358346906</v>
      </c>
      <c r="AI64" s="150">
        <v>9.3474619358346906</v>
      </c>
      <c r="AK64" s="4">
        <f t="shared" si="6"/>
        <v>2008</v>
      </c>
      <c r="AL64" s="432">
        <v>39813</v>
      </c>
      <c r="AM64" s="4">
        <f t="shared" si="7"/>
        <v>4.4699728465000002</v>
      </c>
      <c r="AN64" s="4">
        <v>4.5208317210000004</v>
      </c>
      <c r="AO64" s="4">
        <v>4.4191139719999999</v>
      </c>
      <c r="AQ64" s="4">
        <f t="shared" si="8"/>
        <v>2012</v>
      </c>
      <c r="AR64" s="356">
        <v>41214</v>
      </c>
      <c r="AS64" s="4">
        <f t="shared" si="9"/>
        <v>10.859202605</v>
      </c>
      <c r="AT64" s="4">
        <v>10.438405210000001</v>
      </c>
      <c r="AU64" s="4">
        <v>11.28</v>
      </c>
      <c r="AV64" s="515">
        <f t="shared" si="1"/>
        <v>2019</v>
      </c>
      <c r="AW64" s="535">
        <v>43586</v>
      </c>
      <c r="AX64" s="515">
        <f t="shared" si="52"/>
        <v>2.2261500000000001</v>
      </c>
      <c r="AY64" s="596">
        <f>'[12]Forward Price Curve'!AE145</f>
        <v>2.3948</v>
      </c>
      <c r="AZ64" s="596">
        <f>'[12]Forward Price Curve'!AD145</f>
        <v>2.0575000000000001</v>
      </c>
      <c r="BA64" s="629">
        <f t="shared" si="3"/>
        <v>2022</v>
      </c>
      <c r="BB64" s="633">
        <v>44682</v>
      </c>
      <c r="BC64" s="629">
        <f t="shared" si="4"/>
        <v>2.1608999999999998</v>
      </c>
      <c r="BD64" s="634">
        <f>[13]Prices!AO61</f>
        <v>2.3266</v>
      </c>
      <c r="BE64" s="634">
        <f>[13]Prices!AP61</f>
        <v>1.9952000000000001</v>
      </c>
    </row>
    <row r="65" spans="20:57">
      <c r="T65" s="4">
        <f t="shared" si="14"/>
        <v>2010</v>
      </c>
      <c r="U65" s="434">
        <f t="shared" si="31"/>
        <v>40238</v>
      </c>
      <c r="V65" s="150">
        <v>65.3</v>
      </c>
      <c r="W65" s="150">
        <v>57.85</v>
      </c>
      <c r="X65" s="357">
        <f t="shared" si="25"/>
        <v>62.096499999999992</v>
      </c>
      <c r="Y65" s="343">
        <v>432</v>
      </c>
      <c r="Z65" s="343">
        <v>312</v>
      </c>
      <c r="AA65" s="343">
        <f t="shared" si="17"/>
        <v>0.58064516129032262</v>
      </c>
      <c r="AB65" s="343">
        <f t="shared" si="18"/>
        <v>0.41935483870967744</v>
      </c>
      <c r="AF65" s="4">
        <f t="shared" si="26"/>
        <v>2010</v>
      </c>
      <c r="AG65" s="432">
        <f t="shared" si="29"/>
        <v>40238</v>
      </c>
      <c r="AH65" s="149">
        <f t="shared" si="19"/>
        <v>9.0868923327895601</v>
      </c>
      <c r="AI65" s="150">
        <v>9.0868923327895601</v>
      </c>
      <c r="AK65" s="4">
        <f t="shared" si="6"/>
        <v>2009</v>
      </c>
      <c r="AL65" s="432">
        <v>39844</v>
      </c>
      <c r="AM65" s="4">
        <f t="shared" si="7"/>
        <v>4.6798249885000001</v>
      </c>
      <c r="AN65" s="4">
        <v>4.7038701139999999</v>
      </c>
      <c r="AO65" s="4">
        <v>4.6557798630000002</v>
      </c>
      <c r="AQ65" s="4">
        <f t="shared" si="8"/>
        <v>2012</v>
      </c>
      <c r="AR65" s="356">
        <v>41244</v>
      </c>
      <c r="AS65" s="4">
        <f t="shared" si="9"/>
        <v>11.279202605</v>
      </c>
      <c r="AT65" s="4">
        <v>10.858405210000001</v>
      </c>
      <c r="AU65" s="4">
        <v>11.7</v>
      </c>
      <c r="AV65" s="515">
        <f t="shared" si="1"/>
        <v>2019</v>
      </c>
      <c r="AW65" s="535">
        <v>43617</v>
      </c>
      <c r="AX65" s="515">
        <f t="shared" si="52"/>
        <v>2.2423000000000002</v>
      </c>
      <c r="AY65" s="596">
        <f>'[12]Forward Price Curve'!AE146</f>
        <v>2.4296000000000002</v>
      </c>
      <c r="AZ65" s="596">
        <f>'[12]Forward Price Curve'!AD146</f>
        <v>2.0550000000000002</v>
      </c>
      <c r="BA65" s="629">
        <f t="shared" si="3"/>
        <v>2022</v>
      </c>
      <c r="BB65" s="633">
        <v>44713</v>
      </c>
      <c r="BC65" s="629">
        <f t="shared" si="4"/>
        <v>2.1897000000000002</v>
      </c>
      <c r="BD65" s="634">
        <f>[13]Prices!AO62</f>
        <v>2.3489</v>
      </c>
      <c r="BE65" s="634">
        <f>[13]Prices!AP62</f>
        <v>2.0305</v>
      </c>
    </row>
    <row r="66" spans="20:57">
      <c r="T66" s="4">
        <f t="shared" si="14"/>
        <v>2010</v>
      </c>
      <c r="U66" s="434">
        <f t="shared" si="31"/>
        <v>40269</v>
      </c>
      <c r="V66" s="150">
        <v>47.79</v>
      </c>
      <c r="W66" s="150">
        <v>35.200000000000003</v>
      </c>
      <c r="X66" s="357">
        <f t="shared" si="25"/>
        <v>42.376300000000001</v>
      </c>
      <c r="Y66" s="343">
        <v>416</v>
      </c>
      <c r="Z66" s="343">
        <v>304</v>
      </c>
      <c r="AA66" s="343">
        <f t="shared" si="17"/>
        <v>0.57777777777777772</v>
      </c>
      <c r="AB66" s="343">
        <f t="shared" si="18"/>
        <v>0.42222222222222222</v>
      </c>
      <c r="AF66" s="4">
        <f t="shared" si="26"/>
        <v>2010</v>
      </c>
      <c r="AG66" s="432">
        <f t="shared" si="29"/>
        <v>40269</v>
      </c>
      <c r="AH66" s="149">
        <f t="shared" si="19"/>
        <v>6.5046465470364323</v>
      </c>
      <c r="AI66" s="150">
        <v>6.5046465470364323</v>
      </c>
      <c r="AK66" s="4">
        <f t="shared" si="6"/>
        <v>2009</v>
      </c>
      <c r="AL66" s="432">
        <v>39872</v>
      </c>
      <c r="AM66" s="4">
        <f t="shared" si="7"/>
        <v>4.492517146</v>
      </c>
      <c r="AN66" s="4">
        <v>4.5330771690000002</v>
      </c>
      <c r="AO66" s="4">
        <v>4.4519571229999997</v>
      </c>
      <c r="AQ66" s="4">
        <f t="shared" si="8"/>
        <v>2013</v>
      </c>
      <c r="AR66" s="356">
        <v>41275</v>
      </c>
      <c r="AS66" s="4">
        <f t="shared" si="9"/>
        <v>11.530452605000001</v>
      </c>
      <c r="AT66" s="4">
        <v>11.11090521</v>
      </c>
      <c r="AU66" s="4">
        <v>11.95</v>
      </c>
      <c r="AV66" s="515">
        <f t="shared" si="1"/>
        <v>2019</v>
      </c>
      <c r="AW66" s="535">
        <v>43647</v>
      </c>
      <c r="AX66" s="515">
        <f t="shared" si="52"/>
        <v>2.3722000000000003</v>
      </c>
      <c r="AY66" s="596">
        <f>'[12]Forward Price Curve'!AE147</f>
        <v>2.5204</v>
      </c>
      <c r="AZ66" s="596">
        <f>'[12]Forward Price Curve'!AD147</f>
        <v>2.2240000000000002</v>
      </c>
      <c r="BA66" s="629">
        <f t="shared" si="3"/>
        <v>2022</v>
      </c>
      <c r="BB66" s="633">
        <v>44743</v>
      </c>
      <c r="BC66" s="629">
        <f t="shared" si="4"/>
        <v>2.2890999999999999</v>
      </c>
      <c r="BD66" s="634">
        <f>[13]Prices!AO63</f>
        <v>2.4018999999999999</v>
      </c>
      <c r="BE66" s="634">
        <f>[13]Prices!AP63</f>
        <v>2.1762999999999999</v>
      </c>
    </row>
    <row r="67" spans="20:57">
      <c r="T67" s="4">
        <f t="shared" si="14"/>
        <v>2010</v>
      </c>
      <c r="U67" s="434">
        <f t="shared" si="31"/>
        <v>40299</v>
      </c>
      <c r="V67" s="150">
        <v>39.06</v>
      </c>
      <c r="W67" s="150">
        <v>25.47</v>
      </c>
      <c r="X67" s="357">
        <f t="shared" si="25"/>
        <v>33.216299999999997</v>
      </c>
      <c r="Y67" s="343">
        <v>400</v>
      </c>
      <c r="Z67" s="343">
        <v>344</v>
      </c>
      <c r="AA67" s="343">
        <f t="shared" si="17"/>
        <v>0.5376344086021505</v>
      </c>
      <c r="AB67" s="343">
        <f t="shared" si="18"/>
        <v>0.46236559139784944</v>
      </c>
      <c r="AF67" s="4">
        <f t="shared" si="26"/>
        <v>2010</v>
      </c>
      <c r="AG67" s="432">
        <f t="shared" si="29"/>
        <v>40299</v>
      </c>
      <c r="AH67" s="149">
        <f t="shared" si="19"/>
        <v>6.3007313757476888</v>
      </c>
      <c r="AI67" s="150">
        <v>6.3007313757476888</v>
      </c>
      <c r="AK67" s="4">
        <f t="shared" si="6"/>
        <v>2009</v>
      </c>
      <c r="AL67" s="432">
        <v>39903</v>
      </c>
      <c r="AM67" s="4">
        <f t="shared" si="7"/>
        <v>4.2755303820000004</v>
      </c>
      <c r="AN67" s="4">
        <v>4.3313377500000003</v>
      </c>
      <c r="AO67" s="4">
        <v>4.2197230140000004</v>
      </c>
      <c r="AQ67" s="4">
        <f t="shared" si="8"/>
        <v>2013</v>
      </c>
      <c r="AR67" s="356">
        <v>41306</v>
      </c>
      <c r="AS67" s="4">
        <f t="shared" si="9"/>
        <v>11.520452604999999</v>
      </c>
      <c r="AT67" s="4">
        <v>11.100905210000001</v>
      </c>
      <c r="AU67" s="4">
        <v>11.94</v>
      </c>
      <c r="AV67" s="515">
        <f t="shared" si="1"/>
        <v>2019</v>
      </c>
      <c r="AW67" s="535">
        <v>43678</v>
      </c>
      <c r="AX67" s="515">
        <f t="shared" si="52"/>
        <v>2.3959000000000001</v>
      </c>
      <c r="AY67" s="596">
        <f>'[12]Forward Price Curve'!AE148</f>
        <v>2.5453000000000001</v>
      </c>
      <c r="AZ67" s="596">
        <f>'[12]Forward Price Curve'!AD148</f>
        <v>2.2465000000000002</v>
      </c>
      <c r="BA67" s="629">
        <f t="shared" si="3"/>
        <v>2022</v>
      </c>
      <c r="BB67" s="633">
        <v>44774</v>
      </c>
      <c r="BC67" s="629">
        <f t="shared" si="4"/>
        <v>2.3220000000000001</v>
      </c>
      <c r="BD67" s="634">
        <f>[13]Prices!AO64</f>
        <v>2.4363000000000001</v>
      </c>
      <c r="BE67" s="634">
        <f>[13]Prices!AP64</f>
        <v>2.2077</v>
      </c>
    </row>
    <row r="68" spans="20:57">
      <c r="T68" s="4">
        <f t="shared" si="14"/>
        <v>2010</v>
      </c>
      <c r="U68" s="434">
        <f t="shared" si="31"/>
        <v>40330</v>
      </c>
      <c r="V68" s="150">
        <v>36.15</v>
      </c>
      <c r="W68" s="150">
        <v>24.08</v>
      </c>
      <c r="X68" s="357">
        <f t="shared" si="25"/>
        <v>30.959899999999994</v>
      </c>
      <c r="Y68" s="343">
        <v>416</v>
      </c>
      <c r="Z68" s="343">
        <v>304</v>
      </c>
      <c r="AA68" s="343">
        <f t="shared" si="17"/>
        <v>0.57777777777777772</v>
      </c>
      <c r="AB68" s="343">
        <f t="shared" si="18"/>
        <v>0.42222222222222222</v>
      </c>
      <c r="AF68" s="4">
        <f t="shared" si="26"/>
        <v>2010</v>
      </c>
      <c r="AG68" s="432">
        <f t="shared" si="29"/>
        <v>40330</v>
      </c>
      <c r="AH68" s="149">
        <f t="shared" si="19"/>
        <v>6.4026889613920606</v>
      </c>
      <c r="AI68" s="150">
        <v>6.4026889613920606</v>
      </c>
      <c r="AK68" s="4">
        <f t="shared" si="6"/>
        <v>2009</v>
      </c>
      <c r="AL68" s="432">
        <v>39933</v>
      </c>
      <c r="AM68" s="4">
        <f t="shared" si="7"/>
        <v>3.9749150684999996</v>
      </c>
      <c r="AN68" s="4">
        <v>4.0536412329999996</v>
      </c>
      <c r="AO68" s="4">
        <v>3.8961889040000002</v>
      </c>
      <c r="AQ68" s="4">
        <f t="shared" si="8"/>
        <v>2013</v>
      </c>
      <c r="AR68" s="356">
        <v>41334</v>
      </c>
      <c r="AS68" s="4">
        <f t="shared" si="9"/>
        <v>11.290452605</v>
      </c>
      <c r="AT68" s="4">
        <v>10.87090521</v>
      </c>
      <c r="AU68" s="4">
        <v>11.71</v>
      </c>
      <c r="AV68" s="515">
        <f t="shared" si="1"/>
        <v>2019</v>
      </c>
      <c r="AW68" s="535">
        <v>43709</v>
      </c>
      <c r="AX68" s="515">
        <f t="shared" si="52"/>
        <v>2.4176500000000001</v>
      </c>
      <c r="AY68" s="596">
        <f>'[12]Forward Price Curve'!AE149</f>
        <v>2.5432999999999999</v>
      </c>
      <c r="AZ68" s="596">
        <f>'[12]Forward Price Curve'!AD149</f>
        <v>2.2919999999999998</v>
      </c>
      <c r="BA68" s="629">
        <f t="shared" si="3"/>
        <v>2022</v>
      </c>
      <c r="BB68" s="633">
        <v>44805</v>
      </c>
      <c r="BC68" s="629">
        <f t="shared" si="4"/>
        <v>2.3235999999999999</v>
      </c>
      <c r="BD68" s="634">
        <f>[13]Prices!AO65</f>
        <v>2.4558</v>
      </c>
      <c r="BE68" s="634">
        <f>[13]Prices!AP65</f>
        <v>2.1913999999999998</v>
      </c>
    </row>
    <row r="69" spans="20:57">
      <c r="T69" s="4">
        <f t="shared" si="14"/>
        <v>2010</v>
      </c>
      <c r="U69" s="434">
        <f t="shared" si="31"/>
        <v>40360</v>
      </c>
      <c r="V69" s="150">
        <v>63.6</v>
      </c>
      <c r="W69" s="150">
        <v>49.3</v>
      </c>
      <c r="X69" s="357">
        <f t="shared" si="25"/>
        <v>57.450999999999993</v>
      </c>
      <c r="Y69" s="343">
        <v>416</v>
      </c>
      <c r="Z69" s="343">
        <v>328</v>
      </c>
      <c r="AA69" s="343">
        <f t="shared" si="17"/>
        <v>0.55913978494623651</v>
      </c>
      <c r="AB69" s="343">
        <f t="shared" si="18"/>
        <v>0.44086021505376344</v>
      </c>
      <c r="AF69" s="4">
        <f t="shared" si="26"/>
        <v>2010</v>
      </c>
      <c r="AG69" s="432">
        <f t="shared" si="29"/>
        <v>40360</v>
      </c>
      <c r="AH69" s="149">
        <f t="shared" si="19"/>
        <v>6.5270772158781947</v>
      </c>
      <c r="AI69" s="150">
        <v>6.5270772158781947</v>
      </c>
      <c r="AK69" s="4">
        <f t="shared" si="6"/>
        <v>2009</v>
      </c>
      <c r="AL69" s="432">
        <v>39964</v>
      </c>
      <c r="AM69" s="4">
        <f t="shared" si="7"/>
        <v>3.956934135</v>
      </c>
      <c r="AN69" s="4">
        <v>4.0359521059999999</v>
      </c>
      <c r="AO69" s="4">
        <v>3.8779161640000002</v>
      </c>
      <c r="AQ69" s="4">
        <f t="shared" si="8"/>
        <v>2013</v>
      </c>
      <c r="AR69" s="356">
        <v>41365</v>
      </c>
      <c r="AS69" s="4">
        <f t="shared" si="9"/>
        <v>9.954202604999999</v>
      </c>
      <c r="AT69" s="4">
        <v>10.03340521</v>
      </c>
      <c r="AU69" s="4">
        <v>9.875</v>
      </c>
      <c r="AV69" s="515">
        <f t="shared" si="1"/>
        <v>2019</v>
      </c>
      <c r="AW69" s="535">
        <v>43739</v>
      </c>
      <c r="AX69" s="515">
        <f t="shared" si="52"/>
        <v>2.4350499999999999</v>
      </c>
      <c r="AY69" s="596">
        <f>'[12]Forward Price Curve'!AE150</f>
        <v>2.5680999999999998</v>
      </c>
      <c r="AZ69" s="596">
        <f>'[12]Forward Price Curve'!AD150</f>
        <v>2.302</v>
      </c>
      <c r="BA69" s="629">
        <f t="shared" si="3"/>
        <v>2022</v>
      </c>
      <c r="BB69" s="633">
        <v>44835</v>
      </c>
      <c r="BC69" s="629">
        <f t="shared" si="4"/>
        <v>2.3323999999999998</v>
      </c>
      <c r="BD69" s="634">
        <f>[13]Prices!AO66</f>
        <v>2.4731999999999998</v>
      </c>
      <c r="BE69" s="634">
        <f>[13]Prices!AP66</f>
        <v>2.1916000000000002</v>
      </c>
    </row>
    <row r="70" spans="20:57">
      <c r="T70" s="4">
        <f t="shared" si="14"/>
        <v>2010</v>
      </c>
      <c r="U70" s="434">
        <f t="shared" si="31"/>
        <v>40391</v>
      </c>
      <c r="V70" s="150">
        <v>76.239999999999995</v>
      </c>
      <c r="W70" s="150">
        <v>59.22</v>
      </c>
      <c r="X70" s="357">
        <f t="shared" si="25"/>
        <v>68.921399999999991</v>
      </c>
      <c r="Y70" s="343">
        <v>416</v>
      </c>
      <c r="Z70" s="343">
        <v>328</v>
      </c>
      <c r="AA70" s="343">
        <f t="shared" si="17"/>
        <v>0.55913978494623651</v>
      </c>
      <c r="AB70" s="343">
        <f t="shared" si="18"/>
        <v>0.44086021505376344</v>
      </c>
      <c r="AF70" s="4">
        <f t="shared" si="26"/>
        <v>2010</v>
      </c>
      <c r="AG70" s="432">
        <f t="shared" si="29"/>
        <v>40391</v>
      </c>
      <c r="AH70" s="149">
        <f t="shared" si="19"/>
        <v>6.6188390429581299</v>
      </c>
      <c r="AI70" s="150">
        <v>6.6188390429581299</v>
      </c>
      <c r="AK70" s="4">
        <f t="shared" si="6"/>
        <v>2009</v>
      </c>
      <c r="AL70" s="432">
        <v>39994</v>
      </c>
      <c r="AM70" s="4">
        <f t="shared" si="7"/>
        <v>4.0061877350000001</v>
      </c>
      <c r="AN70" s="4">
        <v>4.0856434149999998</v>
      </c>
      <c r="AO70" s="4">
        <v>3.926732055</v>
      </c>
      <c r="AQ70" s="4">
        <f t="shared" si="8"/>
        <v>2013</v>
      </c>
      <c r="AR70" s="356">
        <v>41395</v>
      </c>
      <c r="AS70" s="4">
        <f t="shared" si="9"/>
        <v>9.9242026050000014</v>
      </c>
      <c r="AT70" s="4">
        <v>10.00340521</v>
      </c>
      <c r="AU70" s="4">
        <v>9.8450000000000006</v>
      </c>
      <c r="AV70" s="515">
        <f t="shared" si="1"/>
        <v>2019</v>
      </c>
      <c r="AW70" s="535">
        <v>43770</v>
      </c>
      <c r="AX70" s="515">
        <f t="shared" si="52"/>
        <v>2.8553999999999999</v>
      </c>
      <c r="AY70" s="596">
        <f>'[12]Forward Price Curve'!AE151</f>
        <v>2.8212999999999999</v>
      </c>
      <c r="AZ70" s="596">
        <f>'[12]Forward Price Curve'!AD151</f>
        <v>2.8895</v>
      </c>
      <c r="BA70" s="629">
        <f t="shared" si="3"/>
        <v>2022</v>
      </c>
      <c r="BB70" s="633">
        <v>44866</v>
      </c>
      <c r="BC70" s="629">
        <f t="shared" si="4"/>
        <v>2.7121000000000004</v>
      </c>
      <c r="BD70" s="634">
        <f>[13]Prices!AO67</f>
        <v>2.9477000000000002</v>
      </c>
      <c r="BE70" s="634">
        <f>[13]Prices!AP67</f>
        <v>2.4765000000000001</v>
      </c>
    </row>
    <row r="71" spans="20:57">
      <c r="T71" s="4">
        <f t="shared" si="14"/>
        <v>2010</v>
      </c>
      <c r="U71" s="434">
        <f t="shared" si="31"/>
        <v>40422</v>
      </c>
      <c r="V71" s="150">
        <v>74.66</v>
      </c>
      <c r="W71" s="150">
        <v>57.98</v>
      </c>
      <c r="X71" s="357">
        <f t="shared" si="25"/>
        <v>67.4876</v>
      </c>
      <c r="Y71" s="343">
        <v>400</v>
      </c>
      <c r="Z71" s="343">
        <v>320</v>
      </c>
      <c r="AA71" s="343">
        <f t="shared" si="17"/>
        <v>0.55555555555555558</v>
      </c>
      <c r="AB71" s="343">
        <f t="shared" si="18"/>
        <v>0.44444444444444442</v>
      </c>
      <c r="AF71" s="4">
        <f t="shared" si="26"/>
        <v>2010</v>
      </c>
      <c r="AG71" s="432">
        <f t="shared" si="29"/>
        <v>40422</v>
      </c>
      <c r="AH71" s="149">
        <f t="shared" si="19"/>
        <v>6.7106008700380642</v>
      </c>
      <c r="AI71" s="150">
        <v>6.7106008700380642</v>
      </c>
      <c r="AK71" s="4">
        <f t="shared" si="6"/>
        <v>2009</v>
      </c>
      <c r="AL71" s="432">
        <v>40025</v>
      </c>
      <c r="AM71" s="4">
        <f t="shared" si="7"/>
        <v>4.0525413349999999</v>
      </c>
      <c r="AN71" s="4">
        <v>4.1324347250000004</v>
      </c>
      <c r="AO71" s="4">
        <v>3.9726479449999998</v>
      </c>
      <c r="AQ71" s="4">
        <f t="shared" si="8"/>
        <v>2013</v>
      </c>
      <c r="AR71" s="356">
        <v>41426</v>
      </c>
      <c r="AS71" s="4">
        <f t="shared" si="9"/>
        <v>10.004202605</v>
      </c>
      <c r="AT71" s="4">
        <v>10.08340521</v>
      </c>
      <c r="AU71" s="4">
        <v>9.9250000000000007</v>
      </c>
      <c r="AV71" s="515">
        <f t="shared" si="1"/>
        <v>2019</v>
      </c>
      <c r="AW71" s="535">
        <v>43800</v>
      </c>
      <c r="AX71" s="515">
        <f t="shared" si="52"/>
        <v>3.1273</v>
      </c>
      <c r="AY71" s="596">
        <f>'[12]Forward Price Curve'!AE152</f>
        <v>2.9775999999999998</v>
      </c>
      <c r="AZ71" s="596">
        <f>'[12]Forward Price Curve'!AD152</f>
        <v>3.2770000000000001</v>
      </c>
      <c r="BA71" s="629">
        <f t="shared" si="3"/>
        <v>2022</v>
      </c>
      <c r="BB71" s="633">
        <v>44896</v>
      </c>
      <c r="BC71" s="629">
        <f t="shared" si="4"/>
        <v>2.9657499999999999</v>
      </c>
      <c r="BD71" s="634">
        <f>[13]Prices!AO68</f>
        <v>3.153</v>
      </c>
      <c r="BE71" s="634">
        <f>[13]Prices!AP68</f>
        <v>2.7785000000000002</v>
      </c>
    </row>
    <row r="72" spans="20:57">
      <c r="T72" s="4">
        <f t="shared" si="14"/>
        <v>2010</v>
      </c>
      <c r="U72" s="434">
        <f t="shared" si="31"/>
        <v>40452</v>
      </c>
      <c r="V72" s="150">
        <v>50.414999999999999</v>
      </c>
      <c r="W72" s="150">
        <v>44.752499999999998</v>
      </c>
      <c r="X72" s="357">
        <f t="shared" si="25"/>
        <v>47.980125000000001</v>
      </c>
      <c r="Y72" s="343">
        <v>416</v>
      </c>
      <c r="Z72" s="343">
        <v>328</v>
      </c>
      <c r="AA72" s="343">
        <f t="shared" si="17"/>
        <v>0.55913978494623651</v>
      </c>
      <c r="AB72" s="343">
        <f t="shared" si="18"/>
        <v>0.44086021505376344</v>
      </c>
      <c r="AF72" s="4">
        <f t="shared" si="26"/>
        <v>2010</v>
      </c>
      <c r="AG72" s="432">
        <f t="shared" si="29"/>
        <v>40452</v>
      </c>
      <c r="AH72" s="149">
        <f t="shared" si="19"/>
        <v>6.8574197933659589</v>
      </c>
      <c r="AI72" s="150">
        <v>6.8574197933659589</v>
      </c>
      <c r="AK72" s="4">
        <f t="shared" si="6"/>
        <v>2009</v>
      </c>
      <c r="AL72" s="432">
        <v>40056</v>
      </c>
      <c r="AM72" s="4">
        <f t="shared" si="7"/>
        <v>4.0610949349999999</v>
      </c>
      <c r="AN72" s="4">
        <v>4.1414260340000002</v>
      </c>
      <c r="AO72" s="4">
        <v>3.9807638359999999</v>
      </c>
      <c r="AQ72" s="4">
        <f t="shared" si="8"/>
        <v>2013</v>
      </c>
      <c r="AR72" s="356">
        <v>41456</v>
      </c>
      <c r="AS72" s="4">
        <f t="shared" si="9"/>
        <v>10.104202605000001</v>
      </c>
      <c r="AT72" s="4">
        <v>10.18340521</v>
      </c>
      <c r="AU72" s="4">
        <v>10.025</v>
      </c>
      <c r="AV72" s="515">
        <f t="shared" si="1"/>
        <v>2020</v>
      </c>
      <c r="AW72" s="535">
        <v>43831</v>
      </c>
      <c r="AX72" s="515">
        <f t="shared" si="52"/>
        <v>3.1695000000000002</v>
      </c>
      <c r="AY72" s="596">
        <f>'[12]Forward Price Curve'!AE153</f>
        <v>3.0720000000000001</v>
      </c>
      <c r="AZ72" s="596">
        <f>'[12]Forward Price Curve'!AD153</f>
        <v>3.2669999999999999</v>
      </c>
      <c r="BA72" s="629">
        <f t="shared" si="3"/>
        <v>2023</v>
      </c>
      <c r="BB72" s="633">
        <v>44927</v>
      </c>
      <c r="BC72" s="629">
        <f t="shared" si="4"/>
        <v>2.9783999999999997</v>
      </c>
      <c r="BD72" s="634">
        <f>[13]Prices!AO69</f>
        <v>3.1760999999999999</v>
      </c>
      <c r="BE72" s="634">
        <f>[13]Prices!AP69</f>
        <v>2.7806999999999999</v>
      </c>
    </row>
    <row r="73" spans="20:57">
      <c r="T73" s="4">
        <f t="shared" si="14"/>
        <v>2010</v>
      </c>
      <c r="U73" s="434">
        <f t="shared" si="31"/>
        <v>40483</v>
      </c>
      <c r="V73" s="150">
        <v>63.284999999999997</v>
      </c>
      <c r="W73" s="150">
        <v>54.015000000000001</v>
      </c>
      <c r="X73" s="357">
        <f t="shared" si="25"/>
        <v>59.298899999999996</v>
      </c>
      <c r="Y73" s="343">
        <v>400</v>
      </c>
      <c r="Z73" s="343">
        <v>320</v>
      </c>
      <c r="AA73" s="343">
        <f t="shared" si="17"/>
        <v>0.55555555555555558</v>
      </c>
      <c r="AB73" s="343">
        <f t="shared" si="18"/>
        <v>0.44444444444444442</v>
      </c>
      <c r="AF73" s="4">
        <f t="shared" si="26"/>
        <v>2010</v>
      </c>
      <c r="AG73" s="432">
        <f t="shared" si="29"/>
        <v>40483</v>
      </c>
      <c r="AH73" s="149">
        <f t="shared" si="19"/>
        <v>7.6594521479064719</v>
      </c>
      <c r="AI73" s="150">
        <v>7.6594521479064719</v>
      </c>
      <c r="AK73" s="4">
        <f t="shared" si="6"/>
        <v>2009</v>
      </c>
      <c r="AL73" s="432">
        <v>40086</v>
      </c>
      <c r="AM73" s="4">
        <f t="shared" si="7"/>
        <v>4.0644640014999993</v>
      </c>
      <c r="AN73" s="4">
        <v>4.1450869069999996</v>
      </c>
      <c r="AO73" s="4">
        <v>3.9838410959999999</v>
      </c>
      <c r="AQ73" s="4">
        <f t="shared" si="8"/>
        <v>2013</v>
      </c>
      <c r="AR73" s="356">
        <v>41487</v>
      </c>
      <c r="AS73" s="4">
        <f t="shared" si="9"/>
        <v>10.179202605</v>
      </c>
      <c r="AT73" s="4">
        <v>10.258405209999999</v>
      </c>
      <c r="AU73" s="4">
        <v>10.1</v>
      </c>
      <c r="AV73" s="515">
        <f t="shared" si="1"/>
        <v>2020</v>
      </c>
      <c r="AW73" s="535">
        <v>43862</v>
      </c>
      <c r="AX73" s="515">
        <f t="shared" si="52"/>
        <v>3.0281000000000002</v>
      </c>
      <c r="AY73" s="596">
        <f>'[12]Forward Price Curve'!AE154</f>
        <v>3.0407000000000002</v>
      </c>
      <c r="AZ73" s="596">
        <f>'[12]Forward Price Curve'!AD154</f>
        <v>3.0154999999999998</v>
      </c>
      <c r="BA73" s="629">
        <f t="shared" si="3"/>
        <v>2023</v>
      </c>
      <c r="BB73" s="633">
        <v>44958</v>
      </c>
      <c r="BC73" s="629">
        <f t="shared" si="4"/>
        <v>2.9845999999999999</v>
      </c>
      <c r="BD73" s="634">
        <f>[13]Prices!AO70</f>
        <v>3.1884999999999999</v>
      </c>
      <c r="BE73" s="634">
        <f>[13]Prices!AP70</f>
        <v>2.7806999999999999</v>
      </c>
    </row>
    <row r="74" spans="20:57">
      <c r="T74" s="4">
        <f t="shared" si="14"/>
        <v>2010</v>
      </c>
      <c r="U74" s="434">
        <f t="shared" si="31"/>
        <v>40513</v>
      </c>
      <c r="V74" s="150">
        <v>78.3</v>
      </c>
      <c r="W74" s="150">
        <v>66.982500000000002</v>
      </c>
      <c r="X74" s="357">
        <f t="shared" si="25"/>
        <v>73.433474999999987</v>
      </c>
      <c r="Y74" s="343">
        <v>416</v>
      </c>
      <c r="Z74" s="343">
        <v>328</v>
      </c>
      <c r="AA74" s="343">
        <f t="shared" si="17"/>
        <v>0.55913978494623651</v>
      </c>
      <c r="AB74" s="343">
        <f t="shared" si="18"/>
        <v>0.44086021505376344</v>
      </c>
      <c r="AF74" s="4">
        <f t="shared" si="26"/>
        <v>2010</v>
      </c>
      <c r="AG74" s="432">
        <f t="shared" si="29"/>
        <v>40513</v>
      </c>
      <c r="AH74" s="149">
        <f t="shared" si="19"/>
        <v>8.4570323545405106</v>
      </c>
      <c r="AI74" s="150">
        <v>8.4570323545405106</v>
      </c>
      <c r="AK74" s="4">
        <f t="shared" si="6"/>
        <v>2009</v>
      </c>
      <c r="AL74" s="432">
        <v>40117</v>
      </c>
      <c r="AM74" s="4">
        <f t="shared" si="7"/>
        <v>4.1817176009999999</v>
      </c>
      <c r="AN74" s="4">
        <v>4.2408782159999996</v>
      </c>
      <c r="AO74" s="4">
        <v>4.1225569860000002</v>
      </c>
      <c r="AQ74" s="4">
        <f t="shared" si="8"/>
        <v>2013</v>
      </c>
      <c r="AR74" s="356">
        <v>41518</v>
      </c>
      <c r="AS74" s="4">
        <f t="shared" si="9"/>
        <v>10.199202605</v>
      </c>
      <c r="AT74" s="4">
        <v>10.278405210000001</v>
      </c>
      <c r="AU74" s="4">
        <v>10.119999999999999</v>
      </c>
      <c r="AV74" s="515">
        <f t="shared" si="1"/>
        <v>2020</v>
      </c>
      <c r="AW74" s="535">
        <v>43891</v>
      </c>
      <c r="AX74" s="515">
        <f t="shared" si="52"/>
        <v>2.9733499999999999</v>
      </c>
      <c r="AY74" s="596">
        <f>'[12]Forward Price Curve'!AE155</f>
        <v>2.9762</v>
      </c>
      <c r="AZ74" s="596">
        <f>'[12]Forward Price Curve'!AD155</f>
        <v>2.9704999999999999</v>
      </c>
      <c r="BA74" s="629">
        <f t="shared" si="3"/>
        <v>2023</v>
      </c>
      <c r="BB74" s="633">
        <v>44986</v>
      </c>
      <c r="BC74" s="629">
        <f t="shared" si="4"/>
        <v>2.8363</v>
      </c>
      <c r="BD74" s="634">
        <f>[13]Prices!AO71</f>
        <v>3.0773000000000001</v>
      </c>
      <c r="BE74" s="634">
        <f>[13]Prices!AP71</f>
        <v>2.5952999999999999</v>
      </c>
    </row>
    <row r="75" spans="20:57">
      <c r="T75" s="4">
        <f t="shared" si="14"/>
        <v>2011</v>
      </c>
      <c r="U75" s="434">
        <f t="shared" si="31"/>
        <v>40544</v>
      </c>
      <c r="V75" s="150">
        <v>74.900000000000006</v>
      </c>
      <c r="W75" s="150">
        <v>66.504999999999995</v>
      </c>
      <c r="X75" s="357">
        <f t="shared" si="25"/>
        <v>71.290149999999997</v>
      </c>
      <c r="Y75" s="343">
        <v>400</v>
      </c>
      <c r="Z75" s="343">
        <v>344</v>
      </c>
      <c r="AA75" s="343">
        <f t="shared" si="17"/>
        <v>0.5376344086021505</v>
      </c>
      <c r="AB75" s="343">
        <f t="shared" si="18"/>
        <v>0.46236559139784944</v>
      </c>
      <c r="AF75" s="4">
        <f t="shared" si="26"/>
        <v>2011</v>
      </c>
      <c r="AG75" s="432">
        <f t="shared" si="29"/>
        <v>40544</v>
      </c>
      <c r="AH75" s="149">
        <f t="shared" si="19"/>
        <v>8.9090443175638931</v>
      </c>
      <c r="AI75" s="150">
        <v>8.9090443175638931</v>
      </c>
      <c r="AK75" s="4">
        <f t="shared" si="6"/>
        <v>2009</v>
      </c>
      <c r="AL75" s="432">
        <v>40147</v>
      </c>
      <c r="AM75" s="4">
        <f t="shared" si="7"/>
        <v>4.26736571</v>
      </c>
      <c r="AN75" s="4">
        <v>4.3228585429999997</v>
      </c>
      <c r="AO75" s="4">
        <v>4.2118728770000002</v>
      </c>
      <c r="AQ75" s="4">
        <f t="shared" si="8"/>
        <v>2013</v>
      </c>
      <c r="AR75" s="356">
        <v>41548</v>
      </c>
      <c r="AS75" s="4">
        <f t="shared" si="9"/>
        <v>10.279202605</v>
      </c>
      <c r="AT75" s="4">
        <v>10.358405210000001</v>
      </c>
      <c r="AU75" s="4">
        <v>10.199999999999999</v>
      </c>
      <c r="AV75" s="515">
        <f t="shared" si="1"/>
        <v>2020</v>
      </c>
      <c r="AW75" s="535">
        <v>43922</v>
      </c>
      <c r="AX75" s="515">
        <f t="shared" si="52"/>
        <v>2.3262499999999999</v>
      </c>
      <c r="AY75" s="596">
        <f>'[12]Forward Price Curve'!AE156</f>
        <v>2.5070000000000001</v>
      </c>
      <c r="AZ75" s="596">
        <f>'[12]Forward Price Curve'!AD156</f>
        <v>2.1455000000000002</v>
      </c>
      <c r="BA75" s="629">
        <f t="shared" si="3"/>
        <v>2023</v>
      </c>
      <c r="BB75" s="633">
        <v>45017</v>
      </c>
      <c r="BC75" s="629">
        <f t="shared" si="4"/>
        <v>2.7435499999999999</v>
      </c>
      <c r="BD75" s="634">
        <f>[13]Prices!AO72</f>
        <v>2.9660000000000002</v>
      </c>
      <c r="BE75" s="634">
        <f>[13]Prices!AP72</f>
        <v>2.5211000000000001</v>
      </c>
    </row>
    <row r="76" spans="20:57">
      <c r="T76" s="4">
        <f t="shared" si="14"/>
        <v>2011</v>
      </c>
      <c r="U76" s="434">
        <f t="shared" si="31"/>
        <v>40575</v>
      </c>
      <c r="V76" s="150">
        <v>70.099999999999994</v>
      </c>
      <c r="W76" s="150">
        <v>63.645000000000003</v>
      </c>
      <c r="X76" s="357">
        <f t="shared" si="25"/>
        <v>67.324349999999995</v>
      </c>
      <c r="Y76" s="343">
        <v>384</v>
      </c>
      <c r="Z76" s="343">
        <v>288</v>
      </c>
      <c r="AA76" s="343">
        <f t="shared" si="17"/>
        <v>0.5714285714285714</v>
      </c>
      <c r="AB76" s="343">
        <f t="shared" si="18"/>
        <v>0.42857142857142855</v>
      </c>
      <c r="AF76" s="4">
        <f t="shared" si="26"/>
        <v>2011</v>
      </c>
      <c r="AG76" s="432">
        <f t="shared" si="29"/>
        <v>40575</v>
      </c>
      <c r="AH76" s="149">
        <f t="shared" si="19"/>
        <v>8.9090443175638931</v>
      </c>
      <c r="AI76" s="150">
        <v>8.9090443175638931</v>
      </c>
      <c r="AK76" s="4">
        <f t="shared" si="6"/>
        <v>2009</v>
      </c>
      <c r="AL76" s="432">
        <v>40178</v>
      </c>
      <c r="AM76" s="4">
        <f t="shared" si="7"/>
        <v>4.4666852339999998</v>
      </c>
      <c r="AN76" s="4">
        <v>4.5022203310000002</v>
      </c>
      <c r="AO76" s="4">
        <v>4.4311501370000004</v>
      </c>
      <c r="AQ76" s="4">
        <f t="shared" si="8"/>
        <v>2013</v>
      </c>
      <c r="AR76" s="356">
        <v>41579</v>
      </c>
      <c r="AS76" s="4">
        <f t="shared" si="9"/>
        <v>11.094202605</v>
      </c>
      <c r="AT76" s="4">
        <v>10.67340521</v>
      </c>
      <c r="AU76" s="4">
        <v>11.515000000000001</v>
      </c>
      <c r="AV76" s="515">
        <f t="shared" ref="AV76:AV90" si="53">YEAR(AW76)</f>
        <v>2020</v>
      </c>
      <c r="AW76" s="535">
        <v>43952</v>
      </c>
      <c r="AX76" s="515">
        <f t="shared" si="52"/>
        <v>2.2905499999999996</v>
      </c>
      <c r="AY76" s="596">
        <f>'[12]Forward Price Curve'!AE157</f>
        <v>2.4950999999999999</v>
      </c>
      <c r="AZ76" s="596">
        <f>'[12]Forward Price Curve'!AD157</f>
        <v>2.0859999999999999</v>
      </c>
      <c r="BA76" s="629">
        <f t="shared" ref="BA76:BA90" si="54">YEAR(BB76)</f>
        <v>2023</v>
      </c>
      <c r="BB76" s="633">
        <v>45047</v>
      </c>
      <c r="BC76" s="629">
        <f t="shared" ref="BC76:BC139" si="55">AVERAGE(BD76:BE76)</f>
        <v>2.7497499999999997</v>
      </c>
      <c r="BD76" s="634">
        <f>[13]Prices!AO73</f>
        <v>2.9537</v>
      </c>
      <c r="BE76" s="634">
        <f>[13]Prices!AP73</f>
        <v>2.5457999999999998</v>
      </c>
    </row>
    <row r="77" spans="20:57">
      <c r="T77" s="4">
        <f t="shared" si="14"/>
        <v>2011</v>
      </c>
      <c r="U77" s="434">
        <f t="shared" si="31"/>
        <v>40603</v>
      </c>
      <c r="V77" s="150">
        <v>61.3</v>
      </c>
      <c r="W77" s="150">
        <v>54.35</v>
      </c>
      <c r="X77" s="357">
        <f t="shared" si="25"/>
        <v>58.311499999999995</v>
      </c>
      <c r="Y77" s="343">
        <v>432</v>
      </c>
      <c r="Z77" s="343">
        <v>312</v>
      </c>
      <c r="AA77" s="343">
        <f t="shared" si="17"/>
        <v>0.58064516129032262</v>
      </c>
      <c r="AB77" s="343">
        <f t="shared" si="18"/>
        <v>0.41935483870967744</v>
      </c>
      <c r="AF77" s="4">
        <f t="shared" si="26"/>
        <v>2011</v>
      </c>
      <c r="AG77" s="432">
        <f t="shared" si="29"/>
        <v>40603</v>
      </c>
      <c r="AH77" s="149">
        <f t="shared" si="19"/>
        <v>8.6586704730831965</v>
      </c>
      <c r="AI77" s="150">
        <v>8.6586704730831965</v>
      </c>
      <c r="AK77" s="4">
        <f t="shared" ref="AK77:AK140" si="56">YEAR(AL77)</f>
        <v>2010</v>
      </c>
      <c r="AL77" s="432">
        <v>40209</v>
      </c>
      <c r="AM77" s="4">
        <f t="shared" ref="AM77:AM140" si="57">AVERAGE(AN77:AO77)</f>
        <v>4.8608995054999999</v>
      </c>
      <c r="AN77" s="4">
        <v>4.8311829839999998</v>
      </c>
      <c r="AO77" s="4">
        <v>4.8906160270000001</v>
      </c>
      <c r="AQ77" s="4">
        <f t="shared" ref="AQ77:AQ140" si="58">YEAR(AR77)</f>
        <v>2013</v>
      </c>
      <c r="AR77" s="356">
        <v>41609</v>
      </c>
      <c r="AS77" s="4">
        <f t="shared" ref="AS77:AS140" si="59">AVERAGE(AT77:AU77)</f>
        <v>11.514202605000001</v>
      </c>
      <c r="AT77" s="4">
        <v>11.09340521</v>
      </c>
      <c r="AU77" s="4">
        <v>11.935</v>
      </c>
      <c r="AV77" s="515">
        <f t="shared" si="53"/>
        <v>2020</v>
      </c>
      <c r="AW77" s="535">
        <v>43983</v>
      </c>
      <c r="AX77" s="515">
        <f t="shared" si="52"/>
        <v>2.3186999999999998</v>
      </c>
      <c r="AY77" s="596">
        <f>'[12]Forward Price Curve'!AE158</f>
        <v>2.5318999999999998</v>
      </c>
      <c r="AZ77" s="596">
        <f>'[12]Forward Price Curve'!AD158</f>
        <v>2.1055000000000001</v>
      </c>
      <c r="BA77" s="629">
        <f t="shared" si="54"/>
        <v>2023</v>
      </c>
      <c r="BB77" s="633">
        <v>45078</v>
      </c>
      <c r="BC77" s="629">
        <f t="shared" si="55"/>
        <v>2.7744499999999999</v>
      </c>
      <c r="BD77" s="634">
        <f>[13]Prices!AO74</f>
        <v>2.9660000000000002</v>
      </c>
      <c r="BE77" s="634">
        <f>[13]Prices!AP74</f>
        <v>2.5829</v>
      </c>
    </row>
    <row r="78" spans="20:57">
      <c r="T78" s="4">
        <f t="shared" si="14"/>
        <v>2011</v>
      </c>
      <c r="U78" s="434">
        <f t="shared" si="31"/>
        <v>40634</v>
      </c>
      <c r="V78" s="150">
        <v>43.79</v>
      </c>
      <c r="W78" s="150">
        <v>31.7</v>
      </c>
      <c r="X78" s="357">
        <f t="shared" si="25"/>
        <v>38.591299999999997</v>
      </c>
      <c r="Y78" s="343">
        <v>416</v>
      </c>
      <c r="Z78" s="343">
        <v>304</v>
      </c>
      <c r="AA78" s="343">
        <f t="shared" si="17"/>
        <v>0.57777777777777772</v>
      </c>
      <c r="AB78" s="343">
        <f t="shared" si="18"/>
        <v>0.42222222222222222</v>
      </c>
      <c r="AF78" s="4">
        <f t="shared" si="26"/>
        <v>2011</v>
      </c>
      <c r="AG78" s="432">
        <f t="shared" si="29"/>
        <v>40634</v>
      </c>
      <c r="AH78" s="149">
        <f t="shared" si="19"/>
        <v>6.1274034801522568</v>
      </c>
      <c r="AI78" s="150">
        <v>6.1274034801522568</v>
      </c>
      <c r="AK78" s="4">
        <f t="shared" si="56"/>
        <v>2010</v>
      </c>
      <c r="AL78" s="432">
        <v>40237</v>
      </c>
      <c r="AM78" s="4">
        <f t="shared" si="57"/>
        <v>4.5782627414999997</v>
      </c>
      <c r="AN78" s="4">
        <v>4.5747435650000003</v>
      </c>
      <c r="AO78" s="4">
        <v>4.5817819179999999</v>
      </c>
      <c r="AQ78" s="4">
        <f t="shared" si="58"/>
        <v>2014</v>
      </c>
      <c r="AR78" s="356">
        <v>41640</v>
      </c>
      <c r="AS78" s="4">
        <f t="shared" si="59"/>
        <v>11.760452605000001</v>
      </c>
      <c r="AT78" s="4">
        <v>11.340905210000001</v>
      </c>
      <c r="AU78" s="4">
        <v>12.18</v>
      </c>
      <c r="AV78" s="515">
        <f t="shared" si="53"/>
        <v>2020</v>
      </c>
      <c r="AW78" s="535">
        <v>44013</v>
      </c>
      <c r="AX78" s="515">
        <f t="shared" si="52"/>
        <v>2.4540999999999999</v>
      </c>
      <c r="AY78" s="596">
        <f>'[12]Forward Price Curve'!AE159</f>
        <v>2.6181999999999999</v>
      </c>
      <c r="AZ78" s="596">
        <f>'[12]Forward Price Curve'!AD159</f>
        <v>2.29</v>
      </c>
      <c r="BA78" s="629">
        <f t="shared" si="54"/>
        <v>2023</v>
      </c>
      <c r="BB78" s="633">
        <v>45108</v>
      </c>
      <c r="BC78" s="629">
        <f t="shared" si="55"/>
        <v>2.8609499999999999</v>
      </c>
      <c r="BD78" s="634">
        <f>[13]Prices!AO75</f>
        <v>3.0278</v>
      </c>
      <c r="BE78" s="634">
        <f>[13]Prices!AP75</f>
        <v>2.6941000000000002</v>
      </c>
    </row>
    <row r="79" spans="20:57">
      <c r="T79" s="4">
        <f t="shared" si="14"/>
        <v>2011</v>
      </c>
      <c r="U79" s="434">
        <f t="shared" si="31"/>
        <v>40664</v>
      </c>
      <c r="V79" s="150">
        <v>35.06</v>
      </c>
      <c r="W79" s="150">
        <v>21.97</v>
      </c>
      <c r="X79" s="357">
        <f t="shared" si="25"/>
        <v>29.4313</v>
      </c>
      <c r="Y79" s="343">
        <v>400</v>
      </c>
      <c r="Z79" s="343">
        <v>344</v>
      </c>
      <c r="AA79" s="343">
        <f t="shared" si="17"/>
        <v>0.5376344086021505</v>
      </c>
      <c r="AB79" s="343">
        <f t="shared" si="18"/>
        <v>0.46236559139784944</v>
      </c>
      <c r="AF79" s="4">
        <f t="shared" si="26"/>
        <v>2011</v>
      </c>
      <c r="AG79" s="432">
        <f t="shared" si="29"/>
        <v>40664</v>
      </c>
      <c r="AH79" s="149">
        <f t="shared" si="19"/>
        <v>5.9234883088635133</v>
      </c>
      <c r="AI79" s="150">
        <v>5.9234883088635133</v>
      </c>
      <c r="AK79" s="4">
        <f t="shared" si="56"/>
        <v>2010</v>
      </c>
      <c r="AL79" s="432">
        <v>40268</v>
      </c>
      <c r="AM79" s="4">
        <f t="shared" si="57"/>
        <v>4.3303048989999997</v>
      </c>
      <c r="AN79" s="4">
        <v>4.3554506200000001</v>
      </c>
      <c r="AO79" s="4">
        <v>4.3051591780000003</v>
      </c>
      <c r="AQ79" s="4">
        <f t="shared" si="58"/>
        <v>2014</v>
      </c>
      <c r="AR79" s="356">
        <v>41671</v>
      </c>
      <c r="AS79" s="4">
        <f t="shared" si="59"/>
        <v>11.755452605</v>
      </c>
      <c r="AT79" s="4">
        <v>11.33590521</v>
      </c>
      <c r="AU79" s="4">
        <v>12.175000000000001</v>
      </c>
      <c r="AV79" s="515">
        <f t="shared" si="53"/>
        <v>2020</v>
      </c>
      <c r="AW79" s="535">
        <v>44044</v>
      </c>
      <c r="AX79" s="515">
        <f t="shared" si="52"/>
        <v>2.4794499999999999</v>
      </c>
      <c r="AY79" s="596">
        <f>'[12]Forward Price Curve'!AE160</f>
        <v>2.6659000000000002</v>
      </c>
      <c r="AZ79" s="596">
        <f>'[12]Forward Price Curve'!AD160</f>
        <v>2.2930000000000001</v>
      </c>
      <c r="BA79" s="629">
        <f t="shared" si="54"/>
        <v>2023</v>
      </c>
      <c r="BB79" s="633">
        <v>45139</v>
      </c>
      <c r="BC79" s="629">
        <f t="shared" si="55"/>
        <v>2.8981000000000003</v>
      </c>
      <c r="BD79" s="634">
        <f>[13]Prices!AO76</f>
        <v>3.0773000000000001</v>
      </c>
      <c r="BE79" s="634">
        <f>[13]Prices!AP76</f>
        <v>2.7189000000000001</v>
      </c>
    </row>
    <row r="80" spans="20:57">
      <c r="T80" s="4">
        <f t="shared" ref="T80:T143" si="60">+YEAR(U80)</f>
        <v>2011</v>
      </c>
      <c r="U80" s="434">
        <f t="shared" si="31"/>
        <v>40695</v>
      </c>
      <c r="V80" s="150">
        <v>32.15</v>
      </c>
      <c r="W80" s="150">
        <v>20.58</v>
      </c>
      <c r="X80" s="357">
        <f t="shared" si="25"/>
        <v>27.174899999999997</v>
      </c>
      <c r="Y80" s="343">
        <v>416</v>
      </c>
      <c r="Z80" s="343">
        <v>304</v>
      </c>
      <c r="AA80" s="343">
        <f t="shared" ref="AA80:AA143" si="61">Y80/(Y80+Z80)</f>
        <v>0.57777777777777772</v>
      </c>
      <c r="AB80" s="343">
        <f t="shared" ref="AB80:AB143" si="62">Z80/(Y80+Z80)</f>
        <v>0.42222222222222222</v>
      </c>
      <c r="AF80" s="4">
        <f t="shared" si="26"/>
        <v>2011</v>
      </c>
      <c r="AG80" s="432">
        <f t="shared" si="29"/>
        <v>40695</v>
      </c>
      <c r="AH80" s="149">
        <f t="shared" ref="AH80:AH143" si="63">AI80</f>
        <v>6.0203480152256654</v>
      </c>
      <c r="AI80" s="150">
        <v>6.0203480152256654</v>
      </c>
      <c r="AK80" s="4">
        <f t="shared" si="56"/>
        <v>2010</v>
      </c>
      <c r="AL80" s="432">
        <v>40298</v>
      </c>
      <c r="AM80" s="4">
        <f t="shared" si="57"/>
        <v>4.0460201334999999</v>
      </c>
      <c r="AN80" s="4">
        <v>4.1027151990000004</v>
      </c>
      <c r="AO80" s="4">
        <v>3.9893250679999999</v>
      </c>
      <c r="AQ80" s="4">
        <f t="shared" si="58"/>
        <v>2014</v>
      </c>
      <c r="AR80" s="356">
        <v>41699</v>
      </c>
      <c r="AS80" s="4">
        <f t="shared" si="59"/>
        <v>11.530452605000001</v>
      </c>
      <c r="AT80" s="4">
        <v>11.11090521</v>
      </c>
      <c r="AU80" s="4">
        <v>11.95</v>
      </c>
      <c r="AV80" s="515">
        <f t="shared" si="53"/>
        <v>2020</v>
      </c>
      <c r="AW80" s="535">
        <v>44075</v>
      </c>
      <c r="AX80" s="515">
        <f t="shared" si="52"/>
        <v>2.5268999999999999</v>
      </c>
      <c r="AY80" s="596">
        <f>'[12]Forward Price Curve'!AE161</f>
        <v>2.6732999999999998</v>
      </c>
      <c r="AZ80" s="596">
        <f>'[12]Forward Price Curve'!AD161</f>
        <v>2.3805000000000001</v>
      </c>
      <c r="BA80" s="629">
        <f t="shared" si="54"/>
        <v>2023</v>
      </c>
      <c r="BB80" s="633">
        <v>45170</v>
      </c>
      <c r="BC80" s="629">
        <f t="shared" si="55"/>
        <v>2.89805</v>
      </c>
      <c r="BD80" s="634">
        <f>[13]Prices!AO77</f>
        <v>3.1143000000000001</v>
      </c>
      <c r="BE80" s="634">
        <f>[13]Prices!AP77</f>
        <v>2.6818</v>
      </c>
    </row>
    <row r="81" spans="20:57">
      <c r="T81" s="4">
        <f t="shared" si="60"/>
        <v>2011</v>
      </c>
      <c r="U81" s="434">
        <f t="shared" si="31"/>
        <v>40725</v>
      </c>
      <c r="V81" s="150">
        <v>59.6</v>
      </c>
      <c r="W81" s="150">
        <v>45.8</v>
      </c>
      <c r="X81" s="357">
        <f t="shared" si="25"/>
        <v>53.665999999999997</v>
      </c>
      <c r="Y81" s="343">
        <v>400</v>
      </c>
      <c r="Z81" s="343">
        <v>344</v>
      </c>
      <c r="AA81" s="343">
        <f t="shared" si="61"/>
        <v>0.5376344086021505</v>
      </c>
      <c r="AB81" s="343">
        <f t="shared" si="62"/>
        <v>0.46236559139784944</v>
      </c>
      <c r="AF81" s="4">
        <f t="shared" si="26"/>
        <v>2011</v>
      </c>
      <c r="AG81" s="432">
        <f t="shared" si="29"/>
        <v>40725</v>
      </c>
      <c r="AH81" s="149">
        <f t="shared" si="63"/>
        <v>6.1600299075584557</v>
      </c>
      <c r="AI81" s="150">
        <v>6.1600299075584557</v>
      </c>
      <c r="AK81" s="4">
        <f t="shared" si="56"/>
        <v>2010</v>
      </c>
      <c r="AL81" s="432">
        <v>40329</v>
      </c>
      <c r="AM81" s="4">
        <f t="shared" si="57"/>
        <v>4.0507237334999999</v>
      </c>
      <c r="AN81" s="4">
        <v>4.1069565079999997</v>
      </c>
      <c r="AO81" s="4">
        <v>3.9944909590000002</v>
      </c>
      <c r="AQ81" s="4">
        <f t="shared" si="58"/>
        <v>2014</v>
      </c>
      <c r="AR81" s="356">
        <v>41730</v>
      </c>
      <c r="AS81" s="4">
        <f t="shared" si="59"/>
        <v>10.259202604999999</v>
      </c>
      <c r="AT81" s="4">
        <v>10.338405209999999</v>
      </c>
      <c r="AU81" s="4">
        <v>10.18</v>
      </c>
      <c r="AV81" s="515">
        <f t="shared" si="53"/>
        <v>2020</v>
      </c>
      <c r="AW81" s="535">
        <v>44105</v>
      </c>
      <c r="AX81" s="515">
        <f t="shared" si="52"/>
        <v>2.5445500000000001</v>
      </c>
      <c r="AY81" s="596">
        <f>'[12]Forward Price Curve'!AE162</f>
        <v>2.7021000000000002</v>
      </c>
      <c r="AZ81" s="596">
        <f>'[12]Forward Price Curve'!AD162</f>
        <v>2.387</v>
      </c>
      <c r="BA81" s="629">
        <f t="shared" si="54"/>
        <v>2023</v>
      </c>
      <c r="BB81" s="633">
        <v>45200</v>
      </c>
      <c r="BC81" s="629">
        <f t="shared" si="55"/>
        <v>2.8918999999999997</v>
      </c>
      <c r="BD81" s="634">
        <f>[13]Prices!AO78</f>
        <v>3.1391</v>
      </c>
      <c r="BE81" s="634">
        <f>[13]Prices!AP78</f>
        <v>2.6446999999999998</v>
      </c>
    </row>
    <row r="82" spans="20:57">
      <c r="T82" s="4">
        <f t="shared" si="60"/>
        <v>2011</v>
      </c>
      <c r="U82" s="434">
        <f t="shared" si="31"/>
        <v>40756</v>
      </c>
      <c r="V82" s="150">
        <v>72.239999999999995</v>
      </c>
      <c r="W82" s="150">
        <v>55.72</v>
      </c>
      <c r="X82" s="357">
        <f t="shared" si="25"/>
        <v>65.136399999999995</v>
      </c>
      <c r="Y82" s="343">
        <v>432</v>
      </c>
      <c r="Z82" s="343">
        <v>312</v>
      </c>
      <c r="AA82" s="343">
        <f t="shared" si="61"/>
        <v>0.58064516129032262</v>
      </c>
      <c r="AB82" s="343">
        <f t="shared" si="62"/>
        <v>0.41935483870967744</v>
      </c>
      <c r="AF82" s="4">
        <f t="shared" si="26"/>
        <v>2011</v>
      </c>
      <c r="AG82" s="432">
        <f t="shared" si="29"/>
        <v>40756</v>
      </c>
      <c r="AH82" s="149">
        <f t="shared" si="63"/>
        <v>6.2619874932028274</v>
      </c>
      <c r="AI82" s="150">
        <v>6.2619874932028274</v>
      </c>
      <c r="AK82" s="4">
        <f t="shared" si="56"/>
        <v>2010</v>
      </c>
      <c r="AL82" s="432">
        <v>40359</v>
      </c>
      <c r="AM82" s="4">
        <f t="shared" si="57"/>
        <v>4.1263273334999999</v>
      </c>
      <c r="AN82" s="4">
        <v>4.1820978179999999</v>
      </c>
      <c r="AO82" s="4">
        <v>4.0705568489999999</v>
      </c>
      <c r="AQ82" s="4">
        <f t="shared" si="58"/>
        <v>2014</v>
      </c>
      <c r="AR82" s="356">
        <v>41760</v>
      </c>
      <c r="AS82" s="4">
        <f t="shared" si="59"/>
        <v>10.239202604999999</v>
      </c>
      <c r="AT82" s="4">
        <v>10.31840521</v>
      </c>
      <c r="AU82" s="4">
        <v>10.16</v>
      </c>
      <c r="AV82" s="515">
        <f t="shared" si="53"/>
        <v>2020</v>
      </c>
      <c r="AW82" s="535">
        <v>44136</v>
      </c>
      <c r="AX82" s="515">
        <f t="shared" si="52"/>
        <v>2.9608499999999998</v>
      </c>
      <c r="AY82" s="596">
        <f>'[12]Forward Price Curve'!AE163</f>
        <v>2.9001999999999999</v>
      </c>
      <c r="AZ82" s="596">
        <f>'[12]Forward Price Curve'!AD163</f>
        <v>3.0215000000000001</v>
      </c>
      <c r="BA82" s="629">
        <f t="shared" si="54"/>
        <v>2023</v>
      </c>
      <c r="BB82" s="633">
        <v>45231</v>
      </c>
      <c r="BC82" s="629">
        <f t="shared" si="55"/>
        <v>3.1761499999999998</v>
      </c>
      <c r="BD82" s="634">
        <f>[13]Prices!AO79</f>
        <v>3.4357000000000002</v>
      </c>
      <c r="BE82" s="634">
        <f>[13]Prices!AP79</f>
        <v>2.9165999999999999</v>
      </c>
    </row>
    <row r="83" spans="20:57">
      <c r="T83" s="4">
        <f t="shared" si="60"/>
        <v>2011</v>
      </c>
      <c r="U83" s="434">
        <f t="shared" si="31"/>
        <v>40787</v>
      </c>
      <c r="V83" s="150">
        <v>70.66</v>
      </c>
      <c r="W83" s="150">
        <v>54.48</v>
      </c>
      <c r="X83" s="357">
        <f t="shared" si="25"/>
        <v>63.70259999999999</v>
      </c>
      <c r="Y83" s="343">
        <v>400</v>
      </c>
      <c r="Z83" s="343">
        <v>320</v>
      </c>
      <c r="AA83" s="343">
        <f t="shared" si="61"/>
        <v>0.55555555555555558</v>
      </c>
      <c r="AB83" s="343">
        <f t="shared" si="62"/>
        <v>0.44444444444444442</v>
      </c>
      <c r="AF83" s="4">
        <f t="shared" si="26"/>
        <v>2011</v>
      </c>
      <c r="AG83" s="432">
        <f t="shared" si="29"/>
        <v>40787</v>
      </c>
      <c r="AH83" s="149">
        <f t="shared" si="63"/>
        <v>6.3435535617183252</v>
      </c>
      <c r="AI83" s="150">
        <v>6.3435535617183252</v>
      </c>
      <c r="AK83" s="4">
        <f t="shared" si="56"/>
        <v>2010</v>
      </c>
      <c r="AL83" s="432">
        <v>40390</v>
      </c>
      <c r="AM83" s="4">
        <f t="shared" si="57"/>
        <v>4.1919664005000001</v>
      </c>
      <c r="AN83" s="4">
        <v>4.2474286909999996</v>
      </c>
      <c r="AO83" s="4">
        <v>4.1365041099999997</v>
      </c>
      <c r="AQ83" s="4">
        <f t="shared" si="58"/>
        <v>2014</v>
      </c>
      <c r="AR83" s="356">
        <v>41791</v>
      </c>
      <c r="AS83" s="4">
        <f t="shared" si="59"/>
        <v>10.309202604999999</v>
      </c>
      <c r="AT83" s="4">
        <v>10.38840521</v>
      </c>
      <c r="AU83" s="4">
        <v>10.23</v>
      </c>
      <c r="AV83" s="515">
        <f t="shared" si="53"/>
        <v>2020</v>
      </c>
      <c r="AW83" s="535">
        <v>44166</v>
      </c>
      <c r="AX83" s="515">
        <f t="shared" si="52"/>
        <v>3.2607499999999998</v>
      </c>
      <c r="AY83" s="596">
        <f>'[12]Forward Price Curve'!AE164</f>
        <v>3.0695000000000001</v>
      </c>
      <c r="AZ83" s="596">
        <f>'[12]Forward Price Curve'!AD164</f>
        <v>3.452</v>
      </c>
      <c r="BA83" s="629">
        <f t="shared" si="54"/>
        <v>2023</v>
      </c>
      <c r="BB83" s="633">
        <v>45261</v>
      </c>
      <c r="BC83" s="629">
        <f t="shared" si="55"/>
        <v>3.4542000000000002</v>
      </c>
      <c r="BD83" s="634">
        <f>[13]Prices!AO80</f>
        <v>3.6086999999999998</v>
      </c>
      <c r="BE83" s="634">
        <f>[13]Prices!AP80</f>
        <v>3.2997000000000001</v>
      </c>
    </row>
    <row r="84" spans="20:57">
      <c r="T84" s="4">
        <f t="shared" si="60"/>
        <v>2011</v>
      </c>
      <c r="U84" s="434">
        <f t="shared" si="31"/>
        <v>40817</v>
      </c>
      <c r="V84" s="150">
        <v>46.414999999999999</v>
      </c>
      <c r="W84" s="150">
        <v>41.252499999999998</v>
      </c>
      <c r="X84" s="357">
        <f t="shared" si="25"/>
        <v>44.19512499999999</v>
      </c>
      <c r="Y84" s="343">
        <v>416</v>
      </c>
      <c r="Z84" s="343">
        <v>328</v>
      </c>
      <c r="AA84" s="343">
        <f t="shared" si="61"/>
        <v>0.55913978494623651</v>
      </c>
      <c r="AB84" s="343">
        <f t="shared" si="62"/>
        <v>0.44086021505376344</v>
      </c>
      <c r="AF84" s="4">
        <f t="shared" si="26"/>
        <v>2011</v>
      </c>
      <c r="AG84" s="432">
        <f t="shared" si="29"/>
        <v>40817</v>
      </c>
      <c r="AH84" s="149">
        <f t="shared" si="63"/>
        <v>6.4699809679173459</v>
      </c>
      <c r="AI84" s="150">
        <v>6.4699809679173459</v>
      </c>
      <c r="AK84" s="4">
        <f t="shared" si="56"/>
        <v>2010</v>
      </c>
      <c r="AL84" s="432">
        <v>40421</v>
      </c>
      <c r="AM84" s="4">
        <f t="shared" si="57"/>
        <v>4.2050000000000001</v>
      </c>
      <c r="AN84" s="4">
        <v>4.26</v>
      </c>
      <c r="AO84" s="4">
        <v>4.1500000000000004</v>
      </c>
      <c r="AQ84" s="4">
        <f t="shared" si="58"/>
        <v>2014</v>
      </c>
      <c r="AR84" s="356">
        <v>41821</v>
      </c>
      <c r="AS84" s="4">
        <f t="shared" si="59"/>
        <v>10.389202605000001</v>
      </c>
      <c r="AT84" s="4">
        <v>10.46840521</v>
      </c>
      <c r="AU84" s="4">
        <v>10.31</v>
      </c>
      <c r="AV84" s="515">
        <f t="shared" si="53"/>
        <v>2021</v>
      </c>
      <c r="AW84" s="535">
        <v>44197</v>
      </c>
      <c r="AX84" s="515">
        <f t="shared" si="52"/>
        <v>3.28735</v>
      </c>
      <c r="AY84" s="596">
        <f>'[12]Forward Price Curve'!AE165</f>
        <v>3.1857000000000002</v>
      </c>
      <c r="AZ84" s="596">
        <f>'[12]Forward Price Curve'!AD165</f>
        <v>3.3889999999999998</v>
      </c>
      <c r="BA84" s="629">
        <f t="shared" si="54"/>
        <v>2024</v>
      </c>
      <c r="BB84" s="633">
        <v>45292</v>
      </c>
      <c r="BC84" s="629">
        <f t="shared" si="55"/>
        <v>3.4733499999999999</v>
      </c>
      <c r="BD84" s="634">
        <f>[13]Prices!AO81</f>
        <v>3.6375000000000002</v>
      </c>
      <c r="BE84" s="634">
        <f>[13]Prices!AP81</f>
        <v>3.3092000000000001</v>
      </c>
    </row>
    <row r="85" spans="20:57">
      <c r="T85" s="4">
        <f t="shared" si="60"/>
        <v>2011</v>
      </c>
      <c r="U85" s="434">
        <f t="shared" si="31"/>
        <v>40848</v>
      </c>
      <c r="V85" s="150">
        <v>59.284999999999997</v>
      </c>
      <c r="W85" s="150">
        <v>50.515000000000001</v>
      </c>
      <c r="X85" s="357">
        <f t="shared" si="25"/>
        <v>55.513899999999992</v>
      </c>
      <c r="Y85" s="343">
        <v>400</v>
      </c>
      <c r="Z85" s="343">
        <v>320</v>
      </c>
      <c r="AA85" s="343">
        <f t="shared" si="61"/>
        <v>0.55555555555555558</v>
      </c>
      <c r="AB85" s="343">
        <f t="shared" si="62"/>
        <v>0.44444444444444442</v>
      </c>
      <c r="AF85" s="4">
        <f t="shared" si="26"/>
        <v>2011</v>
      </c>
      <c r="AG85" s="432">
        <f t="shared" si="29"/>
        <v>40848</v>
      </c>
      <c r="AH85" s="149">
        <f t="shared" si="63"/>
        <v>7.2567196846112019</v>
      </c>
      <c r="AI85" s="150">
        <v>7.2567196846112019</v>
      </c>
      <c r="AK85" s="4">
        <f t="shared" si="56"/>
        <v>2010</v>
      </c>
      <c r="AL85" s="432">
        <v>40451</v>
      </c>
      <c r="AM85" s="4">
        <f t="shared" si="57"/>
        <v>4.2050000000000001</v>
      </c>
      <c r="AN85" s="4">
        <v>4.26</v>
      </c>
      <c r="AO85" s="4">
        <v>4.1500000000000004</v>
      </c>
      <c r="AQ85" s="4">
        <f t="shared" si="58"/>
        <v>2014</v>
      </c>
      <c r="AR85" s="356">
        <v>41852</v>
      </c>
      <c r="AS85" s="4">
        <f t="shared" si="59"/>
        <v>9.18658164</v>
      </c>
      <c r="AT85" s="4">
        <v>9.2760078400000001</v>
      </c>
      <c r="AU85" s="4">
        <v>9.0971554399999999</v>
      </c>
      <c r="AV85" s="515">
        <f t="shared" si="53"/>
        <v>2021</v>
      </c>
      <c r="AW85" s="535">
        <v>44228</v>
      </c>
      <c r="AX85" s="515">
        <f t="shared" si="52"/>
        <v>3.1587000000000001</v>
      </c>
      <c r="AY85" s="596">
        <f>'[12]Forward Price Curve'!AE166</f>
        <v>3.1534</v>
      </c>
      <c r="AZ85" s="596">
        <f>'[12]Forward Price Curve'!AD166</f>
        <v>3.1640000000000001</v>
      </c>
      <c r="BA85" s="629">
        <f t="shared" si="54"/>
        <v>2024</v>
      </c>
      <c r="BB85" s="633">
        <v>45323</v>
      </c>
      <c r="BC85" s="629">
        <f t="shared" si="55"/>
        <v>3.4291</v>
      </c>
      <c r="BD85" s="634">
        <f>[13]Prices!AO82</f>
        <v>3.6375000000000002</v>
      </c>
      <c r="BE85" s="634">
        <f>[13]Prices!AP82</f>
        <v>3.2206999999999999</v>
      </c>
    </row>
    <row r="86" spans="20:57">
      <c r="T86" s="4">
        <f t="shared" si="60"/>
        <v>2011</v>
      </c>
      <c r="U86" s="434">
        <f t="shared" si="31"/>
        <v>40878</v>
      </c>
      <c r="V86" s="150">
        <v>74.3</v>
      </c>
      <c r="W86" s="150">
        <v>63.482500000000002</v>
      </c>
      <c r="X86" s="357">
        <f t="shared" si="25"/>
        <v>69.648474999999991</v>
      </c>
      <c r="Y86" s="343">
        <v>416</v>
      </c>
      <c r="Z86" s="343">
        <v>328</v>
      </c>
      <c r="AA86" s="343">
        <f t="shared" si="61"/>
        <v>0.55913978494623651</v>
      </c>
      <c r="AB86" s="343">
        <f t="shared" si="62"/>
        <v>0.44086021505376344</v>
      </c>
      <c r="AF86" s="4">
        <f t="shared" si="26"/>
        <v>2011</v>
      </c>
      <c r="AG86" s="432">
        <f t="shared" si="29"/>
        <v>40878</v>
      </c>
      <c r="AH86" s="149">
        <f t="shared" si="63"/>
        <v>8.0390062533985862</v>
      </c>
      <c r="AI86" s="150">
        <v>8.0390062533985862</v>
      </c>
      <c r="AK86" s="4">
        <f t="shared" si="56"/>
        <v>2010</v>
      </c>
      <c r="AL86" s="432">
        <v>40482</v>
      </c>
      <c r="AM86" s="4">
        <f t="shared" si="57"/>
        <v>4.3599999999999994</v>
      </c>
      <c r="AN86" s="4">
        <v>4.38</v>
      </c>
      <c r="AO86" s="4">
        <v>4.34</v>
      </c>
      <c r="AQ86" s="4">
        <f t="shared" si="58"/>
        <v>2014</v>
      </c>
      <c r="AR86" s="356">
        <v>41883</v>
      </c>
      <c r="AS86" s="4">
        <f t="shared" si="59"/>
        <v>9.1965816399999998</v>
      </c>
      <c r="AT86" s="4">
        <v>9.2860078399999999</v>
      </c>
      <c r="AU86" s="4">
        <v>9.1071554399999997</v>
      </c>
      <c r="AV86" s="515">
        <f t="shared" si="53"/>
        <v>2021</v>
      </c>
      <c r="AW86" s="535">
        <v>44256</v>
      </c>
      <c r="AX86" s="515">
        <f t="shared" si="52"/>
        <v>3.11015</v>
      </c>
      <c r="AY86" s="596">
        <f>'[12]Forward Price Curve'!AE167</f>
        <v>3.0888</v>
      </c>
      <c r="AZ86" s="596">
        <f>'[12]Forward Price Curve'!AD167</f>
        <v>3.1315</v>
      </c>
      <c r="BA86" s="629">
        <f t="shared" si="54"/>
        <v>2024</v>
      </c>
      <c r="BB86" s="633">
        <v>45352</v>
      </c>
      <c r="BC86" s="629">
        <f t="shared" si="55"/>
        <v>3.3091499999999998</v>
      </c>
      <c r="BD86" s="634">
        <f>[13]Prices!AO83</f>
        <v>3.5238999999999998</v>
      </c>
      <c r="BE86" s="634">
        <f>[13]Prices!AP83</f>
        <v>3.0943999999999998</v>
      </c>
    </row>
    <row r="87" spans="20:57">
      <c r="T87" s="4">
        <f t="shared" si="60"/>
        <v>2012</v>
      </c>
      <c r="U87" s="434">
        <f t="shared" si="31"/>
        <v>40909</v>
      </c>
      <c r="V87" s="150">
        <v>71.400000000000006</v>
      </c>
      <c r="W87" s="150">
        <v>65.004999999999995</v>
      </c>
      <c r="X87" s="357">
        <f t="shared" si="25"/>
        <v>68.650149999999996</v>
      </c>
      <c r="Y87" s="343">
        <v>400</v>
      </c>
      <c r="Z87" s="343">
        <v>344</v>
      </c>
      <c r="AA87" s="343">
        <f t="shared" si="61"/>
        <v>0.5376344086021505</v>
      </c>
      <c r="AB87" s="343">
        <f t="shared" si="62"/>
        <v>0.46236559139784944</v>
      </c>
      <c r="AF87" s="4">
        <f t="shared" si="26"/>
        <v>2012</v>
      </c>
      <c r="AG87" s="432">
        <f t="shared" si="29"/>
        <v>40909</v>
      </c>
      <c r="AH87" s="149">
        <f t="shared" si="63"/>
        <v>8.4025393114464375</v>
      </c>
      <c r="AI87" s="150">
        <v>8.4025393114464375</v>
      </c>
      <c r="AK87" s="4">
        <f t="shared" si="56"/>
        <v>2010</v>
      </c>
      <c r="AL87" s="432">
        <v>40512</v>
      </c>
      <c r="AM87" s="4">
        <f t="shared" si="57"/>
        <v>4.43</v>
      </c>
      <c r="AN87" s="4">
        <v>4.45</v>
      </c>
      <c r="AO87" s="4">
        <v>4.41</v>
      </c>
      <c r="AQ87" s="4">
        <f t="shared" si="58"/>
        <v>2014</v>
      </c>
      <c r="AR87" s="356">
        <v>41913</v>
      </c>
      <c r="AS87" s="4">
        <f t="shared" si="59"/>
        <v>9.3909599650000004</v>
      </c>
      <c r="AT87" s="4">
        <v>9.4479726999999993</v>
      </c>
      <c r="AU87" s="4">
        <v>9.3339472299999997</v>
      </c>
      <c r="AV87" s="515">
        <f t="shared" si="53"/>
        <v>2021</v>
      </c>
      <c r="AW87" s="535">
        <v>44287</v>
      </c>
      <c r="AX87" s="515">
        <f t="shared" si="52"/>
        <v>2.5393999999999997</v>
      </c>
      <c r="AY87" s="596">
        <f>'[12]Forward Price Curve'!AE168</f>
        <v>2.6122999999999998</v>
      </c>
      <c r="AZ87" s="596">
        <f>'[12]Forward Price Curve'!AD168</f>
        <v>2.4664999999999999</v>
      </c>
      <c r="BA87" s="629">
        <f t="shared" si="54"/>
        <v>2024</v>
      </c>
      <c r="BB87" s="633">
        <v>45383</v>
      </c>
      <c r="BC87" s="629">
        <f t="shared" si="55"/>
        <v>3.2712500000000002</v>
      </c>
      <c r="BD87" s="634">
        <f>[13]Prices!AO84</f>
        <v>3.4102000000000001</v>
      </c>
      <c r="BE87" s="634">
        <f>[13]Prices!AP84</f>
        <v>3.1322999999999999</v>
      </c>
    </row>
    <row r="88" spans="20:57">
      <c r="T88" s="4">
        <f t="shared" si="60"/>
        <v>2012</v>
      </c>
      <c r="U88" s="434">
        <f t="shared" si="31"/>
        <v>40940</v>
      </c>
      <c r="V88" s="150">
        <v>66.599999999999994</v>
      </c>
      <c r="W88" s="150">
        <v>62.145000000000003</v>
      </c>
      <c r="X88" s="357">
        <f t="shared" ref="X88:X151" si="64">V88*0.57+W88*0.43</f>
        <v>64.684349999999995</v>
      </c>
      <c r="Y88" s="343">
        <v>400</v>
      </c>
      <c r="Z88" s="343">
        <v>296</v>
      </c>
      <c r="AA88" s="343">
        <f t="shared" si="61"/>
        <v>0.57471264367816088</v>
      </c>
      <c r="AB88" s="343">
        <f t="shared" si="62"/>
        <v>0.42528735632183906</v>
      </c>
      <c r="AF88" s="4">
        <f t="shared" si="26"/>
        <v>2012</v>
      </c>
      <c r="AG88" s="432">
        <f t="shared" si="29"/>
        <v>40940</v>
      </c>
      <c r="AH88" s="149">
        <f t="shared" si="63"/>
        <v>8.4025393114464375</v>
      </c>
      <c r="AI88" s="150">
        <v>8.4025393114464375</v>
      </c>
      <c r="AK88" s="4">
        <f t="shared" si="56"/>
        <v>2010</v>
      </c>
      <c r="AL88" s="432">
        <v>40543</v>
      </c>
      <c r="AM88" s="4">
        <f t="shared" si="57"/>
        <v>4.6449999999999996</v>
      </c>
      <c r="AN88" s="4">
        <v>4.63</v>
      </c>
      <c r="AO88" s="4">
        <v>4.66</v>
      </c>
      <c r="AQ88" s="4">
        <f t="shared" si="58"/>
        <v>2014</v>
      </c>
      <c r="AR88" s="356">
        <v>41944</v>
      </c>
      <c r="AS88" s="4">
        <f t="shared" si="59"/>
        <v>9.8600831450000008</v>
      </c>
      <c r="AT88" s="4">
        <v>9.6664551299999992</v>
      </c>
      <c r="AU88" s="4">
        <v>10.053711160000001</v>
      </c>
      <c r="AV88" s="515">
        <f t="shared" si="53"/>
        <v>2021</v>
      </c>
      <c r="AW88" s="535">
        <v>44317</v>
      </c>
      <c r="AX88" s="515">
        <f t="shared" si="52"/>
        <v>2.5087000000000002</v>
      </c>
      <c r="AY88" s="596">
        <f>'[12]Forward Price Curve'!AE169</f>
        <v>2.6004</v>
      </c>
      <c r="AZ88" s="596">
        <f>'[12]Forward Price Curve'!AD169</f>
        <v>2.4169999999999998</v>
      </c>
      <c r="BA88" s="629">
        <f t="shared" si="54"/>
        <v>2024</v>
      </c>
      <c r="BB88" s="633">
        <v>45413</v>
      </c>
      <c r="BC88" s="629">
        <f t="shared" si="55"/>
        <v>3.2839</v>
      </c>
      <c r="BD88" s="634">
        <f>[13]Prices!AO85</f>
        <v>3.4102000000000001</v>
      </c>
      <c r="BE88" s="634">
        <f>[13]Prices!AP85</f>
        <v>3.1576</v>
      </c>
    </row>
    <row r="89" spans="20:57">
      <c r="T89" s="4">
        <f t="shared" si="60"/>
        <v>2012</v>
      </c>
      <c r="U89" s="434">
        <f t="shared" si="31"/>
        <v>40969</v>
      </c>
      <c r="V89" s="150">
        <v>57.8</v>
      </c>
      <c r="W89" s="150">
        <v>52.85</v>
      </c>
      <c r="X89" s="357">
        <f t="shared" si="64"/>
        <v>55.671499999999995</v>
      </c>
      <c r="Y89" s="343">
        <v>432</v>
      </c>
      <c r="Z89" s="343">
        <v>312</v>
      </c>
      <c r="AA89" s="343">
        <f t="shared" si="61"/>
        <v>0.58064516129032262</v>
      </c>
      <c r="AB89" s="343">
        <f t="shared" si="62"/>
        <v>0.41935483870967744</v>
      </c>
      <c r="AF89" s="4">
        <f t="shared" si="26"/>
        <v>2012</v>
      </c>
      <c r="AG89" s="432">
        <f t="shared" si="29"/>
        <v>40969</v>
      </c>
      <c r="AH89" s="149">
        <f t="shared" si="63"/>
        <v>8.1656679445350733</v>
      </c>
      <c r="AI89" s="150">
        <v>8.1656679445350733</v>
      </c>
      <c r="AK89" s="4">
        <f t="shared" si="56"/>
        <v>2011</v>
      </c>
      <c r="AL89" s="432">
        <v>40574</v>
      </c>
      <c r="AM89" s="4">
        <f t="shared" si="57"/>
        <v>5.03</v>
      </c>
      <c r="AN89" s="4">
        <v>4.9800000000000004</v>
      </c>
      <c r="AO89" s="4">
        <v>5.08</v>
      </c>
      <c r="AQ89" s="4">
        <f t="shared" si="58"/>
        <v>2014</v>
      </c>
      <c r="AR89" s="356">
        <v>41974</v>
      </c>
      <c r="AS89" s="4">
        <f t="shared" si="59"/>
        <v>10.286084649999999</v>
      </c>
      <c r="AT89" s="4">
        <v>10.05940242</v>
      </c>
      <c r="AU89" s="4">
        <v>10.512766879999999</v>
      </c>
      <c r="AV89" s="515">
        <f t="shared" si="53"/>
        <v>2021</v>
      </c>
      <c r="AW89" s="535">
        <v>44348</v>
      </c>
      <c r="AX89" s="515">
        <f t="shared" si="52"/>
        <v>2.5305499999999999</v>
      </c>
      <c r="AY89" s="596">
        <f>'[12]Forward Price Curve'!AE170</f>
        <v>2.6371000000000002</v>
      </c>
      <c r="AZ89" s="596">
        <f>'[12]Forward Price Curve'!AD170</f>
        <v>2.4239999999999999</v>
      </c>
      <c r="BA89" s="629">
        <f t="shared" si="54"/>
        <v>2024</v>
      </c>
      <c r="BB89" s="633">
        <v>45444</v>
      </c>
      <c r="BC89" s="629">
        <f t="shared" si="55"/>
        <v>3.2902500000000003</v>
      </c>
      <c r="BD89" s="634">
        <f>[13]Prices!AO86</f>
        <v>3.4355000000000002</v>
      </c>
      <c r="BE89" s="634">
        <f>[13]Prices!AP86</f>
        <v>3.145</v>
      </c>
    </row>
    <row r="90" spans="20:57">
      <c r="T90" s="4">
        <f t="shared" si="60"/>
        <v>2012</v>
      </c>
      <c r="U90" s="434">
        <f t="shared" si="31"/>
        <v>41000</v>
      </c>
      <c r="V90" s="150">
        <v>40.29</v>
      </c>
      <c r="W90" s="150">
        <v>30.2</v>
      </c>
      <c r="X90" s="357">
        <f t="shared" si="64"/>
        <v>35.951299999999996</v>
      </c>
      <c r="Y90" s="343">
        <v>400</v>
      </c>
      <c r="Z90" s="343">
        <v>320</v>
      </c>
      <c r="AA90" s="343">
        <f t="shared" si="61"/>
        <v>0.55555555555555558</v>
      </c>
      <c r="AB90" s="343">
        <f t="shared" si="62"/>
        <v>0.44444444444444442</v>
      </c>
      <c r="AF90" s="4">
        <f t="shared" si="26"/>
        <v>2012</v>
      </c>
      <c r="AG90" s="432">
        <f t="shared" si="29"/>
        <v>41000</v>
      </c>
      <c r="AH90" s="149">
        <f t="shared" si="63"/>
        <v>5.7764470364328444</v>
      </c>
      <c r="AI90" s="150">
        <v>5.7764470364328444</v>
      </c>
      <c r="AK90" s="4">
        <f t="shared" si="56"/>
        <v>2011</v>
      </c>
      <c r="AL90" s="432">
        <v>40602</v>
      </c>
      <c r="AM90" s="4">
        <f t="shared" si="57"/>
        <v>4.6850000000000005</v>
      </c>
      <c r="AN90" s="4">
        <v>4.67</v>
      </c>
      <c r="AO90" s="4">
        <v>4.7</v>
      </c>
      <c r="AQ90" s="4">
        <f t="shared" si="58"/>
        <v>2015</v>
      </c>
      <c r="AR90" s="356">
        <v>42005</v>
      </c>
      <c r="AS90" s="4">
        <f t="shared" si="59"/>
        <v>11.006556585</v>
      </c>
      <c r="AT90" s="4">
        <v>10.74499533</v>
      </c>
      <c r="AU90" s="4">
        <v>11.26811784</v>
      </c>
      <c r="AV90" s="515">
        <f t="shared" si="53"/>
        <v>2021</v>
      </c>
      <c r="AW90" s="535">
        <v>44378</v>
      </c>
      <c r="AX90" s="515">
        <f t="shared" si="52"/>
        <v>2.6737500000000001</v>
      </c>
      <c r="AY90" s="596">
        <f>'[12]Forward Price Curve'!AE171</f>
        <v>2.7225000000000001</v>
      </c>
      <c r="AZ90" s="596">
        <f>'[12]Forward Price Curve'!AD171</f>
        <v>2.625</v>
      </c>
      <c r="BA90" s="629">
        <f t="shared" si="54"/>
        <v>2024</v>
      </c>
      <c r="BB90" s="633">
        <v>45474</v>
      </c>
      <c r="BC90" s="629">
        <f t="shared" si="55"/>
        <v>3.4291499999999999</v>
      </c>
      <c r="BD90" s="634">
        <f>[13]Prices!AO87</f>
        <v>3.5491000000000001</v>
      </c>
      <c r="BE90" s="634">
        <f>[13]Prices!AP87</f>
        <v>3.3092000000000001</v>
      </c>
    </row>
    <row r="91" spans="20:57">
      <c r="T91" s="4">
        <f t="shared" si="60"/>
        <v>2012</v>
      </c>
      <c r="U91" s="434">
        <f t="shared" si="31"/>
        <v>41030</v>
      </c>
      <c r="V91" s="150">
        <v>31.56</v>
      </c>
      <c r="W91" s="150">
        <v>20.47</v>
      </c>
      <c r="X91" s="357">
        <f t="shared" si="64"/>
        <v>26.791299999999996</v>
      </c>
      <c r="Y91" s="343">
        <v>416</v>
      </c>
      <c r="Z91" s="343">
        <v>328</v>
      </c>
      <c r="AA91" s="343">
        <f t="shared" si="61"/>
        <v>0.55913978494623651</v>
      </c>
      <c r="AB91" s="343">
        <f t="shared" si="62"/>
        <v>0.44086021505376344</v>
      </c>
      <c r="AF91" s="4">
        <f t="shared" si="26"/>
        <v>2012</v>
      </c>
      <c r="AG91" s="432">
        <f t="shared" si="29"/>
        <v>41030</v>
      </c>
      <c r="AH91" s="149">
        <f t="shared" si="63"/>
        <v>5.5833338431212614</v>
      </c>
      <c r="AI91" s="150">
        <v>5.5833338431212614</v>
      </c>
      <c r="AK91" s="4">
        <f t="shared" si="56"/>
        <v>2011</v>
      </c>
      <c r="AL91" s="432">
        <v>40633</v>
      </c>
      <c r="AM91" s="4">
        <f t="shared" si="57"/>
        <v>4.4000000000000004</v>
      </c>
      <c r="AN91" s="4">
        <v>4.42</v>
      </c>
      <c r="AO91" s="4">
        <v>4.38</v>
      </c>
      <c r="AQ91" s="4">
        <f t="shared" si="58"/>
        <v>2015</v>
      </c>
      <c r="AR91" s="356">
        <v>42036</v>
      </c>
      <c r="AS91" s="4">
        <f t="shared" si="59"/>
        <v>10.646832405</v>
      </c>
      <c r="AT91" s="4">
        <v>10.42132174</v>
      </c>
      <c r="AU91" s="4">
        <v>10.872343069999999</v>
      </c>
      <c r="AV91" s="515">
        <f>YEAR(AW91)</f>
        <v>2021</v>
      </c>
      <c r="AW91" s="535">
        <v>44409</v>
      </c>
      <c r="AX91" s="515">
        <f t="shared" si="52"/>
        <v>2.6960500000000001</v>
      </c>
      <c r="AY91" s="596">
        <f>'[12]Forward Price Curve'!AE172</f>
        <v>2.7721</v>
      </c>
      <c r="AZ91" s="596">
        <f>'[12]Forward Price Curve'!AD172</f>
        <v>2.62</v>
      </c>
      <c r="BA91" s="629">
        <f>YEAR(BB91)</f>
        <v>2024</v>
      </c>
      <c r="BB91" s="633">
        <v>45505</v>
      </c>
      <c r="BC91" s="629">
        <f t="shared" si="55"/>
        <v>3.46075</v>
      </c>
      <c r="BD91" s="634">
        <f>[13]Prices!AO88</f>
        <v>3.5617999999999999</v>
      </c>
      <c r="BE91" s="634">
        <f>[13]Prices!AP88</f>
        <v>3.3597000000000001</v>
      </c>
    </row>
    <row r="92" spans="20:57">
      <c r="T92" s="4">
        <f t="shared" si="60"/>
        <v>2012</v>
      </c>
      <c r="U92" s="434">
        <f t="shared" si="31"/>
        <v>41061</v>
      </c>
      <c r="V92" s="150">
        <v>28.65</v>
      </c>
      <c r="W92" s="150">
        <v>19.079999999999998</v>
      </c>
      <c r="X92" s="357">
        <f t="shared" si="64"/>
        <v>24.534899999999997</v>
      </c>
      <c r="Y92" s="343">
        <v>416</v>
      </c>
      <c r="Z92" s="343">
        <v>304</v>
      </c>
      <c r="AA92" s="343">
        <f t="shared" si="61"/>
        <v>0.57777777777777772</v>
      </c>
      <c r="AB92" s="343">
        <f t="shared" si="62"/>
        <v>0.42222222222222222</v>
      </c>
      <c r="AF92" s="4">
        <f t="shared" ref="AF92:AF155" si="65">+YEAR(AG92)</f>
        <v>2012</v>
      </c>
      <c r="AG92" s="432">
        <f t="shared" si="29"/>
        <v>41061</v>
      </c>
      <c r="AH92" s="149">
        <f t="shared" si="63"/>
        <v>5.6750626155519299</v>
      </c>
      <c r="AI92" s="150">
        <v>5.6750626155519299</v>
      </c>
      <c r="AK92" s="4">
        <f t="shared" si="56"/>
        <v>2011</v>
      </c>
      <c r="AL92" s="432">
        <v>40663</v>
      </c>
      <c r="AM92" s="4">
        <f t="shared" si="57"/>
        <v>4.1050000000000004</v>
      </c>
      <c r="AN92" s="4">
        <v>4.16</v>
      </c>
      <c r="AO92" s="4">
        <v>4.05</v>
      </c>
      <c r="AQ92" s="4">
        <f t="shared" si="58"/>
        <v>2015</v>
      </c>
      <c r="AR92" s="356">
        <v>42064</v>
      </c>
      <c r="AS92" s="4">
        <f t="shared" si="59"/>
        <v>10.241998479999999</v>
      </c>
      <c r="AT92" s="4">
        <v>10.05188287</v>
      </c>
      <c r="AU92" s="4">
        <v>10.432114090000001</v>
      </c>
      <c r="AV92" s="515">
        <f t="shared" ref="AV92:AV155" si="66">YEAR(AW92)</f>
        <v>2021</v>
      </c>
      <c r="AW92" s="535">
        <v>44440</v>
      </c>
      <c r="AX92" s="515">
        <f t="shared" si="52"/>
        <v>2.7298</v>
      </c>
      <c r="AY92" s="596">
        <f>'[12]Forward Price Curve'!AE173</f>
        <v>2.7795999999999998</v>
      </c>
      <c r="AZ92" s="596">
        <f>'[12]Forward Price Curve'!AD173</f>
        <v>2.68</v>
      </c>
      <c r="BA92" s="629">
        <f t="shared" ref="BA92:BA155" si="67">YEAR(BB92)</f>
        <v>2024</v>
      </c>
      <c r="BB92" s="633">
        <v>45536</v>
      </c>
      <c r="BC92" s="629">
        <f t="shared" si="55"/>
        <v>3.4481000000000002</v>
      </c>
      <c r="BD92" s="634">
        <f>[13]Prices!AO89</f>
        <v>3.6122999999999998</v>
      </c>
      <c r="BE92" s="634">
        <f>[13]Prices!AP89</f>
        <v>3.2839</v>
      </c>
    </row>
    <row r="93" spans="20:57">
      <c r="T93" s="4">
        <f t="shared" si="60"/>
        <v>2012</v>
      </c>
      <c r="U93" s="434">
        <f t="shared" si="31"/>
        <v>41091</v>
      </c>
      <c r="V93" s="150">
        <v>56.1</v>
      </c>
      <c r="W93" s="150">
        <v>44.3</v>
      </c>
      <c r="X93" s="357">
        <f t="shared" si="64"/>
        <v>51.025999999999996</v>
      </c>
      <c r="Y93" s="343">
        <v>400</v>
      </c>
      <c r="Z93" s="343">
        <v>344</v>
      </c>
      <c r="AA93" s="343">
        <f t="shared" si="61"/>
        <v>0.5376344086021505</v>
      </c>
      <c r="AB93" s="343">
        <f t="shared" si="62"/>
        <v>0.46236559139784944</v>
      </c>
      <c r="AF93" s="4">
        <f t="shared" si="65"/>
        <v>2012</v>
      </c>
      <c r="AG93" s="432">
        <f t="shared" ref="AG93:AG156" si="68">EOMONTH(AG92,0)+1</f>
        <v>41091</v>
      </c>
      <c r="AH93" s="149">
        <f t="shared" si="63"/>
        <v>5.8090734638390433</v>
      </c>
      <c r="AI93" s="150">
        <v>5.8090734638390433</v>
      </c>
      <c r="AK93" s="4">
        <f t="shared" si="56"/>
        <v>2011</v>
      </c>
      <c r="AL93" s="432">
        <v>40694</v>
      </c>
      <c r="AM93" s="4">
        <f t="shared" si="57"/>
        <v>4.1050000000000004</v>
      </c>
      <c r="AN93" s="4">
        <v>4.16</v>
      </c>
      <c r="AO93" s="4">
        <v>4.05</v>
      </c>
      <c r="AQ93" s="4">
        <f t="shared" si="58"/>
        <v>2015</v>
      </c>
      <c r="AR93" s="356">
        <v>42095</v>
      </c>
      <c r="AS93" s="4">
        <f t="shared" si="59"/>
        <v>9.3140395500000004</v>
      </c>
      <c r="AT93" s="4">
        <v>9.4086939899999997</v>
      </c>
      <c r="AU93" s="4">
        <v>9.2193851099999993</v>
      </c>
      <c r="AV93" s="515">
        <f t="shared" si="66"/>
        <v>2021</v>
      </c>
      <c r="AW93" s="535">
        <v>44470</v>
      </c>
      <c r="AX93" s="515">
        <f t="shared" si="52"/>
        <v>2.8236999999999997</v>
      </c>
      <c r="AY93" s="596">
        <f>'[12]Forward Price Curve'!AE174</f>
        <v>2.8083999999999998</v>
      </c>
      <c r="AZ93" s="596">
        <f>'[12]Forward Price Curve'!AD174</f>
        <v>2.839</v>
      </c>
      <c r="BA93" s="629">
        <f t="shared" si="67"/>
        <v>2024</v>
      </c>
      <c r="BB93" s="633">
        <v>45566</v>
      </c>
      <c r="BC93" s="629">
        <f t="shared" si="55"/>
        <v>3.4733499999999999</v>
      </c>
      <c r="BD93" s="634">
        <f>[13]Prices!AO90</f>
        <v>3.6375000000000002</v>
      </c>
      <c r="BE93" s="634">
        <f>[13]Prices!AP90</f>
        <v>3.3092000000000001</v>
      </c>
    </row>
    <row r="94" spans="20:57">
      <c r="T94" s="4">
        <f t="shared" si="60"/>
        <v>2012</v>
      </c>
      <c r="U94" s="434">
        <f t="shared" si="31"/>
        <v>41122</v>
      </c>
      <c r="V94" s="150">
        <v>68.739999999999995</v>
      </c>
      <c r="W94" s="150">
        <v>54.22</v>
      </c>
      <c r="X94" s="357">
        <f t="shared" si="64"/>
        <v>62.496399999999994</v>
      </c>
      <c r="Y94" s="343">
        <v>432</v>
      </c>
      <c r="Z94" s="343">
        <v>312</v>
      </c>
      <c r="AA94" s="343">
        <f t="shared" si="61"/>
        <v>0.58064516129032262</v>
      </c>
      <c r="AB94" s="343">
        <f t="shared" si="62"/>
        <v>0.41935483870967744</v>
      </c>
      <c r="AF94" s="4">
        <f t="shared" si="65"/>
        <v>2012</v>
      </c>
      <c r="AG94" s="432">
        <f t="shared" si="68"/>
        <v>41122</v>
      </c>
      <c r="AH94" s="149">
        <f t="shared" si="63"/>
        <v>5.9056300604948344</v>
      </c>
      <c r="AI94" s="150">
        <v>5.9056300604948344</v>
      </c>
      <c r="AK94" s="4">
        <f t="shared" si="56"/>
        <v>2011</v>
      </c>
      <c r="AL94" s="432">
        <v>40724</v>
      </c>
      <c r="AM94" s="4">
        <f t="shared" si="57"/>
        <v>4.1750000000000007</v>
      </c>
      <c r="AN94" s="4">
        <v>4.2300000000000004</v>
      </c>
      <c r="AO94" s="4">
        <v>4.12</v>
      </c>
      <c r="AQ94" s="4">
        <f t="shared" si="58"/>
        <v>2015</v>
      </c>
      <c r="AR94" s="356">
        <v>42125</v>
      </c>
      <c r="AS94" s="4">
        <f t="shared" si="59"/>
        <v>9.3040395499999988</v>
      </c>
      <c r="AT94" s="4">
        <v>9.3986939899999999</v>
      </c>
      <c r="AU94" s="4">
        <v>9.2093851099999995</v>
      </c>
      <c r="AV94" s="515">
        <f t="shared" si="66"/>
        <v>2021</v>
      </c>
      <c r="AW94" s="535">
        <v>44501</v>
      </c>
      <c r="AX94" s="515">
        <f t="shared" si="52"/>
        <v>3.0861999999999998</v>
      </c>
      <c r="AY94" s="596">
        <f>'[12]Forward Price Curve'!AE175</f>
        <v>3.0114000000000001</v>
      </c>
      <c r="AZ94" s="596">
        <f>'[12]Forward Price Curve'!AD175</f>
        <v>3.161</v>
      </c>
      <c r="BA94" s="629">
        <f t="shared" si="67"/>
        <v>2024</v>
      </c>
      <c r="BB94" s="633">
        <v>45597</v>
      </c>
      <c r="BC94" s="629">
        <f t="shared" si="55"/>
        <v>3.7638499999999997</v>
      </c>
      <c r="BD94" s="634">
        <f>[13]Prices!AO91</f>
        <v>3.9154</v>
      </c>
      <c r="BE94" s="634">
        <f>[13]Prices!AP91</f>
        <v>3.6122999999999998</v>
      </c>
    </row>
    <row r="95" spans="20:57">
      <c r="T95" s="4">
        <f t="shared" si="60"/>
        <v>2012</v>
      </c>
      <c r="U95" s="434">
        <f t="shared" si="31"/>
        <v>41153</v>
      </c>
      <c r="V95" s="150">
        <v>67.16</v>
      </c>
      <c r="W95" s="150">
        <v>52.98</v>
      </c>
      <c r="X95" s="357">
        <f t="shared" si="64"/>
        <v>61.062599999999989</v>
      </c>
      <c r="Y95" s="343">
        <v>384</v>
      </c>
      <c r="Z95" s="343">
        <v>336</v>
      </c>
      <c r="AA95" s="343">
        <f t="shared" si="61"/>
        <v>0.53333333333333333</v>
      </c>
      <c r="AB95" s="343">
        <f t="shared" si="62"/>
        <v>0.46666666666666667</v>
      </c>
      <c r="AF95" s="4">
        <f t="shared" si="65"/>
        <v>2012</v>
      </c>
      <c r="AG95" s="432">
        <f t="shared" si="68"/>
        <v>41153</v>
      </c>
      <c r="AH95" s="149">
        <f t="shared" si="63"/>
        <v>5.9828753296628605</v>
      </c>
      <c r="AI95" s="150">
        <v>5.9828753296628605</v>
      </c>
      <c r="AK95" s="4">
        <f t="shared" si="56"/>
        <v>2011</v>
      </c>
      <c r="AL95" s="432">
        <v>40755</v>
      </c>
      <c r="AM95" s="4">
        <f t="shared" si="57"/>
        <v>4.2349999999999994</v>
      </c>
      <c r="AN95" s="4">
        <v>4.29</v>
      </c>
      <c r="AO95" s="4">
        <v>4.18</v>
      </c>
      <c r="AQ95" s="4">
        <f t="shared" si="58"/>
        <v>2015</v>
      </c>
      <c r="AR95" s="356">
        <v>42156</v>
      </c>
      <c r="AS95" s="4">
        <f t="shared" si="59"/>
        <v>9.4039298100000011</v>
      </c>
      <c r="AT95" s="4">
        <v>9.4979287100000001</v>
      </c>
      <c r="AU95" s="4">
        <v>9.3099309100000003</v>
      </c>
      <c r="AV95" s="515">
        <f t="shared" si="66"/>
        <v>2021</v>
      </c>
      <c r="AW95" s="535">
        <v>44531</v>
      </c>
      <c r="AX95" s="515">
        <f t="shared" si="52"/>
        <v>3.3768000000000002</v>
      </c>
      <c r="AY95" s="596">
        <f>'[12]Forward Price Curve'!AE176</f>
        <v>3.1876000000000002</v>
      </c>
      <c r="AZ95" s="596">
        <f>'[12]Forward Price Curve'!AD176</f>
        <v>3.5659999999999998</v>
      </c>
      <c r="BA95" s="629">
        <f t="shared" si="67"/>
        <v>2024</v>
      </c>
      <c r="BB95" s="633">
        <v>45627</v>
      </c>
      <c r="BC95" s="629">
        <f t="shared" si="55"/>
        <v>3.9785500000000003</v>
      </c>
      <c r="BD95" s="634">
        <f>[13]Prices!AO92</f>
        <v>4.0796000000000001</v>
      </c>
      <c r="BE95" s="634">
        <f>[13]Prices!AP92</f>
        <v>3.8774999999999999</v>
      </c>
    </row>
    <row r="96" spans="20:57">
      <c r="T96" s="4">
        <f t="shared" si="60"/>
        <v>2012</v>
      </c>
      <c r="U96" s="434">
        <f t="shared" si="31"/>
        <v>41183</v>
      </c>
      <c r="V96" s="150">
        <v>49.702500000000001</v>
      </c>
      <c r="W96" s="150">
        <v>42.821249999999999</v>
      </c>
      <c r="X96" s="357">
        <f t="shared" si="64"/>
        <v>46.743562499999996</v>
      </c>
      <c r="Y96" s="343">
        <v>432</v>
      </c>
      <c r="Z96" s="343">
        <v>312</v>
      </c>
      <c r="AA96" s="343">
        <f t="shared" si="61"/>
        <v>0.58064516129032262</v>
      </c>
      <c r="AB96" s="343">
        <f t="shared" si="62"/>
        <v>0.41935483870967744</v>
      </c>
      <c r="AF96" s="4">
        <f t="shared" si="65"/>
        <v>2012</v>
      </c>
      <c r="AG96" s="432">
        <f t="shared" si="68"/>
        <v>41183</v>
      </c>
      <c r="AH96" s="149">
        <f t="shared" si="63"/>
        <v>6.4428454798803694</v>
      </c>
      <c r="AI96" s="150">
        <v>6.4428454798803694</v>
      </c>
      <c r="AK96" s="4">
        <f t="shared" si="56"/>
        <v>2011</v>
      </c>
      <c r="AL96" s="432">
        <v>40786</v>
      </c>
      <c r="AM96" s="4">
        <f t="shared" si="57"/>
        <v>4.2349999999999994</v>
      </c>
      <c r="AN96" s="4">
        <v>4.29</v>
      </c>
      <c r="AO96" s="4">
        <v>4.18</v>
      </c>
      <c r="AQ96" s="4">
        <f t="shared" si="58"/>
        <v>2015</v>
      </c>
      <c r="AR96" s="356">
        <v>42186</v>
      </c>
      <c r="AS96" s="4">
        <f t="shared" si="59"/>
        <v>9.5088200649999983</v>
      </c>
      <c r="AT96" s="4">
        <v>9.6021634299999992</v>
      </c>
      <c r="AU96" s="4">
        <v>9.4154766999999993</v>
      </c>
      <c r="AV96" s="515">
        <f t="shared" si="66"/>
        <v>2022</v>
      </c>
      <c r="AW96" s="535">
        <v>44562</v>
      </c>
      <c r="AX96" s="515">
        <f t="shared" si="52"/>
        <v>3.4058999999999999</v>
      </c>
      <c r="AY96" s="596">
        <f>'[12]Forward Price Curve'!AE177</f>
        <v>3.3037999999999998</v>
      </c>
      <c r="AZ96" s="596">
        <f>'[12]Forward Price Curve'!AD177</f>
        <v>3.508</v>
      </c>
      <c r="BA96" s="629">
        <f t="shared" si="67"/>
        <v>2025</v>
      </c>
      <c r="BB96" s="633">
        <v>45658</v>
      </c>
      <c r="BC96" s="629">
        <f t="shared" si="55"/>
        <v>4.0362999999999998</v>
      </c>
      <c r="BD96" s="634">
        <f>[13]Prices!AO93</f>
        <v>4.1136999999999997</v>
      </c>
      <c r="BE96" s="634">
        <f>[13]Prices!AP93</f>
        <v>3.9588999999999999</v>
      </c>
    </row>
    <row r="97" spans="20:57">
      <c r="T97" s="4">
        <f t="shared" si="60"/>
        <v>2012</v>
      </c>
      <c r="U97" s="434">
        <f t="shared" si="31"/>
        <v>41214</v>
      </c>
      <c r="V97" s="150">
        <v>57.952500000000001</v>
      </c>
      <c r="W97" s="150">
        <v>49.722499999999997</v>
      </c>
      <c r="X97" s="357">
        <f t="shared" si="64"/>
        <v>54.413599999999995</v>
      </c>
      <c r="Y97" s="343">
        <v>400</v>
      </c>
      <c r="Z97" s="343">
        <v>320</v>
      </c>
      <c r="AA97" s="343">
        <f t="shared" si="61"/>
        <v>0.55555555555555558</v>
      </c>
      <c r="AB97" s="343">
        <f t="shared" si="62"/>
        <v>0.44444444444444442</v>
      </c>
      <c r="AF97" s="4">
        <f t="shared" si="65"/>
        <v>2012</v>
      </c>
      <c r="AG97" s="432">
        <f t="shared" si="68"/>
        <v>41214</v>
      </c>
      <c r="AH97" s="149">
        <f t="shared" si="63"/>
        <v>6.8829452045948889</v>
      </c>
      <c r="AI97" s="150">
        <v>6.8829452045948889</v>
      </c>
      <c r="AK97" s="4">
        <f t="shared" si="56"/>
        <v>2011</v>
      </c>
      <c r="AL97" s="432">
        <v>40816</v>
      </c>
      <c r="AM97" s="4">
        <f t="shared" si="57"/>
        <v>4.2349999999999994</v>
      </c>
      <c r="AN97" s="4">
        <v>4.29</v>
      </c>
      <c r="AO97" s="4">
        <v>4.18</v>
      </c>
      <c r="AQ97" s="4">
        <f t="shared" si="58"/>
        <v>2015</v>
      </c>
      <c r="AR97" s="356">
        <v>42217</v>
      </c>
      <c r="AS97" s="4">
        <f t="shared" si="59"/>
        <v>8.19</v>
      </c>
      <c r="AT97" s="4">
        <v>8.2899999999999991</v>
      </c>
      <c r="AU97" s="4">
        <v>8.09</v>
      </c>
      <c r="AV97" s="515">
        <f t="shared" si="66"/>
        <v>2022</v>
      </c>
      <c r="AW97" s="535">
        <v>44593</v>
      </c>
      <c r="AX97" s="515">
        <f t="shared" si="52"/>
        <v>3.2922500000000001</v>
      </c>
      <c r="AY97" s="596">
        <f>'[12]Forward Price Curve'!AE178</f>
        <v>3.2715000000000001</v>
      </c>
      <c r="AZ97" s="596">
        <f>'[12]Forward Price Curve'!AD178</f>
        <v>3.3130000000000002</v>
      </c>
      <c r="BA97" s="629">
        <f t="shared" si="67"/>
        <v>2025</v>
      </c>
      <c r="BB97" s="633">
        <v>45689</v>
      </c>
      <c r="BC97" s="629">
        <f t="shared" si="55"/>
        <v>4.05565</v>
      </c>
      <c r="BD97" s="634">
        <f>[13]Prices!AO94</f>
        <v>4.1395</v>
      </c>
      <c r="BE97" s="634">
        <f>[13]Prices!AP94</f>
        <v>3.9718</v>
      </c>
    </row>
    <row r="98" spans="20:57">
      <c r="T98" s="4">
        <f t="shared" si="60"/>
        <v>2012</v>
      </c>
      <c r="U98" s="434">
        <f t="shared" si="31"/>
        <v>41244</v>
      </c>
      <c r="V98" s="150">
        <v>66.015000000000001</v>
      </c>
      <c r="W98" s="150">
        <v>55.926250000000003</v>
      </c>
      <c r="X98" s="357">
        <f t="shared" si="64"/>
        <v>61.676837499999998</v>
      </c>
      <c r="Y98" s="343">
        <v>400</v>
      </c>
      <c r="Z98" s="343">
        <v>344</v>
      </c>
      <c r="AA98" s="343">
        <f t="shared" si="61"/>
        <v>0.5376344086021505</v>
      </c>
      <c r="AB98" s="343">
        <f t="shared" si="62"/>
        <v>0.46236559139784944</v>
      </c>
      <c r="AF98" s="4">
        <f t="shared" si="65"/>
        <v>2012</v>
      </c>
      <c r="AG98" s="432">
        <f t="shared" si="68"/>
        <v>41244</v>
      </c>
      <c r="AH98" s="149">
        <f t="shared" si="63"/>
        <v>7.4299563213703097</v>
      </c>
      <c r="AI98" s="150">
        <v>7.4299563213703097</v>
      </c>
      <c r="AK98" s="4">
        <f t="shared" si="56"/>
        <v>2011</v>
      </c>
      <c r="AL98" s="432">
        <v>40847</v>
      </c>
      <c r="AM98" s="4">
        <f t="shared" si="57"/>
        <v>4.4000000000000004</v>
      </c>
      <c r="AN98" s="4">
        <v>4.42</v>
      </c>
      <c r="AO98" s="4">
        <v>4.38</v>
      </c>
      <c r="AQ98" s="4">
        <f t="shared" si="58"/>
        <v>2015</v>
      </c>
      <c r="AR98" s="356">
        <v>42248</v>
      </c>
      <c r="AS98" s="4">
        <f t="shared" si="59"/>
        <v>8.19</v>
      </c>
      <c r="AT98" s="4">
        <v>8.2899999999999991</v>
      </c>
      <c r="AU98" s="4">
        <v>8.09</v>
      </c>
      <c r="AV98" s="515">
        <f t="shared" si="66"/>
        <v>2022</v>
      </c>
      <c r="AW98" s="535">
        <v>44621</v>
      </c>
      <c r="AX98" s="515">
        <f t="shared" si="52"/>
        <v>3.24</v>
      </c>
      <c r="AY98" s="596">
        <f>'[12]Forward Price Curve'!AE179</f>
        <v>3.2069999999999999</v>
      </c>
      <c r="AZ98" s="596">
        <f>'[12]Forward Price Curve'!AD179</f>
        <v>3.2730000000000001</v>
      </c>
      <c r="BA98" s="629">
        <f t="shared" si="67"/>
        <v>2025</v>
      </c>
      <c r="BB98" s="633">
        <v>45717</v>
      </c>
      <c r="BC98" s="629">
        <f t="shared" si="55"/>
        <v>3.83</v>
      </c>
      <c r="BD98" s="634">
        <f>[13]Prices!AO95</f>
        <v>3.9975999999999998</v>
      </c>
      <c r="BE98" s="634">
        <f>[13]Prices!AP95</f>
        <v>3.6623999999999999</v>
      </c>
    </row>
    <row r="99" spans="20:57">
      <c r="T99" s="4">
        <f t="shared" si="60"/>
        <v>2013</v>
      </c>
      <c r="U99" s="434">
        <f t="shared" si="31"/>
        <v>41275</v>
      </c>
      <c r="V99" s="150">
        <v>66.114999999999995</v>
      </c>
      <c r="W99" s="150">
        <v>56.647500000000001</v>
      </c>
      <c r="X99" s="357">
        <f t="shared" si="64"/>
        <v>62.043974999999989</v>
      </c>
      <c r="Y99" s="343">
        <v>416</v>
      </c>
      <c r="Z99" s="343">
        <v>328</v>
      </c>
      <c r="AA99" s="343">
        <f t="shared" si="61"/>
        <v>0.55913978494623651</v>
      </c>
      <c r="AB99" s="343">
        <f t="shared" si="62"/>
        <v>0.44086021505376344</v>
      </c>
      <c r="AF99" s="4">
        <f t="shared" si="65"/>
        <v>2013</v>
      </c>
      <c r="AG99" s="432">
        <f t="shared" si="68"/>
        <v>41275</v>
      </c>
      <c r="AH99" s="149">
        <f t="shared" si="63"/>
        <v>8.1114161976617716</v>
      </c>
      <c r="AI99" s="150">
        <v>8.1114161976617716</v>
      </c>
      <c r="AK99" s="4">
        <f t="shared" si="56"/>
        <v>2011</v>
      </c>
      <c r="AL99" s="432">
        <v>40877</v>
      </c>
      <c r="AM99" s="4">
        <f t="shared" si="57"/>
        <v>4.4600000000000009</v>
      </c>
      <c r="AN99" s="4">
        <v>4.4800000000000004</v>
      </c>
      <c r="AO99" s="4">
        <v>4.4400000000000004</v>
      </c>
      <c r="AQ99" s="4">
        <f t="shared" si="58"/>
        <v>2015</v>
      </c>
      <c r="AR99" s="356">
        <v>42278</v>
      </c>
      <c r="AS99" s="4">
        <f t="shared" si="59"/>
        <v>8.504999999999999</v>
      </c>
      <c r="AT99" s="4">
        <v>8.5399999999999991</v>
      </c>
      <c r="AU99" s="4">
        <v>8.4700000000000006</v>
      </c>
      <c r="AV99" s="515">
        <f t="shared" si="66"/>
        <v>2022</v>
      </c>
      <c r="AW99" s="535">
        <v>44652</v>
      </c>
      <c r="AX99" s="515">
        <f t="shared" si="52"/>
        <v>2.6154500000000001</v>
      </c>
      <c r="AY99" s="596">
        <f>'[12]Forward Price Curve'!AE180</f>
        <v>2.7353999999999998</v>
      </c>
      <c r="AZ99" s="596">
        <f>'[12]Forward Price Curve'!AD180</f>
        <v>2.4954999999999998</v>
      </c>
      <c r="BA99" s="629">
        <f t="shared" si="67"/>
        <v>2025</v>
      </c>
      <c r="BB99" s="633">
        <v>45748</v>
      </c>
      <c r="BC99" s="629">
        <f t="shared" si="55"/>
        <v>3.5785499999999999</v>
      </c>
      <c r="BD99" s="634">
        <f>[13]Prices!AO96</f>
        <v>3.7913000000000001</v>
      </c>
      <c r="BE99" s="634">
        <f>[13]Prices!AP96</f>
        <v>3.3658000000000001</v>
      </c>
    </row>
    <row r="100" spans="20:57">
      <c r="T100" s="4">
        <f t="shared" si="60"/>
        <v>2013</v>
      </c>
      <c r="U100" s="434">
        <f t="shared" si="31"/>
        <v>41306</v>
      </c>
      <c r="V100" s="150">
        <v>61.475000000000001</v>
      </c>
      <c r="W100" s="150">
        <v>54.182499999999997</v>
      </c>
      <c r="X100" s="357">
        <f t="shared" si="64"/>
        <v>58.339224999999999</v>
      </c>
      <c r="Y100" s="343">
        <v>384</v>
      </c>
      <c r="Z100" s="343">
        <v>288</v>
      </c>
      <c r="AA100" s="343">
        <f t="shared" si="61"/>
        <v>0.5714285714285714</v>
      </c>
      <c r="AB100" s="343">
        <f t="shared" si="62"/>
        <v>0.42857142857142855</v>
      </c>
      <c r="AF100" s="4">
        <f t="shared" si="65"/>
        <v>2013</v>
      </c>
      <c r="AG100" s="432">
        <f t="shared" si="68"/>
        <v>41306</v>
      </c>
      <c r="AH100" s="149">
        <f t="shared" si="63"/>
        <v>7.8763891007340963</v>
      </c>
      <c r="AI100" s="150">
        <v>7.8763891007340963</v>
      </c>
      <c r="AK100" s="4">
        <f t="shared" si="56"/>
        <v>2011</v>
      </c>
      <c r="AL100" s="432">
        <v>40908</v>
      </c>
      <c r="AM100" s="4">
        <f t="shared" si="57"/>
        <v>4.6850000000000005</v>
      </c>
      <c r="AN100" s="4">
        <v>4.67</v>
      </c>
      <c r="AO100" s="4">
        <v>4.7</v>
      </c>
      <c r="AQ100" s="4">
        <f t="shared" si="58"/>
        <v>2015</v>
      </c>
      <c r="AR100" s="356">
        <v>42309</v>
      </c>
      <c r="AS100" s="4">
        <f t="shared" si="59"/>
        <v>8.625</v>
      </c>
      <c r="AT100" s="4">
        <v>8.66</v>
      </c>
      <c r="AU100" s="4">
        <v>8.59</v>
      </c>
      <c r="AV100" s="515">
        <f t="shared" si="66"/>
        <v>2022</v>
      </c>
      <c r="AW100" s="535">
        <v>44682</v>
      </c>
      <c r="AX100" s="515">
        <f t="shared" si="52"/>
        <v>2.5884999999999998</v>
      </c>
      <c r="AY100" s="596">
        <f>'[12]Forward Price Curve'!AE181</f>
        <v>2.7235</v>
      </c>
      <c r="AZ100" s="596">
        <f>'[12]Forward Price Curve'!AD181</f>
        <v>2.4535</v>
      </c>
      <c r="BA100" s="629">
        <f t="shared" si="67"/>
        <v>2025</v>
      </c>
      <c r="BB100" s="633">
        <v>45778</v>
      </c>
      <c r="BC100" s="629">
        <f t="shared" si="55"/>
        <v>3.5720999999999998</v>
      </c>
      <c r="BD100" s="634">
        <f>[13]Prices!AO97</f>
        <v>3.7913000000000001</v>
      </c>
      <c r="BE100" s="634">
        <f>[13]Prices!AP97</f>
        <v>3.3529</v>
      </c>
    </row>
    <row r="101" spans="20:57">
      <c r="T101" s="4">
        <f t="shared" si="60"/>
        <v>2013</v>
      </c>
      <c r="U101" s="434">
        <f t="shared" si="31"/>
        <v>41334</v>
      </c>
      <c r="V101" s="150">
        <v>55.774999999999999</v>
      </c>
      <c r="W101" s="150">
        <v>50.08</v>
      </c>
      <c r="X101" s="357">
        <f t="shared" si="64"/>
        <v>53.326149999999998</v>
      </c>
      <c r="Y101" s="343">
        <v>416</v>
      </c>
      <c r="Z101" s="343">
        <v>328</v>
      </c>
      <c r="AA101" s="343">
        <f t="shared" si="61"/>
        <v>0.55913978494623651</v>
      </c>
      <c r="AB101" s="343">
        <f t="shared" si="62"/>
        <v>0.44086021505376344</v>
      </c>
      <c r="AF101" s="4">
        <f t="shared" si="65"/>
        <v>2013</v>
      </c>
      <c r="AG101" s="432">
        <f t="shared" si="68"/>
        <v>41334</v>
      </c>
      <c r="AH101" s="149">
        <f t="shared" si="63"/>
        <v>7.5395614634312125</v>
      </c>
      <c r="AI101" s="150">
        <v>7.5395614634312125</v>
      </c>
      <c r="AK101" s="4">
        <f t="shared" si="56"/>
        <v>2012</v>
      </c>
      <c r="AL101" s="432">
        <v>40939</v>
      </c>
      <c r="AM101" s="4">
        <f t="shared" si="57"/>
        <v>5.08</v>
      </c>
      <c r="AN101" s="4">
        <v>5.03</v>
      </c>
      <c r="AO101" s="4">
        <v>5.13</v>
      </c>
      <c r="AQ101" s="4">
        <f t="shared" si="58"/>
        <v>2015</v>
      </c>
      <c r="AR101" s="356">
        <v>42339</v>
      </c>
      <c r="AS101" s="4">
        <f t="shared" si="59"/>
        <v>9.0599999999999987</v>
      </c>
      <c r="AT101" s="4">
        <v>9.0299999999999994</v>
      </c>
      <c r="AU101" s="4">
        <v>9.09</v>
      </c>
      <c r="AV101" s="515">
        <f t="shared" si="66"/>
        <v>2022</v>
      </c>
      <c r="AW101" s="535">
        <v>44713</v>
      </c>
      <c r="AX101" s="515">
        <f t="shared" si="52"/>
        <v>2.6103500000000004</v>
      </c>
      <c r="AY101" s="596">
        <f>'[12]Forward Price Curve'!AE182</f>
        <v>2.7602000000000002</v>
      </c>
      <c r="AZ101" s="596">
        <f>'[12]Forward Price Curve'!AD182</f>
        <v>2.4605000000000001</v>
      </c>
      <c r="BA101" s="629">
        <f t="shared" si="67"/>
        <v>2025</v>
      </c>
      <c r="BB101" s="633">
        <v>45809</v>
      </c>
      <c r="BC101" s="629">
        <f t="shared" si="55"/>
        <v>3.6172</v>
      </c>
      <c r="BD101" s="634">
        <f>[13]Prices!AO98</f>
        <v>3.8041999999999998</v>
      </c>
      <c r="BE101" s="634">
        <f>[13]Prices!AP98</f>
        <v>3.4302000000000001</v>
      </c>
    </row>
    <row r="102" spans="20:57">
      <c r="T102" s="4">
        <f t="shared" si="60"/>
        <v>2013</v>
      </c>
      <c r="U102" s="434">
        <f t="shared" si="31"/>
        <v>41365</v>
      </c>
      <c r="V102" s="150">
        <v>45.164999999999999</v>
      </c>
      <c r="W102" s="150">
        <v>37.585000000000001</v>
      </c>
      <c r="X102" s="357">
        <f t="shared" si="64"/>
        <v>41.9056</v>
      </c>
      <c r="Y102" s="343">
        <v>416</v>
      </c>
      <c r="Z102" s="343">
        <v>304</v>
      </c>
      <c r="AA102" s="343">
        <f t="shared" si="61"/>
        <v>0.57777777777777772</v>
      </c>
      <c r="AB102" s="343">
        <f t="shared" si="62"/>
        <v>0.42222222222222222</v>
      </c>
      <c r="AF102" s="4">
        <f t="shared" si="65"/>
        <v>2013</v>
      </c>
      <c r="AG102" s="432">
        <f t="shared" si="68"/>
        <v>41365</v>
      </c>
      <c r="AH102" s="149">
        <f t="shared" si="63"/>
        <v>6.1602972301522581</v>
      </c>
      <c r="AI102" s="150">
        <v>6.1602972301522581</v>
      </c>
      <c r="AK102" s="4">
        <f t="shared" si="56"/>
        <v>2012</v>
      </c>
      <c r="AL102" s="432">
        <v>40968</v>
      </c>
      <c r="AM102" s="4">
        <f t="shared" si="57"/>
        <v>4.7249999999999996</v>
      </c>
      <c r="AN102" s="4">
        <v>4.71</v>
      </c>
      <c r="AO102" s="4">
        <v>4.74</v>
      </c>
      <c r="AQ102" s="4">
        <f t="shared" si="58"/>
        <v>2016</v>
      </c>
      <c r="AR102" s="356">
        <v>42370</v>
      </c>
      <c r="AS102" s="4">
        <f t="shared" si="59"/>
        <v>10.254999999999999</v>
      </c>
      <c r="AT102" s="4">
        <v>10.15</v>
      </c>
      <c r="AU102" s="4">
        <v>10.36</v>
      </c>
      <c r="AV102" s="515">
        <f t="shared" si="66"/>
        <v>2022</v>
      </c>
      <c r="AW102" s="535">
        <v>44743</v>
      </c>
      <c r="AX102" s="515">
        <f t="shared" si="52"/>
        <v>2.75305</v>
      </c>
      <c r="AY102" s="596">
        <f>'[12]Forward Price Curve'!AE183</f>
        <v>2.8475999999999999</v>
      </c>
      <c r="AZ102" s="596">
        <f>'[12]Forward Price Curve'!AD183</f>
        <v>2.6585000000000001</v>
      </c>
      <c r="BA102" s="629">
        <f t="shared" si="67"/>
        <v>2025</v>
      </c>
      <c r="BB102" s="633">
        <v>45839</v>
      </c>
      <c r="BC102" s="629">
        <f t="shared" si="55"/>
        <v>3.7268499999999998</v>
      </c>
      <c r="BD102" s="634">
        <f>[13]Prices!AO99</f>
        <v>3.8557999999999999</v>
      </c>
      <c r="BE102" s="634">
        <f>[13]Prices!AP99</f>
        <v>3.5979000000000001</v>
      </c>
    </row>
    <row r="103" spans="20:57">
      <c r="T103" s="4">
        <f t="shared" si="60"/>
        <v>2013</v>
      </c>
      <c r="U103" s="434">
        <f t="shared" si="31"/>
        <v>41395</v>
      </c>
      <c r="V103" s="150">
        <v>39.47</v>
      </c>
      <c r="W103" s="150">
        <v>29.31</v>
      </c>
      <c r="X103" s="357">
        <f t="shared" si="64"/>
        <v>35.101199999999999</v>
      </c>
      <c r="Y103" s="343">
        <v>416</v>
      </c>
      <c r="Z103" s="343">
        <v>328</v>
      </c>
      <c r="AA103" s="343">
        <f t="shared" si="61"/>
        <v>0.55913978494623651</v>
      </c>
      <c r="AB103" s="343">
        <f t="shared" si="62"/>
        <v>0.44086021505376344</v>
      </c>
      <c r="AF103" s="4">
        <f t="shared" si="65"/>
        <v>2013</v>
      </c>
      <c r="AG103" s="432">
        <f t="shared" si="68"/>
        <v>41395</v>
      </c>
      <c r="AH103" s="149">
        <f t="shared" si="63"/>
        <v>6.0300024571778135</v>
      </c>
      <c r="AI103" s="150">
        <v>6.0300024571778135</v>
      </c>
      <c r="AK103" s="4">
        <f t="shared" si="56"/>
        <v>2012</v>
      </c>
      <c r="AL103" s="432">
        <v>40999</v>
      </c>
      <c r="AM103" s="4">
        <f t="shared" si="57"/>
        <v>4.43</v>
      </c>
      <c r="AN103" s="4">
        <v>4.45</v>
      </c>
      <c r="AO103" s="4">
        <v>4.41</v>
      </c>
      <c r="AQ103" s="4">
        <f t="shared" si="58"/>
        <v>2016</v>
      </c>
      <c r="AR103" s="356">
        <v>42401</v>
      </c>
      <c r="AS103" s="4">
        <f t="shared" si="59"/>
        <v>9.5399999999999991</v>
      </c>
      <c r="AT103" s="4">
        <v>9.51</v>
      </c>
      <c r="AU103" s="4">
        <v>9.57</v>
      </c>
      <c r="AV103" s="515">
        <f t="shared" si="66"/>
        <v>2022</v>
      </c>
      <c r="AW103" s="535">
        <v>44774</v>
      </c>
      <c r="AX103" s="515">
        <f t="shared" si="52"/>
        <v>2.7826</v>
      </c>
      <c r="AY103" s="596">
        <f>'[12]Forward Price Curve'!AE184</f>
        <v>2.9032</v>
      </c>
      <c r="AZ103" s="596">
        <f>'[12]Forward Price Curve'!AD184</f>
        <v>2.6619999999999999</v>
      </c>
      <c r="BA103" s="629">
        <f t="shared" si="67"/>
        <v>2025</v>
      </c>
      <c r="BB103" s="633">
        <v>45870</v>
      </c>
      <c r="BC103" s="629">
        <f t="shared" si="55"/>
        <v>3.7655500000000002</v>
      </c>
      <c r="BD103" s="634">
        <f>[13]Prices!AO100</f>
        <v>3.8944999999999999</v>
      </c>
      <c r="BE103" s="634">
        <f>[13]Prices!AP100</f>
        <v>3.6366000000000001</v>
      </c>
    </row>
    <row r="104" spans="20:57">
      <c r="T104" s="4">
        <f t="shared" si="60"/>
        <v>2013</v>
      </c>
      <c r="U104" s="434">
        <f t="shared" ref="U104:U167" si="69">EOMONTH(U103,0)+1</f>
        <v>41426</v>
      </c>
      <c r="V104" s="150">
        <v>38.975000000000001</v>
      </c>
      <c r="W104" s="150">
        <v>28.164999999999999</v>
      </c>
      <c r="X104" s="357">
        <f t="shared" si="64"/>
        <v>34.326700000000002</v>
      </c>
      <c r="Y104" s="343">
        <v>400</v>
      </c>
      <c r="Z104" s="343">
        <v>320</v>
      </c>
      <c r="AA104" s="343">
        <f t="shared" si="61"/>
        <v>0.55555555555555558</v>
      </c>
      <c r="AB104" s="343">
        <f t="shared" si="62"/>
        <v>0.44444444444444442</v>
      </c>
      <c r="AF104" s="4">
        <f t="shared" si="65"/>
        <v>2013</v>
      </c>
      <c r="AG104" s="432">
        <f t="shared" si="68"/>
        <v>41426</v>
      </c>
      <c r="AH104" s="149">
        <f t="shared" si="63"/>
        <v>6.1262401542958136</v>
      </c>
      <c r="AI104" s="150">
        <v>6.1262401542958136</v>
      </c>
      <c r="AK104" s="4">
        <f t="shared" si="56"/>
        <v>2012</v>
      </c>
      <c r="AL104" s="432">
        <v>41029</v>
      </c>
      <c r="AM104" s="4">
        <f t="shared" si="57"/>
        <v>4.1449999999999996</v>
      </c>
      <c r="AN104" s="4">
        <v>4.2</v>
      </c>
      <c r="AO104" s="4">
        <v>4.09</v>
      </c>
      <c r="AQ104" s="4">
        <f t="shared" si="58"/>
        <v>2016</v>
      </c>
      <c r="AR104" s="356">
        <v>42430</v>
      </c>
      <c r="AS104" s="4">
        <f t="shared" si="59"/>
        <v>8.9499999999999993</v>
      </c>
      <c r="AT104" s="4">
        <v>8.99</v>
      </c>
      <c r="AU104" s="4">
        <v>8.91</v>
      </c>
      <c r="AV104" s="515">
        <f t="shared" si="66"/>
        <v>2022</v>
      </c>
      <c r="AW104" s="535">
        <v>44805</v>
      </c>
      <c r="AX104" s="515">
        <f t="shared" si="52"/>
        <v>2.8175499999999998</v>
      </c>
      <c r="AY104" s="596">
        <f>'[12]Forward Price Curve'!AE185</f>
        <v>2.9106000000000001</v>
      </c>
      <c r="AZ104" s="596">
        <f>'[12]Forward Price Curve'!AD185</f>
        <v>2.7244999999999999</v>
      </c>
      <c r="BA104" s="629">
        <f t="shared" si="67"/>
        <v>2025</v>
      </c>
      <c r="BB104" s="633">
        <v>45901</v>
      </c>
      <c r="BC104" s="629">
        <f t="shared" si="55"/>
        <v>3.75265</v>
      </c>
      <c r="BD104" s="634">
        <f>[13]Prices!AO101</f>
        <v>3.9460999999999999</v>
      </c>
      <c r="BE104" s="634">
        <f>[13]Prices!AP101</f>
        <v>3.5592000000000001</v>
      </c>
    </row>
    <row r="105" spans="20:57">
      <c r="T105" s="4">
        <f t="shared" si="60"/>
        <v>2013</v>
      </c>
      <c r="U105" s="434">
        <f t="shared" si="69"/>
        <v>41456</v>
      </c>
      <c r="V105" s="150">
        <v>54.77</v>
      </c>
      <c r="W105" s="150">
        <v>44.465000000000003</v>
      </c>
      <c r="X105" s="357">
        <f t="shared" si="64"/>
        <v>50.338850000000001</v>
      </c>
      <c r="Y105" s="343">
        <v>416</v>
      </c>
      <c r="Z105" s="343">
        <v>328</v>
      </c>
      <c r="AA105" s="343">
        <f t="shared" si="61"/>
        <v>0.55913978494623651</v>
      </c>
      <c r="AB105" s="343">
        <f t="shared" si="62"/>
        <v>0.44086021505376344</v>
      </c>
      <c r="AF105" s="4">
        <f t="shared" si="65"/>
        <v>2013</v>
      </c>
      <c r="AG105" s="432">
        <f t="shared" si="68"/>
        <v>41456</v>
      </c>
      <c r="AH105" s="149">
        <f t="shared" si="63"/>
        <v>6.2436188961392061</v>
      </c>
      <c r="AI105" s="150">
        <v>6.2436188961392061</v>
      </c>
      <c r="AK105" s="4">
        <f t="shared" si="56"/>
        <v>2012</v>
      </c>
      <c r="AL105" s="432">
        <v>41060</v>
      </c>
      <c r="AM105" s="4">
        <f t="shared" si="57"/>
        <v>4.1449999999999996</v>
      </c>
      <c r="AN105" s="4">
        <v>4.2</v>
      </c>
      <c r="AO105" s="4">
        <v>4.09</v>
      </c>
      <c r="AQ105" s="4">
        <f t="shared" si="58"/>
        <v>2016</v>
      </c>
      <c r="AR105" s="356">
        <v>42461</v>
      </c>
      <c r="AS105" s="4">
        <f t="shared" si="59"/>
        <v>8.370000000000001</v>
      </c>
      <c r="AT105" s="4">
        <v>8.48</v>
      </c>
      <c r="AU105" s="4">
        <v>8.26</v>
      </c>
      <c r="AV105" s="515">
        <f t="shared" si="66"/>
        <v>2022</v>
      </c>
      <c r="AW105" s="535">
        <v>44835</v>
      </c>
      <c r="AX105" s="515">
        <f t="shared" si="52"/>
        <v>2.84945</v>
      </c>
      <c r="AY105" s="596">
        <f>'[12]Forward Price Curve'!AE186</f>
        <v>2.9424000000000001</v>
      </c>
      <c r="AZ105" s="596">
        <f>'[12]Forward Price Curve'!AD186</f>
        <v>2.7565</v>
      </c>
      <c r="BA105" s="629">
        <f t="shared" si="67"/>
        <v>2025</v>
      </c>
      <c r="BB105" s="633">
        <v>45931</v>
      </c>
      <c r="BC105" s="629">
        <f t="shared" si="55"/>
        <v>3.7719499999999999</v>
      </c>
      <c r="BD105" s="634">
        <f>[13]Prices!AO102</f>
        <v>3.9588999999999999</v>
      </c>
      <c r="BE105" s="634">
        <f>[13]Prices!AP102</f>
        <v>3.585</v>
      </c>
    </row>
    <row r="106" spans="20:57">
      <c r="T106" s="4">
        <f t="shared" si="60"/>
        <v>2013</v>
      </c>
      <c r="U106" s="434">
        <f t="shared" si="69"/>
        <v>41487</v>
      </c>
      <c r="V106" s="150">
        <v>62.41</v>
      </c>
      <c r="W106" s="150">
        <v>50.564999999999998</v>
      </c>
      <c r="X106" s="357">
        <f t="shared" si="64"/>
        <v>57.316649999999996</v>
      </c>
      <c r="Y106" s="343">
        <v>432</v>
      </c>
      <c r="Z106" s="343">
        <v>312</v>
      </c>
      <c r="AA106" s="343">
        <f t="shared" si="61"/>
        <v>0.58064516129032262</v>
      </c>
      <c r="AB106" s="343">
        <f t="shared" si="62"/>
        <v>0.41935483870967744</v>
      </c>
      <c r="AF106" s="4">
        <f t="shared" si="65"/>
        <v>2013</v>
      </c>
      <c r="AG106" s="432">
        <f t="shared" si="68"/>
        <v>41487</v>
      </c>
      <c r="AH106" s="149">
        <f t="shared" si="63"/>
        <v>6.2918971893692222</v>
      </c>
      <c r="AI106" s="150">
        <v>6.2918971893692222</v>
      </c>
      <c r="AK106" s="4">
        <f t="shared" si="56"/>
        <v>2012</v>
      </c>
      <c r="AL106" s="432">
        <v>41090</v>
      </c>
      <c r="AM106" s="4">
        <f t="shared" si="57"/>
        <v>4.2050000000000001</v>
      </c>
      <c r="AN106" s="4">
        <v>4.26</v>
      </c>
      <c r="AO106" s="4">
        <v>4.1500000000000004</v>
      </c>
      <c r="AQ106" s="4">
        <f t="shared" si="58"/>
        <v>2016</v>
      </c>
      <c r="AR106" s="356">
        <v>42491</v>
      </c>
      <c r="AS106" s="4">
        <f t="shared" si="59"/>
        <v>8.370000000000001</v>
      </c>
      <c r="AT106" s="4">
        <v>8.48</v>
      </c>
      <c r="AU106" s="4">
        <v>8.26</v>
      </c>
      <c r="AV106" s="515">
        <f t="shared" si="66"/>
        <v>2022</v>
      </c>
      <c r="AW106" s="535">
        <v>44866</v>
      </c>
      <c r="AX106" s="515">
        <f t="shared" si="52"/>
        <v>3.4505499999999998</v>
      </c>
      <c r="AY106" s="596">
        <f>'[12]Forward Price Curve'!AE187</f>
        <v>3.4407999999999999</v>
      </c>
      <c r="AZ106" s="596">
        <f>'[12]Forward Price Curve'!AD187</f>
        <v>3.4603000000000002</v>
      </c>
      <c r="BA106" s="629">
        <f t="shared" si="67"/>
        <v>2025</v>
      </c>
      <c r="BB106" s="633">
        <v>45962</v>
      </c>
      <c r="BC106" s="629">
        <f t="shared" si="55"/>
        <v>3.9589500000000002</v>
      </c>
      <c r="BD106" s="634">
        <f>[13]Prices!AO103</f>
        <v>4.1653000000000002</v>
      </c>
      <c r="BE106" s="634">
        <f>[13]Prices!AP103</f>
        <v>3.7526000000000002</v>
      </c>
    </row>
    <row r="107" spans="20:57">
      <c r="T107" s="4">
        <f t="shared" si="60"/>
        <v>2013</v>
      </c>
      <c r="U107" s="434">
        <f t="shared" si="69"/>
        <v>41518</v>
      </c>
      <c r="V107" s="150">
        <v>61.34</v>
      </c>
      <c r="W107" s="150">
        <v>48.44</v>
      </c>
      <c r="X107" s="357">
        <f t="shared" si="64"/>
        <v>55.792999999999999</v>
      </c>
      <c r="Y107" s="343">
        <v>384</v>
      </c>
      <c r="Z107" s="343">
        <v>336</v>
      </c>
      <c r="AA107" s="343">
        <f t="shared" si="61"/>
        <v>0.53333333333333333</v>
      </c>
      <c r="AB107" s="343">
        <f t="shared" si="62"/>
        <v>0.46666666666666667</v>
      </c>
      <c r="AF107" s="4">
        <f t="shared" si="65"/>
        <v>2013</v>
      </c>
      <c r="AG107" s="432">
        <f t="shared" si="68"/>
        <v>41518</v>
      </c>
      <c r="AH107" s="149">
        <f t="shared" si="63"/>
        <v>6.3305198307504087</v>
      </c>
      <c r="AI107" s="150">
        <v>6.3305198307504087</v>
      </c>
      <c r="AK107" s="4">
        <f t="shared" si="56"/>
        <v>2012</v>
      </c>
      <c r="AL107" s="432">
        <v>41121</v>
      </c>
      <c r="AM107" s="4">
        <f t="shared" si="57"/>
        <v>4.2750000000000004</v>
      </c>
      <c r="AN107" s="4">
        <v>4.33</v>
      </c>
      <c r="AO107" s="4">
        <v>4.22</v>
      </c>
      <c r="AQ107" s="4">
        <f t="shared" si="58"/>
        <v>2016</v>
      </c>
      <c r="AR107" s="356">
        <v>42522</v>
      </c>
      <c r="AS107" s="4">
        <f t="shared" si="59"/>
        <v>8.5</v>
      </c>
      <c r="AT107" s="4">
        <v>8.61</v>
      </c>
      <c r="AU107" s="4">
        <v>8.39</v>
      </c>
      <c r="AV107" s="515">
        <f t="shared" si="66"/>
        <v>2022</v>
      </c>
      <c r="AW107" s="535">
        <v>44896</v>
      </c>
      <c r="AX107" s="515">
        <f t="shared" si="52"/>
        <v>3.7126000000000001</v>
      </c>
      <c r="AY107" s="596">
        <f>'[12]Forward Price Curve'!AE188</f>
        <v>3.6334</v>
      </c>
      <c r="AZ107" s="596">
        <f>'[12]Forward Price Curve'!AD188</f>
        <v>3.7917999999999998</v>
      </c>
      <c r="BA107" s="629">
        <f t="shared" si="67"/>
        <v>2025</v>
      </c>
      <c r="BB107" s="633">
        <v>45992</v>
      </c>
      <c r="BC107" s="629">
        <f t="shared" si="55"/>
        <v>4.2362000000000002</v>
      </c>
      <c r="BD107" s="634">
        <f>[13]Prices!AO104</f>
        <v>4.3715999999999999</v>
      </c>
      <c r="BE107" s="634">
        <f>[13]Prices!AP104</f>
        <v>4.1007999999999996</v>
      </c>
    </row>
    <row r="108" spans="20:57">
      <c r="T108" s="4">
        <f t="shared" si="60"/>
        <v>2013</v>
      </c>
      <c r="U108" s="434">
        <f t="shared" si="69"/>
        <v>41548</v>
      </c>
      <c r="V108" s="150">
        <v>52.99</v>
      </c>
      <c r="W108" s="150">
        <v>44.39</v>
      </c>
      <c r="X108" s="357">
        <f t="shared" si="64"/>
        <v>49.292000000000002</v>
      </c>
      <c r="Y108" s="343">
        <v>432</v>
      </c>
      <c r="Z108" s="343">
        <v>312</v>
      </c>
      <c r="AA108" s="343">
        <f t="shared" si="61"/>
        <v>0.58064516129032262</v>
      </c>
      <c r="AB108" s="343">
        <f t="shared" si="62"/>
        <v>0.41935483870967744</v>
      </c>
      <c r="AF108" s="4">
        <f t="shared" si="65"/>
        <v>2013</v>
      </c>
      <c r="AG108" s="432">
        <f t="shared" si="68"/>
        <v>41548</v>
      </c>
      <c r="AH108" s="149">
        <f t="shared" si="63"/>
        <v>6.4159434475258292</v>
      </c>
      <c r="AI108" s="150">
        <v>6.4159434475258292</v>
      </c>
      <c r="AK108" s="4">
        <f t="shared" si="56"/>
        <v>2012</v>
      </c>
      <c r="AL108" s="432">
        <v>41152</v>
      </c>
      <c r="AM108" s="4">
        <f t="shared" si="57"/>
        <v>4.2750000000000004</v>
      </c>
      <c r="AN108" s="4">
        <v>4.33</v>
      </c>
      <c r="AO108" s="4">
        <v>4.22</v>
      </c>
      <c r="AQ108" s="4">
        <f t="shared" si="58"/>
        <v>2016</v>
      </c>
      <c r="AR108" s="356">
        <v>42552</v>
      </c>
      <c r="AS108" s="4">
        <f t="shared" si="59"/>
        <v>8.629999999999999</v>
      </c>
      <c r="AT108" s="4">
        <v>8.74</v>
      </c>
      <c r="AU108" s="4">
        <v>8.52</v>
      </c>
      <c r="AV108" s="515">
        <f t="shared" si="66"/>
        <v>2023</v>
      </c>
      <c r="AW108" s="535">
        <v>44927</v>
      </c>
      <c r="AX108" s="515">
        <f t="shared" si="52"/>
        <v>3.85955</v>
      </c>
      <c r="AY108" s="596">
        <f>'[12]Forward Price Curve'!AE189</f>
        <v>3.843</v>
      </c>
      <c r="AZ108" s="596">
        <f>'[12]Forward Price Curve'!AD189</f>
        <v>3.8761000000000001</v>
      </c>
      <c r="BA108" s="629">
        <f t="shared" si="67"/>
        <v>2026</v>
      </c>
      <c r="BB108" s="633">
        <v>46023</v>
      </c>
      <c r="BC108" s="629">
        <f t="shared" si="55"/>
        <v>4.2790999999999997</v>
      </c>
      <c r="BD108" s="634">
        <f>[13]Prices!AO105</f>
        <v>4.3975999999999997</v>
      </c>
      <c r="BE108" s="634">
        <f>[13]Prices!AP105</f>
        <v>4.1605999999999996</v>
      </c>
    </row>
    <row r="109" spans="20:57">
      <c r="T109" s="4">
        <f t="shared" si="60"/>
        <v>2013</v>
      </c>
      <c r="U109" s="434">
        <f t="shared" si="69"/>
        <v>41579</v>
      </c>
      <c r="V109" s="150">
        <v>56.62</v>
      </c>
      <c r="W109" s="150">
        <v>48.93</v>
      </c>
      <c r="X109" s="357">
        <f t="shared" si="64"/>
        <v>53.313299999999998</v>
      </c>
      <c r="Y109" s="343">
        <v>400</v>
      </c>
      <c r="Z109" s="343">
        <v>320</v>
      </c>
      <c r="AA109" s="343">
        <f t="shared" si="61"/>
        <v>0.55555555555555558</v>
      </c>
      <c r="AB109" s="343">
        <f t="shared" si="62"/>
        <v>0.44444444444444442</v>
      </c>
      <c r="AF109" s="4">
        <f t="shared" si="65"/>
        <v>2013</v>
      </c>
      <c r="AG109" s="432">
        <f t="shared" si="68"/>
        <v>41579</v>
      </c>
      <c r="AH109" s="149">
        <f t="shared" si="63"/>
        <v>6.5111038607939093</v>
      </c>
      <c r="AI109" s="150">
        <v>6.5111038607939093</v>
      </c>
      <c r="AK109" s="4">
        <f t="shared" si="56"/>
        <v>2012</v>
      </c>
      <c r="AL109" s="432">
        <v>41182</v>
      </c>
      <c r="AM109" s="4">
        <f t="shared" si="57"/>
        <v>4.2750000000000004</v>
      </c>
      <c r="AN109" s="4">
        <v>4.33</v>
      </c>
      <c r="AO109" s="4">
        <v>4.22</v>
      </c>
      <c r="AQ109" s="4">
        <f t="shared" si="58"/>
        <v>2016</v>
      </c>
      <c r="AR109" s="356">
        <v>42583</v>
      </c>
      <c r="AS109" s="4">
        <f t="shared" si="59"/>
        <v>8.629999999999999</v>
      </c>
      <c r="AT109" s="4">
        <v>8.74</v>
      </c>
      <c r="AU109" s="4">
        <v>8.52</v>
      </c>
      <c r="AV109" s="515">
        <f t="shared" si="66"/>
        <v>2023</v>
      </c>
      <c r="AW109" s="535">
        <v>44958</v>
      </c>
      <c r="AX109" s="515">
        <f t="shared" si="52"/>
        <v>3.7744999999999997</v>
      </c>
      <c r="AY109" s="596">
        <f>'[12]Forward Price Curve'!AE190</f>
        <v>3.7829999999999999</v>
      </c>
      <c r="AZ109" s="596">
        <f>'[12]Forward Price Curve'!AD190</f>
        <v>3.766</v>
      </c>
      <c r="BA109" s="629">
        <f t="shared" si="67"/>
        <v>2026</v>
      </c>
      <c r="BB109" s="633">
        <v>46054</v>
      </c>
      <c r="BC109" s="629">
        <f t="shared" si="55"/>
        <v>4.2922499999999992</v>
      </c>
      <c r="BD109" s="634">
        <f>[13]Prices!AO106</f>
        <v>4.4238999999999997</v>
      </c>
      <c r="BE109" s="634">
        <f>[13]Prices!AP106</f>
        <v>4.1605999999999996</v>
      </c>
    </row>
    <row r="110" spans="20:57">
      <c r="T110" s="4">
        <f t="shared" si="60"/>
        <v>2013</v>
      </c>
      <c r="U110" s="434">
        <f t="shared" si="69"/>
        <v>41609</v>
      </c>
      <c r="V110" s="150">
        <v>57.73</v>
      </c>
      <c r="W110" s="150">
        <v>48.37</v>
      </c>
      <c r="X110" s="357">
        <f t="shared" si="64"/>
        <v>53.705199999999991</v>
      </c>
      <c r="Y110" s="343">
        <v>400</v>
      </c>
      <c r="Z110" s="343">
        <v>344</v>
      </c>
      <c r="AA110" s="343">
        <f t="shared" si="61"/>
        <v>0.5376344086021505</v>
      </c>
      <c r="AB110" s="343">
        <f t="shared" si="62"/>
        <v>0.46236559139784944</v>
      </c>
      <c r="AF110" s="4">
        <f t="shared" si="65"/>
        <v>2013</v>
      </c>
      <c r="AG110" s="432">
        <f t="shared" si="68"/>
        <v>41609</v>
      </c>
      <c r="AH110" s="149">
        <f t="shared" si="63"/>
        <v>6.8169766177270263</v>
      </c>
      <c r="AI110" s="150">
        <v>6.8169766177270263</v>
      </c>
      <c r="AK110" s="4">
        <f t="shared" si="56"/>
        <v>2012</v>
      </c>
      <c r="AL110" s="432">
        <v>41213</v>
      </c>
      <c r="AM110" s="4">
        <f t="shared" si="57"/>
        <v>4.43</v>
      </c>
      <c r="AN110" s="4">
        <v>4.45</v>
      </c>
      <c r="AO110" s="4">
        <v>4.41</v>
      </c>
      <c r="AQ110" s="4">
        <f t="shared" si="58"/>
        <v>2016</v>
      </c>
      <c r="AR110" s="356">
        <v>42614</v>
      </c>
      <c r="AS110" s="4">
        <f t="shared" si="59"/>
        <v>8.629999999999999</v>
      </c>
      <c r="AT110" s="4">
        <v>8.74</v>
      </c>
      <c r="AU110" s="4">
        <v>8.52</v>
      </c>
      <c r="AV110" s="515">
        <f t="shared" si="66"/>
        <v>2023</v>
      </c>
      <c r="AW110" s="535">
        <v>44986</v>
      </c>
      <c r="AX110" s="515">
        <f t="shared" si="52"/>
        <v>3.6102499999999997</v>
      </c>
      <c r="AY110" s="596">
        <f>'[12]Forward Price Curve'!AE191</f>
        <v>3.6126</v>
      </c>
      <c r="AZ110" s="596">
        <f>'[12]Forward Price Curve'!AD191</f>
        <v>3.6078999999999999</v>
      </c>
      <c r="BA110" s="629">
        <f t="shared" si="67"/>
        <v>2026</v>
      </c>
      <c r="BB110" s="633">
        <v>46082</v>
      </c>
      <c r="BC110" s="629">
        <f t="shared" si="55"/>
        <v>4.0618499999999997</v>
      </c>
      <c r="BD110" s="634">
        <f>[13]Prices!AO107</f>
        <v>4.2396000000000003</v>
      </c>
      <c r="BE110" s="634">
        <f>[13]Prices!AP107</f>
        <v>3.8841000000000001</v>
      </c>
    </row>
    <row r="111" spans="20:57">
      <c r="T111" s="4">
        <f t="shared" si="60"/>
        <v>2014</v>
      </c>
      <c r="U111" s="434">
        <f t="shared" si="69"/>
        <v>41640</v>
      </c>
      <c r="V111" s="150">
        <v>60.83</v>
      </c>
      <c r="W111" s="150">
        <v>48.29</v>
      </c>
      <c r="X111" s="357">
        <f t="shared" si="64"/>
        <v>55.437799999999996</v>
      </c>
      <c r="Y111" s="343">
        <v>416</v>
      </c>
      <c r="Z111" s="343">
        <v>328</v>
      </c>
      <c r="AA111" s="343">
        <f t="shared" si="61"/>
        <v>0.55913978494623651</v>
      </c>
      <c r="AB111" s="343">
        <f t="shared" si="62"/>
        <v>0.44086021505376344</v>
      </c>
      <c r="AF111" s="4">
        <f t="shared" si="65"/>
        <v>2014</v>
      </c>
      <c r="AG111" s="432">
        <f t="shared" si="68"/>
        <v>41640</v>
      </c>
      <c r="AH111" s="149">
        <f t="shared" si="63"/>
        <v>7.8229581294181623</v>
      </c>
      <c r="AI111" s="150">
        <v>7.8229581294181623</v>
      </c>
      <c r="AK111" s="4">
        <f t="shared" si="56"/>
        <v>2012</v>
      </c>
      <c r="AL111" s="432">
        <v>41243</v>
      </c>
      <c r="AM111" s="4">
        <f t="shared" si="57"/>
        <v>4.5</v>
      </c>
      <c r="AN111" s="4">
        <v>4.5199999999999996</v>
      </c>
      <c r="AO111" s="4">
        <v>4.4800000000000004</v>
      </c>
      <c r="AQ111" s="4">
        <f t="shared" si="58"/>
        <v>2016</v>
      </c>
      <c r="AR111" s="356">
        <v>42644</v>
      </c>
      <c r="AS111" s="4">
        <f t="shared" si="59"/>
        <v>8.9499999999999993</v>
      </c>
      <c r="AT111" s="4">
        <v>8.99</v>
      </c>
      <c r="AU111" s="4">
        <v>8.91</v>
      </c>
      <c r="AV111" s="515">
        <f t="shared" si="66"/>
        <v>2023</v>
      </c>
      <c r="AW111" s="535">
        <v>45017</v>
      </c>
      <c r="AX111" s="515">
        <f t="shared" si="52"/>
        <v>3.1503999999999999</v>
      </c>
      <c r="AY111" s="596">
        <f>'[12]Forward Price Curve'!AE192</f>
        <v>3.2448999999999999</v>
      </c>
      <c r="AZ111" s="596">
        <f>'[12]Forward Price Curve'!AD192</f>
        <v>3.0558999999999998</v>
      </c>
      <c r="BA111" s="629">
        <f t="shared" si="67"/>
        <v>2026</v>
      </c>
      <c r="BB111" s="633">
        <v>46113</v>
      </c>
      <c r="BC111" s="629">
        <f t="shared" si="55"/>
        <v>3.7853500000000002</v>
      </c>
      <c r="BD111" s="634">
        <f>[13]Prices!AO108</f>
        <v>3.9763000000000002</v>
      </c>
      <c r="BE111" s="634">
        <f>[13]Prices!AP108</f>
        <v>3.5943999999999998</v>
      </c>
    </row>
    <row r="112" spans="20:57">
      <c r="T112" s="4">
        <f t="shared" si="60"/>
        <v>2014</v>
      </c>
      <c r="U112" s="434">
        <f t="shared" si="69"/>
        <v>41671</v>
      </c>
      <c r="V112" s="150">
        <v>56.35</v>
      </c>
      <c r="W112" s="150">
        <v>46.22</v>
      </c>
      <c r="X112" s="357">
        <f t="shared" si="64"/>
        <v>51.994099999999996</v>
      </c>
      <c r="Y112" s="343">
        <v>384</v>
      </c>
      <c r="Z112" s="343">
        <v>288</v>
      </c>
      <c r="AA112" s="343">
        <f t="shared" si="61"/>
        <v>0.5714285714285714</v>
      </c>
      <c r="AB112" s="343">
        <f t="shared" si="62"/>
        <v>0.42857142857142855</v>
      </c>
      <c r="AF112" s="4">
        <f t="shared" si="65"/>
        <v>2014</v>
      </c>
      <c r="AG112" s="432">
        <f t="shared" si="68"/>
        <v>41671</v>
      </c>
      <c r="AH112" s="149">
        <f t="shared" si="63"/>
        <v>7.3505546492659057</v>
      </c>
      <c r="AI112" s="150">
        <v>7.3505546492659057</v>
      </c>
      <c r="AK112" s="4">
        <f t="shared" si="56"/>
        <v>2012</v>
      </c>
      <c r="AL112" s="432">
        <v>41274</v>
      </c>
      <c r="AM112" s="4">
        <f t="shared" si="57"/>
        <v>4.7249999999999996</v>
      </c>
      <c r="AN112" s="4">
        <v>4.71</v>
      </c>
      <c r="AO112" s="4">
        <v>4.74</v>
      </c>
      <c r="AQ112" s="4">
        <f t="shared" si="58"/>
        <v>2016</v>
      </c>
      <c r="AR112" s="356">
        <v>42675</v>
      </c>
      <c r="AS112" s="4">
        <f t="shared" si="59"/>
        <v>9.0850000000000009</v>
      </c>
      <c r="AT112" s="4">
        <v>9.1199999999999992</v>
      </c>
      <c r="AU112" s="4">
        <v>9.0500000000000007</v>
      </c>
      <c r="AV112" s="515">
        <f t="shared" si="66"/>
        <v>2023</v>
      </c>
      <c r="AW112" s="535">
        <v>45047</v>
      </c>
      <c r="AX112" s="515">
        <f t="shared" si="52"/>
        <v>3.1024000000000003</v>
      </c>
      <c r="AY112" s="596">
        <f>'[12]Forward Price Curve'!AE193</f>
        <v>3.2326999999999999</v>
      </c>
      <c r="AZ112" s="596">
        <f>'[12]Forward Price Curve'!AD193</f>
        <v>2.9721000000000002</v>
      </c>
      <c r="BA112" s="629">
        <f t="shared" si="67"/>
        <v>2026</v>
      </c>
      <c r="BB112" s="633">
        <v>46143</v>
      </c>
      <c r="BC112" s="629">
        <f t="shared" si="55"/>
        <v>3.7589999999999999</v>
      </c>
      <c r="BD112" s="634">
        <f>[13]Prices!AO109</f>
        <v>3.9499</v>
      </c>
      <c r="BE112" s="634">
        <f>[13]Prices!AP109</f>
        <v>3.5680999999999998</v>
      </c>
    </row>
    <row r="113" spans="20:57">
      <c r="T113" s="4">
        <f t="shared" si="60"/>
        <v>2014</v>
      </c>
      <c r="U113" s="434">
        <f t="shared" si="69"/>
        <v>41699</v>
      </c>
      <c r="V113" s="150">
        <v>53.75</v>
      </c>
      <c r="W113" s="150">
        <v>47.31</v>
      </c>
      <c r="X113" s="357">
        <f t="shared" si="64"/>
        <v>50.980799999999995</v>
      </c>
      <c r="Y113" s="343">
        <v>416</v>
      </c>
      <c r="Z113" s="343">
        <v>328</v>
      </c>
      <c r="AA113" s="343">
        <f t="shared" si="61"/>
        <v>0.55913978494623651</v>
      </c>
      <c r="AB113" s="343">
        <f t="shared" si="62"/>
        <v>0.44086021505376344</v>
      </c>
      <c r="AF113" s="4">
        <f t="shared" si="65"/>
        <v>2014</v>
      </c>
      <c r="AG113" s="432">
        <f t="shared" si="68"/>
        <v>41699</v>
      </c>
      <c r="AH113" s="149">
        <f t="shared" si="63"/>
        <v>6.9121370309951065</v>
      </c>
      <c r="AI113" s="150">
        <v>6.9121370309951065</v>
      </c>
      <c r="AK113" s="4">
        <f t="shared" si="56"/>
        <v>2013</v>
      </c>
      <c r="AL113" s="432">
        <v>41305</v>
      </c>
      <c r="AM113" s="4">
        <f t="shared" si="57"/>
        <v>5.2249999999999996</v>
      </c>
      <c r="AN113" s="4">
        <v>5.17</v>
      </c>
      <c r="AO113" s="4">
        <v>5.28</v>
      </c>
      <c r="AQ113" s="4">
        <f t="shared" si="58"/>
        <v>2016</v>
      </c>
      <c r="AR113" s="356">
        <v>42705</v>
      </c>
      <c r="AS113" s="4">
        <f t="shared" si="59"/>
        <v>9.5399999999999991</v>
      </c>
      <c r="AT113" s="4">
        <v>9.51</v>
      </c>
      <c r="AU113" s="4">
        <v>9.57</v>
      </c>
      <c r="AV113" s="515">
        <f t="shared" si="66"/>
        <v>2023</v>
      </c>
      <c r="AW113" s="535">
        <v>45078</v>
      </c>
      <c r="AX113" s="515">
        <f t="shared" si="52"/>
        <v>3.1133500000000001</v>
      </c>
      <c r="AY113" s="596">
        <f>'[12]Forward Price Curve'!AE194</f>
        <v>3.2448000000000001</v>
      </c>
      <c r="AZ113" s="596">
        <f>'[12]Forward Price Curve'!AD194</f>
        <v>2.9819</v>
      </c>
      <c r="BA113" s="629">
        <f t="shared" si="67"/>
        <v>2026</v>
      </c>
      <c r="BB113" s="633">
        <v>46174</v>
      </c>
      <c r="BC113" s="629">
        <f t="shared" si="55"/>
        <v>3.8182999999999998</v>
      </c>
      <c r="BD113" s="634">
        <f>[13]Prices!AO110</f>
        <v>3.9763000000000002</v>
      </c>
      <c r="BE113" s="634">
        <f>[13]Prices!AP110</f>
        <v>3.6602999999999999</v>
      </c>
    </row>
    <row r="114" spans="20:57">
      <c r="T114" s="4">
        <f t="shared" si="60"/>
        <v>2014</v>
      </c>
      <c r="U114" s="434">
        <f t="shared" si="69"/>
        <v>41730</v>
      </c>
      <c r="V114" s="150">
        <v>50.04</v>
      </c>
      <c r="W114" s="150">
        <v>44.97</v>
      </c>
      <c r="X114" s="357">
        <f t="shared" si="64"/>
        <v>47.859899999999996</v>
      </c>
      <c r="Y114" s="343">
        <v>416</v>
      </c>
      <c r="Z114" s="343">
        <v>304</v>
      </c>
      <c r="AA114" s="343">
        <f t="shared" si="61"/>
        <v>0.57777777777777772</v>
      </c>
      <c r="AB114" s="343">
        <f t="shared" si="62"/>
        <v>0.42222222222222222</v>
      </c>
      <c r="AF114" s="4">
        <f t="shared" si="65"/>
        <v>2014</v>
      </c>
      <c r="AG114" s="432">
        <f t="shared" si="68"/>
        <v>41730</v>
      </c>
      <c r="AH114" s="149">
        <f t="shared" si="63"/>
        <v>6.5450897226753666</v>
      </c>
      <c r="AI114" s="150">
        <v>6.5450897226753666</v>
      </c>
      <c r="AK114" s="4">
        <f t="shared" si="56"/>
        <v>2013</v>
      </c>
      <c r="AL114" s="432">
        <v>41333</v>
      </c>
      <c r="AM114" s="4">
        <f t="shared" si="57"/>
        <v>4.8650000000000002</v>
      </c>
      <c r="AN114" s="4">
        <v>4.8499999999999996</v>
      </c>
      <c r="AO114" s="4">
        <v>4.88</v>
      </c>
      <c r="AQ114" s="4">
        <f t="shared" si="58"/>
        <v>2017</v>
      </c>
      <c r="AR114" s="356">
        <v>42736</v>
      </c>
      <c r="AS114" s="4">
        <f t="shared" si="59"/>
        <v>11.04</v>
      </c>
      <c r="AT114" s="4">
        <v>10.93</v>
      </c>
      <c r="AU114" s="4">
        <v>11.15</v>
      </c>
      <c r="AV114" s="515">
        <f t="shared" si="66"/>
        <v>2023</v>
      </c>
      <c r="AW114" s="535">
        <v>45108</v>
      </c>
      <c r="AX114" s="515">
        <f t="shared" si="52"/>
        <v>3.19095</v>
      </c>
      <c r="AY114" s="596">
        <f>'[12]Forward Price Curve'!AE195</f>
        <v>3.2947000000000002</v>
      </c>
      <c r="AZ114" s="596">
        <f>'[12]Forward Price Curve'!AD195</f>
        <v>3.0872000000000002</v>
      </c>
      <c r="BA114" s="629">
        <f t="shared" si="67"/>
        <v>2026</v>
      </c>
      <c r="BB114" s="633">
        <v>46204</v>
      </c>
      <c r="BC114" s="629">
        <f t="shared" si="55"/>
        <v>3.9169999999999998</v>
      </c>
      <c r="BD114" s="634">
        <f>[13]Prices!AO111</f>
        <v>4.0289000000000001</v>
      </c>
      <c r="BE114" s="634">
        <f>[13]Prices!AP111</f>
        <v>3.8050999999999999</v>
      </c>
    </row>
    <row r="115" spans="20:57">
      <c r="T115" s="4">
        <f t="shared" si="60"/>
        <v>2014</v>
      </c>
      <c r="U115" s="434">
        <f t="shared" si="69"/>
        <v>41760</v>
      </c>
      <c r="V115" s="150">
        <v>47.38</v>
      </c>
      <c r="W115" s="150">
        <v>38.15</v>
      </c>
      <c r="X115" s="357">
        <f t="shared" si="64"/>
        <v>43.411099999999998</v>
      </c>
      <c r="Y115" s="343">
        <v>416</v>
      </c>
      <c r="Z115" s="343">
        <v>328</v>
      </c>
      <c r="AA115" s="343">
        <f t="shared" si="61"/>
        <v>0.55913978494623651</v>
      </c>
      <c r="AB115" s="343">
        <f t="shared" si="62"/>
        <v>0.44086021505376344</v>
      </c>
      <c r="AF115" s="4">
        <f t="shared" si="65"/>
        <v>2014</v>
      </c>
      <c r="AG115" s="432">
        <f t="shared" si="68"/>
        <v>41760</v>
      </c>
      <c r="AH115" s="149">
        <f t="shared" si="63"/>
        <v>6.477117998912453</v>
      </c>
      <c r="AI115" s="150">
        <v>6.477117998912453</v>
      </c>
      <c r="AK115" s="4">
        <f t="shared" si="56"/>
        <v>2013</v>
      </c>
      <c r="AL115" s="432">
        <v>41364</v>
      </c>
      <c r="AM115" s="4">
        <f t="shared" si="57"/>
        <v>4.5600000000000005</v>
      </c>
      <c r="AN115" s="4">
        <v>4.58</v>
      </c>
      <c r="AO115" s="4">
        <v>4.54</v>
      </c>
      <c r="AQ115" s="4">
        <f t="shared" si="58"/>
        <v>2017</v>
      </c>
      <c r="AR115" s="356">
        <v>42767</v>
      </c>
      <c r="AS115" s="4">
        <f t="shared" si="59"/>
        <v>10.27</v>
      </c>
      <c r="AT115" s="4">
        <v>10.24</v>
      </c>
      <c r="AU115" s="4">
        <v>10.3</v>
      </c>
      <c r="AV115" s="515">
        <f t="shared" si="66"/>
        <v>2023</v>
      </c>
      <c r="AW115" s="535">
        <v>45139</v>
      </c>
      <c r="AX115" s="515">
        <f t="shared" si="52"/>
        <v>3.2747999999999999</v>
      </c>
      <c r="AY115" s="596">
        <f>'[12]Forward Price Curve'!AE196</f>
        <v>3.3727999999999998</v>
      </c>
      <c r="AZ115" s="596">
        <f>'[12]Forward Price Curve'!AD196</f>
        <v>3.1768000000000001</v>
      </c>
      <c r="BA115" s="629">
        <f t="shared" si="67"/>
        <v>2026</v>
      </c>
      <c r="BB115" s="633">
        <v>46235</v>
      </c>
      <c r="BC115" s="629">
        <f t="shared" si="55"/>
        <v>3.9697</v>
      </c>
      <c r="BD115" s="634">
        <f>[13]Prices!AO112</f>
        <v>4.0948000000000002</v>
      </c>
      <c r="BE115" s="634">
        <f>[13]Prices!AP112</f>
        <v>3.8445999999999998</v>
      </c>
    </row>
    <row r="116" spans="20:57">
      <c r="T116" s="4">
        <f t="shared" si="60"/>
        <v>2014</v>
      </c>
      <c r="U116" s="434">
        <f t="shared" si="69"/>
        <v>41791</v>
      </c>
      <c r="V116" s="150">
        <v>49.3</v>
      </c>
      <c r="W116" s="150">
        <v>37.25</v>
      </c>
      <c r="X116" s="357">
        <f t="shared" si="64"/>
        <v>44.118499999999997</v>
      </c>
      <c r="Y116" s="343">
        <v>400</v>
      </c>
      <c r="Z116" s="343">
        <v>320</v>
      </c>
      <c r="AA116" s="343">
        <f t="shared" si="61"/>
        <v>0.55555555555555558</v>
      </c>
      <c r="AB116" s="343">
        <f t="shared" si="62"/>
        <v>0.44444444444444442</v>
      </c>
      <c r="AF116" s="4">
        <f t="shared" si="65"/>
        <v>2014</v>
      </c>
      <c r="AG116" s="432">
        <f t="shared" si="68"/>
        <v>41791</v>
      </c>
      <c r="AH116" s="149">
        <f t="shared" si="63"/>
        <v>6.575676998368678</v>
      </c>
      <c r="AI116" s="150">
        <v>6.575676998368678</v>
      </c>
      <c r="AK116" s="4">
        <f t="shared" si="56"/>
        <v>2013</v>
      </c>
      <c r="AL116" s="432">
        <v>41394</v>
      </c>
      <c r="AM116" s="4">
        <f t="shared" si="57"/>
        <v>4.2650000000000006</v>
      </c>
      <c r="AN116" s="4">
        <v>4.32</v>
      </c>
      <c r="AO116" s="4">
        <v>4.21</v>
      </c>
      <c r="AQ116" s="4">
        <f t="shared" si="58"/>
        <v>2017</v>
      </c>
      <c r="AR116" s="356">
        <v>42795</v>
      </c>
      <c r="AS116" s="4">
        <f t="shared" si="59"/>
        <v>9.6449999999999996</v>
      </c>
      <c r="AT116" s="4">
        <v>9.69</v>
      </c>
      <c r="AU116" s="4">
        <v>9.6</v>
      </c>
      <c r="AV116" s="515">
        <f t="shared" si="66"/>
        <v>2023</v>
      </c>
      <c r="AW116" s="535">
        <v>45170</v>
      </c>
      <c r="AX116" s="515">
        <f t="shared" si="52"/>
        <v>3.3331</v>
      </c>
      <c r="AY116" s="596">
        <f>'[12]Forward Price Curve'!AE197</f>
        <v>3.4016000000000002</v>
      </c>
      <c r="AZ116" s="596">
        <f>'[12]Forward Price Curve'!AD197</f>
        <v>3.2646000000000002</v>
      </c>
      <c r="BA116" s="629">
        <f t="shared" si="67"/>
        <v>2026</v>
      </c>
      <c r="BB116" s="633">
        <v>46266</v>
      </c>
      <c r="BC116" s="629">
        <f t="shared" si="55"/>
        <v>3.91045</v>
      </c>
      <c r="BD116" s="634">
        <f>[13]Prices!AO113</f>
        <v>4.0815999999999999</v>
      </c>
      <c r="BE116" s="634">
        <f>[13]Prices!AP113</f>
        <v>3.7393000000000001</v>
      </c>
    </row>
    <row r="117" spans="20:57">
      <c r="T117" s="4">
        <f t="shared" si="60"/>
        <v>2014</v>
      </c>
      <c r="U117" s="434">
        <f t="shared" si="69"/>
        <v>41821</v>
      </c>
      <c r="V117" s="150">
        <v>53.44</v>
      </c>
      <c r="W117" s="150">
        <v>44.63</v>
      </c>
      <c r="X117" s="357">
        <f t="shared" si="64"/>
        <v>49.651699999999991</v>
      </c>
      <c r="Y117" s="343">
        <v>416</v>
      </c>
      <c r="Z117" s="343">
        <v>328</v>
      </c>
      <c r="AA117" s="343">
        <f t="shared" si="61"/>
        <v>0.55913978494623651</v>
      </c>
      <c r="AB117" s="343">
        <f t="shared" si="62"/>
        <v>0.44086021505376344</v>
      </c>
      <c r="AF117" s="4">
        <f t="shared" si="65"/>
        <v>2014</v>
      </c>
      <c r="AG117" s="432">
        <f t="shared" si="68"/>
        <v>41821</v>
      </c>
      <c r="AH117" s="149">
        <f t="shared" si="63"/>
        <v>6.6742359978249048</v>
      </c>
      <c r="AI117" s="150">
        <v>6.6742359978249048</v>
      </c>
      <c r="AK117" s="4">
        <f t="shared" si="56"/>
        <v>2013</v>
      </c>
      <c r="AL117" s="432">
        <v>41425</v>
      </c>
      <c r="AM117" s="4">
        <f t="shared" si="57"/>
        <v>4.2650000000000006</v>
      </c>
      <c r="AN117" s="4">
        <v>4.32</v>
      </c>
      <c r="AO117" s="4">
        <v>4.21</v>
      </c>
      <c r="AQ117" s="4">
        <f t="shared" si="58"/>
        <v>2017</v>
      </c>
      <c r="AR117" s="356">
        <v>42826</v>
      </c>
      <c r="AS117" s="4">
        <f t="shared" si="59"/>
        <v>9.0100000000000016</v>
      </c>
      <c r="AT117" s="4">
        <v>9.1300000000000008</v>
      </c>
      <c r="AU117" s="4">
        <v>8.89</v>
      </c>
      <c r="AV117" s="515">
        <f t="shared" si="66"/>
        <v>2023</v>
      </c>
      <c r="AW117" s="535">
        <v>45200</v>
      </c>
      <c r="AX117" s="515">
        <f t="shared" si="52"/>
        <v>3.4526500000000002</v>
      </c>
      <c r="AY117" s="596">
        <f>'[12]Forward Price Curve'!AE198</f>
        <v>3.5305</v>
      </c>
      <c r="AZ117" s="596">
        <f>'[12]Forward Price Curve'!AD198</f>
        <v>3.3748</v>
      </c>
      <c r="BA117" s="629">
        <f t="shared" si="67"/>
        <v>2026</v>
      </c>
      <c r="BB117" s="633">
        <v>46296</v>
      </c>
      <c r="BC117" s="629">
        <f t="shared" si="55"/>
        <v>3.9433500000000001</v>
      </c>
      <c r="BD117" s="634">
        <f>[13]Prices!AO114</f>
        <v>4.1211000000000002</v>
      </c>
      <c r="BE117" s="634">
        <f>[13]Prices!AP114</f>
        <v>3.7656000000000001</v>
      </c>
    </row>
    <row r="118" spans="20:57">
      <c r="T118" s="4">
        <f t="shared" si="60"/>
        <v>2014</v>
      </c>
      <c r="U118" s="434">
        <f t="shared" si="69"/>
        <v>41852</v>
      </c>
      <c r="V118" s="150">
        <v>56.08</v>
      </c>
      <c r="W118" s="150">
        <v>46.91</v>
      </c>
      <c r="X118" s="357">
        <f t="shared" si="64"/>
        <v>52.136899999999997</v>
      </c>
      <c r="Y118" s="343">
        <v>416</v>
      </c>
      <c r="Z118" s="343">
        <v>328</v>
      </c>
      <c r="AA118" s="343">
        <f t="shared" si="61"/>
        <v>0.55913978494623651</v>
      </c>
      <c r="AB118" s="343">
        <f t="shared" si="62"/>
        <v>0.44086021505376344</v>
      </c>
      <c r="AF118" s="4">
        <f t="shared" si="65"/>
        <v>2014</v>
      </c>
      <c r="AG118" s="432">
        <f t="shared" si="68"/>
        <v>41852</v>
      </c>
      <c r="AH118" s="149">
        <f t="shared" si="63"/>
        <v>6.6742359978249048</v>
      </c>
      <c r="AI118" s="150">
        <v>6.6742359978249048</v>
      </c>
      <c r="AK118" s="4">
        <f t="shared" si="56"/>
        <v>2013</v>
      </c>
      <c r="AL118" s="432">
        <v>41455</v>
      </c>
      <c r="AM118" s="4">
        <f t="shared" si="57"/>
        <v>4.335</v>
      </c>
      <c r="AN118" s="4">
        <v>4.3899999999999997</v>
      </c>
      <c r="AO118" s="4">
        <v>4.28</v>
      </c>
      <c r="AQ118" s="4">
        <f t="shared" si="58"/>
        <v>2017</v>
      </c>
      <c r="AR118" s="356">
        <v>42856</v>
      </c>
      <c r="AS118" s="4">
        <f t="shared" si="59"/>
        <v>9.0100000000000016</v>
      </c>
      <c r="AT118" s="4">
        <v>9.1300000000000008</v>
      </c>
      <c r="AU118" s="4">
        <v>8.89</v>
      </c>
      <c r="AV118" s="515">
        <f t="shared" si="66"/>
        <v>2023</v>
      </c>
      <c r="AW118" s="535">
        <v>45231</v>
      </c>
      <c r="AX118" s="515">
        <f t="shared" si="52"/>
        <v>3.8148999999999997</v>
      </c>
      <c r="AY118" s="596">
        <f>'[12]Forward Price Curve'!AE199</f>
        <v>3.8702000000000001</v>
      </c>
      <c r="AZ118" s="596">
        <f>'[12]Forward Price Curve'!AD199</f>
        <v>3.7595999999999998</v>
      </c>
      <c r="BA118" s="629">
        <f t="shared" si="67"/>
        <v>2026</v>
      </c>
      <c r="BB118" s="633">
        <v>46327</v>
      </c>
      <c r="BC118" s="629">
        <f t="shared" si="55"/>
        <v>4.2264499999999998</v>
      </c>
      <c r="BD118" s="634">
        <f>[13]Prices!AO115</f>
        <v>4.3975999999999997</v>
      </c>
      <c r="BE118" s="634">
        <f>[13]Prices!AP115</f>
        <v>4.0552999999999999</v>
      </c>
    </row>
    <row r="119" spans="20:57">
      <c r="T119" s="4">
        <f t="shared" si="60"/>
        <v>2014</v>
      </c>
      <c r="U119" s="434">
        <f t="shared" si="69"/>
        <v>41883</v>
      </c>
      <c r="V119" s="150">
        <v>55.52</v>
      </c>
      <c r="W119" s="150">
        <v>43.9</v>
      </c>
      <c r="X119" s="357">
        <f t="shared" si="64"/>
        <v>50.523399999999995</v>
      </c>
      <c r="Y119" s="343">
        <v>400</v>
      </c>
      <c r="Z119" s="343">
        <v>320</v>
      </c>
      <c r="AA119" s="343">
        <f t="shared" si="61"/>
        <v>0.55555555555555558</v>
      </c>
      <c r="AB119" s="343">
        <f t="shared" si="62"/>
        <v>0.44444444444444442</v>
      </c>
      <c r="AF119" s="4">
        <f t="shared" si="65"/>
        <v>2014</v>
      </c>
      <c r="AG119" s="432">
        <f t="shared" si="68"/>
        <v>41883</v>
      </c>
      <c r="AH119" s="149">
        <f t="shared" si="63"/>
        <v>6.6742359978249048</v>
      </c>
      <c r="AI119" s="150">
        <v>6.6742359978249048</v>
      </c>
      <c r="AK119" s="4">
        <f t="shared" si="56"/>
        <v>2013</v>
      </c>
      <c r="AL119" s="432">
        <v>41486</v>
      </c>
      <c r="AM119" s="4">
        <f t="shared" si="57"/>
        <v>4.3949999999999996</v>
      </c>
      <c r="AN119" s="4">
        <v>4.45</v>
      </c>
      <c r="AO119" s="4">
        <v>4.34</v>
      </c>
      <c r="AQ119" s="4">
        <f t="shared" si="58"/>
        <v>2017</v>
      </c>
      <c r="AR119" s="356">
        <v>42887</v>
      </c>
      <c r="AS119" s="4">
        <f t="shared" si="59"/>
        <v>9.1499999999999986</v>
      </c>
      <c r="AT119" s="4">
        <v>9.27</v>
      </c>
      <c r="AU119" s="4">
        <v>9.0299999999999994</v>
      </c>
      <c r="AV119" s="515">
        <f t="shared" si="66"/>
        <v>2023</v>
      </c>
      <c r="AW119" s="535">
        <v>45261</v>
      </c>
      <c r="AX119" s="515">
        <f t="shared" si="52"/>
        <v>4.0483500000000001</v>
      </c>
      <c r="AY119" s="596">
        <f>'[12]Forward Price Curve'!AE200</f>
        <v>4.0791000000000004</v>
      </c>
      <c r="AZ119" s="596">
        <f>'[12]Forward Price Curve'!AD200</f>
        <v>4.0175999999999998</v>
      </c>
      <c r="BA119" s="629">
        <f t="shared" si="67"/>
        <v>2026</v>
      </c>
      <c r="BB119" s="633">
        <v>46357</v>
      </c>
      <c r="BC119" s="629">
        <f t="shared" si="55"/>
        <v>4.4502500000000005</v>
      </c>
      <c r="BD119" s="634">
        <f>[13]Prices!AO116</f>
        <v>4.5556000000000001</v>
      </c>
      <c r="BE119" s="634">
        <f>[13]Prices!AP116</f>
        <v>4.3449</v>
      </c>
    </row>
    <row r="120" spans="20:57">
      <c r="T120" s="4">
        <f t="shared" si="60"/>
        <v>2014</v>
      </c>
      <c r="U120" s="434">
        <f t="shared" si="69"/>
        <v>41913</v>
      </c>
      <c r="V120" s="150">
        <v>54.83</v>
      </c>
      <c r="W120" s="150">
        <v>45.28</v>
      </c>
      <c r="X120" s="357">
        <f t="shared" si="64"/>
        <v>50.723500000000001</v>
      </c>
      <c r="Y120" s="343">
        <v>432</v>
      </c>
      <c r="Z120" s="343">
        <v>312</v>
      </c>
      <c r="AA120" s="343">
        <f t="shared" si="61"/>
        <v>0.58064516129032262</v>
      </c>
      <c r="AB120" s="343">
        <f t="shared" si="62"/>
        <v>0.41935483870967744</v>
      </c>
      <c r="AF120" s="4">
        <f t="shared" si="65"/>
        <v>2014</v>
      </c>
      <c r="AG120" s="432">
        <f t="shared" si="68"/>
        <v>41913</v>
      </c>
      <c r="AH120" s="149">
        <f t="shared" si="63"/>
        <v>6.9121370309951065</v>
      </c>
      <c r="AI120" s="150">
        <v>6.9121370309951065</v>
      </c>
      <c r="AK120" s="4">
        <f t="shared" si="56"/>
        <v>2013</v>
      </c>
      <c r="AL120" s="432">
        <v>41517</v>
      </c>
      <c r="AM120" s="4">
        <f t="shared" si="57"/>
        <v>4.3949999999999996</v>
      </c>
      <c r="AN120" s="4">
        <v>4.45</v>
      </c>
      <c r="AO120" s="4">
        <v>4.34</v>
      </c>
      <c r="AQ120" s="4">
        <f t="shared" si="58"/>
        <v>2017</v>
      </c>
      <c r="AR120" s="356">
        <v>42917</v>
      </c>
      <c r="AS120" s="4">
        <f t="shared" si="59"/>
        <v>9.2949999999999999</v>
      </c>
      <c r="AT120" s="4">
        <v>9.41</v>
      </c>
      <c r="AU120" s="4">
        <v>9.18</v>
      </c>
      <c r="AV120" s="515">
        <f t="shared" si="66"/>
        <v>2024</v>
      </c>
      <c r="AW120" s="535">
        <v>45292</v>
      </c>
      <c r="AX120" s="515">
        <f t="shared" si="52"/>
        <v>4.31325</v>
      </c>
      <c r="AY120" s="596">
        <f>'[12]Forward Price Curve'!AE201</f>
        <v>4.3822999999999999</v>
      </c>
      <c r="AZ120" s="596">
        <f>'[12]Forward Price Curve'!AD201</f>
        <v>4.2442000000000002</v>
      </c>
      <c r="BA120" s="629">
        <f t="shared" si="67"/>
        <v>2027</v>
      </c>
      <c r="BB120" s="633">
        <v>46388</v>
      </c>
      <c r="BC120" s="629">
        <f t="shared" si="55"/>
        <v>4.4943</v>
      </c>
      <c r="BD120" s="634">
        <f>[13]Prices!AO117</f>
        <v>4.5884999999999998</v>
      </c>
      <c r="BE120" s="634">
        <f>[13]Prices!AP117</f>
        <v>4.4001000000000001</v>
      </c>
    </row>
    <row r="121" spans="20:57">
      <c r="T121" s="4">
        <f t="shared" si="60"/>
        <v>2014</v>
      </c>
      <c r="U121" s="434">
        <f t="shared" si="69"/>
        <v>41944</v>
      </c>
      <c r="V121" s="150">
        <v>60.19</v>
      </c>
      <c r="W121" s="150">
        <v>51.73</v>
      </c>
      <c r="X121" s="357">
        <f t="shared" si="64"/>
        <v>56.552199999999999</v>
      </c>
      <c r="Y121" s="343">
        <v>384</v>
      </c>
      <c r="Z121" s="343">
        <v>336</v>
      </c>
      <c r="AA121" s="343">
        <f t="shared" si="61"/>
        <v>0.53333333333333333</v>
      </c>
      <c r="AB121" s="343">
        <f t="shared" si="62"/>
        <v>0.46666666666666667</v>
      </c>
      <c r="AF121" s="4">
        <f t="shared" si="65"/>
        <v>2014</v>
      </c>
      <c r="AG121" s="432">
        <f t="shared" si="68"/>
        <v>41944</v>
      </c>
      <c r="AH121" s="149">
        <f t="shared" si="63"/>
        <v>7.0140946166394791</v>
      </c>
      <c r="AI121" s="150">
        <v>7.0140946166394791</v>
      </c>
      <c r="AK121" s="4">
        <f t="shared" si="56"/>
        <v>2013</v>
      </c>
      <c r="AL121" s="432">
        <v>41547</v>
      </c>
      <c r="AM121" s="4">
        <f t="shared" si="57"/>
        <v>4.3949999999999996</v>
      </c>
      <c r="AN121" s="4">
        <v>4.45</v>
      </c>
      <c r="AO121" s="4">
        <v>4.34</v>
      </c>
      <c r="AQ121" s="4">
        <f t="shared" si="58"/>
        <v>2017</v>
      </c>
      <c r="AR121" s="356">
        <v>42948</v>
      </c>
      <c r="AS121" s="4">
        <f t="shared" si="59"/>
        <v>9.2949999999999999</v>
      </c>
      <c r="AT121" s="4">
        <v>9.41</v>
      </c>
      <c r="AU121" s="4">
        <v>9.18</v>
      </c>
      <c r="AV121" s="515">
        <f t="shared" si="66"/>
        <v>2024</v>
      </c>
      <c r="AW121" s="535">
        <v>45323</v>
      </c>
      <c r="AX121" s="515">
        <f t="shared" si="52"/>
        <v>4.2567000000000004</v>
      </c>
      <c r="AY121" s="596">
        <f>'[12]Forward Price Curve'!AE202</f>
        <v>4.2944000000000004</v>
      </c>
      <c r="AZ121" s="596">
        <f>'[12]Forward Price Curve'!AD202</f>
        <v>4.2190000000000003</v>
      </c>
      <c r="BA121" s="629">
        <f t="shared" si="67"/>
        <v>2027</v>
      </c>
      <c r="BB121" s="633">
        <v>46419</v>
      </c>
      <c r="BC121" s="629">
        <f t="shared" si="55"/>
        <v>4.4741499999999998</v>
      </c>
      <c r="BD121" s="634">
        <f>[13]Prices!AO118</f>
        <v>4.6020000000000003</v>
      </c>
      <c r="BE121" s="634">
        <f>[13]Prices!AP118</f>
        <v>4.3463000000000003</v>
      </c>
    </row>
    <row r="122" spans="20:57">
      <c r="T122" s="4">
        <f t="shared" si="60"/>
        <v>2014</v>
      </c>
      <c r="U122" s="434">
        <f t="shared" si="69"/>
        <v>41974</v>
      </c>
      <c r="V122" s="150">
        <v>63.17</v>
      </c>
      <c r="W122" s="150">
        <v>52.88</v>
      </c>
      <c r="X122" s="357">
        <f t="shared" si="64"/>
        <v>58.7453</v>
      </c>
      <c r="Y122" s="343">
        <v>416</v>
      </c>
      <c r="Z122" s="343">
        <v>328</v>
      </c>
      <c r="AA122" s="343">
        <f t="shared" si="61"/>
        <v>0.55913978494623651</v>
      </c>
      <c r="AB122" s="343">
        <f t="shared" si="62"/>
        <v>0.44086021505376344</v>
      </c>
      <c r="AF122" s="4">
        <f t="shared" si="65"/>
        <v>2014</v>
      </c>
      <c r="AG122" s="432">
        <f t="shared" si="68"/>
        <v>41974</v>
      </c>
      <c r="AH122" s="149">
        <f t="shared" si="63"/>
        <v>7.3505546492659057</v>
      </c>
      <c r="AI122" s="150">
        <v>7.3505546492659057</v>
      </c>
      <c r="AK122" s="4">
        <f t="shared" si="56"/>
        <v>2013</v>
      </c>
      <c r="AL122" s="432">
        <v>41578</v>
      </c>
      <c r="AM122" s="4">
        <f t="shared" si="57"/>
        <v>4.5600000000000005</v>
      </c>
      <c r="AN122" s="4">
        <v>4.58</v>
      </c>
      <c r="AO122" s="4">
        <v>4.54</v>
      </c>
      <c r="AQ122" s="4">
        <f t="shared" si="58"/>
        <v>2017</v>
      </c>
      <c r="AR122" s="356">
        <v>42979</v>
      </c>
      <c r="AS122" s="4">
        <f t="shared" si="59"/>
        <v>9.2949999999999999</v>
      </c>
      <c r="AT122" s="4">
        <v>9.41</v>
      </c>
      <c r="AU122" s="4">
        <v>9.18</v>
      </c>
      <c r="AV122" s="515">
        <f t="shared" si="66"/>
        <v>2024</v>
      </c>
      <c r="AW122" s="535">
        <v>45352</v>
      </c>
      <c r="AX122" s="515">
        <f t="shared" si="52"/>
        <v>3.9804499999999998</v>
      </c>
      <c r="AY122" s="596">
        <f>'[12]Forward Price Curve'!AE203</f>
        <v>4.0180999999999996</v>
      </c>
      <c r="AZ122" s="596">
        <f>'[12]Forward Price Curve'!AD203</f>
        <v>3.9428000000000001</v>
      </c>
      <c r="BA122" s="629">
        <f t="shared" si="67"/>
        <v>2027</v>
      </c>
      <c r="BB122" s="633">
        <v>46447</v>
      </c>
      <c r="BC122" s="629">
        <f t="shared" si="55"/>
        <v>4.0704500000000001</v>
      </c>
      <c r="BD122" s="634">
        <f>[13]Prices!AO119</f>
        <v>4.2521000000000004</v>
      </c>
      <c r="BE122" s="634">
        <f>[13]Prices!AP119</f>
        <v>3.8887999999999998</v>
      </c>
    </row>
    <row r="123" spans="20:57">
      <c r="T123" s="4">
        <f t="shared" si="60"/>
        <v>2015</v>
      </c>
      <c r="U123" s="434">
        <f t="shared" si="69"/>
        <v>42005</v>
      </c>
      <c r="V123" s="150">
        <v>64.599999999999994</v>
      </c>
      <c r="W123" s="150">
        <v>53.15</v>
      </c>
      <c r="X123" s="357">
        <f t="shared" si="64"/>
        <v>59.67649999999999</v>
      </c>
      <c r="Y123" s="343">
        <v>416</v>
      </c>
      <c r="Z123" s="343">
        <v>328</v>
      </c>
      <c r="AA123" s="343">
        <f t="shared" si="61"/>
        <v>0.55913978494623651</v>
      </c>
      <c r="AB123" s="343">
        <f t="shared" si="62"/>
        <v>0.44086021505376344</v>
      </c>
      <c r="AF123" s="4">
        <f t="shared" si="65"/>
        <v>2015</v>
      </c>
      <c r="AG123" s="432">
        <f t="shared" si="68"/>
        <v>42005</v>
      </c>
      <c r="AH123" s="149">
        <f t="shared" si="63"/>
        <v>8.2749700924415439</v>
      </c>
      <c r="AI123" s="150">
        <v>8.2749700924415439</v>
      </c>
      <c r="AK123" s="4">
        <f t="shared" si="56"/>
        <v>2013</v>
      </c>
      <c r="AL123" s="432">
        <v>41608</v>
      </c>
      <c r="AM123" s="4">
        <f t="shared" si="57"/>
        <v>4.6300000000000008</v>
      </c>
      <c r="AN123" s="4">
        <v>4.6500000000000004</v>
      </c>
      <c r="AO123" s="4">
        <v>4.6100000000000003</v>
      </c>
      <c r="AQ123" s="4">
        <f t="shared" si="58"/>
        <v>2017</v>
      </c>
      <c r="AR123" s="356">
        <v>43009</v>
      </c>
      <c r="AS123" s="4">
        <f t="shared" si="59"/>
        <v>9.6449999999999996</v>
      </c>
      <c r="AT123" s="4">
        <v>9.69</v>
      </c>
      <c r="AU123" s="4">
        <v>9.6</v>
      </c>
      <c r="AV123" s="515">
        <f t="shared" si="66"/>
        <v>2024</v>
      </c>
      <c r="AW123" s="535">
        <v>45383</v>
      </c>
      <c r="AX123" s="515">
        <f t="shared" si="52"/>
        <v>3.6853499999999997</v>
      </c>
      <c r="AY123" s="596">
        <f>'[12]Forward Price Curve'!AE204</f>
        <v>3.7544</v>
      </c>
      <c r="AZ123" s="596">
        <f>'[12]Forward Price Curve'!AD204</f>
        <v>3.6162999999999998</v>
      </c>
      <c r="BA123" s="629">
        <f t="shared" si="67"/>
        <v>2027</v>
      </c>
      <c r="BB123" s="633">
        <v>46478</v>
      </c>
      <c r="BC123" s="629">
        <f t="shared" si="55"/>
        <v>3.7004000000000001</v>
      </c>
      <c r="BD123" s="634">
        <f>[13]Prices!AO120</f>
        <v>3.8887999999999998</v>
      </c>
      <c r="BE123" s="634">
        <f>[13]Prices!AP120</f>
        <v>3.512</v>
      </c>
    </row>
    <row r="124" spans="20:57">
      <c r="T124" s="4">
        <f t="shared" si="60"/>
        <v>2015</v>
      </c>
      <c r="U124" s="434">
        <f t="shared" si="69"/>
        <v>42036</v>
      </c>
      <c r="V124" s="150">
        <v>61.43</v>
      </c>
      <c r="W124" s="150">
        <v>51.43</v>
      </c>
      <c r="X124" s="357">
        <f t="shared" si="64"/>
        <v>57.129999999999995</v>
      </c>
      <c r="Y124" s="343">
        <v>384</v>
      </c>
      <c r="Z124" s="343">
        <v>288</v>
      </c>
      <c r="AA124" s="343">
        <f t="shared" si="61"/>
        <v>0.5714285714285714</v>
      </c>
      <c r="AB124" s="343">
        <f t="shared" si="62"/>
        <v>0.42857142857142855</v>
      </c>
      <c r="AF124" s="4">
        <f t="shared" si="65"/>
        <v>2015</v>
      </c>
      <c r="AG124" s="432">
        <f t="shared" si="68"/>
        <v>42036</v>
      </c>
      <c r="AH124" s="149">
        <f t="shared" si="63"/>
        <v>7.7753779227841218</v>
      </c>
      <c r="AI124" s="150">
        <v>7.7753779227841218</v>
      </c>
      <c r="AK124" s="4">
        <f t="shared" si="56"/>
        <v>2013</v>
      </c>
      <c r="AL124" s="432">
        <v>41639</v>
      </c>
      <c r="AM124" s="4">
        <f t="shared" si="57"/>
        <v>4.8650000000000002</v>
      </c>
      <c r="AN124" s="4">
        <v>4.8499999999999996</v>
      </c>
      <c r="AO124" s="4">
        <v>4.88</v>
      </c>
      <c r="AQ124" s="4">
        <f t="shared" si="58"/>
        <v>2017</v>
      </c>
      <c r="AR124" s="356">
        <v>43040</v>
      </c>
      <c r="AS124" s="4">
        <f t="shared" si="59"/>
        <v>9.7800000000000011</v>
      </c>
      <c r="AT124" s="4">
        <v>9.82</v>
      </c>
      <c r="AU124" s="4">
        <v>9.74</v>
      </c>
      <c r="AV124" s="515">
        <f t="shared" si="66"/>
        <v>2024</v>
      </c>
      <c r="AW124" s="535">
        <v>45413</v>
      </c>
      <c r="AX124" s="515">
        <f t="shared" si="52"/>
        <v>3.6163499999999997</v>
      </c>
      <c r="AY124" s="596">
        <f>'[12]Forward Price Curve'!AE205</f>
        <v>3.7418999999999998</v>
      </c>
      <c r="AZ124" s="596">
        <f>'[12]Forward Price Curve'!AD205</f>
        <v>3.4908000000000001</v>
      </c>
      <c r="BA124" s="629">
        <f t="shared" si="67"/>
        <v>2027</v>
      </c>
      <c r="BB124" s="633">
        <v>46508</v>
      </c>
      <c r="BC124" s="629">
        <f t="shared" si="55"/>
        <v>3.6802000000000001</v>
      </c>
      <c r="BD124" s="634">
        <f>[13]Prices!AO121</f>
        <v>3.8483999999999998</v>
      </c>
      <c r="BE124" s="634">
        <f>[13]Prices!AP121</f>
        <v>3.512</v>
      </c>
    </row>
    <row r="125" spans="20:57">
      <c r="T125" s="4">
        <f t="shared" si="60"/>
        <v>2015</v>
      </c>
      <c r="U125" s="434">
        <f t="shared" si="69"/>
        <v>42064</v>
      </c>
      <c r="V125" s="150">
        <v>58.27</v>
      </c>
      <c r="W125" s="150">
        <v>52.65</v>
      </c>
      <c r="X125" s="357">
        <f t="shared" si="64"/>
        <v>55.853400000000001</v>
      </c>
      <c r="Y125" s="343">
        <v>416</v>
      </c>
      <c r="Z125" s="343">
        <v>328</v>
      </c>
      <c r="AA125" s="343">
        <f t="shared" si="61"/>
        <v>0.55913978494623651</v>
      </c>
      <c r="AB125" s="343">
        <f t="shared" si="62"/>
        <v>0.44086021505376344</v>
      </c>
      <c r="AF125" s="4">
        <f t="shared" si="65"/>
        <v>2015</v>
      </c>
      <c r="AG125" s="432">
        <f t="shared" si="68"/>
        <v>42064</v>
      </c>
      <c r="AH125" s="149">
        <f t="shared" si="63"/>
        <v>7.3165687873844494</v>
      </c>
      <c r="AI125" s="150">
        <v>7.3165687873844494</v>
      </c>
      <c r="AK125" s="4">
        <f t="shared" si="56"/>
        <v>2014</v>
      </c>
      <c r="AL125" s="432">
        <v>41670</v>
      </c>
      <c r="AM125" s="4">
        <f t="shared" si="57"/>
        <v>5.4399999999999995</v>
      </c>
      <c r="AN125" s="4">
        <v>5.39</v>
      </c>
      <c r="AO125" s="4">
        <v>5.49</v>
      </c>
      <c r="AQ125" s="4">
        <f t="shared" si="58"/>
        <v>2017</v>
      </c>
      <c r="AR125" s="356">
        <v>43070</v>
      </c>
      <c r="AS125" s="4">
        <f t="shared" si="59"/>
        <v>10.27</v>
      </c>
      <c r="AT125" s="4">
        <v>10.24</v>
      </c>
      <c r="AU125" s="4">
        <v>10.3</v>
      </c>
      <c r="AV125" s="515">
        <f t="shared" si="66"/>
        <v>2024</v>
      </c>
      <c r="AW125" s="535">
        <v>45444</v>
      </c>
      <c r="AX125" s="515">
        <f t="shared" si="52"/>
        <v>3.6162999999999998</v>
      </c>
      <c r="AY125" s="596">
        <f>'[12]Forward Price Curve'!AE206</f>
        <v>3.7292999999999998</v>
      </c>
      <c r="AZ125" s="596">
        <f>'[12]Forward Price Curve'!AD206</f>
        <v>3.5032999999999999</v>
      </c>
      <c r="BA125" s="629">
        <f t="shared" si="67"/>
        <v>2027</v>
      </c>
      <c r="BB125" s="633">
        <v>46539</v>
      </c>
      <c r="BC125" s="629">
        <f t="shared" si="55"/>
        <v>3.7004000000000001</v>
      </c>
      <c r="BD125" s="634">
        <f>[13]Prices!AO122</f>
        <v>3.8753000000000002</v>
      </c>
      <c r="BE125" s="634">
        <f>[13]Prices!AP122</f>
        <v>3.5255000000000001</v>
      </c>
    </row>
    <row r="126" spans="20:57">
      <c r="T126" s="4">
        <f t="shared" si="60"/>
        <v>2015</v>
      </c>
      <c r="U126" s="434">
        <f t="shared" si="69"/>
        <v>42095</v>
      </c>
      <c r="V126" s="150">
        <v>53.61</v>
      </c>
      <c r="W126" s="150">
        <v>49.9</v>
      </c>
      <c r="X126" s="357">
        <f t="shared" si="64"/>
        <v>52.014699999999998</v>
      </c>
      <c r="Y126" s="343">
        <v>416</v>
      </c>
      <c r="Z126" s="343">
        <v>304</v>
      </c>
      <c r="AA126" s="343">
        <f t="shared" si="61"/>
        <v>0.57777777777777772</v>
      </c>
      <c r="AB126" s="343">
        <f t="shared" si="62"/>
        <v>0.42222222222222222</v>
      </c>
      <c r="AF126" s="4">
        <f t="shared" si="65"/>
        <v>2015</v>
      </c>
      <c r="AG126" s="432">
        <f t="shared" si="68"/>
        <v>42095</v>
      </c>
      <c r="AH126" s="149">
        <f t="shared" si="63"/>
        <v>6.9223327895595439</v>
      </c>
      <c r="AI126" s="150">
        <v>6.9223327895595439</v>
      </c>
      <c r="AK126" s="4">
        <f t="shared" si="56"/>
        <v>2014</v>
      </c>
      <c r="AL126" s="432">
        <v>41698</v>
      </c>
      <c r="AM126" s="4">
        <f t="shared" si="57"/>
        <v>5.0600000000000005</v>
      </c>
      <c r="AN126" s="4">
        <v>5.04</v>
      </c>
      <c r="AO126" s="4">
        <v>5.08</v>
      </c>
      <c r="AQ126" s="4">
        <f t="shared" si="58"/>
        <v>2018</v>
      </c>
      <c r="AR126" s="356">
        <v>43101</v>
      </c>
      <c r="AS126" s="4">
        <f t="shared" si="59"/>
        <v>12.93</v>
      </c>
      <c r="AT126" s="4">
        <v>13.65</v>
      </c>
      <c r="AU126" s="4">
        <v>12.21</v>
      </c>
      <c r="AV126" s="515">
        <f t="shared" si="66"/>
        <v>2024</v>
      </c>
      <c r="AW126" s="535">
        <v>45474</v>
      </c>
      <c r="AX126" s="515">
        <f t="shared" si="52"/>
        <v>3.6288999999999998</v>
      </c>
      <c r="AY126" s="596">
        <f>'[12]Forward Price Curve'!AE207</f>
        <v>3.7418999999999998</v>
      </c>
      <c r="AZ126" s="596">
        <f>'[12]Forward Price Curve'!AD207</f>
        <v>3.5158999999999998</v>
      </c>
      <c r="BA126" s="629">
        <f t="shared" si="67"/>
        <v>2027</v>
      </c>
      <c r="BB126" s="633">
        <v>46569</v>
      </c>
      <c r="BC126" s="629">
        <f t="shared" si="55"/>
        <v>3.8282499999999997</v>
      </c>
      <c r="BD126" s="634">
        <f>[13]Prices!AO123</f>
        <v>3.9695</v>
      </c>
      <c r="BE126" s="634">
        <f>[13]Prices!AP123</f>
        <v>3.6869999999999998</v>
      </c>
    </row>
    <row r="127" spans="20:57">
      <c r="T127" s="4">
        <f t="shared" si="60"/>
        <v>2015</v>
      </c>
      <c r="U127" s="434">
        <f t="shared" si="69"/>
        <v>42125</v>
      </c>
      <c r="V127" s="150">
        <v>51.33</v>
      </c>
      <c r="W127" s="150">
        <v>43.22</v>
      </c>
      <c r="X127" s="357">
        <f t="shared" si="64"/>
        <v>47.842699999999994</v>
      </c>
      <c r="Y127" s="343">
        <v>400</v>
      </c>
      <c r="Z127" s="343">
        <v>344</v>
      </c>
      <c r="AA127" s="343">
        <f t="shared" si="61"/>
        <v>0.5376344086021505</v>
      </c>
      <c r="AB127" s="343">
        <f t="shared" si="62"/>
        <v>0.46236559139784944</v>
      </c>
      <c r="AF127" s="4">
        <f t="shared" si="65"/>
        <v>2015</v>
      </c>
      <c r="AG127" s="432">
        <f t="shared" si="68"/>
        <v>42125</v>
      </c>
      <c r="AH127" s="149">
        <f t="shared" si="63"/>
        <v>6.8509624796084836</v>
      </c>
      <c r="AI127" s="150">
        <v>6.8509624796084836</v>
      </c>
      <c r="AK127" s="4">
        <f t="shared" si="56"/>
        <v>2014</v>
      </c>
      <c r="AL127" s="432">
        <v>41729</v>
      </c>
      <c r="AM127" s="4">
        <f t="shared" si="57"/>
        <v>4.75</v>
      </c>
      <c r="AN127" s="4">
        <v>4.7699999999999996</v>
      </c>
      <c r="AO127" s="4">
        <v>4.7300000000000004</v>
      </c>
      <c r="AQ127" s="4">
        <f t="shared" si="58"/>
        <v>2018</v>
      </c>
      <c r="AR127" s="356">
        <v>43132</v>
      </c>
      <c r="AS127" s="4">
        <f t="shared" si="59"/>
        <v>12.04</v>
      </c>
      <c r="AT127" s="4">
        <v>12.79</v>
      </c>
      <c r="AU127" s="4">
        <v>11.29</v>
      </c>
      <c r="AV127" s="515">
        <f t="shared" si="66"/>
        <v>2024</v>
      </c>
      <c r="AW127" s="535">
        <v>45505</v>
      </c>
      <c r="AX127" s="515">
        <f t="shared" ref="AX127:AX190" si="70">AVERAGE(AY127:AZ127)</f>
        <v>3.7669999999999999</v>
      </c>
      <c r="AY127" s="596">
        <f>'[12]Forward Price Curve'!AE208</f>
        <v>3.8422999999999998</v>
      </c>
      <c r="AZ127" s="596">
        <f>'[12]Forward Price Curve'!AD208</f>
        <v>3.6917</v>
      </c>
      <c r="BA127" s="629">
        <f t="shared" si="67"/>
        <v>2027</v>
      </c>
      <c r="BB127" s="633">
        <v>46600</v>
      </c>
      <c r="BC127" s="629">
        <f t="shared" si="55"/>
        <v>3.8686499999999997</v>
      </c>
      <c r="BD127" s="634">
        <f>[13]Prices!AO124</f>
        <v>4.0233999999999996</v>
      </c>
      <c r="BE127" s="634">
        <f>[13]Prices!AP124</f>
        <v>3.7139000000000002</v>
      </c>
    </row>
    <row r="128" spans="20:57">
      <c r="T128" s="4">
        <f t="shared" si="60"/>
        <v>2015</v>
      </c>
      <c r="U128" s="434">
        <f t="shared" si="69"/>
        <v>42156</v>
      </c>
      <c r="V128" s="150">
        <v>53.35</v>
      </c>
      <c r="W128" s="150">
        <v>41.68</v>
      </c>
      <c r="X128" s="357">
        <f t="shared" si="64"/>
        <v>48.331899999999997</v>
      </c>
      <c r="Y128" s="343">
        <v>416</v>
      </c>
      <c r="Z128" s="343">
        <v>304</v>
      </c>
      <c r="AA128" s="343">
        <f t="shared" si="61"/>
        <v>0.57777777777777772</v>
      </c>
      <c r="AB128" s="343">
        <f t="shared" si="62"/>
        <v>0.42222222222222222</v>
      </c>
      <c r="AF128" s="4">
        <f t="shared" si="65"/>
        <v>2015</v>
      </c>
      <c r="AG128" s="432">
        <f t="shared" si="68"/>
        <v>42156</v>
      </c>
      <c r="AH128" s="149">
        <f t="shared" si="63"/>
        <v>6.9631158238172919</v>
      </c>
      <c r="AI128" s="150">
        <v>6.9631158238172919</v>
      </c>
      <c r="AK128" s="4">
        <f t="shared" si="56"/>
        <v>2014</v>
      </c>
      <c r="AL128" s="432">
        <v>41759</v>
      </c>
      <c r="AM128" s="4">
        <f t="shared" si="57"/>
        <v>4.4399999999999995</v>
      </c>
      <c r="AN128" s="4">
        <v>4.5</v>
      </c>
      <c r="AO128" s="4">
        <v>4.38</v>
      </c>
      <c r="AQ128" s="4">
        <f t="shared" si="58"/>
        <v>2018</v>
      </c>
      <c r="AR128" s="356">
        <v>43160</v>
      </c>
      <c r="AS128" s="4">
        <f t="shared" si="59"/>
        <v>11.305</v>
      </c>
      <c r="AT128" s="4">
        <v>12.1</v>
      </c>
      <c r="AU128" s="4">
        <v>10.51</v>
      </c>
      <c r="AV128" s="515">
        <f t="shared" si="66"/>
        <v>2024</v>
      </c>
      <c r="AW128" s="535">
        <v>45536</v>
      </c>
      <c r="AX128" s="515">
        <f t="shared" si="70"/>
        <v>3.8486500000000001</v>
      </c>
      <c r="AY128" s="596">
        <f>'[12]Forward Price Curve'!AE209</f>
        <v>3.8925999999999998</v>
      </c>
      <c r="AZ128" s="596">
        <f>'[12]Forward Price Curve'!AD209</f>
        <v>3.8047</v>
      </c>
      <c r="BA128" s="629">
        <f t="shared" si="67"/>
        <v>2027</v>
      </c>
      <c r="BB128" s="633">
        <v>46631</v>
      </c>
      <c r="BC128" s="629">
        <f t="shared" si="55"/>
        <v>3.8080999999999996</v>
      </c>
      <c r="BD128" s="634">
        <f>[13]Prices!AO125</f>
        <v>4.0233999999999996</v>
      </c>
      <c r="BE128" s="634">
        <f>[13]Prices!AP125</f>
        <v>3.5928</v>
      </c>
    </row>
    <row r="129" spans="20:57">
      <c r="T129" s="4">
        <f t="shared" si="60"/>
        <v>2015</v>
      </c>
      <c r="U129" s="434">
        <f t="shared" si="69"/>
        <v>42186</v>
      </c>
      <c r="V129" s="150">
        <v>57.01</v>
      </c>
      <c r="W129" s="150">
        <v>47.45</v>
      </c>
      <c r="X129" s="357">
        <f t="shared" si="64"/>
        <v>52.8992</v>
      </c>
      <c r="Y129" s="343">
        <v>416</v>
      </c>
      <c r="Z129" s="343">
        <v>328</v>
      </c>
      <c r="AA129" s="343">
        <f t="shared" si="61"/>
        <v>0.55913978494623651</v>
      </c>
      <c r="AB129" s="343">
        <f t="shared" si="62"/>
        <v>0.44086021505376344</v>
      </c>
      <c r="AF129" s="4">
        <f t="shared" si="65"/>
        <v>2015</v>
      </c>
      <c r="AG129" s="432">
        <f t="shared" si="68"/>
        <v>42186</v>
      </c>
      <c r="AH129" s="149">
        <f t="shared" si="63"/>
        <v>7.0650734094616654</v>
      </c>
      <c r="AI129" s="150">
        <v>7.0650734094616654</v>
      </c>
      <c r="AK129" s="4">
        <f t="shared" si="56"/>
        <v>2014</v>
      </c>
      <c r="AL129" s="432">
        <v>41790</v>
      </c>
      <c r="AM129" s="4">
        <f t="shared" si="57"/>
        <v>4.4399999999999995</v>
      </c>
      <c r="AN129" s="4">
        <v>4.5</v>
      </c>
      <c r="AO129" s="4">
        <v>4.38</v>
      </c>
      <c r="AQ129" s="4">
        <f t="shared" si="58"/>
        <v>2018</v>
      </c>
      <c r="AR129" s="356">
        <v>43191</v>
      </c>
      <c r="AS129" s="4">
        <f t="shared" si="59"/>
        <v>10.574999999999999</v>
      </c>
      <c r="AT129" s="4">
        <v>11.41</v>
      </c>
      <c r="AU129" s="4">
        <v>9.74</v>
      </c>
      <c r="AV129" s="515">
        <f t="shared" si="66"/>
        <v>2024</v>
      </c>
      <c r="AW129" s="535">
        <v>45566</v>
      </c>
      <c r="AX129" s="515">
        <f t="shared" si="70"/>
        <v>4.0557999999999996</v>
      </c>
      <c r="AY129" s="596">
        <f>'[12]Forward Price Curve'!AE210</f>
        <v>4.1185999999999998</v>
      </c>
      <c r="AZ129" s="596">
        <f>'[12]Forward Price Curve'!AD210</f>
        <v>3.9929999999999999</v>
      </c>
      <c r="BA129" s="629">
        <f t="shared" si="67"/>
        <v>2027</v>
      </c>
      <c r="BB129" s="633">
        <v>46661</v>
      </c>
      <c r="BC129" s="629">
        <f t="shared" si="55"/>
        <v>3.8484500000000001</v>
      </c>
      <c r="BD129" s="634">
        <f>[13]Prices!AO126</f>
        <v>4.0368000000000004</v>
      </c>
      <c r="BE129" s="634">
        <f>[13]Prices!AP126</f>
        <v>3.6600999999999999</v>
      </c>
    </row>
    <row r="130" spans="20:57">
      <c r="T130" s="4">
        <f t="shared" si="60"/>
        <v>2015</v>
      </c>
      <c r="U130" s="434">
        <f t="shared" si="69"/>
        <v>42217</v>
      </c>
      <c r="V130" s="150">
        <v>61.56</v>
      </c>
      <c r="W130" s="150">
        <v>51.08</v>
      </c>
      <c r="X130" s="357">
        <f t="shared" si="64"/>
        <v>57.053599999999996</v>
      </c>
      <c r="Y130" s="343">
        <v>416</v>
      </c>
      <c r="Z130" s="343">
        <v>328</v>
      </c>
      <c r="AA130" s="343">
        <f t="shared" si="61"/>
        <v>0.55913978494623651</v>
      </c>
      <c r="AB130" s="343">
        <f t="shared" si="62"/>
        <v>0.44086021505376344</v>
      </c>
      <c r="AF130" s="4">
        <f t="shared" si="65"/>
        <v>2015</v>
      </c>
      <c r="AG130" s="432">
        <f t="shared" si="68"/>
        <v>42217</v>
      </c>
      <c r="AH130" s="149">
        <f t="shared" si="63"/>
        <v>7.0650734094616654</v>
      </c>
      <c r="AI130" s="150">
        <v>7.0650734094616654</v>
      </c>
      <c r="AK130" s="4">
        <f t="shared" si="56"/>
        <v>2014</v>
      </c>
      <c r="AL130" s="432">
        <v>41820</v>
      </c>
      <c r="AM130" s="4">
        <f t="shared" si="57"/>
        <v>4.51</v>
      </c>
      <c r="AN130" s="4">
        <v>4.57</v>
      </c>
      <c r="AO130" s="4">
        <v>4.45</v>
      </c>
      <c r="AQ130" s="4">
        <f t="shared" si="58"/>
        <v>2018</v>
      </c>
      <c r="AR130" s="356">
        <v>43221</v>
      </c>
      <c r="AS130" s="4">
        <f t="shared" si="59"/>
        <v>10.574999999999999</v>
      </c>
      <c r="AT130" s="4">
        <v>11.41</v>
      </c>
      <c r="AU130" s="4">
        <v>9.74</v>
      </c>
      <c r="AV130" s="515">
        <f t="shared" si="66"/>
        <v>2024</v>
      </c>
      <c r="AW130" s="535">
        <v>45597</v>
      </c>
      <c r="AX130" s="515">
        <f t="shared" si="70"/>
        <v>4.3697499999999998</v>
      </c>
      <c r="AY130" s="596">
        <f>'[12]Forward Price Curve'!AE211</f>
        <v>4.4451000000000001</v>
      </c>
      <c r="AZ130" s="596">
        <f>'[12]Forward Price Curve'!AD211</f>
        <v>4.2944000000000004</v>
      </c>
      <c r="BA130" s="629">
        <f t="shared" si="67"/>
        <v>2027</v>
      </c>
      <c r="BB130" s="633">
        <v>46692</v>
      </c>
      <c r="BC130" s="629">
        <f t="shared" si="55"/>
        <v>4.0772000000000004</v>
      </c>
      <c r="BD130" s="634">
        <f>[13]Prices!AO127</f>
        <v>4.2521000000000004</v>
      </c>
      <c r="BE130" s="634">
        <f>[13]Prices!AP127</f>
        <v>3.9022999999999999</v>
      </c>
    </row>
    <row r="131" spans="20:57">
      <c r="T131" s="4">
        <f t="shared" si="60"/>
        <v>2015</v>
      </c>
      <c r="U131" s="434">
        <f t="shared" si="69"/>
        <v>42248</v>
      </c>
      <c r="V131" s="150">
        <v>63.63</v>
      </c>
      <c r="W131" s="150">
        <v>50.26</v>
      </c>
      <c r="X131" s="357">
        <f t="shared" si="64"/>
        <v>57.880899999999997</v>
      </c>
      <c r="Y131" s="343">
        <v>400</v>
      </c>
      <c r="Z131" s="343">
        <v>320</v>
      </c>
      <c r="AA131" s="343">
        <f t="shared" si="61"/>
        <v>0.55555555555555558</v>
      </c>
      <c r="AB131" s="343">
        <f t="shared" si="62"/>
        <v>0.44444444444444442</v>
      </c>
      <c r="AF131" s="4">
        <f t="shared" si="65"/>
        <v>2015</v>
      </c>
      <c r="AG131" s="432">
        <f t="shared" si="68"/>
        <v>42248</v>
      </c>
      <c r="AH131" s="149">
        <f t="shared" si="63"/>
        <v>7.0650734094616654</v>
      </c>
      <c r="AI131" s="150">
        <v>7.0650734094616654</v>
      </c>
      <c r="AK131" s="4">
        <f t="shared" si="56"/>
        <v>2014</v>
      </c>
      <c r="AL131" s="432">
        <v>41851</v>
      </c>
      <c r="AM131" s="4">
        <f t="shared" si="57"/>
        <v>4.58</v>
      </c>
      <c r="AN131" s="4">
        <v>4.6399999999999997</v>
      </c>
      <c r="AO131" s="4">
        <v>4.5199999999999996</v>
      </c>
      <c r="AQ131" s="4">
        <f t="shared" si="58"/>
        <v>2018</v>
      </c>
      <c r="AR131" s="356">
        <v>43252</v>
      </c>
      <c r="AS131" s="4">
        <f t="shared" si="59"/>
        <v>10.734999999999999</v>
      </c>
      <c r="AT131" s="4">
        <v>11.58</v>
      </c>
      <c r="AU131" s="4">
        <v>9.89</v>
      </c>
      <c r="AV131" s="515">
        <f t="shared" si="66"/>
        <v>2024</v>
      </c>
      <c r="AW131" s="535">
        <v>45627</v>
      </c>
      <c r="AX131" s="515">
        <f t="shared" si="70"/>
        <v>4.3069000000000006</v>
      </c>
      <c r="AY131" s="596">
        <f>'[12]Forward Price Curve'!AE212</f>
        <v>4.4199000000000002</v>
      </c>
      <c r="AZ131" s="596">
        <f>'[12]Forward Price Curve'!AD212</f>
        <v>4.1939000000000002</v>
      </c>
      <c r="BA131" s="629">
        <f t="shared" si="67"/>
        <v>2027</v>
      </c>
      <c r="BB131" s="633">
        <v>46722</v>
      </c>
      <c r="BC131" s="629">
        <f t="shared" si="55"/>
        <v>4.35975</v>
      </c>
      <c r="BD131" s="634">
        <f>[13]Prices!AO128</f>
        <v>4.4673999999999996</v>
      </c>
      <c r="BE131" s="634">
        <f>[13]Prices!AP128</f>
        <v>4.2521000000000004</v>
      </c>
    </row>
    <row r="132" spans="20:57">
      <c r="T132" s="4">
        <f t="shared" si="60"/>
        <v>2015</v>
      </c>
      <c r="U132" s="434">
        <f t="shared" si="69"/>
        <v>42278</v>
      </c>
      <c r="V132" s="150">
        <v>57.59</v>
      </c>
      <c r="W132" s="150">
        <v>45.7</v>
      </c>
      <c r="X132" s="357">
        <f t="shared" si="64"/>
        <v>52.4773</v>
      </c>
      <c r="Y132" s="343">
        <v>432</v>
      </c>
      <c r="Z132" s="343">
        <v>312</v>
      </c>
      <c r="AA132" s="343">
        <f t="shared" si="61"/>
        <v>0.58064516129032262</v>
      </c>
      <c r="AB132" s="343">
        <f t="shared" si="62"/>
        <v>0.41935483870967744</v>
      </c>
      <c r="AF132" s="4">
        <f t="shared" si="65"/>
        <v>2015</v>
      </c>
      <c r="AG132" s="432">
        <f t="shared" si="68"/>
        <v>42278</v>
      </c>
      <c r="AH132" s="149">
        <f t="shared" si="63"/>
        <v>7.3165687873844494</v>
      </c>
      <c r="AI132" s="150">
        <v>7.3165687873844494</v>
      </c>
      <c r="AK132" s="4">
        <f t="shared" si="56"/>
        <v>2014</v>
      </c>
      <c r="AL132" s="432">
        <v>41882</v>
      </c>
      <c r="AM132" s="4">
        <f t="shared" si="57"/>
        <v>4.58</v>
      </c>
      <c r="AN132" s="4">
        <v>4.6399999999999997</v>
      </c>
      <c r="AO132" s="4">
        <v>4.5199999999999996</v>
      </c>
      <c r="AQ132" s="4">
        <f t="shared" si="58"/>
        <v>2018</v>
      </c>
      <c r="AR132" s="356">
        <v>43282</v>
      </c>
      <c r="AS132" s="4">
        <f t="shared" si="59"/>
        <v>10.9</v>
      </c>
      <c r="AT132" s="4">
        <v>11.75</v>
      </c>
      <c r="AU132" s="4">
        <v>10.050000000000001</v>
      </c>
      <c r="AV132" s="515">
        <f t="shared" si="66"/>
        <v>2025</v>
      </c>
      <c r="AW132" s="535">
        <v>45658</v>
      </c>
      <c r="AX132" s="515">
        <f t="shared" si="70"/>
        <v>4.4722500000000007</v>
      </c>
      <c r="AY132" s="596">
        <f>'[12]Forward Price Curve'!AE213</f>
        <v>4.53</v>
      </c>
      <c r="AZ132" s="596">
        <f>'[12]Forward Price Curve'!AD213</f>
        <v>4.4145000000000003</v>
      </c>
      <c r="BA132" s="629">
        <f t="shared" si="67"/>
        <v>2028</v>
      </c>
      <c r="BB132" s="633">
        <v>46753</v>
      </c>
      <c r="BC132" s="629">
        <f t="shared" si="55"/>
        <v>4.3800500000000007</v>
      </c>
      <c r="BD132" s="634">
        <f>[13]Prices!AO129</f>
        <v>4.4969000000000001</v>
      </c>
      <c r="BE132" s="634">
        <f>[13]Prices!AP129</f>
        <v>4.2632000000000003</v>
      </c>
    </row>
    <row r="133" spans="20:57">
      <c r="T133" s="4">
        <f t="shared" si="60"/>
        <v>2015</v>
      </c>
      <c r="U133" s="434">
        <f t="shared" si="69"/>
        <v>42309</v>
      </c>
      <c r="V133" s="150">
        <v>63.29</v>
      </c>
      <c r="W133" s="150">
        <v>54.41</v>
      </c>
      <c r="X133" s="357">
        <f t="shared" si="64"/>
        <v>59.471599999999995</v>
      </c>
      <c r="Y133" s="343">
        <v>384</v>
      </c>
      <c r="Z133" s="343">
        <v>336</v>
      </c>
      <c r="AA133" s="343">
        <f t="shared" si="61"/>
        <v>0.53333333333333333</v>
      </c>
      <c r="AB133" s="343">
        <f t="shared" si="62"/>
        <v>0.46666666666666667</v>
      </c>
      <c r="AF133" s="4">
        <f t="shared" si="65"/>
        <v>2015</v>
      </c>
      <c r="AG133" s="432">
        <f t="shared" si="68"/>
        <v>42309</v>
      </c>
      <c r="AH133" s="149">
        <f t="shared" si="63"/>
        <v>7.421924959216966</v>
      </c>
      <c r="AI133" s="150">
        <v>7.421924959216966</v>
      </c>
      <c r="AK133" s="4">
        <f t="shared" si="56"/>
        <v>2014</v>
      </c>
      <c r="AL133" s="432">
        <v>41912</v>
      </c>
      <c r="AM133" s="4">
        <f t="shared" si="57"/>
        <v>4.58</v>
      </c>
      <c r="AN133" s="4">
        <v>4.6399999999999997</v>
      </c>
      <c r="AO133" s="4">
        <v>4.5199999999999996</v>
      </c>
      <c r="AQ133" s="4">
        <f t="shared" si="58"/>
        <v>2018</v>
      </c>
      <c r="AR133" s="356">
        <v>43313</v>
      </c>
      <c r="AS133" s="4">
        <f t="shared" si="59"/>
        <v>10.9</v>
      </c>
      <c r="AT133" s="4">
        <v>11.75</v>
      </c>
      <c r="AU133" s="4">
        <v>10.050000000000001</v>
      </c>
      <c r="AV133" s="515">
        <f t="shared" si="66"/>
        <v>2025</v>
      </c>
      <c r="AW133" s="535">
        <v>45689</v>
      </c>
      <c r="AX133" s="515">
        <f t="shared" si="70"/>
        <v>4.5107999999999997</v>
      </c>
      <c r="AY133" s="596">
        <f>'[12]Forward Price Curve'!AE214</f>
        <v>4.5556999999999999</v>
      </c>
      <c r="AZ133" s="596">
        <f>'[12]Forward Price Curve'!AD214</f>
        <v>4.4659000000000004</v>
      </c>
      <c r="BA133" s="629">
        <f t="shared" si="67"/>
        <v>2028</v>
      </c>
      <c r="BB133" s="633">
        <v>46784</v>
      </c>
      <c r="BC133" s="629">
        <f t="shared" si="55"/>
        <v>4.3250500000000001</v>
      </c>
      <c r="BD133" s="634">
        <f>[13]Prices!AO130</f>
        <v>4.4832000000000001</v>
      </c>
      <c r="BE133" s="634">
        <f>[13]Prices!AP130</f>
        <v>4.1669</v>
      </c>
    </row>
    <row r="134" spans="20:57">
      <c r="T134" s="4">
        <f t="shared" si="60"/>
        <v>2015</v>
      </c>
      <c r="U134" s="434">
        <f t="shared" si="69"/>
        <v>42339</v>
      </c>
      <c r="V134" s="150">
        <v>68.81</v>
      </c>
      <c r="W134" s="150">
        <v>57.92</v>
      </c>
      <c r="X134" s="357">
        <f t="shared" si="64"/>
        <v>64.127299999999991</v>
      </c>
      <c r="Y134" s="343">
        <v>416</v>
      </c>
      <c r="Z134" s="343">
        <v>328</v>
      </c>
      <c r="AA134" s="343">
        <f t="shared" si="61"/>
        <v>0.55913978494623651</v>
      </c>
      <c r="AB134" s="343">
        <f t="shared" si="62"/>
        <v>0.44086021505376344</v>
      </c>
      <c r="AF134" s="4">
        <f t="shared" si="65"/>
        <v>2015</v>
      </c>
      <c r="AG134" s="432">
        <f t="shared" si="68"/>
        <v>42339</v>
      </c>
      <c r="AH134" s="149">
        <f t="shared" si="63"/>
        <v>7.7753779227841218</v>
      </c>
      <c r="AI134" s="150">
        <v>7.7753779227841218</v>
      </c>
      <c r="AK134" s="4">
        <f t="shared" si="56"/>
        <v>2014</v>
      </c>
      <c r="AL134" s="432">
        <v>41943</v>
      </c>
      <c r="AM134" s="4">
        <f t="shared" si="57"/>
        <v>4.75</v>
      </c>
      <c r="AN134" s="4">
        <v>4.7699999999999996</v>
      </c>
      <c r="AO134" s="4">
        <v>4.7300000000000004</v>
      </c>
      <c r="AQ134" s="4">
        <f t="shared" si="58"/>
        <v>2018</v>
      </c>
      <c r="AR134" s="356">
        <v>43344</v>
      </c>
      <c r="AS134" s="4">
        <f t="shared" si="59"/>
        <v>10.9</v>
      </c>
      <c r="AT134" s="4">
        <v>11.75</v>
      </c>
      <c r="AU134" s="4">
        <v>10.050000000000001</v>
      </c>
      <c r="AV134" s="515">
        <f t="shared" si="66"/>
        <v>2025</v>
      </c>
      <c r="AW134" s="535">
        <v>45717</v>
      </c>
      <c r="AX134" s="515">
        <f t="shared" si="70"/>
        <v>4.3375000000000004</v>
      </c>
      <c r="AY134" s="596">
        <f>'[12]Forward Price Curve'!AE215</f>
        <v>4.3760000000000003</v>
      </c>
      <c r="AZ134" s="596">
        <f>'[12]Forward Price Curve'!AD215</f>
        <v>4.2990000000000004</v>
      </c>
      <c r="BA134" s="629">
        <f t="shared" si="67"/>
        <v>2028</v>
      </c>
      <c r="BB134" s="633">
        <v>46813</v>
      </c>
      <c r="BC134" s="629">
        <f t="shared" si="55"/>
        <v>3.9812000000000003</v>
      </c>
      <c r="BD134" s="634">
        <f>[13]Prices!AO131</f>
        <v>4.1531000000000002</v>
      </c>
      <c r="BE134" s="634">
        <f>[13]Prices!AP131</f>
        <v>3.8092999999999999</v>
      </c>
    </row>
    <row r="135" spans="20:57">
      <c r="T135" s="4">
        <f t="shared" si="60"/>
        <v>2016</v>
      </c>
      <c r="U135" s="434">
        <f t="shared" si="69"/>
        <v>42370</v>
      </c>
      <c r="V135" s="150">
        <v>70.930000000000007</v>
      </c>
      <c r="W135" s="150">
        <v>56.19</v>
      </c>
      <c r="X135" s="357">
        <f t="shared" si="64"/>
        <v>64.591800000000006</v>
      </c>
      <c r="Y135" s="343">
        <v>400</v>
      </c>
      <c r="Z135" s="343">
        <v>344</v>
      </c>
      <c r="AA135" s="343">
        <f t="shared" si="61"/>
        <v>0.5376344086021505</v>
      </c>
      <c r="AB135" s="343">
        <f t="shared" si="62"/>
        <v>0.46236559139784944</v>
      </c>
      <c r="AF135" s="4">
        <f t="shared" si="65"/>
        <v>2016</v>
      </c>
      <c r="AG135" s="432">
        <f t="shared" si="68"/>
        <v>42370</v>
      </c>
      <c r="AH135" s="149">
        <f t="shared" si="63"/>
        <v>8.9546873300706888</v>
      </c>
      <c r="AI135" s="150">
        <v>8.9546873300706888</v>
      </c>
      <c r="AK135" s="4">
        <f t="shared" si="56"/>
        <v>2014</v>
      </c>
      <c r="AL135" s="432">
        <v>41973</v>
      </c>
      <c r="AM135" s="4">
        <f t="shared" si="57"/>
        <v>4.82</v>
      </c>
      <c r="AN135" s="4">
        <v>4.84</v>
      </c>
      <c r="AO135" s="4">
        <v>4.8</v>
      </c>
      <c r="AQ135" s="4">
        <f t="shared" si="58"/>
        <v>2018</v>
      </c>
      <c r="AR135" s="356">
        <v>43374</v>
      </c>
      <c r="AS135" s="4">
        <f t="shared" si="59"/>
        <v>11.305</v>
      </c>
      <c r="AT135" s="4">
        <v>12.1</v>
      </c>
      <c r="AU135" s="4">
        <v>10.51</v>
      </c>
      <c r="AV135" s="515">
        <f t="shared" si="66"/>
        <v>2025</v>
      </c>
      <c r="AW135" s="535">
        <v>45748</v>
      </c>
      <c r="AX135" s="515">
        <f t="shared" si="70"/>
        <v>4.1578999999999997</v>
      </c>
      <c r="AY135" s="596">
        <f>'[12]Forward Price Curve'!AE216</f>
        <v>4.2348999999999997</v>
      </c>
      <c r="AZ135" s="596">
        <f>'[12]Forward Price Curve'!AD216</f>
        <v>4.0808999999999997</v>
      </c>
      <c r="BA135" s="629">
        <f t="shared" si="67"/>
        <v>2028</v>
      </c>
      <c r="BB135" s="633">
        <v>46844</v>
      </c>
      <c r="BC135" s="629">
        <f t="shared" si="55"/>
        <v>3.6030500000000001</v>
      </c>
      <c r="BD135" s="634">
        <f>[13]Prices!AO132</f>
        <v>3.7818000000000001</v>
      </c>
      <c r="BE135" s="634">
        <f>[13]Prices!AP132</f>
        <v>3.4243000000000001</v>
      </c>
    </row>
    <row r="136" spans="20:57">
      <c r="T136" s="4">
        <f t="shared" si="60"/>
        <v>2016</v>
      </c>
      <c r="U136" s="434">
        <f t="shared" si="69"/>
        <v>42401</v>
      </c>
      <c r="V136" s="150">
        <v>71.5</v>
      </c>
      <c r="W136" s="150">
        <v>61.63</v>
      </c>
      <c r="X136" s="357">
        <f t="shared" si="64"/>
        <v>67.255899999999997</v>
      </c>
      <c r="Y136" s="343">
        <v>400</v>
      </c>
      <c r="Z136" s="343">
        <v>296</v>
      </c>
      <c r="AA136" s="343">
        <f t="shared" si="61"/>
        <v>0.57471264367816088</v>
      </c>
      <c r="AB136" s="343">
        <f t="shared" si="62"/>
        <v>0.42528735632183906</v>
      </c>
      <c r="AF136" s="4">
        <f t="shared" si="65"/>
        <v>2016</v>
      </c>
      <c r="AG136" s="432">
        <f t="shared" si="68"/>
        <v>42401</v>
      </c>
      <c r="AH136" s="149">
        <f t="shared" si="63"/>
        <v>8.4177107123436645</v>
      </c>
      <c r="AI136" s="150">
        <v>8.4177107123436645</v>
      </c>
      <c r="AK136" s="4">
        <f t="shared" si="56"/>
        <v>2014</v>
      </c>
      <c r="AL136" s="432">
        <v>42004</v>
      </c>
      <c r="AM136" s="4">
        <f t="shared" si="57"/>
        <v>5.0600000000000005</v>
      </c>
      <c r="AN136" s="4">
        <v>5.04</v>
      </c>
      <c r="AO136" s="4">
        <v>5.08</v>
      </c>
      <c r="AQ136" s="4">
        <f t="shared" si="58"/>
        <v>2018</v>
      </c>
      <c r="AR136" s="356">
        <v>43405</v>
      </c>
      <c r="AS136" s="4">
        <f t="shared" si="59"/>
        <v>11.469999999999999</v>
      </c>
      <c r="AT136" s="4">
        <v>12.27</v>
      </c>
      <c r="AU136" s="4">
        <v>10.67</v>
      </c>
      <c r="AV136" s="515">
        <f t="shared" si="66"/>
        <v>2025</v>
      </c>
      <c r="AW136" s="535">
        <v>45778</v>
      </c>
      <c r="AX136" s="515">
        <f t="shared" si="70"/>
        <v>3.8755499999999996</v>
      </c>
      <c r="AY136" s="596">
        <f>'[12]Forward Price Curve'!AE217</f>
        <v>4.0038999999999998</v>
      </c>
      <c r="AZ136" s="596">
        <f>'[12]Forward Price Curve'!AD217</f>
        <v>3.7471999999999999</v>
      </c>
      <c r="BA136" s="629">
        <f t="shared" si="67"/>
        <v>2028</v>
      </c>
      <c r="BB136" s="633">
        <v>46874</v>
      </c>
      <c r="BC136" s="629">
        <f t="shared" si="55"/>
        <v>3.6168</v>
      </c>
      <c r="BD136" s="634">
        <f>[13]Prices!AO133</f>
        <v>3.7955999999999999</v>
      </c>
      <c r="BE136" s="634">
        <f>[13]Prices!AP133</f>
        <v>3.4380000000000002</v>
      </c>
    </row>
    <row r="137" spans="20:57">
      <c r="T137" s="4">
        <f t="shared" si="60"/>
        <v>2016</v>
      </c>
      <c r="U137" s="434">
        <f t="shared" si="69"/>
        <v>42430</v>
      </c>
      <c r="V137" s="150">
        <v>63.74</v>
      </c>
      <c r="W137" s="150">
        <v>55.85</v>
      </c>
      <c r="X137" s="357">
        <f t="shared" si="64"/>
        <v>60.347300000000004</v>
      </c>
      <c r="Y137" s="343">
        <v>432</v>
      </c>
      <c r="Z137" s="343">
        <v>312</v>
      </c>
      <c r="AA137" s="343">
        <f t="shared" si="61"/>
        <v>0.58064516129032262</v>
      </c>
      <c r="AB137" s="343">
        <f t="shared" si="62"/>
        <v>0.41935483870967744</v>
      </c>
      <c r="AF137" s="4">
        <f t="shared" si="65"/>
        <v>2016</v>
      </c>
      <c r="AG137" s="432">
        <f t="shared" si="68"/>
        <v>42430</v>
      </c>
      <c r="AH137" s="149">
        <f t="shared" si="63"/>
        <v>7.9181185426862433</v>
      </c>
      <c r="AI137" s="150">
        <v>7.9181185426862433</v>
      </c>
      <c r="AK137" s="4">
        <f t="shared" si="56"/>
        <v>2015</v>
      </c>
      <c r="AL137" s="432">
        <v>42035</v>
      </c>
      <c r="AM137" s="4">
        <f t="shared" si="57"/>
        <v>5.5549999999999997</v>
      </c>
      <c r="AN137" s="4">
        <v>5.5</v>
      </c>
      <c r="AO137" s="4">
        <v>5.61</v>
      </c>
      <c r="AQ137" s="4">
        <f t="shared" si="58"/>
        <v>2018</v>
      </c>
      <c r="AR137" s="356">
        <v>43435</v>
      </c>
      <c r="AS137" s="4">
        <f t="shared" si="59"/>
        <v>12.04</v>
      </c>
      <c r="AT137" s="4">
        <v>12.79</v>
      </c>
      <c r="AU137" s="4">
        <v>11.29</v>
      </c>
      <c r="AV137" s="515">
        <f t="shared" si="66"/>
        <v>2025</v>
      </c>
      <c r="AW137" s="535">
        <v>45809</v>
      </c>
      <c r="AX137" s="515">
        <f t="shared" si="70"/>
        <v>3.8434499999999998</v>
      </c>
      <c r="AY137" s="596">
        <f>'[12]Forward Price Curve'!AE218</f>
        <v>3.9910000000000001</v>
      </c>
      <c r="AZ137" s="596">
        <f>'[12]Forward Price Curve'!AD218</f>
        <v>3.6959</v>
      </c>
      <c r="BA137" s="629">
        <f t="shared" si="67"/>
        <v>2028</v>
      </c>
      <c r="BB137" s="633">
        <v>46905</v>
      </c>
      <c r="BC137" s="629">
        <f t="shared" si="55"/>
        <v>3.6580500000000002</v>
      </c>
      <c r="BD137" s="634">
        <f>[13]Prices!AO134</f>
        <v>3.8231000000000002</v>
      </c>
      <c r="BE137" s="634">
        <f>[13]Prices!AP134</f>
        <v>3.4929999999999999</v>
      </c>
    </row>
    <row r="138" spans="20:57">
      <c r="T138" s="4">
        <f t="shared" si="60"/>
        <v>2016</v>
      </c>
      <c r="U138" s="434">
        <f t="shared" si="69"/>
        <v>42461</v>
      </c>
      <c r="V138" s="150">
        <v>58.89</v>
      </c>
      <c r="W138" s="150">
        <v>52.61</v>
      </c>
      <c r="X138" s="357">
        <f t="shared" si="64"/>
        <v>56.189599999999999</v>
      </c>
      <c r="Y138" s="343">
        <v>416</v>
      </c>
      <c r="Z138" s="343">
        <v>304</v>
      </c>
      <c r="AA138" s="343">
        <f t="shared" si="61"/>
        <v>0.57777777777777772</v>
      </c>
      <c r="AB138" s="343">
        <f t="shared" si="62"/>
        <v>0.42222222222222222</v>
      </c>
      <c r="AF138" s="4">
        <f t="shared" si="65"/>
        <v>2016</v>
      </c>
      <c r="AG138" s="432">
        <f t="shared" si="68"/>
        <v>42461</v>
      </c>
      <c r="AH138" s="149">
        <f t="shared" si="63"/>
        <v>7.4966938553561722</v>
      </c>
      <c r="AI138" s="150">
        <v>7.4966938553561722</v>
      </c>
      <c r="AK138" s="4">
        <f t="shared" si="56"/>
        <v>2015</v>
      </c>
      <c r="AL138" s="432">
        <v>42063</v>
      </c>
      <c r="AM138" s="4">
        <f t="shared" si="57"/>
        <v>5.17</v>
      </c>
      <c r="AN138" s="4">
        <v>5.15</v>
      </c>
      <c r="AO138" s="4">
        <v>5.19</v>
      </c>
      <c r="AQ138" s="4">
        <f t="shared" si="58"/>
        <v>2019</v>
      </c>
      <c r="AR138" s="356">
        <v>43466</v>
      </c>
      <c r="AS138" s="4">
        <f t="shared" si="59"/>
        <v>13.445</v>
      </c>
      <c r="AT138" s="4">
        <v>14.16</v>
      </c>
      <c r="AU138" s="4">
        <v>12.73</v>
      </c>
      <c r="AV138" s="515">
        <f t="shared" si="66"/>
        <v>2025</v>
      </c>
      <c r="AW138" s="535">
        <v>45839</v>
      </c>
      <c r="AX138" s="515">
        <f t="shared" si="70"/>
        <v>3.8819499999999998</v>
      </c>
      <c r="AY138" s="596">
        <f>'[12]Forward Price Curve'!AE219</f>
        <v>4.0038999999999998</v>
      </c>
      <c r="AZ138" s="596">
        <f>'[12]Forward Price Curve'!AD219</f>
        <v>3.76</v>
      </c>
      <c r="BA138" s="629">
        <f t="shared" si="67"/>
        <v>2028</v>
      </c>
      <c r="BB138" s="633">
        <v>46935</v>
      </c>
      <c r="BC138" s="629">
        <f t="shared" si="55"/>
        <v>3.77495</v>
      </c>
      <c r="BD138" s="634">
        <f>[13]Prices!AO135</f>
        <v>3.9331</v>
      </c>
      <c r="BE138" s="634">
        <f>[13]Prices!AP135</f>
        <v>3.6168</v>
      </c>
    </row>
    <row r="139" spans="20:57">
      <c r="T139" s="4">
        <f t="shared" si="60"/>
        <v>2016</v>
      </c>
      <c r="U139" s="434">
        <f t="shared" si="69"/>
        <v>42491</v>
      </c>
      <c r="V139" s="150">
        <v>55.45</v>
      </c>
      <c r="W139" s="150">
        <v>43.74</v>
      </c>
      <c r="X139" s="357">
        <f t="shared" si="64"/>
        <v>50.414699999999996</v>
      </c>
      <c r="Y139" s="343">
        <v>400</v>
      </c>
      <c r="Z139" s="343">
        <v>344</v>
      </c>
      <c r="AA139" s="343">
        <f t="shared" si="61"/>
        <v>0.5376344086021505</v>
      </c>
      <c r="AB139" s="343">
        <f t="shared" si="62"/>
        <v>0.46236559139784944</v>
      </c>
      <c r="AF139" s="4">
        <f t="shared" si="65"/>
        <v>2016</v>
      </c>
      <c r="AG139" s="432">
        <f t="shared" si="68"/>
        <v>42491</v>
      </c>
      <c r="AH139" s="149">
        <f t="shared" si="63"/>
        <v>7.4185263730288202</v>
      </c>
      <c r="AI139" s="150">
        <v>7.4185263730288202</v>
      </c>
      <c r="AK139" s="4">
        <f t="shared" si="56"/>
        <v>2015</v>
      </c>
      <c r="AL139" s="432">
        <v>42094</v>
      </c>
      <c r="AM139" s="4">
        <f t="shared" si="57"/>
        <v>4.8499999999999996</v>
      </c>
      <c r="AN139" s="4">
        <v>4.87</v>
      </c>
      <c r="AO139" s="4">
        <v>4.83</v>
      </c>
      <c r="AQ139" s="4">
        <f t="shared" si="58"/>
        <v>2019</v>
      </c>
      <c r="AR139" s="356">
        <v>43497</v>
      </c>
      <c r="AS139" s="4">
        <f t="shared" si="59"/>
        <v>12.515000000000001</v>
      </c>
      <c r="AT139" s="4">
        <v>13.27</v>
      </c>
      <c r="AU139" s="4">
        <v>11.76</v>
      </c>
      <c r="AV139" s="515">
        <f t="shared" si="66"/>
        <v>2025</v>
      </c>
      <c r="AW139" s="535">
        <v>45870</v>
      </c>
      <c r="AX139" s="515">
        <f t="shared" si="70"/>
        <v>4.0038499999999999</v>
      </c>
      <c r="AY139" s="596">
        <f>'[12]Forward Price Curve'!AE220</f>
        <v>4.0937000000000001</v>
      </c>
      <c r="AZ139" s="596">
        <f>'[12]Forward Price Curve'!AD220</f>
        <v>3.9140000000000001</v>
      </c>
      <c r="BA139" s="629">
        <f t="shared" si="67"/>
        <v>2028</v>
      </c>
      <c r="BB139" s="633">
        <v>46966</v>
      </c>
      <c r="BC139" s="629">
        <f t="shared" si="55"/>
        <v>3.8162000000000003</v>
      </c>
      <c r="BD139" s="634">
        <f>[13]Prices!AO136</f>
        <v>3.9881000000000002</v>
      </c>
      <c r="BE139" s="634">
        <f>[13]Prices!AP136</f>
        <v>3.6442999999999999</v>
      </c>
    </row>
    <row r="140" spans="20:57">
      <c r="T140" s="4">
        <f t="shared" si="60"/>
        <v>2016</v>
      </c>
      <c r="U140" s="434">
        <f t="shared" si="69"/>
        <v>42522</v>
      </c>
      <c r="V140" s="150">
        <v>60.8</v>
      </c>
      <c r="W140" s="150">
        <v>43.73</v>
      </c>
      <c r="X140" s="357">
        <f t="shared" si="64"/>
        <v>53.459899999999998</v>
      </c>
      <c r="Y140" s="343">
        <v>416</v>
      </c>
      <c r="Z140" s="343">
        <v>304</v>
      </c>
      <c r="AA140" s="343">
        <f t="shared" si="61"/>
        <v>0.57777777777777772</v>
      </c>
      <c r="AB140" s="343">
        <f t="shared" si="62"/>
        <v>0.42222222222222222</v>
      </c>
      <c r="AF140" s="4">
        <f t="shared" si="65"/>
        <v>2016</v>
      </c>
      <c r="AG140" s="432">
        <f t="shared" si="68"/>
        <v>42522</v>
      </c>
      <c r="AH140" s="149">
        <f t="shared" si="63"/>
        <v>7.5306797172376294</v>
      </c>
      <c r="AI140" s="150">
        <v>7.5306797172376294</v>
      </c>
      <c r="AK140" s="4">
        <f t="shared" si="56"/>
        <v>2015</v>
      </c>
      <c r="AL140" s="432">
        <v>42124</v>
      </c>
      <c r="AM140" s="4">
        <f t="shared" si="57"/>
        <v>4.5350000000000001</v>
      </c>
      <c r="AN140" s="4">
        <v>4.59</v>
      </c>
      <c r="AO140" s="4">
        <v>4.4800000000000004</v>
      </c>
      <c r="AQ140" s="4">
        <f t="shared" si="58"/>
        <v>2019</v>
      </c>
      <c r="AR140" s="356">
        <v>43525</v>
      </c>
      <c r="AS140" s="4">
        <f t="shared" si="59"/>
        <v>11.75</v>
      </c>
      <c r="AT140" s="4">
        <v>12.55</v>
      </c>
      <c r="AU140" s="4">
        <v>10.95</v>
      </c>
      <c r="AV140" s="515">
        <f t="shared" si="66"/>
        <v>2025</v>
      </c>
      <c r="AW140" s="535">
        <v>45901</v>
      </c>
      <c r="AX140" s="515">
        <f t="shared" si="70"/>
        <v>3.9332500000000001</v>
      </c>
      <c r="AY140" s="596">
        <f>'[12]Forward Price Curve'!AE221</f>
        <v>3.9910000000000001</v>
      </c>
      <c r="AZ140" s="596">
        <f>'[12]Forward Price Curve'!AD221</f>
        <v>3.8755000000000002</v>
      </c>
      <c r="BA140" s="629">
        <f t="shared" si="67"/>
        <v>2028</v>
      </c>
      <c r="BB140" s="633">
        <v>46997</v>
      </c>
      <c r="BC140" s="629">
        <f t="shared" ref="BC140:BC203" si="71">AVERAGE(BD140:BE140)</f>
        <v>3.7680500000000001</v>
      </c>
      <c r="BD140" s="634">
        <f>[13]Prices!AO137</f>
        <v>3.9881000000000002</v>
      </c>
      <c r="BE140" s="634">
        <f>[13]Prices!AP137</f>
        <v>3.548</v>
      </c>
    </row>
    <row r="141" spans="20:57">
      <c r="T141" s="4">
        <f t="shared" si="60"/>
        <v>2016</v>
      </c>
      <c r="U141" s="434">
        <f t="shared" si="69"/>
        <v>42552</v>
      </c>
      <c r="V141" s="150">
        <v>61.66</v>
      </c>
      <c r="W141" s="150">
        <v>51.14</v>
      </c>
      <c r="X141" s="357">
        <f t="shared" si="64"/>
        <v>57.136399999999995</v>
      </c>
      <c r="Y141" s="343">
        <v>400</v>
      </c>
      <c r="Z141" s="343">
        <v>344</v>
      </c>
      <c r="AA141" s="343">
        <f t="shared" si="61"/>
        <v>0.5376344086021505</v>
      </c>
      <c r="AB141" s="343">
        <f t="shared" si="62"/>
        <v>0.46236559139784944</v>
      </c>
      <c r="AF141" s="4">
        <f t="shared" si="65"/>
        <v>2016</v>
      </c>
      <c r="AG141" s="432">
        <f t="shared" si="68"/>
        <v>42552</v>
      </c>
      <c r="AH141" s="149">
        <f t="shared" si="63"/>
        <v>7.6496302338227302</v>
      </c>
      <c r="AI141" s="150">
        <v>7.6496302338227302</v>
      </c>
      <c r="AK141" s="4">
        <f t="shared" ref="AK141:AK204" si="72">YEAR(AL141)</f>
        <v>2015</v>
      </c>
      <c r="AL141" s="432">
        <v>42155</v>
      </c>
      <c r="AM141" s="4">
        <f t="shared" ref="AM141:AM204" si="73">AVERAGE(AN141:AO141)</f>
        <v>4.5350000000000001</v>
      </c>
      <c r="AN141" s="4">
        <v>4.59</v>
      </c>
      <c r="AO141" s="4">
        <v>4.4800000000000004</v>
      </c>
      <c r="AQ141" s="4">
        <f t="shared" ref="AQ141:AQ204" si="74">YEAR(AR141)</f>
        <v>2019</v>
      </c>
      <c r="AR141" s="356">
        <v>43556</v>
      </c>
      <c r="AS141" s="4">
        <f t="shared" ref="AS141:AS204" si="75">AVERAGE(AT141:AU141)</f>
        <v>10.99</v>
      </c>
      <c r="AT141" s="4">
        <v>11.83</v>
      </c>
      <c r="AU141" s="4">
        <v>10.15</v>
      </c>
      <c r="AV141" s="515">
        <f t="shared" si="66"/>
        <v>2025</v>
      </c>
      <c r="AW141" s="535">
        <v>45931</v>
      </c>
      <c r="AX141" s="515">
        <f t="shared" si="70"/>
        <v>3.9653499999999999</v>
      </c>
      <c r="AY141" s="596">
        <f>'[12]Forward Price Curve'!AE222</f>
        <v>4.0294999999999996</v>
      </c>
      <c r="AZ141" s="596">
        <f>'[12]Forward Price Curve'!AD222</f>
        <v>3.9011999999999998</v>
      </c>
      <c r="BA141" s="629">
        <f t="shared" si="67"/>
        <v>2028</v>
      </c>
      <c r="BB141" s="633">
        <v>47027</v>
      </c>
      <c r="BC141" s="629">
        <f t="shared" si="71"/>
        <v>3.8231000000000002</v>
      </c>
      <c r="BD141" s="634">
        <f>[13]Prices!AO138</f>
        <v>4.0156000000000001</v>
      </c>
      <c r="BE141" s="634">
        <f>[13]Prices!AP138</f>
        <v>3.6305999999999998</v>
      </c>
    </row>
    <row r="142" spans="20:57">
      <c r="T142" s="4">
        <f t="shared" si="60"/>
        <v>2016</v>
      </c>
      <c r="U142" s="434">
        <f t="shared" si="69"/>
        <v>42583</v>
      </c>
      <c r="V142" s="150">
        <v>69.25</v>
      </c>
      <c r="W142" s="150">
        <v>57.96</v>
      </c>
      <c r="X142" s="357">
        <f t="shared" si="64"/>
        <v>64.395299999999992</v>
      </c>
      <c r="Y142" s="343">
        <v>432</v>
      </c>
      <c r="Z142" s="343">
        <v>312</v>
      </c>
      <c r="AA142" s="343">
        <f t="shared" si="61"/>
        <v>0.58064516129032262</v>
      </c>
      <c r="AB142" s="343">
        <f t="shared" si="62"/>
        <v>0.41935483870967744</v>
      </c>
      <c r="AF142" s="4">
        <f t="shared" si="65"/>
        <v>2016</v>
      </c>
      <c r="AG142" s="432">
        <f t="shared" si="68"/>
        <v>42583</v>
      </c>
      <c r="AH142" s="149">
        <f t="shared" si="63"/>
        <v>7.6496302338227302</v>
      </c>
      <c r="AI142" s="150">
        <v>7.6496302338227302</v>
      </c>
      <c r="AK142" s="4">
        <f t="shared" si="72"/>
        <v>2015</v>
      </c>
      <c r="AL142" s="432">
        <v>42185</v>
      </c>
      <c r="AM142" s="4">
        <f t="shared" si="73"/>
        <v>4.6050000000000004</v>
      </c>
      <c r="AN142" s="4">
        <v>4.66</v>
      </c>
      <c r="AO142" s="4">
        <v>4.55</v>
      </c>
      <c r="AQ142" s="4">
        <f t="shared" si="74"/>
        <v>2019</v>
      </c>
      <c r="AR142" s="356">
        <v>43586</v>
      </c>
      <c r="AS142" s="4">
        <f t="shared" si="75"/>
        <v>10.99</v>
      </c>
      <c r="AT142" s="4">
        <v>11.83</v>
      </c>
      <c r="AU142" s="4">
        <v>10.15</v>
      </c>
      <c r="AV142" s="515">
        <f t="shared" si="66"/>
        <v>2025</v>
      </c>
      <c r="AW142" s="535">
        <v>45962</v>
      </c>
      <c r="AX142" s="515">
        <f t="shared" si="70"/>
        <v>4.0488</v>
      </c>
      <c r="AY142" s="596">
        <f>'[12]Forward Price Curve'!AE223</f>
        <v>4.1578999999999997</v>
      </c>
      <c r="AZ142" s="596">
        <f>'[12]Forward Price Curve'!AD223</f>
        <v>3.9397000000000002</v>
      </c>
      <c r="BA142" s="629">
        <f t="shared" si="67"/>
        <v>2028</v>
      </c>
      <c r="BB142" s="633">
        <v>47058</v>
      </c>
      <c r="BC142" s="629">
        <f t="shared" si="71"/>
        <v>4.00875</v>
      </c>
      <c r="BD142" s="634">
        <f>[13]Prices!AO139</f>
        <v>4.1669</v>
      </c>
      <c r="BE142" s="634">
        <f>[13]Prices!AP139</f>
        <v>3.8506</v>
      </c>
    </row>
    <row r="143" spans="20:57">
      <c r="T143" s="4">
        <f t="shared" si="60"/>
        <v>2016</v>
      </c>
      <c r="U143" s="434">
        <f t="shared" si="69"/>
        <v>42614</v>
      </c>
      <c r="V143" s="150">
        <v>68.94</v>
      </c>
      <c r="W143" s="150">
        <v>55.06</v>
      </c>
      <c r="X143" s="357">
        <f t="shared" si="64"/>
        <v>62.971599999999995</v>
      </c>
      <c r="Y143" s="343">
        <v>400</v>
      </c>
      <c r="Z143" s="343">
        <v>320</v>
      </c>
      <c r="AA143" s="343">
        <f t="shared" si="61"/>
        <v>0.55555555555555558</v>
      </c>
      <c r="AB143" s="343">
        <f t="shared" si="62"/>
        <v>0.44444444444444442</v>
      </c>
      <c r="AF143" s="4">
        <f t="shared" si="65"/>
        <v>2016</v>
      </c>
      <c r="AG143" s="432">
        <f t="shared" si="68"/>
        <v>42614</v>
      </c>
      <c r="AH143" s="149">
        <f t="shared" si="63"/>
        <v>7.6496302338227302</v>
      </c>
      <c r="AI143" s="150">
        <v>7.6496302338227302</v>
      </c>
      <c r="AK143" s="4">
        <f t="shared" si="72"/>
        <v>2015</v>
      </c>
      <c r="AL143" s="432">
        <v>42216</v>
      </c>
      <c r="AM143" s="4">
        <f t="shared" si="73"/>
        <v>4.6750000000000007</v>
      </c>
      <c r="AN143" s="4">
        <v>4.7300000000000004</v>
      </c>
      <c r="AO143" s="4">
        <v>4.62</v>
      </c>
      <c r="AQ143" s="4">
        <f t="shared" si="74"/>
        <v>2019</v>
      </c>
      <c r="AR143" s="356">
        <v>43617</v>
      </c>
      <c r="AS143" s="4">
        <f t="shared" si="75"/>
        <v>11.16</v>
      </c>
      <c r="AT143" s="4">
        <v>12.01</v>
      </c>
      <c r="AU143" s="4">
        <v>10.31</v>
      </c>
      <c r="AV143" s="515">
        <f t="shared" si="66"/>
        <v>2025</v>
      </c>
      <c r="AW143" s="535">
        <v>45992</v>
      </c>
      <c r="AX143" s="515">
        <f t="shared" si="70"/>
        <v>4.2733999999999996</v>
      </c>
      <c r="AY143" s="596">
        <f>'[12]Forward Price Curve'!AE224</f>
        <v>4.3888999999999996</v>
      </c>
      <c r="AZ143" s="596">
        <f>'[12]Forward Price Curve'!AD224</f>
        <v>4.1578999999999997</v>
      </c>
      <c r="BA143" s="629">
        <f t="shared" si="67"/>
        <v>2028</v>
      </c>
      <c r="BB143" s="633">
        <v>47088</v>
      </c>
      <c r="BC143" s="629">
        <f t="shared" si="71"/>
        <v>4.4350500000000004</v>
      </c>
      <c r="BD143" s="634">
        <f>[13]Prices!AO140</f>
        <v>4.5518999999999998</v>
      </c>
      <c r="BE143" s="634">
        <f>[13]Prices!AP140</f>
        <v>4.3182</v>
      </c>
    </row>
    <row r="144" spans="20:57">
      <c r="T144" s="4">
        <f t="shared" ref="T144:T207" si="76">+YEAR(U144)</f>
        <v>2016</v>
      </c>
      <c r="U144" s="434">
        <f t="shared" si="69"/>
        <v>42644</v>
      </c>
      <c r="V144" s="150">
        <v>63.52</v>
      </c>
      <c r="W144" s="150">
        <v>49.1</v>
      </c>
      <c r="X144" s="357">
        <f t="shared" si="64"/>
        <v>57.319400000000002</v>
      </c>
      <c r="Y144" s="343">
        <v>416</v>
      </c>
      <c r="Z144" s="343">
        <v>328</v>
      </c>
      <c r="AA144" s="343">
        <f t="shared" ref="AA144:AA207" si="77">Y144/(Y144+Z144)</f>
        <v>0.55913978494623651</v>
      </c>
      <c r="AB144" s="343">
        <f t="shared" ref="AB144:AB207" si="78">Z144/(Y144+Z144)</f>
        <v>0.44086021505376344</v>
      </c>
      <c r="AF144" s="4">
        <f t="shared" si="65"/>
        <v>2016</v>
      </c>
      <c r="AG144" s="432">
        <f t="shared" si="68"/>
        <v>42644</v>
      </c>
      <c r="AH144" s="149">
        <f t="shared" ref="AH144:AH207" si="79">AI144</f>
        <v>7.9181185426862433</v>
      </c>
      <c r="AI144" s="150">
        <v>7.9181185426862433</v>
      </c>
      <c r="AK144" s="4">
        <f t="shared" si="72"/>
        <v>2015</v>
      </c>
      <c r="AL144" s="432">
        <v>42247</v>
      </c>
      <c r="AM144" s="4">
        <f t="shared" si="73"/>
        <v>4.6750000000000007</v>
      </c>
      <c r="AN144" s="4">
        <v>4.7300000000000004</v>
      </c>
      <c r="AO144" s="4">
        <v>4.62</v>
      </c>
      <c r="AQ144" s="4">
        <f t="shared" si="74"/>
        <v>2019</v>
      </c>
      <c r="AR144" s="356">
        <v>43647</v>
      </c>
      <c r="AS144" s="4">
        <f t="shared" si="75"/>
        <v>11.33</v>
      </c>
      <c r="AT144" s="4">
        <v>12.19</v>
      </c>
      <c r="AU144" s="4">
        <v>10.47</v>
      </c>
      <c r="AV144" s="515">
        <f t="shared" si="66"/>
        <v>2026</v>
      </c>
      <c r="AW144" s="535">
        <v>46023</v>
      </c>
      <c r="AX144" s="515">
        <f t="shared" si="70"/>
        <v>4.492</v>
      </c>
      <c r="AY144" s="596">
        <f>'[12]Forward Price Curve'!AE225</f>
        <v>4.6035000000000004</v>
      </c>
      <c r="AZ144" s="596">
        <f>'[12]Forward Price Curve'!AD225</f>
        <v>4.3804999999999996</v>
      </c>
      <c r="BA144" s="629">
        <f t="shared" si="67"/>
        <v>2029</v>
      </c>
      <c r="BB144" s="633">
        <v>47119</v>
      </c>
      <c r="BC144" s="629">
        <f t="shared" si="71"/>
        <v>4.4342500000000005</v>
      </c>
      <c r="BD144" s="634">
        <f>[13]Prices!AO141</f>
        <v>4.5818000000000003</v>
      </c>
      <c r="BE144" s="634">
        <f>[13]Prices!AP141</f>
        <v>4.2866999999999997</v>
      </c>
    </row>
    <row r="145" spans="20:57">
      <c r="T145" s="4">
        <f t="shared" si="76"/>
        <v>2016</v>
      </c>
      <c r="U145" s="434">
        <f t="shared" si="69"/>
        <v>42675</v>
      </c>
      <c r="V145" s="150">
        <v>70.37</v>
      </c>
      <c r="W145" s="150">
        <v>59.53</v>
      </c>
      <c r="X145" s="357">
        <f t="shared" si="64"/>
        <v>65.708799999999997</v>
      </c>
      <c r="Y145" s="343">
        <v>400</v>
      </c>
      <c r="Z145" s="343">
        <v>320</v>
      </c>
      <c r="AA145" s="343">
        <f t="shared" si="77"/>
        <v>0.55555555555555558</v>
      </c>
      <c r="AB145" s="343">
        <f t="shared" si="78"/>
        <v>0.44444444444444442</v>
      </c>
      <c r="AF145" s="4">
        <f t="shared" si="65"/>
        <v>2016</v>
      </c>
      <c r="AG145" s="432">
        <f t="shared" si="68"/>
        <v>42675</v>
      </c>
      <c r="AH145" s="149">
        <f t="shared" si="79"/>
        <v>8.0336704730831965</v>
      </c>
      <c r="AI145" s="150">
        <v>8.0336704730831965</v>
      </c>
      <c r="AK145" s="4">
        <f t="shared" si="72"/>
        <v>2015</v>
      </c>
      <c r="AL145" s="432">
        <v>42277</v>
      </c>
      <c r="AM145" s="4">
        <f t="shared" si="73"/>
        <v>4.6750000000000007</v>
      </c>
      <c r="AN145" s="4">
        <v>4.7300000000000004</v>
      </c>
      <c r="AO145" s="4">
        <v>4.62</v>
      </c>
      <c r="AQ145" s="4">
        <f t="shared" si="74"/>
        <v>2019</v>
      </c>
      <c r="AR145" s="356">
        <v>43678</v>
      </c>
      <c r="AS145" s="4">
        <f t="shared" si="75"/>
        <v>11.33</v>
      </c>
      <c r="AT145" s="4">
        <v>12.19</v>
      </c>
      <c r="AU145" s="4">
        <v>10.47</v>
      </c>
      <c r="AV145" s="515">
        <f t="shared" si="66"/>
        <v>2026</v>
      </c>
      <c r="AW145" s="535">
        <v>46054</v>
      </c>
      <c r="AX145" s="515">
        <f t="shared" si="70"/>
        <v>4.5444499999999994</v>
      </c>
      <c r="AY145" s="596">
        <f>'[12]Forward Price Curve'!AE226</f>
        <v>4.6558999999999999</v>
      </c>
      <c r="AZ145" s="596">
        <f>'[12]Forward Price Curve'!AD226</f>
        <v>4.4329999999999998</v>
      </c>
      <c r="BA145" s="629">
        <f t="shared" si="67"/>
        <v>2029</v>
      </c>
      <c r="BB145" s="633">
        <v>47150</v>
      </c>
      <c r="BC145" s="629">
        <f t="shared" si="71"/>
        <v>4.4694000000000003</v>
      </c>
      <c r="BD145" s="634">
        <f>[13]Prices!AO142</f>
        <v>4.5959000000000003</v>
      </c>
      <c r="BE145" s="634">
        <f>[13]Prices!AP142</f>
        <v>4.3429000000000002</v>
      </c>
    </row>
    <row r="146" spans="20:57">
      <c r="T146" s="4">
        <f t="shared" si="76"/>
        <v>2016</v>
      </c>
      <c r="U146" s="434">
        <f t="shared" si="69"/>
        <v>42705</v>
      </c>
      <c r="V146" s="150">
        <v>71.209999999999994</v>
      </c>
      <c r="W146" s="150">
        <v>58.72</v>
      </c>
      <c r="X146" s="357">
        <f t="shared" si="64"/>
        <v>65.839299999999994</v>
      </c>
      <c r="Y146" s="343">
        <v>416</v>
      </c>
      <c r="Z146" s="343">
        <v>328</v>
      </c>
      <c r="AA146" s="343">
        <f t="shared" si="77"/>
        <v>0.55913978494623651</v>
      </c>
      <c r="AB146" s="343">
        <f t="shared" si="78"/>
        <v>0.44086021505376344</v>
      </c>
      <c r="AF146" s="4">
        <f t="shared" si="65"/>
        <v>2016</v>
      </c>
      <c r="AG146" s="432">
        <f t="shared" si="68"/>
        <v>42705</v>
      </c>
      <c r="AH146" s="149">
        <f t="shared" si="79"/>
        <v>8.4177107123436645</v>
      </c>
      <c r="AI146" s="150">
        <v>8.4177107123436645</v>
      </c>
      <c r="AK146" s="4">
        <f t="shared" si="72"/>
        <v>2015</v>
      </c>
      <c r="AL146" s="432">
        <v>42308</v>
      </c>
      <c r="AM146" s="4">
        <f t="shared" si="73"/>
        <v>4.8499999999999996</v>
      </c>
      <c r="AN146" s="4">
        <v>4.87</v>
      </c>
      <c r="AO146" s="4">
        <v>4.83</v>
      </c>
      <c r="AQ146" s="4">
        <f t="shared" si="74"/>
        <v>2019</v>
      </c>
      <c r="AR146" s="356">
        <v>43709</v>
      </c>
      <c r="AS146" s="4">
        <f t="shared" si="75"/>
        <v>11.33</v>
      </c>
      <c r="AT146" s="4">
        <v>12.19</v>
      </c>
      <c r="AU146" s="4">
        <v>10.47</v>
      </c>
      <c r="AV146" s="515">
        <f t="shared" si="66"/>
        <v>2026</v>
      </c>
      <c r="AW146" s="535">
        <v>46082</v>
      </c>
      <c r="AX146" s="515">
        <f t="shared" si="70"/>
        <v>4.3870500000000003</v>
      </c>
      <c r="AY146" s="596">
        <f>'[12]Forward Price Curve'!AE227</f>
        <v>4.4592000000000001</v>
      </c>
      <c r="AZ146" s="596">
        <f>'[12]Forward Price Curve'!AD227</f>
        <v>4.3148999999999997</v>
      </c>
      <c r="BA146" s="629">
        <f t="shared" si="67"/>
        <v>2029</v>
      </c>
      <c r="BB146" s="633">
        <v>47178</v>
      </c>
      <c r="BC146" s="629">
        <f t="shared" si="71"/>
        <v>4.2445500000000003</v>
      </c>
      <c r="BD146" s="634">
        <f>[13]Prices!AO143</f>
        <v>4.3851000000000004</v>
      </c>
      <c r="BE146" s="634">
        <f>[13]Prices!AP143</f>
        <v>4.1040000000000001</v>
      </c>
    </row>
    <row r="147" spans="20:57">
      <c r="T147" s="4">
        <f t="shared" si="76"/>
        <v>2017</v>
      </c>
      <c r="U147" s="434">
        <f t="shared" si="69"/>
        <v>42736</v>
      </c>
      <c r="V147" s="150">
        <v>79.83</v>
      </c>
      <c r="W147" s="150">
        <v>65.11</v>
      </c>
      <c r="X147" s="357">
        <f t="shared" si="64"/>
        <v>73.500399999999999</v>
      </c>
      <c r="Y147" s="343">
        <v>400</v>
      </c>
      <c r="Z147" s="343">
        <v>344</v>
      </c>
      <c r="AA147" s="343">
        <f t="shared" si="77"/>
        <v>0.5376344086021505</v>
      </c>
      <c r="AB147" s="343">
        <f t="shared" si="78"/>
        <v>0.46236559139784944</v>
      </c>
      <c r="AF147" s="4">
        <f t="shared" si="65"/>
        <v>2017</v>
      </c>
      <c r="AG147" s="432">
        <f t="shared" si="68"/>
        <v>42736</v>
      </c>
      <c r="AH147" s="149">
        <f t="shared" si="79"/>
        <v>9.6683904295812955</v>
      </c>
      <c r="AI147" s="150">
        <v>9.6683904295812955</v>
      </c>
      <c r="AK147" s="4">
        <f t="shared" si="72"/>
        <v>2015</v>
      </c>
      <c r="AL147" s="432">
        <v>42338</v>
      </c>
      <c r="AM147" s="4">
        <f t="shared" si="73"/>
        <v>4.92</v>
      </c>
      <c r="AN147" s="4">
        <v>4.9400000000000004</v>
      </c>
      <c r="AO147" s="4">
        <v>4.9000000000000004</v>
      </c>
      <c r="AQ147" s="4">
        <f t="shared" si="74"/>
        <v>2019</v>
      </c>
      <c r="AR147" s="356">
        <v>43739</v>
      </c>
      <c r="AS147" s="4">
        <f t="shared" si="75"/>
        <v>11.75</v>
      </c>
      <c r="AT147" s="4">
        <v>12.55</v>
      </c>
      <c r="AU147" s="4">
        <v>10.95</v>
      </c>
      <c r="AV147" s="515">
        <f t="shared" si="66"/>
        <v>2026</v>
      </c>
      <c r="AW147" s="535">
        <v>46113</v>
      </c>
      <c r="AX147" s="515">
        <f t="shared" si="70"/>
        <v>4.1903500000000005</v>
      </c>
      <c r="AY147" s="596">
        <f>'[12]Forward Price Curve'!AE228</f>
        <v>4.2625000000000002</v>
      </c>
      <c r="AZ147" s="596">
        <f>'[12]Forward Price Curve'!AD228</f>
        <v>4.1181999999999999</v>
      </c>
      <c r="BA147" s="629">
        <f t="shared" si="67"/>
        <v>2029</v>
      </c>
      <c r="BB147" s="633">
        <v>47209</v>
      </c>
      <c r="BC147" s="629">
        <f t="shared" si="71"/>
        <v>3.9282500000000002</v>
      </c>
      <c r="BD147" s="634">
        <f>[13]Prices!AO144</f>
        <v>4.0899000000000001</v>
      </c>
      <c r="BE147" s="634">
        <f>[13]Prices!AP144</f>
        <v>3.7665999999999999</v>
      </c>
    </row>
    <row r="148" spans="20:57">
      <c r="T148" s="4">
        <f t="shared" si="76"/>
        <v>2017</v>
      </c>
      <c r="U148" s="434">
        <f t="shared" si="69"/>
        <v>42767</v>
      </c>
      <c r="V148" s="150">
        <v>73.38</v>
      </c>
      <c r="W148" s="150">
        <v>62.64</v>
      </c>
      <c r="X148" s="357">
        <f t="shared" si="64"/>
        <v>68.761799999999994</v>
      </c>
      <c r="Y148" s="343">
        <v>384</v>
      </c>
      <c r="Z148" s="343">
        <v>288</v>
      </c>
      <c r="AA148" s="343">
        <f t="shared" si="77"/>
        <v>0.5714285714285714</v>
      </c>
      <c r="AB148" s="343">
        <f t="shared" si="78"/>
        <v>0.42857142857142855</v>
      </c>
      <c r="AF148" s="4">
        <f t="shared" si="65"/>
        <v>2017</v>
      </c>
      <c r="AG148" s="432">
        <f t="shared" si="68"/>
        <v>42767</v>
      </c>
      <c r="AH148" s="149">
        <f t="shared" si="79"/>
        <v>9.083833605220228</v>
      </c>
      <c r="AI148" s="150">
        <v>9.083833605220228</v>
      </c>
      <c r="AK148" s="4">
        <f t="shared" si="72"/>
        <v>2015</v>
      </c>
      <c r="AL148" s="432">
        <v>42369</v>
      </c>
      <c r="AM148" s="4">
        <f t="shared" si="73"/>
        <v>5.17</v>
      </c>
      <c r="AN148" s="4">
        <v>5.15</v>
      </c>
      <c r="AO148" s="4">
        <v>5.19</v>
      </c>
      <c r="AQ148" s="4">
        <f t="shared" si="74"/>
        <v>2019</v>
      </c>
      <c r="AR148" s="356">
        <v>43770</v>
      </c>
      <c r="AS148" s="4">
        <f t="shared" si="75"/>
        <v>11.92</v>
      </c>
      <c r="AT148" s="4">
        <v>12.73</v>
      </c>
      <c r="AU148" s="4">
        <v>11.11</v>
      </c>
      <c r="AV148" s="515">
        <f t="shared" si="66"/>
        <v>2026</v>
      </c>
      <c r="AW148" s="535">
        <v>46143</v>
      </c>
      <c r="AX148" s="515">
        <f t="shared" si="70"/>
        <v>3.9476500000000003</v>
      </c>
      <c r="AY148" s="596">
        <f>'[12]Forward Price Curve'!AE229</f>
        <v>4.0788000000000002</v>
      </c>
      <c r="AZ148" s="596">
        <f>'[12]Forward Price Curve'!AD229</f>
        <v>3.8165</v>
      </c>
      <c r="BA148" s="629">
        <f t="shared" si="67"/>
        <v>2029</v>
      </c>
      <c r="BB148" s="633">
        <v>47239</v>
      </c>
      <c r="BC148" s="629">
        <f t="shared" si="71"/>
        <v>3.9352999999999998</v>
      </c>
      <c r="BD148" s="634">
        <f>[13]Prices!AO145</f>
        <v>4.1040000000000001</v>
      </c>
      <c r="BE148" s="634">
        <f>[13]Prices!AP145</f>
        <v>3.7665999999999999</v>
      </c>
    </row>
    <row r="149" spans="20:57">
      <c r="T149" s="4">
        <f t="shared" si="76"/>
        <v>2017</v>
      </c>
      <c r="U149" s="434">
        <f t="shared" si="69"/>
        <v>42795</v>
      </c>
      <c r="V149" s="150">
        <v>69.77</v>
      </c>
      <c r="W149" s="150">
        <v>62.99</v>
      </c>
      <c r="X149" s="357">
        <f t="shared" si="64"/>
        <v>66.854599999999991</v>
      </c>
      <c r="Y149" s="343">
        <v>432</v>
      </c>
      <c r="Z149" s="343">
        <v>312</v>
      </c>
      <c r="AA149" s="343">
        <f t="shared" si="77"/>
        <v>0.58064516129032262</v>
      </c>
      <c r="AB149" s="343">
        <f t="shared" si="78"/>
        <v>0.41935483870967744</v>
      </c>
      <c r="AF149" s="4">
        <f t="shared" si="65"/>
        <v>2017</v>
      </c>
      <c r="AG149" s="432">
        <f t="shared" si="68"/>
        <v>42795</v>
      </c>
      <c r="AH149" s="149">
        <f t="shared" si="79"/>
        <v>8.5434584013050561</v>
      </c>
      <c r="AI149" s="150">
        <v>8.5434584013050561</v>
      </c>
      <c r="AK149" s="4">
        <f t="shared" si="72"/>
        <v>2016</v>
      </c>
      <c r="AL149" s="432">
        <v>42400</v>
      </c>
      <c r="AM149" s="4">
        <f t="shared" si="73"/>
        <v>5.73</v>
      </c>
      <c r="AN149" s="4">
        <v>5.67</v>
      </c>
      <c r="AO149" s="4">
        <v>5.79</v>
      </c>
      <c r="AQ149" s="4">
        <f t="shared" si="74"/>
        <v>2019</v>
      </c>
      <c r="AR149" s="356">
        <v>43800</v>
      </c>
      <c r="AS149" s="4">
        <f t="shared" si="75"/>
        <v>12.515000000000001</v>
      </c>
      <c r="AT149" s="4">
        <v>13.27</v>
      </c>
      <c r="AU149" s="4">
        <v>11.76</v>
      </c>
      <c r="AV149" s="515">
        <f t="shared" si="66"/>
        <v>2026</v>
      </c>
      <c r="AW149" s="535">
        <v>46174</v>
      </c>
      <c r="AX149" s="515">
        <f t="shared" si="70"/>
        <v>3.9214500000000001</v>
      </c>
      <c r="AY149" s="596">
        <f>'[12]Forward Price Curve'!AE230</f>
        <v>4.0788000000000002</v>
      </c>
      <c r="AZ149" s="596">
        <f>'[12]Forward Price Curve'!AD230</f>
        <v>3.7641</v>
      </c>
      <c r="BA149" s="629">
        <f t="shared" si="67"/>
        <v>2029</v>
      </c>
      <c r="BB149" s="633">
        <v>47270</v>
      </c>
      <c r="BC149" s="629">
        <f t="shared" si="71"/>
        <v>3.9775</v>
      </c>
      <c r="BD149" s="634">
        <f>[13]Prices!AO146</f>
        <v>4.1321000000000003</v>
      </c>
      <c r="BE149" s="634">
        <f>[13]Prices!AP146</f>
        <v>3.8229000000000002</v>
      </c>
    </row>
    <row r="150" spans="20:57">
      <c r="T150" s="4">
        <f t="shared" si="76"/>
        <v>2017</v>
      </c>
      <c r="U150" s="434">
        <f t="shared" si="69"/>
        <v>42826</v>
      </c>
      <c r="V150" s="150">
        <v>64.25</v>
      </c>
      <c r="W150" s="150">
        <v>59.01</v>
      </c>
      <c r="X150" s="357">
        <f t="shared" si="64"/>
        <v>61.996799999999993</v>
      </c>
      <c r="Y150" s="343">
        <v>400</v>
      </c>
      <c r="Z150" s="343">
        <v>320</v>
      </c>
      <c r="AA150" s="343">
        <f t="shared" si="77"/>
        <v>0.55555555555555558</v>
      </c>
      <c r="AB150" s="343">
        <f t="shared" si="78"/>
        <v>0.44444444444444442</v>
      </c>
      <c r="AF150" s="4">
        <f t="shared" si="65"/>
        <v>2017</v>
      </c>
      <c r="AG150" s="432">
        <f t="shared" si="68"/>
        <v>42826</v>
      </c>
      <c r="AH150" s="149">
        <f t="shared" si="79"/>
        <v>8.0880478520935277</v>
      </c>
      <c r="AI150" s="150">
        <v>8.0880478520935277</v>
      </c>
      <c r="AK150" s="4">
        <f t="shared" si="72"/>
        <v>2016</v>
      </c>
      <c r="AL150" s="432">
        <v>42429</v>
      </c>
      <c r="AM150" s="4">
        <f t="shared" si="73"/>
        <v>5.33</v>
      </c>
      <c r="AN150" s="4">
        <v>5.31</v>
      </c>
      <c r="AO150" s="4">
        <v>5.35</v>
      </c>
      <c r="AQ150" s="4">
        <f t="shared" si="74"/>
        <v>2020</v>
      </c>
      <c r="AR150" s="356">
        <v>43831</v>
      </c>
      <c r="AS150" s="4">
        <f t="shared" si="75"/>
        <v>13.14</v>
      </c>
      <c r="AT150" s="4">
        <v>12.97</v>
      </c>
      <c r="AU150" s="4">
        <v>13.31</v>
      </c>
      <c r="AV150" s="515">
        <f t="shared" si="66"/>
        <v>2026</v>
      </c>
      <c r="AW150" s="535">
        <v>46204</v>
      </c>
      <c r="AX150" s="515">
        <f t="shared" si="70"/>
        <v>3.9805000000000001</v>
      </c>
      <c r="AY150" s="596">
        <f>'[12]Forward Price Curve'!AE231</f>
        <v>4.1051000000000002</v>
      </c>
      <c r="AZ150" s="596">
        <f>'[12]Forward Price Curve'!AD231</f>
        <v>3.8559000000000001</v>
      </c>
      <c r="BA150" s="629">
        <f t="shared" si="67"/>
        <v>2029</v>
      </c>
      <c r="BB150" s="633">
        <v>47300</v>
      </c>
      <c r="BC150" s="629">
        <f t="shared" si="71"/>
        <v>4.1531500000000001</v>
      </c>
      <c r="BD150" s="634">
        <f>[13]Prices!AO147</f>
        <v>4.2725999999999997</v>
      </c>
      <c r="BE150" s="634">
        <f>[13]Prices!AP147</f>
        <v>4.0336999999999996</v>
      </c>
    </row>
    <row r="151" spans="20:57">
      <c r="T151" s="4">
        <f t="shared" si="76"/>
        <v>2017</v>
      </c>
      <c r="U151" s="434">
        <f t="shared" si="69"/>
        <v>42856</v>
      </c>
      <c r="V151" s="150">
        <v>66.900000000000006</v>
      </c>
      <c r="W151" s="150">
        <v>52.32</v>
      </c>
      <c r="X151" s="357">
        <f t="shared" si="64"/>
        <v>60.630600000000001</v>
      </c>
      <c r="Y151" s="343">
        <v>416</v>
      </c>
      <c r="Z151" s="343">
        <v>328</v>
      </c>
      <c r="AA151" s="343">
        <f t="shared" si="77"/>
        <v>0.55913978494623651</v>
      </c>
      <c r="AB151" s="343">
        <f t="shared" si="78"/>
        <v>0.44086021505376344</v>
      </c>
      <c r="AF151" s="4">
        <f t="shared" si="65"/>
        <v>2017</v>
      </c>
      <c r="AG151" s="432">
        <f t="shared" si="68"/>
        <v>42856</v>
      </c>
      <c r="AH151" s="149">
        <f t="shared" si="79"/>
        <v>8.0064817835780318</v>
      </c>
      <c r="AI151" s="150">
        <v>8.0064817835780318</v>
      </c>
      <c r="AK151" s="4">
        <f t="shared" si="72"/>
        <v>2016</v>
      </c>
      <c r="AL151" s="432">
        <v>42460</v>
      </c>
      <c r="AM151" s="4">
        <f t="shared" si="73"/>
        <v>5</v>
      </c>
      <c r="AN151" s="4">
        <v>5.0199999999999996</v>
      </c>
      <c r="AO151" s="4">
        <v>4.9800000000000004</v>
      </c>
      <c r="AQ151" s="4">
        <f t="shared" si="74"/>
        <v>2020</v>
      </c>
      <c r="AR151" s="356">
        <v>43862</v>
      </c>
      <c r="AS151" s="4">
        <f t="shared" si="75"/>
        <v>12.225000000000001</v>
      </c>
      <c r="AT151" s="4">
        <v>12.15</v>
      </c>
      <c r="AU151" s="4">
        <v>12.3</v>
      </c>
      <c r="AV151" s="515">
        <f t="shared" si="66"/>
        <v>2026</v>
      </c>
      <c r="AW151" s="535">
        <v>46235</v>
      </c>
      <c r="AX151" s="515">
        <f t="shared" si="70"/>
        <v>4.1181999999999999</v>
      </c>
      <c r="AY151" s="596">
        <f>'[12]Forward Price Curve'!AE232</f>
        <v>4.21</v>
      </c>
      <c r="AZ151" s="596">
        <f>'[12]Forward Price Curve'!AD232</f>
        <v>4.0263999999999998</v>
      </c>
      <c r="BA151" s="629">
        <f t="shared" si="67"/>
        <v>2029</v>
      </c>
      <c r="BB151" s="633">
        <v>47331</v>
      </c>
      <c r="BC151" s="629">
        <f t="shared" si="71"/>
        <v>4.2304500000000003</v>
      </c>
      <c r="BD151" s="634">
        <f>[13]Prices!AO148</f>
        <v>4.3851000000000004</v>
      </c>
      <c r="BE151" s="634">
        <f>[13]Prices!AP148</f>
        <v>4.0758000000000001</v>
      </c>
    </row>
    <row r="152" spans="20:57">
      <c r="T152" s="4">
        <f t="shared" si="76"/>
        <v>2017</v>
      </c>
      <c r="U152" s="434">
        <f t="shared" si="69"/>
        <v>42887</v>
      </c>
      <c r="V152" s="150">
        <v>71.150000000000006</v>
      </c>
      <c r="W152" s="150">
        <v>52.95</v>
      </c>
      <c r="X152" s="357">
        <f t="shared" ref="X152:X215" si="80">V152*0.57+W152*0.43</f>
        <v>63.323999999999998</v>
      </c>
      <c r="Y152" s="343">
        <v>416</v>
      </c>
      <c r="Z152" s="343">
        <v>304</v>
      </c>
      <c r="AA152" s="343">
        <f t="shared" si="77"/>
        <v>0.57777777777777772</v>
      </c>
      <c r="AB152" s="343">
        <f t="shared" si="78"/>
        <v>0.42222222222222222</v>
      </c>
      <c r="AF152" s="4">
        <f t="shared" si="65"/>
        <v>2017</v>
      </c>
      <c r="AG152" s="432">
        <f t="shared" si="68"/>
        <v>42887</v>
      </c>
      <c r="AH152" s="149">
        <f t="shared" si="79"/>
        <v>8.1288308863512757</v>
      </c>
      <c r="AI152" s="150">
        <v>8.1288308863512757</v>
      </c>
      <c r="AK152" s="4">
        <f t="shared" si="72"/>
        <v>2016</v>
      </c>
      <c r="AL152" s="432">
        <v>42490</v>
      </c>
      <c r="AM152" s="4">
        <f t="shared" si="73"/>
        <v>4.68</v>
      </c>
      <c r="AN152" s="4">
        <v>4.74</v>
      </c>
      <c r="AO152" s="4">
        <v>4.62</v>
      </c>
      <c r="AQ152" s="4">
        <f t="shared" si="74"/>
        <v>2020</v>
      </c>
      <c r="AR152" s="356">
        <v>43891</v>
      </c>
      <c r="AS152" s="4">
        <f t="shared" si="75"/>
        <v>11.475000000000001</v>
      </c>
      <c r="AT152" s="4">
        <v>11.49</v>
      </c>
      <c r="AU152" s="4">
        <v>11.46</v>
      </c>
      <c r="AV152" s="515">
        <f t="shared" si="66"/>
        <v>2026</v>
      </c>
      <c r="AW152" s="535">
        <v>46266</v>
      </c>
      <c r="AX152" s="515">
        <f t="shared" si="70"/>
        <v>4.0263999999999998</v>
      </c>
      <c r="AY152" s="596">
        <f>'[12]Forward Price Curve'!AE233</f>
        <v>4.1181999999999999</v>
      </c>
      <c r="AZ152" s="596">
        <f>'[12]Forward Price Curve'!AD233</f>
        <v>3.9346000000000001</v>
      </c>
      <c r="BA152" s="629">
        <f t="shared" si="67"/>
        <v>2029</v>
      </c>
      <c r="BB152" s="633">
        <v>47362</v>
      </c>
      <c r="BC152" s="629">
        <f t="shared" si="71"/>
        <v>4.1812500000000004</v>
      </c>
      <c r="BD152" s="634">
        <f>[13]Prices!AO149</f>
        <v>4.3990999999999998</v>
      </c>
      <c r="BE152" s="634">
        <f>[13]Prices!AP149</f>
        <v>3.9634</v>
      </c>
    </row>
    <row r="153" spans="20:57">
      <c r="T153" s="4">
        <f t="shared" si="76"/>
        <v>2017</v>
      </c>
      <c r="U153" s="434">
        <f t="shared" si="69"/>
        <v>42917</v>
      </c>
      <c r="V153" s="150">
        <v>67.239999999999995</v>
      </c>
      <c r="W153" s="150">
        <v>59.21</v>
      </c>
      <c r="X153" s="357">
        <f t="shared" si="80"/>
        <v>63.787099999999995</v>
      </c>
      <c r="Y153" s="343">
        <v>400</v>
      </c>
      <c r="Z153" s="343">
        <v>344</v>
      </c>
      <c r="AA153" s="343">
        <f t="shared" si="77"/>
        <v>0.5376344086021505</v>
      </c>
      <c r="AB153" s="343">
        <f t="shared" si="78"/>
        <v>0.46236559139784944</v>
      </c>
      <c r="AF153" s="4">
        <f t="shared" si="65"/>
        <v>2017</v>
      </c>
      <c r="AG153" s="432">
        <f t="shared" si="68"/>
        <v>42917</v>
      </c>
      <c r="AH153" s="149">
        <f t="shared" si="79"/>
        <v>8.254578575312669</v>
      </c>
      <c r="AI153" s="150">
        <v>8.254578575312669</v>
      </c>
      <c r="AK153" s="4">
        <f t="shared" si="72"/>
        <v>2016</v>
      </c>
      <c r="AL153" s="432">
        <v>42521</v>
      </c>
      <c r="AM153" s="4">
        <f t="shared" si="73"/>
        <v>4.68</v>
      </c>
      <c r="AN153" s="4">
        <v>4.74</v>
      </c>
      <c r="AO153" s="4">
        <v>4.62</v>
      </c>
      <c r="AQ153" s="4">
        <f t="shared" si="74"/>
        <v>2020</v>
      </c>
      <c r="AR153" s="356">
        <v>43922</v>
      </c>
      <c r="AS153" s="4">
        <f t="shared" si="75"/>
        <v>10.725</v>
      </c>
      <c r="AT153" s="4">
        <v>10.83</v>
      </c>
      <c r="AU153" s="4">
        <v>10.62</v>
      </c>
      <c r="AV153" s="515">
        <f t="shared" si="66"/>
        <v>2026</v>
      </c>
      <c r="AW153" s="535">
        <v>46296</v>
      </c>
      <c r="AX153" s="515">
        <f t="shared" si="70"/>
        <v>4.0591499999999998</v>
      </c>
      <c r="AY153" s="596">
        <f>'[12]Forward Price Curve'!AE234</f>
        <v>4.1574999999999998</v>
      </c>
      <c r="AZ153" s="596">
        <f>'[12]Forward Price Curve'!AD234</f>
        <v>3.9607999999999999</v>
      </c>
      <c r="BA153" s="629">
        <f t="shared" si="67"/>
        <v>2029</v>
      </c>
      <c r="BB153" s="633">
        <v>47392</v>
      </c>
      <c r="BC153" s="629">
        <f t="shared" si="71"/>
        <v>4.2445000000000004</v>
      </c>
      <c r="BD153" s="634">
        <f>[13]Prices!AO150</f>
        <v>4.4272</v>
      </c>
      <c r="BE153" s="634">
        <f>[13]Prices!AP150</f>
        <v>4.0617999999999999</v>
      </c>
    </row>
    <row r="154" spans="20:57">
      <c r="T154" s="4">
        <f t="shared" si="76"/>
        <v>2017</v>
      </c>
      <c r="U154" s="434">
        <f t="shared" si="69"/>
        <v>42948</v>
      </c>
      <c r="V154" s="150">
        <v>78.47</v>
      </c>
      <c r="W154" s="150">
        <v>63.76</v>
      </c>
      <c r="X154" s="357">
        <f t="shared" si="80"/>
        <v>72.1447</v>
      </c>
      <c r="Y154" s="343">
        <v>432</v>
      </c>
      <c r="Z154" s="343">
        <v>312</v>
      </c>
      <c r="AA154" s="343">
        <f t="shared" si="77"/>
        <v>0.58064516129032262</v>
      </c>
      <c r="AB154" s="343">
        <f t="shared" si="78"/>
        <v>0.41935483870967744</v>
      </c>
      <c r="AF154" s="4">
        <f t="shared" si="65"/>
        <v>2017</v>
      </c>
      <c r="AG154" s="432">
        <f t="shared" si="68"/>
        <v>42948</v>
      </c>
      <c r="AH154" s="149">
        <f t="shared" si="79"/>
        <v>8.254578575312669</v>
      </c>
      <c r="AI154" s="150">
        <v>8.254578575312669</v>
      </c>
      <c r="AK154" s="4">
        <f t="shared" si="72"/>
        <v>2016</v>
      </c>
      <c r="AL154" s="432">
        <v>42551</v>
      </c>
      <c r="AM154" s="4">
        <f t="shared" si="73"/>
        <v>4.75</v>
      </c>
      <c r="AN154" s="4">
        <v>4.8099999999999996</v>
      </c>
      <c r="AO154" s="4">
        <v>4.6900000000000004</v>
      </c>
      <c r="AQ154" s="4">
        <f t="shared" si="74"/>
        <v>2020</v>
      </c>
      <c r="AR154" s="356">
        <v>43952</v>
      </c>
      <c r="AS154" s="4">
        <f t="shared" si="75"/>
        <v>10.725</v>
      </c>
      <c r="AT154" s="4">
        <v>10.83</v>
      </c>
      <c r="AU154" s="4">
        <v>10.62</v>
      </c>
      <c r="AV154" s="515">
        <f t="shared" si="66"/>
        <v>2026</v>
      </c>
      <c r="AW154" s="535">
        <v>46327</v>
      </c>
      <c r="AX154" s="515">
        <f t="shared" si="70"/>
        <v>4.1706500000000002</v>
      </c>
      <c r="AY154" s="596">
        <f>'[12]Forward Price Curve'!AE235</f>
        <v>4.2755999999999998</v>
      </c>
      <c r="AZ154" s="596">
        <f>'[12]Forward Price Curve'!AD235</f>
        <v>4.0656999999999996</v>
      </c>
      <c r="BA154" s="629">
        <f t="shared" si="67"/>
        <v>2029</v>
      </c>
      <c r="BB154" s="633">
        <v>47423</v>
      </c>
      <c r="BC154" s="629">
        <f t="shared" si="71"/>
        <v>4.3991000000000007</v>
      </c>
      <c r="BD154" s="634">
        <f>[13]Prices!AO151</f>
        <v>4.5818000000000003</v>
      </c>
      <c r="BE154" s="634">
        <f>[13]Prices!AP151</f>
        <v>4.2164000000000001</v>
      </c>
    </row>
    <row r="155" spans="20:57">
      <c r="T155" s="4">
        <f t="shared" si="76"/>
        <v>2017</v>
      </c>
      <c r="U155" s="434">
        <f t="shared" si="69"/>
        <v>42979</v>
      </c>
      <c r="V155" s="150">
        <v>72.84</v>
      </c>
      <c r="W155" s="150">
        <v>60.93</v>
      </c>
      <c r="X155" s="357">
        <f t="shared" si="80"/>
        <v>67.718699999999998</v>
      </c>
      <c r="Y155" s="343">
        <v>400</v>
      </c>
      <c r="Z155" s="343">
        <v>320</v>
      </c>
      <c r="AA155" s="343">
        <f t="shared" si="77"/>
        <v>0.55555555555555558</v>
      </c>
      <c r="AB155" s="343">
        <f t="shared" si="78"/>
        <v>0.44444444444444442</v>
      </c>
      <c r="AF155" s="4">
        <f t="shared" si="65"/>
        <v>2017</v>
      </c>
      <c r="AG155" s="432">
        <f t="shared" si="68"/>
        <v>42979</v>
      </c>
      <c r="AH155" s="149">
        <f t="shared" si="79"/>
        <v>8.254578575312669</v>
      </c>
      <c r="AI155" s="150">
        <v>8.254578575312669</v>
      </c>
      <c r="AK155" s="4">
        <f t="shared" si="72"/>
        <v>2016</v>
      </c>
      <c r="AL155" s="432">
        <v>42582</v>
      </c>
      <c r="AM155" s="4">
        <f t="shared" si="73"/>
        <v>4.82</v>
      </c>
      <c r="AN155" s="4">
        <v>4.88</v>
      </c>
      <c r="AO155" s="4">
        <v>4.76</v>
      </c>
      <c r="AQ155" s="4">
        <f t="shared" si="74"/>
        <v>2020</v>
      </c>
      <c r="AR155" s="356">
        <v>43983</v>
      </c>
      <c r="AS155" s="4">
        <f t="shared" si="75"/>
        <v>10.89</v>
      </c>
      <c r="AT155" s="4">
        <v>11</v>
      </c>
      <c r="AU155" s="4">
        <v>10.78</v>
      </c>
      <c r="AV155" s="515">
        <f t="shared" si="66"/>
        <v>2026</v>
      </c>
      <c r="AW155" s="535">
        <v>46357</v>
      </c>
      <c r="AX155" s="515">
        <f t="shared" si="70"/>
        <v>4.40015</v>
      </c>
      <c r="AY155" s="596">
        <f>'[12]Forward Price Curve'!AE236</f>
        <v>4.5115999999999996</v>
      </c>
      <c r="AZ155" s="596">
        <f>'[12]Forward Price Curve'!AD236</f>
        <v>4.2887000000000004</v>
      </c>
      <c r="BA155" s="629">
        <f t="shared" si="67"/>
        <v>2029</v>
      </c>
      <c r="BB155" s="633">
        <v>47453</v>
      </c>
      <c r="BC155" s="629">
        <f t="shared" si="71"/>
        <v>4.8207500000000003</v>
      </c>
      <c r="BD155" s="634">
        <f>[13]Prices!AO152</f>
        <v>5.0316000000000001</v>
      </c>
      <c r="BE155" s="634">
        <f>[13]Prices!AP152</f>
        <v>4.6098999999999997</v>
      </c>
    </row>
    <row r="156" spans="20:57">
      <c r="T156" s="4">
        <f t="shared" si="76"/>
        <v>2017</v>
      </c>
      <c r="U156" s="434">
        <f t="shared" si="69"/>
        <v>43009</v>
      </c>
      <c r="V156" s="150">
        <v>68.95</v>
      </c>
      <c r="W156" s="150">
        <v>54.58</v>
      </c>
      <c r="X156" s="357">
        <f t="shared" si="80"/>
        <v>62.770899999999997</v>
      </c>
      <c r="Y156" s="343">
        <v>416</v>
      </c>
      <c r="Z156" s="343">
        <v>328</v>
      </c>
      <c r="AA156" s="343">
        <f t="shared" si="77"/>
        <v>0.55913978494623651</v>
      </c>
      <c r="AB156" s="343">
        <f t="shared" si="78"/>
        <v>0.44086021505376344</v>
      </c>
      <c r="AF156" s="4">
        <f t="shared" ref="AF156:AF219" si="81">+YEAR(AG156)</f>
        <v>2017</v>
      </c>
      <c r="AG156" s="432">
        <f t="shared" si="68"/>
        <v>43009</v>
      </c>
      <c r="AH156" s="149">
        <f t="shared" si="79"/>
        <v>8.5434584013050561</v>
      </c>
      <c r="AI156" s="150">
        <v>8.5434584013050561</v>
      </c>
      <c r="AK156" s="4">
        <f t="shared" si="72"/>
        <v>2016</v>
      </c>
      <c r="AL156" s="432">
        <v>42613</v>
      </c>
      <c r="AM156" s="4">
        <f t="shared" si="73"/>
        <v>4.82</v>
      </c>
      <c r="AN156" s="4">
        <v>4.88</v>
      </c>
      <c r="AO156" s="4">
        <v>4.76</v>
      </c>
      <c r="AQ156" s="4">
        <f t="shared" si="74"/>
        <v>2020</v>
      </c>
      <c r="AR156" s="356">
        <v>44013</v>
      </c>
      <c r="AS156" s="4">
        <f t="shared" si="75"/>
        <v>11.055</v>
      </c>
      <c r="AT156" s="4">
        <v>11.16</v>
      </c>
      <c r="AU156" s="4">
        <v>10.95</v>
      </c>
      <c r="AV156" s="515">
        <f t="shared" ref="AV156:AV219" si="82">YEAR(AW156)</f>
        <v>2027</v>
      </c>
      <c r="AW156" s="535">
        <v>46388</v>
      </c>
      <c r="AX156" s="515">
        <f t="shared" si="70"/>
        <v>4.72485</v>
      </c>
      <c r="AY156" s="596">
        <f>'[12]Forward Price Curve'!AE237</f>
        <v>4.8388</v>
      </c>
      <c r="AZ156" s="596">
        <f>'[12]Forward Price Curve'!AD237</f>
        <v>4.6109</v>
      </c>
      <c r="BA156" s="629">
        <f t="shared" ref="BA156:BA219" si="83">YEAR(BB156)</f>
        <v>2030</v>
      </c>
      <c r="BB156" s="633">
        <v>47484</v>
      </c>
      <c r="BC156" s="629">
        <f t="shared" si="71"/>
        <v>4.8885000000000005</v>
      </c>
      <c r="BD156" s="634">
        <f>[13]Prices!AO153</f>
        <v>5.0754000000000001</v>
      </c>
      <c r="BE156" s="634">
        <f>[13]Prices!AP153</f>
        <v>4.7016</v>
      </c>
    </row>
    <row r="157" spans="20:57">
      <c r="T157" s="4">
        <f t="shared" si="76"/>
        <v>2017</v>
      </c>
      <c r="U157" s="434">
        <f t="shared" si="69"/>
        <v>43040</v>
      </c>
      <c r="V157" s="150">
        <v>76.59</v>
      </c>
      <c r="W157" s="150">
        <v>64.33</v>
      </c>
      <c r="X157" s="357">
        <f t="shared" si="80"/>
        <v>71.318200000000004</v>
      </c>
      <c r="Y157" s="343">
        <v>400</v>
      </c>
      <c r="Z157" s="343">
        <v>320</v>
      </c>
      <c r="AA157" s="343">
        <f t="shared" si="77"/>
        <v>0.55555555555555558</v>
      </c>
      <c r="AB157" s="343">
        <f t="shared" si="78"/>
        <v>0.44444444444444442</v>
      </c>
      <c r="AF157" s="4">
        <f t="shared" si="81"/>
        <v>2017</v>
      </c>
      <c r="AG157" s="432">
        <f t="shared" ref="AG157:AG220" si="84">EOMONTH(AG156,0)+1</f>
        <v>43040</v>
      </c>
      <c r="AH157" s="149">
        <f t="shared" si="79"/>
        <v>8.6692060902664494</v>
      </c>
      <c r="AI157" s="150">
        <v>8.6692060902664494</v>
      </c>
      <c r="AK157" s="4">
        <f t="shared" si="72"/>
        <v>2016</v>
      </c>
      <c r="AL157" s="432">
        <v>42643</v>
      </c>
      <c r="AM157" s="4">
        <f t="shared" si="73"/>
        <v>4.82</v>
      </c>
      <c r="AN157" s="4">
        <v>4.88</v>
      </c>
      <c r="AO157" s="4">
        <v>4.76</v>
      </c>
      <c r="AQ157" s="4">
        <f t="shared" si="74"/>
        <v>2020</v>
      </c>
      <c r="AR157" s="356">
        <v>44044</v>
      </c>
      <c r="AS157" s="4">
        <f t="shared" si="75"/>
        <v>11.055</v>
      </c>
      <c r="AT157" s="4">
        <v>11.16</v>
      </c>
      <c r="AU157" s="4">
        <v>10.95</v>
      </c>
      <c r="AV157" s="515">
        <f t="shared" si="82"/>
        <v>2027</v>
      </c>
      <c r="AW157" s="535">
        <v>46419</v>
      </c>
      <c r="AX157" s="515">
        <f t="shared" si="70"/>
        <v>4.7516499999999997</v>
      </c>
      <c r="AY157" s="596">
        <f>'[12]Forward Price Curve'!AE238</f>
        <v>4.8655999999999997</v>
      </c>
      <c r="AZ157" s="596">
        <f>'[12]Forward Price Curve'!AD238</f>
        <v>4.6376999999999997</v>
      </c>
      <c r="BA157" s="629">
        <f t="shared" si="83"/>
        <v>2030</v>
      </c>
      <c r="BB157" s="633">
        <v>47515</v>
      </c>
      <c r="BC157" s="629">
        <f t="shared" si="71"/>
        <v>4.8956999999999997</v>
      </c>
      <c r="BD157" s="634">
        <f>[13]Prices!AO154</f>
        <v>5.1041999999999996</v>
      </c>
      <c r="BE157" s="634">
        <f>[13]Prices!AP154</f>
        <v>4.6871999999999998</v>
      </c>
    </row>
    <row r="158" spans="20:57">
      <c r="T158" s="4">
        <f t="shared" si="76"/>
        <v>2017</v>
      </c>
      <c r="U158" s="434">
        <f t="shared" si="69"/>
        <v>43070</v>
      </c>
      <c r="V158" s="150">
        <v>77.13</v>
      </c>
      <c r="W158" s="150">
        <v>64.42</v>
      </c>
      <c r="X158" s="357">
        <f t="shared" si="80"/>
        <v>71.664699999999996</v>
      </c>
      <c r="Y158" s="343">
        <v>400</v>
      </c>
      <c r="Z158" s="343">
        <v>344</v>
      </c>
      <c r="AA158" s="343">
        <f t="shared" si="77"/>
        <v>0.5376344086021505</v>
      </c>
      <c r="AB158" s="343">
        <f t="shared" si="78"/>
        <v>0.46236559139784944</v>
      </c>
      <c r="AF158" s="4">
        <f t="shared" si="81"/>
        <v>2017</v>
      </c>
      <c r="AG158" s="432">
        <f t="shared" si="84"/>
        <v>43070</v>
      </c>
      <c r="AH158" s="149">
        <f t="shared" si="79"/>
        <v>9.083833605220228</v>
      </c>
      <c r="AI158" s="150">
        <v>9.083833605220228</v>
      </c>
      <c r="AK158" s="4">
        <f t="shared" si="72"/>
        <v>2016</v>
      </c>
      <c r="AL158" s="432">
        <v>42674</v>
      </c>
      <c r="AM158" s="4">
        <f t="shared" si="73"/>
        <v>5</v>
      </c>
      <c r="AN158" s="4">
        <v>5.0199999999999996</v>
      </c>
      <c r="AO158" s="4">
        <v>4.9800000000000004</v>
      </c>
      <c r="AQ158" s="4">
        <f t="shared" si="74"/>
        <v>2020</v>
      </c>
      <c r="AR158" s="356">
        <v>44075</v>
      </c>
      <c r="AS158" s="4">
        <f t="shared" si="75"/>
        <v>11.055</v>
      </c>
      <c r="AT158" s="4">
        <v>11.16</v>
      </c>
      <c r="AU158" s="4">
        <v>10.95</v>
      </c>
      <c r="AV158" s="515">
        <f t="shared" si="82"/>
        <v>2027</v>
      </c>
      <c r="AW158" s="535">
        <v>46447</v>
      </c>
      <c r="AX158" s="515">
        <f t="shared" si="70"/>
        <v>4.5975000000000001</v>
      </c>
      <c r="AY158" s="596">
        <f>'[12]Forward Price Curve'!AE239</f>
        <v>4.6645000000000003</v>
      </c>
      <c r="AZ158" s="596">
        <f>'[12]Forward Price Curve'!AD239</f>
        <v>4.5305</v>
      </c>
      <c r="BA158" s="629">
        <f t="shared" si="83"/>
        <v>2030</v>
      </c>
      <c r="BB158" s="633">
        <v>47543</v>
      </c>
      <c r="BC158" s="629">
        <f t="shared" si="71"/>
        <v>4.7734500000000004</v>
      </c>
      <c r="BD158" s="634">
        <f>[13]Prices!AO155</f>
        <v>4.9459999999999997</v>
      </c>
      <c r="BE158" s="634">
        <f>[13]Prices!AP155</f>
        <v>4.6009000000000002</v>
      </c>
    </row>
    <row r="159" spans="20:57">
      <c r="T159" s="4">
        <f t="shared" si="76"/>
        <v>2018</v>
      </c>
      <c r="U159" s="434">
        <f t="shared" si="69"/>
        <v>43101</v>
      </c>
      <c r="V159" s="150">
        <v>86.47</v>
      </c>
      <c r="W159" s="150">
        <v>74.489999999999995</v>
      </c>
      <c r="X159" s="357">
        <f t="shared" si="80"/>
        <v>81.318599999999989</v>
      </c>
      <c r="Y159" s="343">
        <v>416</v>
      </c>
      <c r="Z159" s="343">
        <v>328</v>
      </c>
      <c r="AA159" s="343">
        <f t="shared" si="77"/>
        <v>0.55913978494623651</v>
      </c>
      <c r="AB159" s="343">
        <f t="shared" si="78"/>
        <v>0.44086021505376344</v>
      </c>
      <c r="AF159" s="4">
        <f t="shared" si="81"/>
        <v>2018</v>
      </c>
      <c r="AG159" s="432">
        <f t="shared" si="84"/>
        <v>43101</v>
      </c>
      <c r="AH159" s="149">
        <f t="shared" si="79"/>
        <v>10.300527460576399</v>
      </c>
      <c r="AI159" s="150">
        <v>10.300527460576399</v>
      </c>
      <c r="AK159" s="4">
        <f t="shared" si="72"/>
        <v>2016</v>
      </c>
      <c r="AL159" s="432">
        <v>42704</v>
      </c>
      <c r="AM159" s="4">
        <f t="shared" si="73"/>
        <v>5.08</v>
      </c>
      <c r="AN159" s="4">
        <v>5.0999999999999996</v>
      </c>
      <c r="AO159" s="4">
        <v>5.0599999999999996</v>
      </c>
      <c r="AQ159" s="4">
        <f t="shared" si="74"/>
        <v>2020</v>
      </c>
      <c r="AR159" s="356">
        <v>44105</v>
      </c>
      <c r="AS159" s="4">
        <f t="shared" si="75"/>
        <v>11.475000000000001</v>
      </c>
      <c r="AT159" s="4">
        <v>11.49</v>
      </c>
      <c r="AU159" s="4">
        <v>11.46</v>
      </c>
      <c r="AV159" s="515">
        <f t="shared" si="82"/>
        <v>2027</v>
      </c>
      <c r="AW159" s="535">
        <v>46478</v>
      </c>
      <c r="AX159" s="515">
        <f t="shared" si="70"/>
        <v>4.36965</v>
      </c>
      <c r="AY159" s="596">
        <f>'[12]Forward Price Curve'!AE240</f>
        <v>4.4634999999999998</v>
      </c>
      <c r="AZ159" s="596">
        <f>'[12]Forward Price Curve'!AD240</f>
        <v>4.2758000000000003</v>
      </c>
      <c r="BA159" s="629">
        <f t="shared" si="83"/>
        <v>2030</v>
      </c>
      <c r="BB159" s="633">
        <v>47574</v>
      </c>
      <c r="BC159" s="629">
        <f t="shared" si="71"/>
        <v>4.5074500000000004</v>
      </c>
      <c r="BD159" s="634">
        <f>[13]Prices!AO156</f>
        <v>4.6727999999999996</v>
      </c>
      <c r="BE159" s="634">
        <f>[13]Prices!AP156</f>
        <v>4.3421000000000003</v>
      </c>
    </row>
    <row r="160" spans="20:57">
      <c r="T160" s="4">
        <f t="shared" si="76"/>
        <v>2018</v>
      </c>
      <c r="U160" s="434">
        <f t="shared" si="69"/>
        <v>43132</v>
      </c>
      <c r="V160" s="150">
        <v>79.75</v>
      </c>
      <c r="W160" s="150">
        <v>68.38</v>
      </c>
      <c r="X160" s="357">
        <f t="shared" si="80"/>
        <v>74.860899999999987</v>
      </c>
      <c r="Y160" s="343">
        <v>384</v>
      </c>
      <c r="Z160" s="343">
        <v>288</v>
      </c>
      <c r="AA160" s="343">
        <f t="shared" si="77"/>
        <v>0.5714285714285714</v>
      </c>
      <c r="AB160" s="343">
        <f t="shared" si="78"/>
        <v>0.42857142857142855</v>
      </c>
      <c r="AF160" s="4">
        <f t="shared" si="81"/>
        <v>2018</v>
      </c>
      <c r="AG160" s="432">
        <f t="shared" si="84"/>
        <v>43132</v>
      </c>
      <c r="AH160" s="149">
        <f t="shared" si="79"/>
        <v>9.6785861881457311</v>
      </c>
      <c r="AI160" s="150">
        <v>9.6785861881457311</v>
      </c>
      <c r="AK160" s="4">
        <f t="shared" si="72"/>
        <v>2016</v>
      </c>
      <c r="AL160" s="432">
        <v>42735</v>
      </c>
      <c r="AM160" s="4">
        <f t="shared" si="73"/>
        <v>5.33</v>
      </c>
      <c r="AN160" s="4">
        <v>5.31</v>
      </c>
      <c r="AO160" s="4">
        <v>5.35</v>
      </c>
      <c r="AQ160" s="4">
        <f t="shared" si="74"/>
        <v>2020</v>
      </c>
      <c r="AR160" s="356">
        <v>44136</v>
      </c>
      <c r="AS160" s="4">
        <f t="shared" si="75"/>
        <v>11.64</v>
      </c>
      <c r="AT160" s="4">
        <v>11.65</v>
      </c>
      <c r="AU160" s="4">
        <v>11.63</v>
      </c>
      <c r="AV160" s="515">
        <f t="shared" si="82"/>
        <v>2027</v>
      </c>
      <c r="AW160" s="535">
        <v>46508</v>
      </c>
      <c r="AX160" s="515">
        <f t="shared" si="70"/>
        <v>4.1752500000000001</v>
      </c>
      <c r="AY160" s="596">
        <f>'[12]Forward Price Curve'!AE241</f>
        <v>4.2892000000000001</v>
      </c>
      <c r="AZ160" s="596">
        <f>'[12]Forward Price Curve'!AD241</f>
        <v>4.0613000000000001</v>
      </c>
      <c r="BA160" s="629">
        <f t="shared" si="83"/>
        <v>2030</v>
      </c>
      <c r="BB160" s="633">
        <v>47604</v>
      </c>
      <c r="BC160" s="629">
        <f t="shared" si="71"/>
        <v>4.54345</v>
      </c>
      <c r="BD160" s="634">
        <f>[13]Prices!AO157</f>
        <v>4.7016</v>
      </c>
      <c r="BE160" s="634">
        <f>[13]Prices!AP157</f>
        <v>4.3853</v>
      </c>
    </row>
    <row r="161" spans="20:57">
      <c r="T161" s="4">
        <f t="shared" si="76"/>
        <v>2018</v>
      </c>
      <c r="U161" s="434">
        <f t="shared" si="69"/>
        <v>43160</v>
      </c>
      <c r="V161" s="150">
        <v>73.75</v>
      </c>
      <c r="W161" s="150">
        <v>65.930000000000007</v>
      </c>
      <c r="X161" s="357">
        <f t="shared" si="80"/>
        <v>70.3874</v>
      </c>
      <c r="Y161" s="343">
        <v>432</v>
      </c>
      <c r="Z161" s="343">
        <v>312</v>
      </c>
      <c r="AA161" s="343">
        <f t="shared" si="77"/>
        <v>0.58064516129032262</v>
      </c>
      <c r="AB161" s="343">
        <f t="shared" si="78"/>
        <v>0.41935483870967744</v>
      </c>
      <c r="AF161" s="4">
        <f t="shared" si="81"/>
        <v>2018</v>
      </c>
      <c r="AG161" s="432">
        <f t="shared" si="84"/>
        <v>43160</v>
      </c>
      <c r="AH161" s="149">
        <f t="shared" si="79"/>
        <v>9.1076237085372469</v>
      </c>
      <c r="AI161" s="150">
        <v>9.1076237085372469</v>
      </c>
      <c r="AK161" s="4">
        <f t="shared" si="72"/>
        <v>2017</v>
      </c>
      <c r="AL161" s="432">
        <v>42766</v>
      </c>
      <c r="AM161" s="4">
        <f t="shared" si="73"/>
        <v>5.91</v>
      </c>
      <c r="AN161" s="4">
        <v>5.85</v>
      </c>
      <c r="AO161" s="4">
        <v>5.97</v>
      </c>
      <c r="AQ161" s="4">
        <f t="shared" si="74"/>
        <v>2020</v>
      </c>
      <c r="AR161" s="356">
        <v>44166</v>
      </c>
      <c r="AS161" s="4">
        <f t="shared" si="75"/>
        <v>12.225000000000001</v>
      </c>
      <c r="AT161" s="4">
        <v>12.15</v>
      </c>
      <c r="AU161" s="4">
        <v>12.3</v>
      </c>
      <c r="AV161" s="515">
        <f t="shared" si="82"/>
        <v>2027</v>
      </c>
      <c r="AW161" s="535">
        <v>46539</v>
      </c>
      <c r="AX161" s="515">
        <f t="shared" si="70"/>
        <v>4.1484500000000004</v>
      </c>
      <c r="AY161" s="596">
        <f>'[12]Forward Price Curve'!AE242</f>
        <v>4.2892000000000001</v>
      </c>
      <c r="AZ161" s="596">
        <f>'[12]Forward Price Curve'!AD242</f>
        <v>4.0076999999999998</v>
      </c>
      <c r="BA161" s="629">
        <f t="shared" si="83"/>
        <v>2030</v>
      </c>
      <c r="BB161" s="633">
        <v>47635</v>
      </c>
      <c r="BC161" s="629">
        <f t="shared" si="71"/>
        <v>4.5865499999999999</v>
      </c>
      <c r="BD161" s="634">
        <f>[13]Prices!AO158</f>
        <v>4.7302999999999997</v>
      </c>
      <c r="BE161" s="634">
        <f>[13]Prices!AP158</f>
        <v>4.4428000000000001</v>
      </c>
    </row>
    <row r="162" spans="20:57">
      <c r="T162" s="4">
        <f t="shared" si="76"/>
        <v>2018</v>
      </c>
      <c r="U162" s="434">
        <f t="shared" si="69"/>
        <v>43191</v>
      </c>
      <c r="V162" s="150">
        <v>72.760000000000005</v>
      </c>
      <c r="W162" s="150">
        <v>63.99</v>
      </c>
      <c r="X162" s="357">
        <f t="shared" si="80"/>
        <v>68.988900000000001</v>
      </c>
      <c r="Y162" s="343">
        <v>400</v>
      </c>
      <c r="Z162" s="343">
        <v>320</v>
      </c>
      <c r="AA162" s="343">
        <f t="shared" si="77"/>
        <v>0.55555555555555558</v>
      </c>
      <c r="AB162" s="343">
        <f t="shared" si="78"/>
        <v>0.44444444444444442</v>
      </c>
      <c r="AF162" s="4">
        <f t="shared" si="81"/>
        <v>2018</v>
      </c>
      <c r="AG162" s="432">
        <f t="shared" si="84"/>
        <v>43191</v>
      </c>
      <c r="AH162" s="149">
        <f t="shared" si="79"/>
        <v>8.6182272974442604</v>
      </c>
      <c r="AI162" s="150">
        <v>8.6182272974442604</v>
      </c>
      <c r="AK162" s="4">
        <f t="shared" si="72"/>
        <v>2017</v>
      </c>
      <c r="AL162" s="432">
        <v>42794</v>
      </c>
      <c r="AM162" s="4">
        <f t="shared" si="73"/>
        <v>5.5</v>
      </c>
      <c r="AN162" s="4">
        <v>5.48</v>
      </c>
      <c r="AO162" s="4">
        <v>5.52</v>
      </c>
      <c r="AQ162" s="4">
        <f t="shared" si="74"/>
        <v>2021</v>
      </c>
      <c r="AR162" s="356">
        <v>44197</v>
      </c>
      <c r="AS162" s="4">
        <f t="shared" si="75"/>
        <v>13.385000000000002</v>
      </c>
      <c r="AT162" s="4">
        <v>13.21</v>
      </c>
      <c r="AU162" s="4">
        <v>13.56</v>
      </c>
      <c r="AV162" s="515">
        <f t="shared" si="82"/>
        <v>2027</v>
      </c>
      <c r="AW162" s="535">
        <v>46569</v>
      </c>
      <c r="AX162" s="515">
        <f t="shared" si="70"/>
        <v>4.1953499999999995</v>
      </c>
      <c r="AY162" s="596">
        <f>'[12]Forward Price Curve'!AE243</f>
        <v>4.3159999999999998</v>
      </c>
      <c r="AZ162" s="596">
        <f>'[12]Forward Price Curve'!AD243</f>
        <v>4.0747</v>
      </c>
      <c r="BA162" s="629">
        <f t="shared" si="83"/>
        <v>2030</v>
      </c>
      <c r="BB162" s="633">
        <v>47665</v>
      </c>
      <c r="BC162" s="629">
        <f t="shared" si="71"/>
        <v>4.7734500000000004</v>
      </c>
      <c r="BD162" s="634">
        <f>[13]Prices!AO159</f>
        <v>4.9172000000000002</v>
      </c>
      <c r="BE162" s="634">
        <f>[13]Prices!AP159</f>
        <v>4.6296999999999997</v>
      </c>
    </row>
    <row r="163" spans="20:57">
      <c r="T163" s="4">
        <f t="shared" si="76"/>
        <v>2018</v>
      </c>
      <c r="U163" s="434">
        <f t="shared" si="69"/>
        <v>43221</v>
      </c>
      <c r="V163" s="150">
        <v>72.59</v>
      </c>
      <c r="W163" s="150">
        <v>54.31</v>
      </c>
      <c r="X163" s="357">
        <f t="shared" si="80"/>
        <v>64.729600000000005</v>
      </c>
      <c r="Y163" s="343">
        <v>416</v>
      </c>
      <c r="Z163" s="343">
        <v>328</v>
      </c>
      <c r="AA163" s="343">
        <f t="shared" si="77"/>
        <v>0.55913978494623651</v>
      </c>
      <c r="AB163" s="343">
        <f t="shared" si="78"/>
        <v>0.44086021505376344</v>
      </c>
      <c r="AF163" s="4">
        <f t="shared" si="81"/>
        <v>2018</v>
      </c>
      <c r="AG163" s="432">
        <f t="shared" si="84"/>
        <v>43221</v>
      </c>
      <c r="AH163" s="149">
        <f t="shared" si="79"/>
        <v>8.5298640565524728</v>
      </c>
      <c r="AI163" s="150">
        <v>8.5298640565524728</v>
      </c>
      <c r="AK163" s="4">
        <f t="shared" si="72"/>
        <v>2017</v>
      </c>
      <c r="AL163" s="432">
        <v>42825</v>
      </c>
      <c r="AM163" s="4">
        <f t="shared" si="73"/>
        <v>5.16</v>
      </c>
      <c r="AN163" s="4">
        <v>5.18</v>
      </c>
      <c r="AO163" s="4">
        <v>5.14</v>
      </c>
      <c r="AQ163" s="4">
        <f t="shared" si="74"/>
        <v>2021</v>
      </c>
      <c r="AR163" s="356">
        <v>44228</v>
      </c>
      <c r="AS163" s="4">
        <f t="shared" si="75"/>
        <v>12.455</v>
      </c>
      <c r="AT163" s="4">
        <v>12.38</v>
      </c>
      <c r="AU163" s="4">
        <v>12.53</v>
      </c>
      <c r="AV163" s="515">
        <f t="shared" si="82"/>
        <v>2027</v>
      </c>
      <c r="AW163" s="535">
        <v>46600</v>
      </c>
      <c r="AX163" s="515">
        <f t="shared" si="70"/>
        <v>4.2758000000000003</v>
      </c>
      <c r="AY163" s="596">
        <f>'[12]Forward Price Curve'!AE244</f>
        <v>4.383</v>
      </c>
      <c r="AZ163" s="596">
        <f>'[12]Forward Price Curve'!AD244</f>
        <v>4.1685999999999996</v>
      </c>
      <c r="BA163" s="629">
        <f t="shared" si="83"/>
        <v>2030</v>
      </c>
      <c r="BB163" s="633">
        <v>47696</v>
      </c>
      <c r="BC163" s="629">
        <f t="shared" si="71"/>
        <v>4.8094000000000001</v>
      </c>
      <c r="BD163" s="634">
        <f>[13]Prices!AO160</f>
        <v>4.9459999999999997</v>
      </c>
      <c r="BE163" s="634">
        <f>[13]Prices!AP160</f>
        <v>4.6727999999999996</v>
      </c>
    </row>
    <row r="164" spans="20:57">
      <c r="T164" s="4">
        <f t="shared" si="76"/>
        <v>2018</v>
      </c>
      <c r="U164" s="434">
        <f t="shared" si="69"/>
        <v>43252</v>
      </c>
      <c r="V164" s="150">
        <v>75.28</v>
      </c>
      <c r="W164" s="150">
        <v>54.91</v>
      </c>
      <c r="X164" s="357">
        <f t="shared" si="80"/>
        <v>66.520899999999997</v>
      </c>
      <c r="Y164" s="343">
        <v>416</v>
      </c>
      <c r="Z164" s="343">
        <v>304</v>
      </c>
      <c r="AA164" s="343">
        <f t="shared" si="77"/>
        <v>0.57777777777777772</v>
      </c>
      <c r="AB164" s="343">
        <f t="shared" si="78"/>
        <v>0.42222222222222222</v>
      </c>
      <c r="AF164" s="4">
        <f t="shared" si="81"/>
        <v>2018</v>
      </c>
      <c r="AG164" s="432">
        <f t="shared" si="84"/>
        <v>43252</v>
      </c>
      <c r="AH164" s="149">
        <f t="shared" si="79"/>
        <v>8.6624089178901595</v>
      </c>
      <c r="AI164" s="150">
        <v>8.6624089178901595</v>
      </c>
      <c r="AK164" s="4">
        <f t="shared" si="72"/>
        <v>2017</v>
      </c>
      <c r="AL164" s="432">
        <v>42855</v>
      </c>
      <c r="AM164" s="4">
        <f t="shared" si="73"/>
        <v>4.8249999999999993</v>
      </c>
      <c r="AN164" s="4">
        <v>4.8899999999999997</v>
      </c>
      <c r="AO164" s="4">
        <v>4.76</v>
      </c>
      <c r="AQ164" s="4">
        <f t="shared" si="74"/>
        <v>2021</v>
      </c>
      <c r="AR164" s="356">
        <v>44256</v>
      </c>
      <c r="AS164" s="4">
        <f t="shared" si="75"/>
        <v>11.695</v>
      </c>
      <c r="AT164" s="4">
        <v>11.71</v>
      </c>
      <c r="AU164" s="4">
        <v>11.68</v>
      </c>
      <c r="AV164" s="515">
        <f t="shared" si="82"/>
        <v>2027</v>
      </c>
      <c r="AW164" s="535">
        <v>46631</v>
      </c>
      <c r="AX164" s="515">
        <f t="shared" si="70"/>
        <v>4.2958999999999996</v>
      </c>
      <c r="AY164" s="596">
        <f>'[12]Forward Price Curve'!AE245</f>
        <v>4.3696000000000002</v>
      </c>
      <c r="AZ164" s="596">
        <f>'[12]Forward Price Curve'!AD245</f>
        <v>4.2222</v>
      </c>
      <c r="BA164" s="629">
        <f t="shared" si="83"/>
        <v>2030</v>
      </c>
      <c r="BB164" s="633">
        <v>47727</v>
      </c>
      <c r="BC164" s="629">
        <f t="shared" si="71"/>
        <v>4.7231000000000005</v>
      </c>
      <c r="BD164" s="634">
        <f>[13]Prices!AO161</f>
        <v>4.9172000000000002</v>
      </c>
      <c r="BE164" s="634">
        <f>[13]Prices!AP161</f>
        <v>4.5289999999999999</v>
      </c>
    </row>
    <row r="165" spans="20:57">
      <c r="T165" s="4">
        <f t="shared" si="76"/>
        <v>2018</v>
      </c>
      <c r="U165" s="434">
        <f t="shared" si="69"/>
        <v>43282</v>
      </c>
      <c r="V165" s="150">
        <v>75.73</v>
      </c>
      <c r="W165" s="150">
        <v>66</v>
      </c>
      <c r="X165" s="357">
        <f t="shared" si="80"/>
        <v>71.546099999999996</v>
      </c>
      <c r="Y165" s="343">
        <v>400</v>
      </c>
      <c r="Z165" s="343">
        <v>344</v>
      </c>
      <c r="AA165" s="343">
        <f t="shared" si="77"/>
        <v>0.5376344086021505</v>
      </c>
      <c r="AB165" s="343">
        <f t="shared" si="78"/>
        <v>0.46236559139784944</v>
      </c>
      <c r="AF165" s="4">
        <f t="shared" si="81"/>
        <v>2018</v>
      </c>
      <c r="AG165" s="432">
        <f t="shared" si="84"/>
        <v>43282</v>
      </c>
      <c r="AH165" s="149">
        <f t="shared" si="79"/>
        <v>8.7949537792278392</v>
      </c>
      <c r="AI165" s="150">
        <v>8.7949537792278392</v>
      </c>
      <c r="AK165" s="4">
        <f t="shared" si="72"/>
        <v>2017</v>
      </c>
      <c r="AL165" s="432">
        <v>42886</v>
      </c>
      <c r="AM165" s="4">
        <f t="shared" si="73"/>
        <v>4.8249999999999993</v>
      </c>
      <c r="AN165" s="4">
        <v>4.8899999999999997</v>
      </c>
      <c r="AO165" s="4">
        <v>4.76</v>
      </c>
      <c r="AQ165" s="4">
        <f t="shared" si="74"/>
        <v>2021</v>
      </c>
      <c r="AR165" s="356">
        <v>44287</v>
      </c>
      <c r="AS165" s="4">
        <f t="shared" si="75"/>
        <v>10.93</v>
      </c>
      <c r="AT165" s="4">
        <v>11.04</v>
      </c>
      <c r="AU165" s="4">
        <v>10.82</v>
      </c>
      <c r="AV165" s="515">
        <f t="shared" si="82"/>
        <v>2027</v>
      </c>
      <c r="AW165" s="535">
        <v>46661</v>
      </c>
      <c r="AX165" s="515">
        <f t="shared" si="70"/>
        <v>4.41655</v>
      </c>
      <c r="AY165" s="596">
        <f>'[12]Forward Price Curve'!AE246</f>
        <v>4.4500999999999999</v>
      </c>
      <c r="AZ165" s="596">
        <f>'[12]Forward Price Curve'!AD246</f>
        <v>4.383</v>
      </c>
      <c r="BA165" s="629">
        <f t="shared" si="83"/>
        <v>2030</v>
      </c>
      <c r="BB165" s="633">
        <v>47757</v>
      </c>
      <c r="BC165" s="629">
        <f t="shared" si="71"/>
        <v>4.7735000000000003</v>
      </c>
      <c r="BD165" s="634">
        <f>[13]Prices!AO162</f>
        <v>4.9603999999999999</v>
      </c>
      <c r="BE165" s="634">
        <f>[13]Prices!AP162</f>
        <v>4.5865999999999998</v>
      </c>
    </row>
    <row r="166" spans="20:57">
      <c r="T166" s="4">
        <f t="shared" si="76"/>
        <v>2018</v>
      </c>
      <c r="U166" s="434">
        <f t="shared" si="69"/>
        <v>43313</v>
      </c>
      <c r="V166" s="150">
        <v>89.84</v>
      </c>
      <c r="W166" s="150">
        <v>69.900000000000006</v>
      </c>
      <c r="X166" s="357">
        <f t="shared" si="80"/>
        <v>81.265799999999999</v>
      </c>
      <c r="Y166" s="343">
        <v>432</v>
      </c>
      <c r="Z166" s="343">
        <v>312</v>
      </c>
      <c r="AA166" s="343">
        <f t="shared" si="77"/>
        <v>0.58064516129032262</v>
      </c>
      <c r="AB166" s="343">
        <f t="shared" si="78"/>
        <v>0.41935483870967744</v>
      </c>
      <c r="AF166" s="4">
        <f t="shared" si="81"/>
        <v>2018</v>
      </c>
      <c r="AG166" s="432">
        <f t="shared" si="84"/>
        <v>43313</v>
      </c>
      <c r="AH166" s="149">
        <f t="shared" si="79"/>
        <v>8.7949537792278392</v>
      </c>
      <c r="AI166" s="150">
        <v>8.7949537792278392</v>
      </c>
      <c r="AK166" s="4">
        <f t="shared" si="72"/>
        <v>2017</v>
      </c>
      <c r="AL166" s="432">
        <v>42916</v>
      </c>
      <c r="AM166" s="4">
        <f t="shared" si="73"/>
        <v>4.9000000000000004</v>
      </c>
      <c r="AN166" s="4">
        <v>4.96</v>
      </c>
      <c r="AO166" s="4">
        <v>4.84</v>
      </c>
      <c r="AQ166" s="4">
        <f t="shared" si="74"/>
        <v>2021</v>
      </c>
      <c r="AR166" s="356">
        <v>44317</v>
      </c>
      <c r="AS166" s="4">
        <f t="shared" si="75"/>
        <v>10.93</v>
      </c>
      <c r="AT166" s="4">
        <v>11.04</v>
      </c>
      <c r="AU166" s="4">
        <v>10.82</v>
      </c>
      <c r="AV166" s="515">
        <f t="shared" si="82"/>
        <v>2027</v>
      </c>
      <c r="AW166" s="535">
        <v>46692</v>
      </c>
      <c r="AX166" s="515">
        <f t="shared" si="70"/>
        <v>4.6242999999999999</v>
      </c>
      <c r="AY166" s="596">
        <f>'[12]Forward Price Curve'!AE247</f>
        <v>4.6913</v>
      </c>
      <c r="AZ166" s="596">
        <f>'[12]Forward Price Curve'!AD247</f>
        <v>4.5572999999999997</v>
      </c>
      <c r="BA166" s="629">
        <f t="shared" si="83"/>
        <v>2030</v>
      </c>
      <c r="BB166" s="633">
        <v>47788</v>
      </c>
      <c r="BC166" s="629">
        <f t="shared" si="71"/>
        <v>5.0754000000000001</v>
      </c>
      <c r="BD166" s="634">
        <f>[13]Prices!AO163</f>
        <v>5.3053999999999997</v>
      </c>
      <c r="BE166" s="634">
        <f>[13]Prices!AP163</f>
        <v>4.8453999999999997</v>
      </c>
    </row>
    <row r="167" spans="20:57">
      <c r="T167" s="4">
        <f t="shared" si="76"/>
        <v>2018</v>
      </c>
      <c r="U167" s="434">
        <f t="shared" si="69"/>
        <v>43344</v>
      </c>
      <c r="V167" s="150">
        <v>78.430000000000007</v>
      </c>
      <c r="W167" s="150">
        <v>65.8</v>
      </c>
      <c r="X167" s="357">
        <f t="shared" si="80"/>
        <v>72.999099999999999</v>
      </c>
      <c r="Y167" s="343">
        <v>384</v>
      </c>
      <c r="Z167" s="343">
        <v>336</v>
      </c>
      <c r="AA167" s="343">
        <f t="shared" si="77"/>
        <v>0.53333333333333333</v>
      </c>
      <c r="AB167" s="343">
        <f t="shared" si="78"/>
        <v>0.46666666666666667</v>
      </c>
      <c r="AF167" s="4">
        <f t="shared" si="81"/>
        <v>2018</v>
      </c>
      <c r="AG167" s="432">
        <f t="shared" si="84"/>
        <v>43344</v>
      </c>
      <c r="AH167" s="149">
        <f t="shared" si="79"/>
        <v>8.7949537792278392</v>
      </c>
      <c r="AI167" s="150">
        <v>8.7949537792278392</v>
      </c>
      <c r="AK167" s="4">
        <f t="shared" si="72"/>
        <v>2017</v>
      </c>
      <c r="AL167" s="432">
        <v>42947</v>
      </c>
      <c r="AM167" s="4">
        <f t="shared" si="73"/>
        <v>4.9749999999999996</v>
      </c>
      <c r="AN167" s="4">
        <v>5.04</v>
      </c>
      <c r="AO167" s="4">
        <v>4.91</v>
      </c>
      <c r="AQ167" s="4">
        <f t="shared" si="74"/>
        <v>2021</v>
      </c>
      <c r="AR167" s="356">
        <v>44348</v>
      </c>
      <c r="AS167" s="4">
        <f t="shared" si="75"/>
        <v>11.100000000000001</v>
      </c>
      <c r="AT167" s="4">
        <v>11.21</v>
      </c>
      <c r="AU167" s="4">
        <v>10.99</v>
      </c>
      <c r="AV167" s="515">
        <f t="shared" si="82"/>
        <v>2027</v>
      </c>
      <c r="AW167" s="535">
        <v>46722</v>
      </c>
      <c r="AX167" s="515">
        <f t="shared" si="70"/>
        <v>4.9124999999999996</v>
      </c>
      <c r="AY167" s="596">
        <f>'[12]Forward Price Curve'!AE248</f>
        <v>4.9325999999999999</v>
      </c>
      <c r="AZ167" s="596">
        <f>'[12]Forward Price Curve'!AD248</f>
        <v>4.8924000000000003</v>
      </c>
      <c r="BA167" s="629">
        <f t="shared" si="83"/>
        <v>2030</v>
      </c>
      <c r="BB167" s="633">
        <v>47818</v>
      </c>
      <c r="BC167" s="629">
        <f t="shared" si="71"/>
        <v>5.3701500000000006</v>
      </c>
      <c r="BD167" s="634">
        <f>[13]Prices!AO164</f>
        <v>5.5643000000000002</v>
      </c>
      <c r="BE167" s="634">
        <f>[13]Prices!AP164</f>
        <v>5.1760000000000002</v>
      </c>
    </row>
    <row r="168" spans="20:57">
      <c r="T168" s="4">
        <f t="shared" si="76"/>
        <v>2018</v>
      </c>
      <c r="U168" s="434">
        <f t="shared" ref="U168:U231" si="85">EOMONTH(U167,0)+1</f>
        <v>43374</v>
      </c>
      <c r="V168" s="150">
        <v>76</v>
      </c>
      <c r="W168" s="150">
        <v>65.75</v>
      </c>
      <c r="X168" s="357">
        <f t="shared" si="80"/>
        <v>71.592500000000001</v>
      </c>
      <c r="Y168" s="343">
        <v>432</v>
      </c>
      <c r="Z168" s="343">
        <v>312</v>
      </c>
      <c r="AA168" s="343">
        <f t="shared" si="77"/>
        <v>0.58064516129032262</v>
      </c>
      <c r="AB168" s="343">
        <f t="shared" si="78"/>
        <v>0.41935483870967744</v>
      </c>
      <c r="AF168" s="4">
        <f t="shared" si="81"/>
        <v>2018</v>
      </c>
      <c r="AG168" s="432">
        <f t="shared" si="84"/>
        <v>43374</v>
      </c>
      <c r="AH168" s="149">
        <f t="shared" si="79"/>
        <v>9.1076237085372469</v>
      </c>
      <c r="AI168" s="150">
        <v>9.1076237085372469</v>
      </c>
      <c r="AK168" s="4">
        <f t="shared" si="72"/>
        <v>2017</v>
      </c>
      <c r="AL168" s="432">
        <v>42978</v>
      </c>
      <c r="AM168" s="4">
        <f t="shared" si="73"/>
        <v>4.9749999999999996</v>
      </c>
      <c r="AN168" s="4">
        <v>5.04</v>
      </c>
      <c r="AO168" s="4">
        <v>4.91</v>
      </c>
      <c r="AQ168" s="4">
        <f t="shared" si="74"/>
        <v>2021</v>
      </c>
      <c r="AR168" s="356">
        <v>44378</v>
      </c>
      <c r="AS168" s="4">
        <f t="shared" si="75"/>
        <v>11.265000000000001</v>
      </c>
      <c r="AT168" s="4">
        <v>11.37</v>
      </c>
      <c r="AU168" s="4">
        <v>11.16</v>
      </c>
      <c r="AV168" s="515">
        <f t="shared" si="82"/>
        <v>2028</v>
      </c>
      <c r="AW168" s="535">
        <v>46753</v>
      </c>
      <c r="AX168" s="515">
        <f t="shared" si="70"/>
        <v>4.7876500000000002</v>
      </c>
      <c r="AY168" s="596">
        <f>'[12]Forward Price Curve'!AE249</f>
        <v>4.7808000000000002</v>
      </c>
      <c r="AZ168" s="596">
        <f>'[12]Forward Price Curve'!AD249</f>
        <v>4.7945000000000002</v>
      </c>
      <c r="BA168" s="629">
        <f t="shared" si="83"/>
        <v>2031</v>
      </c>
      <c r="BB168" s="633">
        <v>47849</v>
      </c>
      <c r="BC168" s="629">
        <f t="shared" si="71"/>
        <v>5.4275000000000002</v>
      </c>
      <c r="BD168" s="634">
        <f>[13]Prices!AO165</f>
        <v>5.6186999999999996</v>
      </c>
      <c r="BE168" s="634">
        <f>[13]Prices!AP165</f>
        <v>5.2363</v>
      </c>
    </row>
    <row r="169" spans="20:57">
      <c r="T169" s="4">
        <f t="shared" si="76"/>
        <v>2018</v>
      </c>
      <c r="U169" s="434">
        <f t="shared" si="85"/>
        <v>43405</v>
      </c>
      <c r="V169" s="150">
        <v>81.14</v>
      </c>
      <c r="W169" s="150">
        <v>60.15</v>
      </c>
      <c r="X169" s="357">
        <f t="shared" si="80"/>
        <v>72.114299999999986</v>
      </c>
      <c r="Y169" s="343">
        <v>400</v>
      </c>
      <c r="Z169" s="343">
        <v>320</v>
      </c>
      <c r="AA169" s="343">
        <f t="shared" si="77"/>
        <v>0.55555555555555558</v>
      </c>
      <c r="AB169" s="343">
        <f t="shared" si="78"/>
        <v>0.44444444444444442</v>
      </c>
      <c r="AF169" s="4">
        <f t="shared" si="81"/>
        <v>2018</v>
      </c>
      <c r="AG169" s="432">
        <f t="shared" si="84"/>
        <v>43405</v>
      </c>
      <c r="AH169" s="149">
        <f t="shared" si="79"/>
        <v>9.236769983686786</v>
      </c>
      <c r="AI169" s="150">
        <v>9.236769983686786</v>
      </c>
      <c r="AK169" s="4">
        <f t="shared" si="72"/>
        <v>2017</v>
      </c>
      <c r="AL169" s="432">
        <v>43008</v>
      </c>
      <c r="AM169" s="4">
        <f t="shared" si="73"/>
        <v>4.9749999999999996</v>
      </c>
      <c r="AN169" s="4">
        <v>5.04</v>
      </c>
      <c r="AO169" s="4">
        <v>4.91</v>
      </c>
      <c r="AQ169" s="4">
        <f t="shared" si="74"/>
        <v>2021</v>
      </c>
      <c r="AR169" s="356">
        <v>44409</v>
      </c>
      <c r="AS169" s="4">
        <f t="shared" si="75"/>
        <v>11.265000000000001</v>
      </c>
      <c r="AT169" s="4">
        <v>11.37</v>
      </c>
      <c r="AU169" s="4">
        <v>11.16</v>
      </c>
      <c r="AV169" s="515">
        <f t="shared" si="82"/>
        <v>2028</v>
      </c>
      <c r="AW169" s="535">
        <v>46784</v>
      </c>
      <c r="AX169" s="515">
        <f t="shared" si="70"/>
        <v>4.8219000000000003</v>
      </c>
      <c r="AY169" s="596">
        <f>'[12]Forward Price Curve'!AE250</f>
        <v>4.8219000000000003</v>
      </c>
      <c r="AZ169" s="596">
        <f>'[12]Forward Price Curve'!AD250</f>
        <v>4.8219000000000003</v>
      </c>
      <c r="BA169" s="629">
        <f t="shared" si="83"/>
        <v>2031</v>
      </c>
      <c r="BB169" s="633">
        <v>47880</v>
      </c>
      <c r="BC169" s="629">
        <f t="shared" si="71"/>
        <v>5.4569000000000001</v>
      </c>
      <c r="BD169" s="634">
        <f>[13]Prices!AO166</f>
        <v>5.6481000000000003</v>
      </c>
      <c r="BE169" s="634">
        <f>[13]Prices!AP166</f>
        <v>5.2656999999999998</v>
      </c>
    </row>
    <row r="170" spans="20:57">
      <c r="T170" s="4">
        <f t="shared" si="76"/>
        <v>2018</v>
      </c>
      <c r="U170" s="434">
        <f t="shared" si="85"/>
        <v>43435</v>
      </c>
      <c r="V170" s="150">
        <v>81.13</v>
      </c>
      <c r="W170" s="150">
        <v>62.88</v>
      </c>
      <c r="X170" s="357">
        <f t="shared" si="80"/>
        <v>73.282499999999999</v>
      </c>
      <c r="Y170" s="343">
        <v>400</v>
      </c>
      <c r="Z170" s="343">
        <v>344</v>
      </c>
      <c r="AA170" s="343">
        <f t="shared" si="77"/>
        <v>0.5376344086021505</v>
      </c>
      <c r="AB170" s="343">
        <f t="shared" si="78"/>
        <v>0.46236559139784944</v>
      </c>
      <c r="AF170" s="4">
        <f t="shared" si="81"/>
        <v>2018</v>
      </c>
      <c r="AG170" s="432">
        <f t="shared" si="84"/>
        <v>43435</v>
      </c>
      <c r="AH170" s="149">
        <f t="shared" si="79"/>
        <v>9.6785861881457311</v>
      </c>
      <c r="AI170" s="150">
        <v>9.6785861881457311</v>
      </c>
      <c r="AK170" s="4">
        <f t="shared" si="72"/>
        <v>2017</v>
      </c>
      <c r="AL170" s="432">
        <v>43039</v>
      </c>
      <c r="AM170" s="4">
        <f t="shared" si="73"/>
        <v>5.16</v>
      </c>
      <c r="AN170" s="4">
        <v>5.18</v>
      </c>
      <c r="AO170" s="4">
        <v>5.14</v>
      </c>
      <c r="AQ170" s="4">
        <f t="shared" si="74"/>
        <v>2021</v>
      </c>
      <c r="AR170" s="356">
        <v>44440</v>
      </c>
      <c r="AS170" s="4">
        <f t="shared" si="75"/>
        <v>11.265000000000001</v>
      </c>
      <c r="AT170" s="4">
        <v>11.37</v>
      </c>
      <c r="AU170" s="4">
        <v>11.16</v>
      </c>
      <c r="AV170" s="515">
        <f t="shared" si="82"/>
        <v>2028</v>
      </c>
      <c r="AW170" s="535">
        <v>46813</v>
      </c>
      <c r="AX170" s="515">
        <f t="shared" si="70"/>
        <v>4.6096000000000004</v>
      </c>
      <c r="AY170" s="596">
        <f>'[12]Forward Price Curve'!AE251</f>
        <v>4.6574999999999998</v>
      </c>
      <c r="AZ170" s="596">
        <f>'[12]Forward Price Curve'!AD251</f>
        <v>4.5617000000000001</v>
      </c>
      <c r="BA170" s="629">
        <f t="shared" si="83"/>
        <v>2031</v>
      </c>
      <c r="BB170" s="633">
        <v>47908</v>
      </c>
      <c r="BC170" s="629">
        <f t="shared" si="71"/>
        <v>5.2215500000000006</v>
      </c>
      <c r="BD170" s="634">
        <f>[13]Prices!AO167</f>
        <v>5.4127999999999998</v>
      </c>
      <c r="BE170" s="634">
        <f>[13]Prices!AP167</f>
        <v>5.0303000000000004</v>
      </c>
    </row>
    <row r="171" spans="20:57">
      <c r="T171" s="4">
        <f t="shared" si="76"/>
        <v>2019</v>
      </c>
      <c r="U171" s="434">
        <f t="shared" si="85"/>
        <v>43466</v>
      </c>
      <c r="V171" s="150">
        <v>92.72</v>
      </c>
      <c r="W171" s="150">
        <v>78.819999999999993</v>
      </c>
      <c r="X171" s="357">
        <f t="shared" si="80"/>
        <v>86.742999999999995</v>
      </c>
      <c r="Y171" s="343">
        <v>416</v>
      </c>
      <c r="Z171" s="343">
        <v>328</v>
      </c>
      <c r="AA171" s="343">
        <f t="shared" si="77"/>
        <v>0.55913978494623651</v>
      </c>
      <c r="AB171" s="343">
        <f t="shared" si="78"/>
        <v>0.44086021505376344</v>
      </c>
      <c r="AF171" s="4">
        <f t="shared" si="81"/>
        <v>2019</v>
      </c>
      <c r="AG171" s="432">
        <f t="shared" si="84"/>
        <v>43466</v>
      </c>
      <c r="AH171" s="149">
        <f t="shared" si="79"/>
        <v>11.004034801522566</v>
      </c>
      <c r="AI171" s="150">
        <v>11.004034801522566</v>
      </c>
      <c r="AK171" s="4">
        <f t="shared" si="72"/>
        <v>2017</v>
      </c>
      <c r="AL171" s="432">
        <v>43069</v>
      </c>
      <c r="AM171" s="4">
        <f t="shared" si="73"/>
        <v>5.24</v>
      </c>
      <c r="AN171" s="4">
        <v>5.26</v>
      </c>
      <c r="AO171" s="4">
        <v>5.22</v>
      </c>
      <c r="AQ171" s="4">
        <f t="shared" si="74"/>
        <v>2021</v>
      </c>
      <c r="AR171" s="356">
        <v>44470</v>
      </c>
      <c r="AS171" s="4">
        <f t="shared" si="75"/>
        <v>11.695</v>
      </c>
      <c r="AT171" s="4">
        <v>11.71</v>
      </c>
      <c r="AU171" s="4">
        <v>11.68</v>
      </c>
      <c r="AV171" s="515">
        <f t="shared" si="82"/>
        <v>2028</v>
      </c>
      <c r="AW171" s="535">
        <v>46844</v>
      </c>
      <c r="AX171" s="515">
        <f t="shared" si="70"/>
        <v>4.4589499999999997</v>
      </c>
      <c r="AY171" s="596">
        <f>'[12]Forward Price Curve'!AE252</f>
        <v>4.5068999999999999</v>
      </c>
      <c r="AZ171" s="596">
        <f>'[12]Forward Price Curve'!AD252</f>
        <v>4.4109999999999996</v>
      </c>
      <c r="BA171" s="629">
        <f t="shared" si="83"/>
        <v>2031</v>
      </c>
      <c r="BB171" s="633">
        <v>47939</v>
      </c>
      <c r="BC171" s="629">
        <f t="shared" si="71"/>
        <v>4.7876500000000002</v>
      </c>
      <c r="BD171" s="634">
        <f>[13]Prices!AO168</f>
        <v>4.9862000000000002</v>
      </c>
      <c r="BE171" s="634">
        <f>[13]Prices!AP168</f>
        <v>4.5891000000000002</v>
      </c>
    </row>
    <row r="172" spans="20:57">
      <c r="T172" s="4">
        <f t="shared" si="76"/>
        <v>2019</v>
      </c>
      <c r="U172" s="434">
        <f t="shared" si="85"/>
        <v>43497</v>
      </c>
      <c r="V172" s="150">
        <v>83.94</v>
      </c>
      <c r="W172" s="150">
        <v>72.39</v>
      </c>
      <c r="X172" s="357">
        <f t="shared" si="80"/>
        <v>78.973500000000001</v>
      </c>
      <c r="Y172" s="343">
        <v>384</v>
      </c>
      <c r="Z172" s="343">
        <v>288</v>
      </c>
      <c r="AA172" s="343">
        <f t="shared" si="77"/>
        <v>0.5714285714285714</v>
      </c>
      <c r="AB172" s="343">
        <f t="shared" si="78"/>
        <v>0.42857142857142855</v>
      </c>
      <c r="AF172" s="4">
        <f t="shared" si="81"/>
        <v>2019</v>
      </c>
      <c r="AG172" s="432">
        <f t="shared" si="84"/>
        <v>43497</v>
      </c>
      <c r="AH172" s="149">
        <f t="shared" si="79"/>
        <v>10.341310494834149</v>
      </c>
      <c r="AI172" s="150">
        <v>10.341310494834149</v>
      </c>
      <c r="AK172" s="4">
        <f t="shared" si="72"/>
        <v>2017</v>
      </c>
      <c r="AL172" s="432">
        <v>43100</v>
      </c>
      <c r="AM172" s="4">
        <f t="shared" si="73"/>
        <v>5.5</v>
      </c>
      <c r="AN172" s="4">
        <v>5.48</v>
      </c>
      <c r="AO172" s="4">
        <v>5.52</v>
      </c>
      <c r="AQ172" s="4">
        <f t="shared" si="74"/>
        <v>2021</v>
      </c>
      <c r="AR172" s="356">
        <v>44501</v>
      </c>
      <c r="AS172" s="4">
        <f t="shared" si="75"/>
        <v>11.865</v>
      </c>
      <c r="AT172" s="4">
        <v>11.88</v>
      </c>
      <c r="AU172" s="4">
        <v>11.85</v>
      </c>
      <c r="AV172" s="515">
        <f t="shared" si="82"/>
        <v>2028</v>
      </c>
      <c r="AW172" s="535">
        <v>46874</v>
      </c>
      <c r="AX172" s="515">
        <f t="shared" si="70"/>
        <v>4.3493499999999994</v>
      </c>
      <c r="AY172" s="596">
        <f>'[12]Forward Price Curve'!AE253</f>
        <v>4.4520999999999997</v>
      </c>
      <c r="AZ172" s="596">
        <f>'[12]Forward Price Curve'!AD253</f>
        <v>4.2465999999999999</v>
      </c>
      <c r="BA172" s="629">
        <f t="shared" si="83"/>
        <v>2031</v>
      </c>
      <c r="BB172" s="633">
        <v>47969</v>
      </c>
      <c r="BC172" s="629">
        <f t="shared" si="71"/>
        <v>4.8096999999999994</v>
      </c>
      <c r="BD172" s="634">
        <f>[13]Prices!AO169</f>
        <v>5.0008999999999997</v>
      </c>
      <c r="BE172" s="634">
        <f>[13]Prices!AP169</f>
        <v>4.6185</v>
      </c>
    </row>
    <row r="173" spans="20:57">
      <c r="T173" s="4">
        <f t="shared" si="76"/>
        <v>2019</v>
      </c>
      <c r="U173" s="434">
        <f t="shared" si="85"/>
        <v>43525</v>
      </c>
      <c r="V173" s="150">
        <v>77.650000000000006</v>
      </c>
      <c r="W173" s="150">
        <v>70.63</v>
      </c>
      <c r="X173" s="357">
        <f t="shared" si="80"/>
        <v>74.631399999999999</v>
      </c>
      <c r="Y173" s="343">
        <v>416</v>
      </c>
      <c r="Z173" s="343">
        <v>328</v>
      </c>
      <c r="AA173" s="343">
        <f t="shared" si="77"/>
        <v>0.55913978494623651</v>
      </c>
      <c r="AB173" s="343">
        <f t="shared" si="78"/>
        <v>0.44086021505376344</v>
      </c>
      <c r="AF173" s="4">
        <f t="shared" si="81"/>
        <v>2019</v>
      </c>
      <c r="AG173" s="432">
        <f t="shared" si="84"/>
        <v>43525</v>
      </c>
      <c r="AH173" s="149">
        <f t="shared" si="79"/>
        <v>9.7261663947797707</v>
      </c>
      <c r="AI173" s="150">
        <v>9.7261663947797707</v>
      </c>
      <c r="AK173" s="4">
        <f t="shared" si="72"/>
        <v>2018</v>
      </c>
      <c r="AL173" s="432">
        <v>43131</v>
      </c>
      <c r="AM173" s="4">
        <f t="shared" si="73"/>
        <v>6.1050000000000004</v>
      </c>
      <c r="AN173" s="4">
        <v>6.04</v>
      </c>
      <c r="AO173" s="4">
        <v>6.17</v>
      </c>
      <c r="AQ173" s="4">
        <f t="shared" si="74"/>
        <v>2021</v>
      </c>
      <c r="AR173" s="356">
        <v>44531</v>
      </c>
      <c r="AS173" s="4">
        <f t="shared" si="75"/>
        <v>12.455</v>
      </c>
      <c r="AT173" s="4">
        <v>12.38</v>
      </c>
      <c r="AU173" s="4">
        <v>12.53</v>
      </c>
      <c r="AV173" s="515">
        <f t="shared" si="82"/>
        <v>2028</v>
      </c>
      <c r="AW173" s="535">
        <v>46905</v>
      </c>
      <c r="AX173" s="515">
        <f t="shared" si="70"/>
        <v>4.3561999999999994</v>
      </c>
      <c r="AY173" s="596">
        <f>'[12]Forward Price Curve'!AE254</f>
        <v>4.4383999999999997</v>
      </c>
      <c r="AZ173" s="596">
        <f>'[12]Forward Price Curve'!AD254</f>
        <v>4.274</v>
      </c>
      <c r="BA173" s="629">
        <f t="shared" si="83"/>
        <v>2031</v>
      </c>
      <c r="BB173" s="633">
        <v>48000</v>
      </c>
      <c r="BC173" s="629">
        <f t="shared" si="71"/>
        <v>4.8317500000000004</v>
      </c>
      <c r="BD173" s="634">
        <f>[13]Prices!AO170</f>
        <v>5.0303000000000004</v>
      </c>
      <c r="BE173" s="634">
        <f>[13]Prices!AP170</f>
        <v>4.6332000000000004</v>
      </c>
    </row>
    <row r="174" spans="20:57">
      <c r="T174" s="4">
        <f t="shared" si="76"/>
        <v>2019</v>
      </c>
      <c r="U174" s="434">
        <f t="shared" si="85"/>
        <v>43556</v>
      </c>
      <c r="V174" s="150">
        <v>78.900000000000006</v>
      </c>
      <c r="W174" s="150">
        <v>68.09</v>
      </c>
      <c r="X174" s="357">
        <f t="shared" si="80"/>
        <v>74.2517</v>
      </c>
      <c r="Y174" s="343">
        <v>416</v>
      </c>
      <c r="Z174" s="343">
        <v>304</v>
      </c>
      <c r="AA174" s="343">
        <f t="shared" si="77"/>
        <v>0.57777777777777772</v>
      </c>
      <c r="AB174" s="343">
        <f t="shared" si="78"/>
        <v>0.42222222222222222</v>
      </c>
      <c r="AF174" s="4">
        <f t="shared" si="81"/>
        <v>2019</v>
      </c>
      <c r="AG174" s="432">
        <f t="shared" si="84"/>
        <v>43556</v>
      </c>
      <c r="AH174" s="149">
        <f t="shared" si="79"/>
        <v>9.2061827079934737</v>
      </c>
      <c r="AI174" s="150">
        <v>9.2061827079934737</v>
      </c>
      <c r="AK174" s="4">
        <f t="shared" si="72"/>
        <v>2018</v>
      </c>
      <c r="AL174" s="432">
        <v>43159</v>
      </c>
      <c r="AM174" s="4">
        <f t="shared" si="73"/>
        <v>5.68</v>
      </c>
      <c r="AN174" s="4">
        <v>5.66</v>
      </c>
      <c r="AO174" s="4">
        <v>5.7</v>
      </c>
      <c r="AQ174" s="4">
        <f t="shared" si="74"/>
        <v>2022</v>
      </c>
      <c r="AR174" s="356">
        <v>44562</v>
      </c>
      <c r="AS174" s="4">
        <f t="shared" si="75"/>
        <v>13.64</v>
      </c>
      <c r="AT174" s="4">
        <v>13.46</v>
      </c>
      <c r="AU174" s="4">
        <v>13.82</v>
      </c>
      <c r="AV174" s="515">
        <f t="shared" si="82"/>
        <v>2028</v>
      </c>
      <c r="AW174" s="535">
        <v>46935</v>
      </c>
      <c r="AX174" s="515">
        <f t="shared" si="70"/>
        <v>4.4109999999999996</v>
      </c>
      <c r="AY174" s="596">
        <f>'[12]Forward Price Curve'!AE255</f>
        <v>4.4931999999999999</v>
      </c>
      <c r="AZ174" s="596">
        <f>'[12]Forward Price Curve'!AD255</f>
        <v>4.3288000000000002</v>
      </c>
      <c r="BA174" s="629">
        <f t="shared" si="83"/>
        <v>2031</v>
      </c>
      <c r="BB174" s="633">
        <v>48030</v>
      </c>
      <c r="BC174" s="629">
        <f t="shared" si="71"/>
        <v>4.9935499999999999</v>
      </c>
      <c r="BD174" s="634">
        <f>[13]Prices!AO171</f>
        <v>5.1773999999999996</v>
      </c>
      <c r="BE174" s="634">
        <f>[13]Prices!AP171</f>
        <v>4.8097000000000003</v>
      </c>
    </row>
    <row r="175" spans="20:57">
      <c r="T175" s="4">
        <f t="shared" si="76"/>
        <v>2019</v>
      </c>
      <c r="U175" s="434">
        <f t="shared" si="85"/>
        <v>43586</v>
      </c>
      <c r="V175" s="150">
        <v>80.52</v>
      </c>
      <c r="W175" s="150">
        <v>64.7</v>
      </c>
      <c r="X175" s="357">
        <f t="shared" si="80"/>
        <v>73.717399999999998</v>
      </c>
      <c r="Y175" s="343">
        <v>416</v>
      </c>
      <c r="Z175" s="343">
        <v>328</v>
      </c>
      <c r="AA175" s="343">
        <f t="shared" si="77"/>
        <v>0.55913978494623651</v>
      </c>
      <c r="AB175" s="343">
        <f t="shared" si="78"/>
        <v>0.44086021505376344</v>
      </c>
      <c r="AF175" s="4">
        <f t="shared" si="81"/>
        <v>2019</v>
      </c>
      <c r="AG175" s="432">
        <f t="shared" si="84"/>
        <v>43586</v>
      </c>
      <c r="AH175" s="149">
        <f t="shared" si="79"/>
        <v>9.1110222947253927</v>
      </c>
      <c r="AI175" s="150">
        <v>9.1110222947253927</v>
      </c>
      <c r="AK175" s="4">
        <f t="shared" si="72"/>
        <v>2018</v>
      </c>
      <c r="AL175" s="432">
        <v>43190</v>
      </c>
      <c r="AM175" s="4">
        <f t="shared" si="73"/>
        <v>5.335</v>
      </c>
      <c r="AN175" s="4">
        <v>5.36</v>
      </c>
      <c r="AO175" s="4">
        <v>5.31</v>
      </c>
      <c r="AQ175" s="4">
        <f t="shared" si="74"/>
        <v>2022</v>
      </c>
      <c r="AR175" s="356">
        <v>44593</v>
      </c>
      <c r="AS175" s="4">
        <f t="shared" si="75"/>
        <v>12.69</v>
      </c>
      <c r="AT175" s="4">
        <v>12.61</v>
      </c>
      <c r="AU175" s="4">
        <v>12.77</v>
      </c>
      <c r="AV175" s="515">
        <f t="shared" si="82"/>
        <v>2028</v>
      </c>
      <c r="AW175" s="535">
        <v>46966</v>
      </c>
      <c r="AX175" s="515">
        <f t="shared" si="70"/>
        <v>4.5343</v>
      </c>
      <c r="AY175" s="596">
        <f>'[12]Forward Price Curve'!AE256</f>
        <v>4.5617000000000001</v>
      </c>
      <c r="AZ175" s="596">
        <f>'[12]Forward Price Curve'!AD256</f>
        <v>4.5068999999999999</v>
      </c>
      <c r="BA175" s="629">
        <f t="shared" si="83"/>
        <v>2031</v>
      </c>
      <c r="BB175" s="633">
        <v>48061</v>
      </c>
      <c r="BC175" s="629">
        <f t="shared" si="71"/>
        <v>5.0450499999999998</v>
      </c>
      <c r="BD175" s="634">
        <f>[13]Prices!AO172</f>
        <v>5.2215999999999996</v>
      </c>
      <c r="BE175" s="634">
        <f>[13]Prices!AP172</f>
        <v>4.8685</v>
      </c>
    </row>
    <row r="176" spans="20:57">
      <c r="T176" s="4">
        <f t="shared" si="76"/>
        <v>2019</v>
      </c>
      <c r="U176" s="434">
        <f t="shared" si="85"/>
        <v>43617</v>
      </c>
      <c r="V176" s="150">
        <v>84.14</v>
      </c>
      <c r="W176" s="150">
        <v>62.89</v>
      </c>
      <c r="X176" s="357">
        <f t="shared" si="80"/>
        <v>75.002499999999998</v>
      </c>
      <c r="Y176" s="343">
        <v>400</v>
      </c>
      <c r="Z176" s="343">
        <v>320</v>
      </c>
      <c r="AA176" s="343">
        <f t="shared" si="77"/>
        <v>0.55555555555555558</v>
      </c>
      <c r="AB176" s="343">
        <f t="shared" si="78"/>
        <v>0.44444444444444442</v>
      </c>
      <c r="AF176" s="4">
        <f t="shared" si="81"/>
        <v>2019</v>
      </c>
      <c r="AG176" s="432">
        <f t="shared" si="84"/>
        <v>43617</v>
      </c>
      <c r="AH176" s="149">
        <f t="shared" si="79"/>
        <v>9.2537629146275151</v>
      </c>
      <c r="AI176" s="150">
        <v>9.2537629146275151</v>
      </c>
      <c r="AK176" s="4">
        <f t="shared" si="72"/>
        <v>2018</v>
      </c>
      <c r="AL176" s="432">
        <v>43220</v>
      </c>
      <c r="AM176" s="4">
        <f t="shared" si="73"/>
        <v>4.9849999999999994</v>
      </c>
      <c r="AN176" s="4">
        <v>5.05</v>
      </c>
      <c r="AO176" s="4">
        <v>4.92</v>
      </c>
      <c r="AQ176" s="4">
        <f t="shared" si="74"/>
        <v>2022</v>
      </c>
      <c r="AR176" s="356">
        <v>44621</v>
      </c>
      <c r="AS176" s="4">
        <f t="shared" si="75"/>
        <v>11.914999999999999</v>
      </c>
      <c r="AT176" s="4">
        <v>11.93</v>
      </c>
      <c r="AU176" s="4">
        <v>11.9</v>
      </c>
      <c r="AV176" s="515">
        <f t="shared" si="82"/>
        <v>2028</v>
      </c>
      <c r="AW176" s="535">
        <v>46997</v>
      </c>
      <c r="AX176" s="515">
        <f t="shared" si="70"/>
        <v>4.5343</v>
      </c>
      <c r="AY176" s="596">
        <f>'[12]Forward Price Curve'!AE257</f>
        <v>4.548</v>
      </c>
      <c r="AZ176" s="596">
        <f>'[12]Forward Price Curve'!AD257</f>
        <v>4.5206</v>
      </c>
      <c r="BA176" s="629">
        <f t="shared" si="83"/>
        <v>2031</v>
      </c>
      <c r="BB176" s="633">
        <v>48092</v>
      </c>
      <c r="BC176" s="629">
        <f t="shared" si="71"/>
        <v>4.9935999999999998</v>
      </c>
      <c r="BD176" s="634">
        <f>[13]Prices!AO173</f>
        <v>5.2215999999999996</v>
      </c>
      <c r="BE176" s="634">
        <f>[13]Prices!AP173</f>
        <v>4.7656000000000001</v>
      </c>
    </row>
    <row r="177" spans="20:57">
      <c r="T177" s="4">
        <f t="shared" si="76"/>
        <v>2019</v>
      </c>
      <c r="U177" s="434">
        <f t="shared" si="85"/>
        <v>43647</v>
      </c>
      <c r="V177" s="150">
        <v>85.02</v>
      </c>
      <c r="W177" s="150">
        <v>71.39</v>
      </c>
      <c r="X177" s="357">
        <f t="shared" si="80"/>
        <v>79.159099999999995</v>
      </c>
      <c r="Y177" s="343">
        <v>416</v>
      </c>
      <c r="Z177" s="343">
        <v>328</v>
      </c>
      <c r="AA177" s="343">
        <f t="shared" si="77"/>
        <v>0.55913978494623651</v>
      </c>
      <c r="AB177" s="343">
        <f t="shared" si="78"/>
        <v>0.44086021505376344</v>
      </c>
      <c r="AF177" s="4">
        <f t="shared" si="81"/>
        <v>2019</v>
      </c>
      <c r="AG177" s="432">
        <f t="shared" si="84"/>
        <v>43647</v>
      </c>
      <c r="AH177" s="149">
        <f t="shared" si="79"/>
        <v>9.3965035345296339</v>
      </c>
      <c r="AI177" s="150">
        <v>9.3965035345296339</v>
      </c>
      <c r="AK177" s="4">
        <f t="shared" si="72"/>
        <v>2018</v>
      </c>
      <c r="AL177" s="432">
        <v>43251</v>
      </c>
      <c r="AM177" s="4">
        <f t="shared" si="73"/>
        <v>4.9849999999999994</v>
      </c>
      <c r="AN177" s="4">
        <v>5.05</v>
      </c>
      <c r="AO177" s="4">
        <v>4.92</v>
      </c>
      <c r="AQ177" s="4">
        <f t="shared" si="74"/>
        <v>2022</v>
      </c>
      <c r="AR177" s="356">
        <v>44652</v>
      </c>
      <c r="AS177" s="4">
        <f t="shared" si="75"/>
        <v>11.135</v>
      </c>
      <c r="AT177" s="4">
        <v>11.25</v>
      </c>
      <c r="AU177" s="4">
        <v>11.02</v>
      </c>
      <c r="AV177" s="515">
        <f t="shared" si="82"/>
        <v>2028</v>
      </c>
      <c r="AW177" s="535">
        <v>47027</v>
      </c>
      <c r="AX177" s="515">
        <f t="shared" si="70"/>
        <v>4.6027500000000003</v>
      </c>
      <c r="AY177" s="596">
        <f>'[12]Forward Price Curve'!AE258</f>
        <v>4.6163999999999996</v>
      </c>
      <c r="AZ177" s="596">
        <f>'[12]Forward Price Curve'!AD258</f>
        <v>4.5891000000000002</v>
      </c>
      <c r="BA177" s="629">
        <f t="shared" si="83"/>
        <v>2031</v>
      </c>
      <c r="BB177" s="633">
        <v>48122</v>
      </c>
      <c r="BC177" s="629">
        <f t="shared" si="71"/>
        <v>5.0524000000000004</v>
      </c>
      <c r="BD177" s="634">
        <f>[13]Prices!AO174</f>
        <v>5.2804000000000002</v>
      </c>
      <c r="BE177" s="634">
        <f>[13]Prices!AP174</f>
        <v>4.8243999999999998</v>
      </c>
    </row>
    <row r="178" spans="20:57">
      <c r="T178" s="4">
        <f t="shared" si="76"/>
        <v>2019</v>
      </c>
      <c r="U178" s="434">
        <f t="shared" si="85"/>
        <v>43678</v>
      </c>
      <c r="V178" s="150">
        <v>96.57</v>
      </c>
      <c r="W178" s="150">
        <v>73.39</v>
      </c>
      <c r="X178" s="357">
        <f t="shared" si="80"/>
        <v>86.602599999999995</v>
      </c>
      <c r="Y178" s="343">
        <v>432</v>
      </c>
      <c r="Z178" s="343">
        <v>312</v>
      </c>
      <c r="AA178" s="343">
        <f t="shared" si="77"/>
        <v>0.58064516129032262</v>
      </c>
      <c r="AB178" s="343">
        <f t="shared" si="78"/>
        <v>0.41935483870967744</v>
      </c>
      <c r="AF178" s="4">
        <f t="shared" si="81"/>
        <v>2019</v>
      </c>
      <c r="AG178" s="432">
        <f t="shared" si="84"/>
        <v>43678</v>
      </c>
      <c r="AH178" s="149">
        <f t="shared" si="79"/>
        <v>9.3965035345296339</v>
      </c>
      <c r="AI178" s="150">
        <v>9.3965035345296339</v>
      </c>
      <c r="AK178" s="4">
        <f t="shared" si="72"/>
        <v>2018</v>
      </c>
      <c r="AL178" s="432">
        <v>43281</v>
      </c>
      <c r="AM178" s="4">
        <f t="shared" si="73"/>
        <v>5.0649999999999995</v>
      </c>
      <c r="AN178" s="4">
        <v>5.13</v>
      </c>
      <c r="AO178" s="4">
        <v>5</v>
      </c>
      <c r="AQ178" s="4">
        <f t="shared" si="74"/>
        <v>2022</v>
      </c>
      <c r="AR178" s="356">
        <v>44682</v>
      </c>
      <c r="AS178" s="4">
        <f t="shared" si="75"/>
        <v>11.135</v>
      </c>
      <c r="AT178" s="4">
        <v>11.25</v>
      </c>
      <c r="AU178" s="4">
        <v>11.02</v>
      </c>
      <c r="AV178" s="515">
        <f t="shared" si="82"/>
        <v>2028</v>
      </c>
      <c r="AW178" s="535">
        <v>47058</v>
      </c>
      <c r="AX178" s="515">
        <f t="shared" si="70"/>
        <v>4.8356000000000003</v>
      </c>
      <c r="AY178" s="596">
        <f>'[12]Forward Price Curve'!AE259</f>
        <v>4.8356000000000003</v>
      </c>
      <c r="AZ178" s="596">
        <f>'[12]Forward Price Curve'!AD259</f>
        <v>4.8356000000000003</v>
      </c>
      <c r="BA178" s="629">
        <f t="shared" si="83"/>
        <v>2031</v>
      </c>
      <c r="BB178" s="633">
        <v>48153</v>
      </c>
      <c r="BC178" s="629">
        <f t="shared" si="71"/>
        <v>5.2435999999999998</v>
      </c>
      <c r="BD178" s="634">
        <f>[13]Prices!AO175</f>
        <v>5.4863</v>
      </c>
      <c r="BE178" s="634">
        <f>[13]Prices!AP175</f>
        <v>5.0008999999999997</v>
      </c>
    </row>
    <row r="179" spans="20:57">
      <c r="T179" s="4">
        <f t="shared" si="76"/>
        <v>2019</v>
      </c>
      <c r="U179" s="434">
        <f t="shared" si="85"/>
        <v>43709</v>
      </c>
      <c r="V179" s="150">
        <v>84.98</v>
      </c>
      <c r="W179" s="150">
        <v>71.78</v>
      </c>
      <c r="X179" s="357">
        <f t="shared" si="80"/>
        <v>79.304000000000002</v>
      </c>
      <c r="Y179" s="343">
        <v>384</v>
      </c>
      <c r="Z179" s="343">
        <v>336</v>
      </c>
      <c r="AA179" s="343">
        <f t="shared" si="77"/>
        <v>0.53333333333333333</v>
      </c>
      <c r="AB179" s="343">
        <f t="shared" si="78"/>
        <v>0.46666666666666667</v>
      </c>
      <c r="AF179" s="4">
        <f t="shared" si="81"/>
        <v>2019</v>
      </c>
      <c r="AG179" s="432">
        <f t="shared" si="84"/>
        <v>43709</v>
      </c>
      <c r="AH179" s="149">
        <f t="shared" si="79"/>
        <v>9.3965035345296339</v>
      </c>
      <c r="AI179" s="150">
        <v>9.3965035345296339</v>
      </c>
      <c r="AK179" s="4">
        <f t="shared" si="72"/>
        <v>2018</v>
      </c>
      <c r="AL179" s="432">
        <v>43312</v>
      </c>
      <c r="AM179" s="4">
        <f t="shared" si="73"/>
        <v>5.1400000000000006</v>
      </c>
      <c r="AN179" s="4">
        <v>5.2</v>
      </c>
      <c r="AO179" s="4">
        <v>5.08</v>
      </c>
      <c r="AQ179" s="4">
        <f t="shared" si="74"/>
        <v>2022</v>
      </c>
      <c r="AR179" s="356">
        <v>44713</v>
      </c>
      <c r="AS179" s="4">
        <f t="shared" si="75"/>
        <v>11.309999999999999</v>
      </c>
      <c r="AT179" s="4">
        <v>11.42</v>
      </c>
      <c r="AU179" s="4">
        <v>11.2</v>
      </c>
      <c r="AV179" s="515">
        <f t="shared" si="82"/>
        <v>2028</v>
      </c>
      <c r="AW179" s="535">
        <v>47088</v>
      </c>
      <c r="AX179" s="515">
        <f t="shared" si="70"/>
        <v>5.0616500000000002</v>
      </c>
      <c r="AY179" s="596">
        <f>'[12]Forward Price Curve'!AE260</f>
        <v>5.0548000000000002</v>
      </c>
      <c r="AZ179" s="596">
        <f>'[12]Forward Price Curve'!AD260</f>
        <v>5.0685000000000002</v>
      </c>
      <c r="BA179" s="629">
        <f t="shared" si="83"/>
        <v>2031</v>
      </c>
      <c r="BB179" s="633">
        <v>48183</v>
      </c>
      <c r="BC179" s="629">
        <f t="shared" si="71"/>
        <v>5.5892999999999997</v>
      </c>
      <c r="BD179" s="634">
        <f>[13]Prices!AO176</f>
        <v>5.7805</v>
      </c>
      <c r="BE179" s="634">
        <f>[13]Prices!AP176</f>
        <v>5.3981000000000003</v>
      </c>
    </row>
    <row r="180" spans="20:57">
      <c r="T180" s="4">
        <f t="shared" si="76"/>
        <v>2019</v>
      </c>
      <c r="U180" s="434">
        <f t="shared" si="85"/>
        <v>43739</v>
      </c>
      <c r="V180" s="150">
        <v>81.56</v>
      </c>
      <c r="W180" s="150">
        <v>73.36</v>
      </c>
      <c r="X180" s="357">
        <f t="shared" si="80"/>
        <v>78.033999999999992</v>
      </c>
      <c r="Y180" s="343">
        <v>432</v>
      </c>
      <c r="Z180" s="343">
        <v>312</v>
      </c>
      <c r="AA180" s="343">
        <f t="shared" si="77"/>
        <v>0.58064516129032262</v>
      </c>
      <c r="AB180" s="343">
        <f t="shared" si="78"/>
        <v>0.41935483870967744</v>
      </c>
      <c r="AF180" s="4">
        <f t="shared" si="81"/>
        <v>2019</v>
      </c>
      <c r="AG180" s="432">
        <f t="shared" si="84"/>
        <v>43739</v>
      </c>
      <c r="AH180" s="149">
        <f t="shared" si="79"/>
        <v>9.7261663947797707</v>
      </c>
      <c r="AI180" s="150">
        <v>9.7261663947797707</v>
      </c>
      <c r="AK180" s="4">
        <f t="shared" si="72"/>
        <v>2018</v>
      </c>
      <c r="AL180" s="432">
        <v>43343</v>
      </c>
      <c r="AM180" s="4">
        <f t="shared" si="73"/>
        <v>5.1400000000000006</v>
      </c>
      <c r="AN180" s="4">
        <v>5.2</v>
      </c>
      <c r="AO180" s="4">
        <v>5.08</v>
      </c>
      <c r="AQ180" s="4">
        <f t="shared" si="74"/>
        <v>2022</v>
      </c>
      <c r="AR180" s="356">
        <v>44743</v>
      </c>
      <c r="AS180" s="4">
        <f t="shared" si="75"/>
        <v>11.48</v>
      </c>
      <c r="AT180" s="4">
        <v>11.59</v>
      </c>
      <c r="AU180" s="4">
        <v>11.37</v>
      </c>
      <c r="AV180" s="515">
        <f t="shared" si="82"/>
        <v>2029</v>
      </c>
      <c r="AW180" s="535">
        <v>47119</v>
      </c>
      <c r="AX180" s="515">
        <f t="shared" si="70"/>
        <v>5.1379999999999999</v>
      </c>
      <c r="AY180" s="596">
        <f>'[12]Forward Price Curve'!AE261</f>
        <v>5.1239999999999997</v>
      </c>
      <c r="AZ180" s="596">
        <f>'[12]Forward Price Curve'!AD261</f>
        <v>5.1520000000000001</v>
      </c>
      <c r="BA180" s="629">
        <f t="shared" si="83"/>
        <v>2032</v>
      </c>
      <c r="BB180" s="633">
        <v>48214</v>
      </c>
      <c r="BC180" s="629">
        <f t="shared" si="71"/>
        <v>5.6124999999999998</v>
      </c>
      <c r="BD180" s="634">
        <f>[13]Prices!AO177</f>
        <v>5.8381999999999996</v>
      </c>
      <c r="BE180" s="634">
        <f>[13]Prices!AP177</f>
        <v>5.3868</v>
      </c>
    </row>
    <row r="181" spans="20:57">
      <c r="T181" s="4">
        <f t="shared" si="76"/>
        <v>2019</v>
      </c>
      <c r="U181" s="434">
        <f t="shared" si="85"/>
        <v>43770</v>
      </c>
      <c r="V181" s="150">
        <v>84.97</v>
      </c>
      <c r="W181" s="150">
        <v>57.39</v>
      </c>
      <c r="X181" s="357">
        <f t="shared" si="80"/>
        <v>73.110600000000005</v>
      </c>
      <c r="Y181" s="343">
        <v>400</v>
      </c>
      <c r="Z181" s="343">
        <v>320</v>
      </c>
      <c r="AA181" s="343">
        <f t="shared" si="77"/>
        <v>0.55555555555555558</v>
      </c>
      <c r="AB181" s="343">
        <f t="shared" si="78"/>
        <v>0.44444444444444442</v>
      </c>
      <c r="AF181" s="4">
        <f t="shared" si="81"/>
        <v>2019</v>
      </c>
      <c r="AG181" s="432">
        <f t="shared" si="84"/>
        <v>43770</v>
      </c>
      <c r="AH181" s="149">
        <f t="shared" si="79"/>
        <v>9.8689070146818896</v>
      </c>
      <c r="AI181" s="150">
        <v>9.8689070146818896</v>
      </c>
      <c r="AK181" s="4">
        <f t="shared" si="72"/>
        <v>2018</v>
      </c>
      <c r="AL181" s="432">
        <v>43373</v>
      </c>
      <c r="AM181" s="4">
        <f t="shared" si="73"/>
        <v>5.1400000000000006</v>
      </c>
      <c r="AN181" s="4">
        <v>5.2</v>
      </c>
      <c r="AO181" s="4">
        <v>5.08</v>
      </c>
      <c r="AQ181" s="4">
        <f t="shared" si="74"/>
        <v>2022</v>
      </c>
      <c r="AR181" s="356">
        <v>44774</v>
      </c>
      <c r="AS181" s="4">
        <f t="shared" si="75"/>
        <v>11.48</v>
      </c>
      <c r="AT181" s="4">
        <v>11.59</v>
      </c>
      <c r="AU181" s="4">
        <v>11.37</v>
      </c>
      <c r="AV181" s="515">
        <f t="shared" si="82"/>
        <v>2029</v>
      </c>
      <c r="AW181" s="535">
        <v>47150</v>
      </c>
      <c r="AX181" s="515">
        <f t="shared" si="70"/>
        <v>5.173</v>
      </c>
      <c r="AY181" s="596">
        <f>'[12]Forward Price Curve'!AE262</f>
        <v>5.1660000000000004</v>
      </c>
      <c r="AZ181" s="596">
        <f>'[12]Forward Price Curve'!AD262</f>
        <v>5.18</v>
      </c>
      <c r="BA181" s="629">
        <f t="shared" si="83"/>
        <v>2032</v>
      </c>
      <c r="BB181" s="633">
        <v>48245</v>
      </c>
      <c r="BC181" s="629">
        <f t="shared" si="71"/>
        <v>5.6275499999999994</v>
      </c>
      <c r="BD181" s="634">
        <f>[13]Prices!AO178</f>
        <v>5.8682999999999996</v>
      </c>
      <c r="BE181" s="634">
        <f>[13]Prices!AP178</f>
        <v>5.3868</v>
      </c>
    </row>
    <row r="182" spans="20:57">
      <c r="T182" s="4">
        <f t="shared" si="76"/>
        <v>2019</v>
      </c>
      <c r="U182" s="434">
        <f t="shared" si="85"/>
        <v>43800</v>
      </c>
      <c r="V182" s="150">
        <v>87.56</v>
      </c>
      <c r="W182" s="150">
        <v>64.66</v>
      </c>
      <c r="X182" s="357">
        <f t="shared" si="80"/>
        <v>77.712999999999994</v>
      </c>
      <c r="Y182" s="343">
        <v>400</v>
      </c>
      <c r="Z182" s="343">
        <v>344</v>
      </c>
      <c r="AA182" s="343">
        <f t="shared" si="77"/>
        <v>0.5376344086021505</v>
      </c>
      <c r="AB182" s="343">
        <f t="shared" si="78"/>
        <v>0.46236559139784944</v>
      </c>
      <c r="AF182" s="4">
        <f t="shared" si="81"/>
        <v>2019</v>
      </c>
      <c r="AG182" s="432">
        <f t="shared" si="84"/>
        <v>43800</v>
      </c>
      <c r="AH182" s="149">
        <f t="shared" si="79"/>
        <v>10.341310494834149</v>
      </c>
      <c r="AI182" s="150">
        <v>10.341310494834149</v>
      </c>
      <c r="AK182" s="4">
        <f t="shared" si="72"/>
        <v>2018</v>
      </c>
      <c r="AL182" s="432">
        <v>43404</v>
      </c>
      <c r="AM182" s="4">
        <f t="shared" si="73"/>
        <v>5.335</v>
      </c>
      <c r="AN182" s="4">
        <v>5.36</v>
      </c>
      <c r="AO182" s="4">
        <v>5.31</v>
      </c>
      <c r="AQ182" s="4">
        <f t="shared" si="74"/>
        <v>2022</v>
      </c>
      <c r="AR182" s="356">
        <v>44805</v>
      </c>
      <c r="AS182" s="4">
        <f t="shared" si="75"/>
        <v>11.48</v>
      </c>
      <c r="AT182" s="4">
        <v>11.59</v>
      </c>
      <c r="AU182" s="4">
        <v>11.37</v>
      </c>
      <c r="AV182" s="515">
        <f t="shared" si="82"/>
        <v>2029</v>
      </c>
      <c r="AW182" s="535">
        <v>47178</v>
      </c>
      <c r="AX182" s="515">
        <f t="shared" si="70"/>
        <v>4.9560000000000004</v>
      </c>
      <c r="AY182" s="596">
        <f>'[12]Forward Price Curve'!AE263</f>
        <v>4.9560000000000004</v>
      </c>
      <c r="AZ182" s="596">
        <f>'[12]Forward Price Curve'!AD263</f>
        <v>4.9560000000000004</v>
      </c>
      <c r="BA182" s="629">
        <f t="shared" si="83"/>
        <v>2032</v>
      </c>
      <c r="BB182" s="633">
        <v>48274</v>
      </c>
      <c r="BC182" s="629">
        <f t="shared" si="71"/>
        <v>5.4846000000000004</v>
      </c>
      <c r="BD182" s="634">
        <f>[13]Prices!AO179</f>
        <v>5.7178000000000004</v>
      </c>
      <c r="BE182" s="634">
        <f>[13]Prices!AP179</f>
        <v>5.2514000000000003</v>
      </c>
    </row>
    <row r="183" spans="20:57">
      <c r="T183" s="4">
        <f t="shared" si="76"/>
        <v>2020</v>
      </c>
      <c r="U183" s="434">
        <f t="shared" si="85"/>
        <v>43831</v>
      </c>
      <c r="V183" s="150">
        <v>96.21</v>
      </c>
      <c r="W183" s="150">
        <v>82.28</v>
      </c>
      <c r="X183" s="357">
        <f t="shared" si="80"/>
        <v>90.220100000000002</v>
      </c>
      <c r="Y183" s="343">
        <v>416</v>
      </c>
      <c r="Z183" s="343">
        <v>328</v>
      </c>
      <c r="AA183" s="343">
        <f t="shared" si="77"/>
        <v>0.55913978494623651</v>
      </c>
      <c r="AB183" s="343">
        <f t="shared" si="78"/>
        <v>0.44086021505376344</v>
      </c>
      <c r="AF183" s="4">
        <f t="shared" si="81"/>
        <v>2020</v>
      </c>
      <c r="AG183" s="432">
        <f t="shared" si="84"/>
        <v>43831</v>
      </c>
      <c r="AH183" s="149">
        <f t="shared" si="79"/>
        <v>11.428858075040782</v>
      </c>
      <c r="AI183" s="150">
        <v>11.428858075040782</v>
      </c>
      <c r="AK183" s="4">
        <f t="shared" si="72"/>
        <v>2018</v>
      </c>
      <c r="AL183" s="432">
        <v>43434</v>
      </c>
      <c r="AM183" s="4">
        <f t="shared" si="73"/>
        <v>5.41</v>
      </c>
      <c r="AN183" s="4">
        <v>5.43</v>
      </c>
      <c r="AO183" s="4">
        <v>5.39</v>
      </c>
      <c r="AQ183" s="4">
        <f t="shared" si="74"/>
        <v>2022</v>
      </c>
      <c r="AR183" s="356">
        <v>44835</v>
      </c>
      <c r="AS183" s="4">
        <f t="shared" si="75"/>
        <v>11.914999999999999</v>
      </c>
      <c r="AT183" s="4">
        <v>11.93</v>
      </c>
      <c r="AU183" s="4">
        <v>11.9</v>
      </c>
      <c r="AV183" s="515">
        <f t="shared" si="82"/>
        <v>2029</v>
      </c>
      <c r="AW183" s="535">
        <v>47209</v>
      </c>
      <c r="AX183" s="515">
        <f t="shared" si="70"/>
        <v>4.7110000000000003</v>
      </c>
      <c r="AY183" s="596">
        <f>'[12]Forward Price Curve'!AE264</f>
        <v>4.7460000000000004</v>
      </c>
      <c r="AZ183" s="596">
        <f>'[12]Forward Price Curve'!AD264</f>
        <v>4.6760000000000002</v>
      </c>
      <c r="BA183" s="629">
        <f t="shared" si="83"/>
        <v>2032</v>
      </c>
      <c r="BB183" s="633">
        <v>48305</v>
      </c>
      <c r="BC183" s="629">
        <f t="shared" si="71"/>
        <v>5.0783500000000004</v>
      </c>
      <c r="BD183" s="634">
        <f>[13]Prices!AO180</f>
        <v>5.2815000000000003</v>
      </c>
      <c r="BE183" s="634">
        <f>[13]Prices!AP180</f>
        <v>4.8752000000000004</v>
      </c>
    </row>
    <row r="184" spans="20:57">
      <c r="T184" s="4">
        <f t="shared" si="76"/>
        <v>2020</v>
      </c>
      <c r="U184" s="434">
        <f t="shared" si="85"/>
        <v>43862</v>
      </c>
      <c r="V184" s="150">
        <v>93.39</v>
      </c>
      <c r="W184" s="150">
        <v>79.709999999999994</v>
      </c>
      <c r="X184" s="357">
        <f t="shared" si="80"/>
        <v>87.507599999999996</v>
      </c>
      <c r="Y184" s="343">
        <v>400</v>
      </c>
      <c r="Z184" s="343">
        <v>296</v>
      </c>
      <c r="AA184" s="343">
        <f t="shared" si="77"/>
        <v>0.57471264367816088</v>
      </c>
      <c r="AB184" s="343">
        <f t="shared" si="78"/>
        <v>0.42528735632183906</v>
      </c>
      <c r="AF184" s="4">
        <f t="shared" si="81"/>
        <v>2020</v>
      </c>
      <c r="AG184" s="432">
        <f t="shared" si="84"/>
        <v>43862</v>
      </c>
      <c r="AH184" s="149">
        <f t="shared" si="79"/>
        <v>10.742343665035344</v>
      </c>
      <c r="AI184" s="150">
        <v>10.742343665035344</v>
      </c>
      <c r="AK184" s="4">
        <f t="shared" si="72"/>
        <v>2018</v>
      </c>
      <c r="AL184" s="432">
        <v>43465</v>
      </c>
      <c r="AM184" s="4">
        <f t="shared" si="73"/>
        <v>5.68</v>
      </c>
      <c r="AN184" s="4">
        <v>5.66</v>
      </c>
      <c r="AO184" s="4">
        <v>5.7</v>
      </c>
      <c r="AQ184" s="4">
        <f t="shared" si="74"/>
        <v>2022</v>
      </c>
      <c r="AR184" s="356">
        <v>44866</v>
      </c>
      <c r="AS184" s="4">
        <f t="shared" si="75"/>
        <v>12.085000000000001</v>
      </c>
      <c r="AT184" s="4">
        <v>12.1</v>
      </c>
      <c r="AU184" s="4">
        <v>12.07</v>
      </c>
      <c r="AV184" s="515">
        <f t="shared" si="82"/>
        <v>2029</v>
      </c>
      <c r="AW184" s="535">
        <v>47239</v>
      </c>
      <c r="AX184" s="515">
        <f t="shared" si="70"/>
        <v>4.452</v>
      </c>
      <c r="AY184" s="596">
        <f>'[12]Forward Price Curve'!AE265</f>
        <v>4.55</v>
      </c>
      <c r="AZ184" s="596">
        <f>'[12]Forward Price Curve'!AD265</f>
        <v>4.3540000000000001</v>
      </c>
      <c r="BA184" s="629">
        <f t="shared" si="83"/>
        <v>2032</v>
      </c>
      <c r="BB184" s="633">
        <v>48335</v>
      </c>
      <c r="BC184" s="629">
        <f t="shared" si="71"/>
        <v>5.1009000000000002</v>
      </c>
      <c r="BD184" s="634">
        <f>[13]Prices!AO181</f>
        <v>5.2965</v>
      </c>
      <c r="BE184" s="634">
        <f>[13]Prices!AP181</f>
        <v>4.9053000000000004</v>
      </c>
    </row>
    <row r="185" spans="20:57">
      <c r="T185" s="4">
        <f t="shared" si="76"/>
        <v>2020</v>
      </c>
      <c r="U185" s="434">
        <f t="shared" si="85"/>
        <v>43891</v>
      </c>
      <c r="V185" s="150">
        <v>81.08</v>
      </c>
      <c r="W185" s="150">
        <v>73.84</v>
      </c>
      <c r="X185" s="357">
        <f t="shared" si="80"/>
        <v>77.966799999999992</v>
      </c>
      <c r="Y185" s="343">
        <v>416</v>
      </c>
      <c r="Z185" s="343">
        <v>328</v>
      </c>
      <c r="AA185" s="343">
        <f t="shared" si="77"/>
        <v>0.55913978494623651</v>
      </c>
      <c r="AB185" s="343">
        <f t="shared" si="78"/>
        <v>0.44086021505376344</v>
      </c>
      <c r="AF185" s="4">
        <f t="shared" si="81"/>
        <v>2020</v>
      </c>
      <c r="AG185" s="432">
        <f t="shared" si="84"/>
        <v>43891</v>
      </c>
      <c r="AH185" s="149">
        <f t="shared" si="79"/>
        <v>10.103409461663947</v>
      </c>
      <c r="AI185" s="150">
        <v>10.103409461663947</v>
      </c>
      <c r="AK185" s="4">
        <f t="shared" si="72"/>
        <v>2019</v>
      </c>
      <c r="AL185" s="432">
        <v>43496</v>
      </c>
      <c r="AM185" s="4">
        <f t="shared" si="73"/>
        <v>6.3149999999999995</v>
      </c>
      <c r="AN185" s="4">
        <v>6.25</v>
      </c>
      <c r="AO185" s="4">
        <v>6.38</v>
      </c>
      <c r="AQ185" s="4">
        <f t="shared" si="74"/>
        <v>2022</v>
      </c>
      <c r="AR185" s="356">
        <v>44896</v>
      </c>
      <c r="AS185" s="4">
        <f t="shared" si="75"/>
        <v>12.69</v>
      </c>
      <c r="AT185" s="4">
        <v>12.61</v>
      </c>
      <c r="AU185" s="4">
        <v>12.77</v>
      </c>
      <c r="AV185" s="515">
        <f t="shared" si="82"/>
        <v>2029</v>
      </c>
      <c r="AW185" s="535">
        <v>47270</v>
      </c>
      <c r="AX185" s="515">
        <f t="shared" si="70"/>
        <v>4.4659999999999993</v>
      </c>
      <c r="AY185" s="596">
        <f>'[12]Forward Price Curve'!AE266</f>
        <v>4.55</v>
      </c>
      <c r="AZ185" s="596">
        <f>'[12]Forward Price Curve'!AD266</f>
        <v>4.3819999999999997</v>
      </c>
      <c r="BA185" s="629">
        <f t="shared" si="83"/>
        <v>2032</v>
      </c>
      <c r="BB185" s="633">
        <v>48366</v>
      </c>
      <c r="BC185" s="629">
        <f t="shared" si="71"/>
        <v>5.1685999999999996</v>
      </c>
      <c r="BD185" s="634">
        <f>[13]Prices!AO182</f>
        <v>5.3567</v>
      </c>
      <c r="BE185" s="634">
        <f>[13]Prices!AP182</f>
        <v>4.9805000000000001</v>
      </c>
    </row>
    <row r="186" spans="20:57">
      <c r="T186" s="4">
        <f t="shared" si="76"/>
        <v>2020</v>
      </c>
      <c r="U186" s="434">
        <f t="shared" si="85"/>
        <v>43922</v>
      </c>
      <c r="V186" s="150">
        <v>79.58</v>
      </c>
      <c r="W186" s="150">
        <v>70.930000000000007</v>
      </c>
      <c r="X186" s="357">
        <f t="shared" si="80"/>
        <v>75.860500000000002</v>
      </c>
      <c r="Y186" s="343">
        <v>416</v>
      </c>
      <c r="Z186" s="343">
        <v>304</v>
      </c>
      <c r="AA186" s="343">
        <f t="shared" si="77"/>
        <v>0.57777777777777772</v>
      </c>
      <c r="AB186" s="343">
        <f t="shared" si="78"/>
        <v>0.42222222222222222</v>
      </c>
      <c r="AF186" s="4">
        <f t="shared" si="81"/>
        <v>2020</v>
      </c>
      <c r="AG186" s="432">
        <f t="shared" si="84"/>
        <v>43922</v>
      </c>
      <c r="AH186" s="149">
        <f t="shared" si="79"/>
        <v>9.5630342577487752</v>
      </c>
      <c r="AI186" s="150">
        <v>9.5630342577487752</v>
      </c>
      <c r="AK186" s="4">
        <f t="shared" si="72"/>
        <v>2019</v>
      </c>
      <c r="AL186" s="432">
        <v>43524</v>
      </c>
      <c r="AM186" s="4">
        <f t="shared" si="73"/>
        <v>5.875</v>
      </c>
      <c r="AN186" s="4">
        <v>5.85</v>
      </c>
      <c r="AO186" s="4">
        <v>5.9</v>
      </c>
      <c r="AQ186" s="4">
        <f t="shared" si="74"/>
        <v>2023</v>
      </c>
      <c r="AR186" s="356">
        <v>44927</v>
      </c>
      <c r="AS186" s="4">
        <f t="shared" si="75"/>
        <v>13.9</v>
      </c>
      <c r="AT186" s="4">
        <v>13.72</v>
      </c>
      <c r="AU186" s="4">
        <v>14.08</v>
      </c>
      <c r="AV186" s="515">
        <f t="shared" si="82"/>
        <v>2029</v>
      </c>
      <c r="AW186" s="535">
        <v>47300</v>
      </c>
      <c r="AX186" s="515">
        <f t="shared" si="70"/>
        <v>4.4589999999999996</v>
      </c>
      <c r="AY186" s="596">
        <f>'[12]Forward Price Curve'!AE267</f>
        <v>4.5220000000000002</v>
      </c>
      <c r="AZ186" s="596">
        <f>'[12]Forward Price Curve'!AD267</f>
        <v>4.3959999999999999</v>
      </c>
      <c r="BA186" s="629">
        <f t="shared" si="83"/>
        <v>2032</v>
      </c>
      <c r="BB186" s="633">
        <v>48396</v>
      </c>
      <c r="BC186" s="629">
        <f t="shared" si="71"/>
        <v>5.3717500000000005</v>
      </c>
      <c r="BD186" s="634">
        <f>[13]Prices!AO183</f>
        <v>5.5522999999999998</v>
      </c>
      <c r="BE186" s="634">
        <f>[13]Prices!AP183</f>
        <v>5.1912000000000003</v>
      </c>
    </row>
    <row r="187" spans="20:57">
      <c r="T187" s="4">
        <f t="shared" si="76"/>
        <v>2020</v>
      </c>
      <c r="U187" s="434">
        <f t="shared" si="85"/>
        <v>43952</v>
      </c>
      <c r="V187" s="150">
        <v>80.45</v>
      </c>
      <c r="W187" s="150">
        <v>62.17</v>
      </c>
      <c r="X187" s="357">
        <f t="shared" si="80"/>
        <v>72.58959999999999</v>
      </c>
      <c r="Y187" s="343">
        <v>400</v>
      </c>
      <c r="Z187" s="343">
        <v>344</v>
      </c>
      <c r="AA187" s="343">
        <f t="shared" si="77"/>
        <v>0.5376344086021505</v>
      </c>
      <c r="AB187" s="343">
        <f t="shared" si="78"/>
        <v>0.46236559139784944</v>
      </c>
      <c r="AF187" s="4">
        <f t="shared" si="81"/>
        <v>2020</v>
      </c>
      <c r="AG187" s="432">
        <f t="shared" si="84"/>
        <v>43952</v>
      </c>
      <c r="AH187" s="149">
        <f t="shared" si="79"/>
        <v>9.4644752582925484</v>
      </c>
      <c r="AI187" s="150">
        <v>9.4644752582925484</v>
      </c>
      <c r="AK187" s="4">
        <f t="shared" si="72"/>
        <v>2019</v>
      </c>
      <c r="AL187" s="432">
        <v>43555</v>
      </c>
      <c r="AM187" s="4">
        <f t="shared" si="73"/>
        <v>5.5150000000000006</v>
      </c>
      <c r="AN187" s="4">
        <v>5.54</v>
      </c>
      <c r="AO187" s="4">
        <v>5.49</v>
      </c>
      <c r="AQ187" s="4">
        <f t="shared" si="74"/>
        <v>2023</v>
      </c>
      <c r="AR187" s="356">
        <v>44958</v>
      </c>
      <c r="AS187" s="4">
        <f t="shared" si="75"/>
        <v>12.93</v>
      </c>
      <c r="AT187" s="4">
        <v>12.85</v>
      </c>
      <c r="AU187" s="4">
        <v>13.01</v>
      </c>
      <c r="AV187" s="515">
        <f t="shared" si="82"/>
        <v>2029</v>
      </c>
      <c r="AW187" s="535">
        <v>47331</v>
      </c>
      <c r="AX187" s="515">
        <f t="shared" si="70"/>
        <v>4.6059999999999999</v>
      </c>
      <c r="AY187" s="596">
        <f>'[12]Forward Price Curve'!AE268</f>
        <v>4.6340000000000003</v>
      </c>
      <c r="AZ187" s="596">
        <f>'[12]Forward Price Curve'!AD268</f>
        <v>4.5780000000000003</v>
      </c>
      <c r="BA187" s="629">
        <f t="shared" si="83"/>
        <v>2032</v>
      </c>
      <c r="BB187" s="633">
        <v>48427</v>
      </c>
      <c r="BC187" s="629">
        <f t="shared" si="71"/>
        <v>5.3943500000000002</v>
      </c>
      <c r="BD187" s="634">
        <f>[13]Prices!AO184</f>
        <v>5.5674000000000001</v>
      </c>
      <c r="BE187" s="634">
        <f>[13]Prices!AP184</f>
        <v>5.2213000000000003</v>
      </c>
    </row>
    <row r="188" spans="20:57">
      <c r="T188" s="4">
        <f t="shared" si="76"/>
        <v>2020</v>
      </c>
      <c r="U188" s="434">
        <f t="shared" si="85"/>
        <v>43983</v>
      </c>
      <c r="V188" s="150">
        <v>84.91</v>
      </c>
      <c r="W188" s="150">
        <v>64.19</v>
      </c>
      <c r="X188" s="357">
        <f t="shared" si="80"/>
        <v>76.000399999999985</v>
      </c>
      <c r="Y188" s="343">
        <v>416</v>
      </c>
      <c r="Z188" s="343">
        <v>304</v>
      </c>
      <c r="AA188" s="343">
        <f t="shared" si="77"/>
        <v>0.57777777777777772</v>
      </c>
      <c r="AB188" s="343">
        <f t="shared" si="78"/>
        <v>0.42222222222222222</v>
      </c>
      <c r="AF188" s="4">
        <f t="shared" si="81"/>
        <v>2020</v>
      </c>
      <c r="AG188" s="432">
        <f t="shared" si="84"/>
        <v>43983</v>
      </c>
      <c r="AH188" s="149">
        <f t="shared" si="79"/>
        <v>9.6106144643828166</v>
      </c>
      <c r="AI188" s="150">
        <v>9.6106144643828166</v>
      </c>
      <c r="AK188" s="4">
        <f t="shared" si="72"/>
        <v>2019</v>
      </c>
      <c r="AL188" s="432">
        <v>43585</v>
      </c>
      <c r="AM188" s="4">
        <f t="shared" si="73"/>
        <v>5.1549999999999994</v>
      </c>
      <c r="AN188" s="4">
        <v>5.22</v>
      </c>
      <c r="AO188" s="4">
        <v>5.09</v>
      </c>
      <c r="AQ188" s="4">
        <f t="shared" si="74"/>
        <v>2023</v>
      </c>
      <c r="AR188" s="356">
        <v>44986</v>
      </c>
      <c r="AS188" s="4">
        <f t="shared" si="75"/>
        <v>12.14</v>
      </c>
      <c r="AT188" s="4">
        <v>12.16</v>
      </c>
      <c r="AU188" s="4">
        <v>12.12</v>
      </c>
      <c r="AV188" s="515">
        <f t="shared" si="82"/>
        <v>2029</v>
      </c>
      <c r="AW188" s="535">
        <v>47362</v>
      </c>
      <c r="AX188" s="515">
        <f t="shared" si="70"/>
        <v>4.5289999999999999</v>
      </c>
      <c r="AY188" s="596">
        <f>'[12]Forward Price Curve'!AE269</f>
        <v>4.55</v>
      </c>
      <c r="AZ188" s="596">
        <f>'[12]Forward Price Curve'!AD269</f>
        <v>4.508</v>
      </c>
      <c r="BA188" s="629">
        <f t="shared" si="83"/>
        <v>2032</v>
      </c>
      <c r="BB188" s="633">
        <v>48458</v>
      </c>
      <c r="BC188" s="629">
        <f t="shared" si="71"/>
        <v>5.3416499999999996</v>
      </c>
      <c r="BD188" s="634">
        <f>[13]Prices!AO185</f>
        <v>5.6124999999999998</v>
      </c>
      <c r="BE188" s="634">
        <f>[13]Prices!AP185</f>
        <v>5.0708000000000002</v>
      </c>
    </row>
    <row r="189" spans="20:57">
      <c r="T189" s="4">
        <f t="shared" si="76"/>
        <v>2020</v>
      </c>
      <c r="U189" s="434">
        <f t="shared" si="85"/>
        <v>44013</v>
      </c>
      <c r="V189" s="150">
        <v>83.1</v>
      </c>
      <c r="W189" s="150">
        <v>74.44</v>
      </c>
      <c r="X189" s="357">
        <f t="shared" si="80"/>
        <v>79.376199999999983</v>
      </c>
      <c r="Y189" s="343">
        <v>416</v>
      </c>
      <c r="Z189" s="343">
        <v>328</v>
      </c>
      <c r="AA189" s="343">
        <f t="shared" si="77"/>
        <v>0.55913978494623651</v>
      </c>
      <c r="AB189" s="343">
        <f t="shared" si="78"/>
        <v>0.44086021505376344</v>
      </c>
      <c r="AF189" s="4">
        <f t="shared" si="81"/>
        <v>2020</v>
      </c>
      <c r="AG189" s="432">
        <f t="shared" si="84"/>
        <v>44013</v>
      </c>
      <c r="AH189" s="149">
        <f t="shared" si="79"/>
        <v>9.7601522566612289</v>
      </c>
      <c r="AI189" s="150">
        <v>9.7601522566612289</v>
      </c>
      <c r="AK189" s="4">
        <f t="shared" si="72"/>
        <v>2019</v>
      </c>
      <c r="AL189" s="432">
        <v>43616</v>
      </c>
      <c r="AM189" s="4">
        <f t="shared" si="73"/>
        <v>5.1549999999999994</v>
      </c>
      <c r="AN189" s="4">
        <v>5.22</v>
      </c>
      <c r="AO189" s="4">
        <v>5.09</v>
      </c>
      <c r="AQ189" s="4">
        <f t="shared" si="74"/>
        <v>2023</v>
      </c>
      <c r="AR189" s="356">
        <v>45017</v>
      </c>
      <c r="AS189" s="4">
        <f t="shared" si="75"/>
        <v>11.345000000000001</v>
      </c>
      <c r="AT189" s="4">
        <v>11.46</v>
      </c>
      <c r="AU189" s="4">
        <v>11.23</v>
      </c>
      <c r="AV189" s="515">
        <f t="shared" si="82"/>
        <v>2029</v>
      </c>
      <c r="AW189" s="535">
        <v>47392</v>
      </c>
      <c r="AX189" s="515">
        <f t="shared" si="70"/>
        <v>4.62</v>
      </c>
      <c r="AY189" s="596">
        <f>'[12]Forward Price Curve'!AE270</f>
        <v>4.6340000000000003</v>
      </c>
      <c r="AZ189" s="596">
        <f>'[12]Forward Price Curve'!AD270</f>
        <v>4.6059999999999999</v>
      </c>
      <c r="BA189" s="629">
        <f t="shared" si="83"/>
        <v>2032</v>
      </c>
      <c r="BB189" s="633">
        <v>48488</v>
      </c>
      <c r="BC189" s="629">
        <f t="shared" si="71"/>
        <v>5.4168500000000002</v>
      </c>
      <c r="BD189" s="634">
        <f>[13]Prices!AO186</f>
        <v>5.6576000000000004</v>
      </c>
      <c r="BE189" s="634">
        <f>[13]Prices!AP186</f>
        <v>5.1760999999999999</v>
      </c>
    </row>
    <row r="190" spans="20:57">
      <c r="T190" s="4">
        <f t="shared" si="76"/>
        <v>2020</v>
      </c>
      <c r="U190" s="434">
        <f t="shared" si="85"/>
        <v>44044</v>
      </c>
      <c r="V190" s="150">
        <v>87.27</v>
      </c>
      <c r="W190" s="150">
        <v>75.37</v>
      </c>
      <c r="X190" s="357">
        <f t="shared" si="80"/>
        <v>82.152999999999992</v>
      </c>
      <c r="Y190" s="343">
        <v>416</v>
      </c>
      <c r="Z190" s="343">
        <v>328</v>
      </c>
      <c r="AA190" s="343">
        <f t="shared" si="77"/>
        <v>0.55913978494623651</v>
      </c>
      <c r="AB190" s="343">
        <f t="shared" si="78"/>
        <v>0.44086021505376344</v>
      </c>
      <c r="AF190" s="4">
        <f t="shared" si="81"/>
        <v>2020</v>
      </c>
      <c r="AG190" s="432">
        <f t="shared" si="84"/>
        <v>44044</v>
      </c>
      <c r="AH190" s="149">
        <f t="shared" si="79"/>
        <v>9.7601522566612289</v>
      </c>
      <c r="AI190" s="150">
        <v>9.7601522566612289</v>
      </c>
      <c r="AK190" s="4">
        <f t="shared" si="72"/>
        <v>2019</v>
      </c>
      <c r="AL190" s="432">
        <v>43646</v>
      </c>
      <c r="AM190" s="4">
        <f t="shared" si="73"/>
        <v>5.2349999999999994</v>
      </c>
      <c r="AN190" s="4">
        <v>5.3</v>
      </c>
      <c r="AO190" s="4">
        <v>5.17</v>
      </c>
      <c r="AQ190" s="4">
        <f t="shared" si="74"/>
        <v>2023</v>
      </c>
      <c r="AR190" s="356">
        <v>45047</v>
      </c>
      <c r="AS190" s="4">
        <f t="shared" si="75"/>
        <v>11.345000000000001</v>
      </c>
      <c r="AT190" s="4">
        <v>11.46</v>
      </c>
      <c r="AU190" s="4">
        <v>11.23</v>
      </c>
      <c r="AV190" s="515">
        <f t="shared" si="82"/>
        <v>2029</v>
      </c>
      <c r="AW190" s="535">
        <v>47423</v>
      </c>
      <c r="AX190" s="515">
        <f t="shared" si="70"/>
        <v>4.851</v>
      </c>
      <c r="AY190" s="596">
        <f>'[12]Forward Price Curve'!AE271</f>
        <v>4.8440000000000003</v>
      </c>
      <c r="AZ190" s="596">
        <f>'[12]Forward Price Curve'!AD271</f>
        <v>4.8579999999999997</v>
      </c>
      <c r="BA190" s="629">
        <f t="shared" si="83"/>
        <v>2032</v>
      </c>
      <c r="BB190" s="633">
        <v>48519</v>
      </c>
      <c r="BC190" s="629">
        <f t="shared" si="71"/>
        <v>5.5673499999999994</v>
      </c>
      <c r="BD190" s="634">
        <f>[13]Prices!AO187</f>
        <v>5.8080999999999996</v>
      </c>
      <c r="BE190" s="634">
        <f>[13]Prices!AP187</f>
        <v>5.3266</v>
      </c>
    </row>
    <row r="191" spans="20:57">
      <c r="T191" s="4">
        <f t="shared" si="76"/>
        <v>2020</v>
      </c>
      <c r="U191" s="434">
        <f t="shared" si="85"/>
        <v>44075</v>
      </c>
      <c r="V191" s="150">
        <v>85.08</v>
      </c>
      <c r="W191" s="150">
        <v>73.92</v>
      </c>
      <c r="X191" s="357">
        <f t="shared" si="80"/>
        <v>80.281199999999998</v>
      </c>
      <c r="Y191" s="343">
        <v>400</v>
      </c>
      <c r="Z191" s="343">
        <v>320</v>
      </c>
      <c r="AA191" s="343">
        <f t="shared" si="77"/>
        <v>0.55555555555555558</v>
      </c>
      <c r="AB191" s="343">
        <f t="shared" si="78"/>
        <v>0.44444444444444442</v>
      </c>
      <c r="AF191" s="4">
        <f t="shared" si="81"/>
        <v>2020</v>
      </c>
      <c r="AG191" s="432">
        <f t="shared" si="84"/>
        <v>44075</v>
      </c>
      <c r="AH191" s="149">
        <f t="shared" si="79"/>
        <v>9.7601522566612289</v>
      </c>
      <c r="AI191" s="150">
        <v>9.7601522566612289</v>
      </c>
      <c r="AK191" s="4">
        <f t="shared" si="72"/>
        <v>2019</v>
      </c>
      <c r="AL191" s="432">
        <v>43677</v>
      </c>
      <c r="AM191" s="4">
        <f t="shared" si="73"/>
        <v>5.3149999999999995</v>
      </c>
      <c r="AN191" s="4">
        <v>5.38</v>
      </c>
      <c r="AO191" s="4">
        <v>5.25</v>
      </c>
      <c r="AQ191" s="4">
        <f t="shared" si="74"/>
        <v>2023</v>
      </c>
      <c r="AR191" s="356">
        <v>45078</v>
      </c>
      <c r="AS191" s="4">
        <f t="shared" si="75"/>
        <v>11.525</v>
      </c>
      <c r="AT191" s="4">
        <v>11.64</v>
      </c>
      <c r="AU191" s="4">
        <v>11.41</v>
      </c>
      <c r="AV191" s="515">
        <f t="shared" si="82"/>
        <v>2029</v>
      </c>
      <c r="AW191" s="535">
        <v>47453</v>
      </c>
      <c r="AX191" s="515">
        <f t="shared" ref="AX191:AX254" si="86">AVERAGE(AY191:AZ191)</f>
        <v>5.0890000000000004</v>
      </c>
      <c r="AY191" s="596">
        <f>'[12]Forward Price Curve'!AE272</f>
        <v>5.0819999999999999</v>
      </c>
      <c r="AZ191" s="596">
        <f>'[12]Forward Price Curve'!AD272</f>
        <v>5.0960000000000001</v>
      </c>
      <c r="BA191" s="629">
        <f t="shared" si="83"/>
        <v>2032</v>
      </c>
      <c r="BB191" s="633">
        <v>48549</v>
      </c>
      <c r="BC191" s="629">
        <f t="shared" si="71"/>
        <v>5.9133999999999993</v>
      </c>
      <c r="BD191" s="634">
        <f>[13]Prices!AO188</f>
        <v>6.0789</v>
      </c>
      <c r="BE191" s="634">
        <f>[13]Prices!AP188</f>
        <v>5.7478999999999996</v>
      </c>
    </row>
    <row r="192" spans="20:57">
      <c r="T192" s="4">
        <f t="shared" si="76"/>
        <v>2020</v>
      </c>
      <c r="U192" s="434">
        <f t="shared" si="85"/>
        <v>44105</v>
      </c>
      <c r="V192" s="150">
        <v>80.75</v>
      </c>
      <c r="W192" s="150">
        <v>73.77</v>
      </c>
      <c r="X192" s="357">
        <f t="shared" si="80"/>
        <v>77.748599999999996</v>
      </c>
      <c r="Y192" s="343">
        <v>432</v>
      </c>
      <c r="Z192" s="343">
        <v>312</v>
      </c>
      <c r="AA192" s="343">
        <f t="shared" si="77"/>
        <v>0.58064516129032262</v>
      </c>
      <c r="AB192" s="343">
        <f t="shared" si="78"/>
        <v>0.41935483870967744</v>
      </c>
      <c r="AF192" s="4">
        <f t="shared" si="81"/>
        <v>2020</v>
      </c>
      <c r="AG192" s="432">
        <f t="shared" si="84"/>
        <v>44105</v>
      </c>
      <c r="AH192" s="149">
        <f t="shared" si="79"/>
        <v>10.103409461663947</v>
      </c>
      <c r="AI192" s="150">
        <v>10.103409461663947</v>
      </c>
      <c r="AK192" s="4">
        <f t="shared" si="72"/>
        <v>2019</v>
      </c>
      <c r="AL192" s="432">
        <v>43708</v>
      </c>
      <c r="AM192" s="4">
        <f t="shared" si="73"/>
        <v>5.3149999999999995</v>
      </c>
      <c r="AN192" s="4">
        <v>5.38</v>
      </c>
      <c r="AO192" s="4">
        <v>5.25</v>
      </c>
      <c r="AQ192" s="4">
        <f t="shared" si="74"/>
        <v>2023</v>
      </c>
      <c r="AR192" s="356">
        <v>45108</v>
      </c>
      <c r="AS192" s="4">
        <f t="shared" si="75"/>
        <v>11.7</v>
      </c>
      <c r="AT192" s="4">
        <v>11.81</v>
      </c>
      <c r="AU192" s="4">
        <v>11.59</v>
      </c>
      <c r="AV192" s="515">
        <f t="shared" si="82"/>
        <v>2030</v>
      </c>
      <c r="AW192" s="535">
        <v>47484</v>
      </c>
      <c r="AX192" s="515">
        <f t="shared" si="86"/>
        <v>5.2295499999999997</v>
      </c>
      <c r="AY192" s="596">
        <f>'[12]Forward Price Curve'!AE273</f>
        <v>5.2224000000000004</v>
      </c>
      <c r="AZ192" s="596">
        <f>'[12]Forward Price Curve'!AD273</f>
        <v>5.2366999999999999</v>
      </c>
      <c r="BA192" s="629">
        <f t="shared" si="83"/>
        <v>2033</v>
      </c>
      <c r="BB192" s="633">
        <v>48580</v>
      </c>
      <c r="BC192" s="629">
        <f t="shared" si="71"/>
        <v>5.9801500000000001</v>
      </c>
      <c r="BD192" s="634">
        <f>[13]Prices!AO189</f>
        <v>6.1417999999999999</v>
      </c>
      <c r="BE192" s="634">
        <f>[13]Prices!AP189</f>
        <v>5.8185000000000002</v>
      </c>
    </row>
    <row r="193" spans="20:57">
      <c r="T193" s="4">
        <f t="shared" si="76"/>
        <v>2020</v>
      </c>
      <c r="U193" s="434">
        <f t="shared" si="85"/>
        <v>44136</v>
      </c>
      <c r="V193" s="150">
        <v>88.51</v>
      </c>
      <c r="W193" s="150">
        <v>67.099999999999994</v>
      </c>
      <c r="X193" s="357">
        <f t="shared" si="80"/>
        <v>79.303699999999992</v>
      </c>
      <c r="Y193" s="343">
        <v>384</v>
      </c>
      <c r="Z193" s="343">
        <v>336</v>
      </c>
      <c r="AA193" s="343">
        <f t="shared" si="77"/>
        <v>0.53333333333333333</v>
      </c>
      <c r="AB193" s="343">
        <f t="shared" si="78"/>
        <v>0.46666666666666667</v>
      </c>
      <c r="AF193" s="4">
        <f t="shared" si="81"/>
        <v>2020</v>
      </c>
      <c r="AG193" s="432">
        <f t="shared" si="84"/>
        <v>44136</v>
      </c>
      <c r="AH193" s="149">
        <f t="shared" si="79"/>
        <v>10.249548667754214</v>
      </c>
      <c r="AI193" s="150">
        <v>10.249548667754214</v>
      </c>
      <c r="AK193" s="4">
        <f t="shared" si="72"/>
        <v>2019</v>
      </c>
      <c r="AL193" s="432">
        <v>43738</v>
      </c>
      <c r="AM193" s="4">
        <f t="shared" si="73"/>
        <v>5.3149999999999995</v>
      </c>
      <c r="AN193" s="4">
        <v>5.38</v>
      </c>
      <c r="AO193" s="4">
        <v>5.25</v>
      </c>
      <c r="AQ193" s="4">
        <f t="shared" si="74"/>
        <v>2023</v>
      </c>
      <c r="AR193" s="356">
        <v>45139</v>
      </c>
      <c r="AS193" s="4">
        <f t="shared" si="75"/>
        <v>11.7</v>
      </c>
      <c r="AT193" s="4">
        <v>11.81</v>
      </c>
      <c r="AU193" s="4">
        <v>11.59</v>
      </c>
      <c r="AV193" s="515">
        <f t="shared" si="82"/>
        <v>2030</v>
      </c>
      <c r="AW193" s="535">
        <v>47515</v>
      </c>
      <c r="AX193" s="515">
        <f t="shared" si="86"/>
        <v>5.2582000000000004</v>
      </c>
      <c r="AY193" s="596">
        <f>'[12]Forward Price Curve'!AE274</f>
        <v>5.2510000000000003</v>
      </c>
      <c r="AZ193" s="596">
        <f>'[12]Forward Price Curve'!AD274</f>
        <v>5.2653999999999996</v>
      </c>
      <c r="BA193" s="629">
        <f t="shared" si="83"/>
        <v>2033</v>
      </c>
      <c r="BB193" s="633">
        <v>48611</v>
      </c>
      <c r="BC193" s="629">
        <f t="shared" si="71"/>
        <v>6.0109500000000002</v>
      </c>
      <c r="BD193" s="634">
        <f>[13]Prices!AO190</f>
        <v>6.1726000000000001</v>
      </c>
      <c r="BE193" s="634">
        <f>[13]Prices!AP190</f>
        <v>5.8493000000000004</v>
      </c>
    </row>
    <row r="194" spans="20:57">
      <c r="T194" s="4">
        <f t="shared" si="76"/>
        <v>2020</v>
      </c>
      <c r="U194" s="434">
        <f t="shared" si="85"/>
        <v>44166</v>
      </c>
      <c r="V194" s="150">
        <v>89.48</v>
      </c>
      <c r="W194" s="150">
        <v>76.489999999999995</v>
      </c>
      <c r="X194" s="357">
        <f t="shared" si="80"/>
        <v>83.894299999999987</v>
      </c>
      <c r="Y194" s="343">
        <v>416</v>
      </c>
      <c r="Z194" s="343">
        <v>328</v>
      </c>
      <c r="AA194" s="343">
        <f t="shared" si="77"/>
        <v>0.55913978494623651</v>
      </c>
      <c r="AB194" s="343">
        <f t="shared" si="78"/>
        <v>0.44086021505376344</v>
      </c>
      <c r="AF194" s="4">
        <f t="shared" si="81"/>
        <v>2020</v>
      </c>
      <c r="AG194" s="432">
        <f t="shared" si="84"/>
        <v>44166</v>
      </c>
      <c r="AH194" s="149">
        <f t="shared" si="79"/>
        <v>10.742343665035344</v>
      </c>
      <c r="AI194" s="150">
        <v>10.742343665035344</v>
      </c>
      <c r="AK194" s="4">
        <f t="shared" si="72"/>
        <v>2019</v>
      </c>
      <c r="AL194" s="432">
        <v>43769</v>
      </c>
      <c r="AM194" s="4">
        <f t="shared" si="73"/>
        <v>5.5150000000000006</v>
      </c>
      <c r="AN194" s="4">
        <v>5.54</v>
      </c>
      <c r="AO194" s="4">
        <v>5.49</v>
      </c>
      <c r="AQ194" s="4">
        <f t="shared" si="74"/>
        <v>2023</v>
      </c>
      <c r="AR194" s="356">
        <v>45170</v>
      </c>
      <c r="AS194" s="4">
        <f t="shared" si="75"/>
        <v>11.7</v>
      </c>
      <c r="AT194" s="4">
        <v>11.81</v>
      </c>
      <c r="AU194" s="4">
        <v>11.59</v>
      </c>
      <c r="AV194" s="515">
        <f t="shared" si="82"/>
        <v>2030</v>
      </c>
      <c r="AW194" s="535">
        <v>47543</v>
      </c>
      <c r="AX194" s="515">
        <f t="shared" si="86"/>
        <v>5.1151499999999999</v>
      </c>
      <c r="AY194" s="596">
        <f>'[12]Forward Price Curve'!AE275</f>
        <v>5.1079999999999997</v>
      </c>
      <c r="AZ194" s="596">
        <f>'[12]Forward Price Curve'!AD275</f>
        <v>5.1223000000000001</v>
      </c>
      <c r="BA194" s="629">
        <f t="shared" si="83"/>
        <v>2033</v>
      </c>
      <c r="BB194" s="633">
        <v>48639</v>
      </c>
      <c r="BC194" s="629">
        <f t="shared" si="71"/>
        <v>5.78775</v>
      </c>
      <c r="BD194" s="634">
        <f>[13]Prices!AO191</f>
        <v>5.9725000000000001</v>
      </c>
      <c r="BE194" s="634">
        <f>[13]Prices!AP191</f>
        <v>5.6029999999999998</v>
      </c>
    </row>
    <row r="195" spans="20:57">
      <c r="T195" s="4">
        <f t="shared" si="76"/>
        <v>2021</v>
      </c>
      <c r="U195" s="434">
        <f t="shared" si="85"/>
        <v>44197</v>
      </c>
      <c r="V195" s="150">
        <v>98.12</v>
      </c>
      <c r="W195" s="150">
        <v>85.14</v>
      </c>
      <c r="X195" s="357">
        <f t="shared" si="80"/>
        <v>92.538600000000002</v>
      </c>
      <c r="Y195" s="343">
        <v>400</v>
      </c>
      <c r="Z195" s="343">
        <v>344</v>
      </c>
      <c r="AA195" s="343">
        <f t="shared" si="77"/>
        <v>0.5376344086021505</v>
      </c>
      <c r="AB195" s="343">
        <f t="shared" si="78"/>
        <v>0.46236559139784944</v>
      </c>
      <c r="AF195" s="4">
        <f t="shared" si="81"/>
        <v>2021</v>
      </c>
      <c r="AG195" s="432">
        <f t="shared" si="84"/>
        <v>44197</v>
      </c>
      <c r="AH195" s="149">
        <f t="shared" si="79"/>
        <v>11.632773246329528</v>
      </c>
      <c r="AI195" s="150">
        <v>11.632773246329528</v>
      </c>
      <c r="AK195" s="4">
        <f t="shared" si="72"/>
        <v>2019</v>
      </c>
      <c r="AL195" s="432">
        <v>43799</v>
      </c>
      <c r="AM195" s="4">
        <f t="shared" si="73"/>
        <v>5.5950000000000006</v>
      </c>
      <c r="AN195" s="4">
        <v>5.62</v>
      </c>
      <c r="AO195" s="4">
        <v>5.57</v>
      </c>
      <c r="AQ195" s="4">
        <f t="shared" si="74"/>
        <v>2023</v>
      </c>
      <c r="AR195" s="356">
        <v>45200</v>
      </c>
      <c r="AS195" s="4">
        <f t="shared" si="75"/>
        <v>12.14</v>
      </c>
      <c r="AT195" s="4">
        <v>12.16</v>
      </c>
      <c r="AU195" s="4">
        <v>12.12</v>
      </c>
      <c r="AV195" s="515">
        <f t="shared" si="82"/>
        <v>2030</v>
      </c>
      <c r="AW195" s="535">
        <v>47574</v>
      </c>
      <c r="AX195" s="515">
        <f t="shared" si="86"/>
        <v>4.8719000000000001</v>
      </c>
      <c r="AY195" s="596">
        <f>'[12]Forward Price Curve'!AE276</f>
        <v>4.9077000000000002</v>
      </c>
      <c r="AZ195" s="596">
        <f>'[12]Forward Price Curve'!AD276</f>
        <v>4.8361000000000001</v>
      </c>
      <c r="BA195" s="629">
        <f t="shared" si="83"/>
        <v>2033</v>
      </c>
      <c r="BB195" s="633">
        <v>48670</v>
      </c>
      <c r="BC195" s="629">
        <f t="shared" si="71"/>
        <v>5.4260000000000002</v>
      </c>
      <c r="BD195" s="634">
        <f>[13]Prices!AO192</f>
        <v>5.6337999999999999</v>
      </c>
      <c r="BE195" s="634">
        <f>[13]Prices!AP192</f>
        <v>5.2182000000000004</v>
      </c>
    </row>
    <row r="196" spans="20:57">
      <c r="T196" s="4">
        <f t="shared" si="76"/>
        <v>2021</v>
      </c>
      <c r="U196" s="434">
        <f t="shared" si="85"/>
        <v>44228</v>
      </c>
      <c r="V196" s="150">
        <v>92.51</v>
      </c>
      <c r="W196" s="150">
        <v>80.180000000000007</v>
      </c>
      <c r="X196" s="357">
        <f t="shared" si="80"/>
        <v>87.208100000000002</v>
      </c>
      <c r="Y196" s="343">
        <v>384</v>
      </c>
      <c r="Z196" s="343">
        <v>288</v>
      </c>
      <c r="AA196" s="343">
        <f t="shared" si="77"/>
        <v>0.5714285714285714</v>
      </c>
      <c r="AB196" s="343">
        <f t="shared" si="78"/>
        <v>0.42857142857142855</v>
      </c>
      <c r="AF196" s="4">
        <f t="shared" si="81"/>
        <v>2021</v>
      </c>
      <c r="AG196" s="432">
        <f t="shared" si="84"/>
        <v>44228</v>
      </c>
      <c r="AH196" s="149">
        <f t="shared" si="79"/>
        <v>10.932664491571506</v>
      </c>
      <c r="AI196" s="150">
        <v>10.932664491571506</v>
      </c>
      <c r="AK196" s="4">
        <f t="shared" si="72"/>
        <v>2019</v>
      </c>
      <c r="AL196" s="432">
        <v>43830</v>
      </c>
      <c r="AM196" s="4">
        <f t="shared" si="73"/>
        <v>5.875</v>
      </c>
      <c r="AN196" s="4">
        <v>5.85</v>
      </c>
      <c r="AO196" s="4">
        <v>5.9</v>
      </c>
      <c r="AQ196" s="4">
        <f t="shared" si="74"/>
        <v>2023</v>
      </c>
      <c r="AR196" s="356">
        <v>45231</v>
      </c>
      <c r="AS196" s="4">
        <f t="shared" si="75"/>
        <v>12.315000000000001</v>
      </c>
      <c r="AT196" s="4">
        <v>12.33</v>
      </c>
      <c r="AU196" s="4">
        <v>12.3</v>
      </c>
      <c r="AV196" s="515">
        <f t="shared" si="82"/>
        <v>2030</v>
      </c>
      <c r="AW196" s="535">
        <v>47604</v>
      </c>
      <c r="AX196" s="515">
        <f t="shared" si="86"/>
        <v>4.7860499999999995</v>
      </c>
      <c r="AY196" s="596">
        <f>'[12]Forward Price Curve'!AE277</f>
        <v>4.8503999999999996</v>
      </c>
      <c r="AZ196" s="596">
        <f>'[12]Forward Price Curve'!AD277</f>
        <v>4.7217000000000002</v>
      </c>
      <c r="BA196" s="629">
        <f t="shared" si="83"/>
        <v>2033</v>
      </c>
      <c r="BB196" s="633">
        <v>48700</v>
      </c>
      <c r="BC196" s="629">
        <f t="shared" si="71"/>
        <v>5.3952499999999999</v>
      </c>
      <c r="BD196" s="634">
        <f>[13]Prices!AO193</f>
        <v>5.5876999999999999</v>
      </c>
      <c r="BE196" s="634">
        <f>[13]Prices!AP193</f>
        <v>5.2027999999999999</v>
      </c>
    </row>
    <row r="197" spans="20:57">
      <c r="T197" s="4">
        <f t="shared" si="76"/>
        <v>2021</v>
      </c>
      <c r="U197" s="434">
        <f t="shared" si="85"/>
        <v>44256</v>
      </c>
      <c r="V197" s="150">
        <v>80.59</v>
      </c>
      <c r="W197" s="150">
        <v>73.95</v>
      </c>
      <c r="X197" s="357">
        <f t="shared" si="80"/>
        <v>77.734799999999993</v>
      </c>
      <c r="Y197" s="343">
        <v>432</v>
      </c>
      <c r="Z197" s="343">
        <v>312</v>
      </c>
      <c r="AA197" s="343">
        <f t="shared" si="77"/>
        <v>0.58064516129032262</v>
      </c>
      <c r="AB197" s="343">
        <f>Z197/(Y197+Z197)</f>
        <v>0.41935483870967744</v>
      </c>
      <c r="AF197" s="4">
        <f t="shared" si="81"/>
        <v>2021</v>
      </c>
      <c r="AG197" s="432">
        <f t="shared" si="84"/>
        <v>44256</v>
      </c>
      <c r="AH197" s="149">
        <f t="shared" si="79"/>
        <v>10.283534529635672</v>
      </c>
      <c r="AI197" s="150">
        <v>10.283534529635672</v>
      </c>
      <c r="AK197" s="4">
        <f t="shared" si="72"/>
        <v>2020</v>
      </c>
      <c r="AL197" s="432">
        <v>43861</v>
      </c>
      <c r="AM197" s="4">
        <f t="shared" si="73"/>
        <v>6.5299999999999994</v>
      </c>
      <c r="AN197" s="4">
        <v>6.46</v>
      </c>
      <c r="AO197" s="4">
        <v>6.6</v>
      </c>
      <c r="AQ197" s="4">
        <f t="shared" si="74"/>
        <v>2023</v>
      </c>
      <c r="AR197" s="356">
        <v>45261</v>
      </c>
      <c r="AS197" s="4">
        <f t="shared" si="75"/>
        <v>12.93</v>
      </c>
      <c r="AT197" s="4">
        <v>12.85</v>
      </c>
      <c r="AU197" s="4">
        <v>13.01</v>
      </c>
      <c r="AV197" s="515">
        <f t="shared" si="82"/>
        <v>2030</v>
      </c>
      <c r="AW197" s="535">
        <v>47635</v>
      </c>
      <c r="AX197" s="515">
        <f t="shared" si="86"/>
        <v>4.8003499999999999</v>
      </c>
      <c r="AY197" s="596">
        <f>'[12]Forward Price Curve'!AE278</f>
        <v>4.8503999999999996</v>
      </c>
      <c r="AZ197" s="596">
        <f>'[12]Forward Price Curve'!AD278</f>
        <v>4.7503000000000002</v>
      </c>
      <c r="BA197" s="629">
        <f t="shared" si="83"/>
        <v>2033</v>
      </c>
      <c r="BB197" s="633">
        <v>48731</v>
      </c>
      <c r="BC197" s="629">
        <f t="shared" si="71"/>
        <v>5.4490999999999996</v>
      </c>
      <c r="BD197" s="634">
        <f>[13]Prices!AO194</f>
        <v>5.6337999999999999</v>
      </c>
      <c r="BE197" s="634">
        <f>[13]Prices!AP194</f>
        <v>5.2644000000000002</v>
      </c>
    </row>
    <row r="198" spans="20:57">
      <c r="T198" s="4">
        <f t="shared" si="76"/>
        <v>2021</v>
      </c>
      <c r="U198" s="434">
        <f t="shared" si="85"/>
        <v>44287</v>
      </c>
      <c r="V198" s="150">
        <v>78.48</v>
      </c>
      <c r="W198" s="150">
        <v>72.069999999999993</v>
      </c>
      <c r="X198" s="357">
        <f t="shared" si="80"/>
        <v>75.723699999999994</v>
      </c>
      <c r="Y198" s="343">
        <v>416</v>
      </c>
      <c r="Z198" s="343">
        <v>304</v>
      </c>
      <c r="AA198" s="343">
        <f t="shared" si="77"/>
        <v>0.57777777777777772</v>
      </c>
      <c r="AB198" s="343">
        <f t="shared" si="78"/>
        <v>0.42222222222222222</v>
      </c>
      <c r="AF198" s="4">
        <f t="shared" si="81"/>
        <v>2021</v>
      </c>
      <c r="AG198" s="432">
        <f t="shared" si="84"/>
        <v>44287</v>
      </c>
      <c r="AH198" s="149">
        <f t="shared" si="79"/>
        <v>9.7363621533442082</v>
      </c>
      <c r="AI198" s="150">
        <v>9.7363621533442082</v>
      </c>
      <c r="AK198" s="4">
        <f t="shared" si="72"/>
        <v>2020</v>
      </c>
      <c r="AL198" s="432">
        <v>43890</v>
      </c>
      <c r="AM198" s="4">
        <f t="shared" si="73"/>
        <v>6.0749999999999993</v>
      </c>
      <c r="AN198" s="4">
        <v>6.05</v>
      </c>
      <c r="AO198" s="4">
        <v>6.1</v>
      </c>
      <c r="AQ198" s="4">
        <f t="shared" si="74"/>
        <v>2024</v>
      </c>
      <c r="AR198" s="356">
        <v>45292</v>
      </c>
      <c r="AS198" s="4">
        <f t="shared" si="75"/>
        <v>14.164999999999999</v>
      </c>
      <c r="AT198" s="4">
        <v>13.98</v>
      </c>
      <c r="AU198" s="4">
        <v>14.35</v>
      </c>
      <c r="AV198" s="515">
        <f t="shared" si="82"/>
        <v>2030</v>
      </c>
      <c r="AW198" s="535">
        <v>47665</v>
      </c>
      <c r="AX198" s="515">
        <f t="shared" si="86"/>
        <v>4.8074999999999992</v>
      </c>
      <c r="AY198" s="596">
        <f>'[12]Forward Price Curve'!AE279</f>
        <v>4.8789999999999996</v>
      </c>
      <c r="AZ198" s="596">
        <f>'[12]Forward Price Curve'!AD279</f>
        <v>4.7359999999999998</v>
      </c>
      <c r="BA198" s="629">
        <f t="shared" si="83"/>
        <v>2033</v>
      </c>
      <c r="BB198" s="633">
        <v>48761</v>
      </c>
      <c r="BC198" s="629">
        <f t="shared" si="71"/>
        <v>5.6414999999999997</v>
      </c>
      <c r="BD198" s="634">
        <f>[13]Prices!AO195</f>
        <v>5.8338999999999999</v>
      </c>
      <c r="BE198" s="634">
        <f>[13]Prices!AP195</f>
        <v>5.4490999999999996</v>
      </c>
    </row>
    <row r="199" spans="20:57">
      <c r="T199" s="4">
        <f t="shared" si="76"/>
        <v>2021</v>
      </c>
      <c r="U199" s="434">
        <f t="shared" si="85"/>
        <v>44317</v>
      </c>
      <c r="V199" s="150">
        <v>82.61</v>
      </c>
      <c r="W199" s="150">
        <v>66.36</v>
      </c>
      <c r="X199" s="357">
        <f t="shared" si="80"/>
        <v>75.622500000000002</v>
      </c>
      <c r="Y199" s="343">
        <v>400</v>
      </c>
      <c r="Z199" s="343">
        <v>344</v>
      </c>
      <c r="AA199" s="343">
        <f t="shared" si="77"/>
        <v>0.5376344086021505</v>
      </c>
      <c r="AB199" s="343">
        <f t="shared" si="78"/>
        <v>0.46236559139784944</v>
      </c>
      <c r="AF199" s="4">
        <f t="shared" si="81"/>
        <v>2021</v>
      </c>
      <c r="AG199" s="432">
        <f t="shared" si="84"/>
        <v>44317</v>
      </c>
      <c r="AH199" s="149">
        <f t="shared" si="79"/>
        <v>9.6344045676998356</v>
      </c>
      <c r="AI199" s="150">
        <v>9.6344045676998356</v>
      </c>
      <c r="AK199" s="4">
        <f t="shared" si="72"/>
        <v>2020</v>
      </c>
      <c r="AL199" s="432">
        <v>43921</v>
      </c>
      <c r="AM199" s="4">
        <f t="shared" si="73"/>
        <v>5.7050000000000001</v>
      </c>
      <c r="AN199" s="4">
        <v>5.73</v>
      </c>
      <c r="AO199" s="4">
        <v>5.68</v>
      </c>
      <c r="AQ199" s="4">
        <f t="shared" si="74"/>
        <v>2024</v>
      </c>
      <c r="AR199" s="356">
        <v>45323</v>
      </c>
      <c r="AS199" s="4">
        <f t="shared" si="75"/>
        <v>13.18</v>
      </c>
      <c r="AT199" s="4">
        <v>13.1</v>
      </c>
      <c r="AU199" s="4">
        <v>13.26</v>
      </c>
      <c r="AV199" s="515">
        <f t="shared" si="82"/>
        <v>2030</v>
      </c>
      <c r="AW199" s="535">
        <v>47696</v>
      </c>
      <c r="AX199" s="515">
        <f t="shared" si="86"/>
        <v>4.9363000000000001</v>
      </c>
      <c r="AY199" s="596">
        <f>'[12]Forward Price Curve'!AE280</f>
        <v>4.9649000000000001</v>
      </c>
      <c r="AZ199" s="596">
        <f>'[12]Forward Price Curve'!AD280</f>
        <v>4.9077000000000002</v>
      </c>
      <c r="BA199" s="629">
        <f t="shared" si="83"/>
        <v>2033</v>
      </c>
      <c r="BB199" s="633">
        <v>48792</v>
      </c>
      <c r="BC199" s="629">
        <f t="shared" si="71"/>
        <v>5.6876999999999995</v>
      </c>
      <c r="BD199" s="634">
        <f>[13]Prices!AO196</f>
        <v>5.8647</v>
      </c>
      <c r="BE199" s="634">
        <f>[13]Prices!AP196</f>
        <v>5.5106999999999999</v>
      </c>
    </row>
    <row r="200" spans="20:57">
      <c r="T200" s="4">
        <f t="shared" si="76"/>
        <v>2021</v>
      </c>
      <c r="U200" s="434">
        <f t="shared" si="85"/>
        <v>44348</v>
      </c>
      <c r="V200" s="150">
        <v>89.54</v>
      </c>
      <c r="W200" s="150">
        <v>70.75</v>
      </c>
      <c r="X200" s="357">
        <f t="shared" si="80"/>
        <v>81.460299999999989</v>
      </c>
      <c r="Y200" s="343">
        <v>416</v>
      </c>
      <c r="Z200" s="343">
        <v>304</v>
      </c>
      <c r="AA200" s="343">
        <f t="shared" si="77"/>
        <v>0.57777777777777772</v>
      </c>
      <c r="AB200" s="343">
        <f t="shared" si="78"/>
        <v>0.42222222222222222</v>
      </c>
      <c r="AF200" s="4">
        <f t="shared" si="81"/>
        <v>2021</v>
      </c>
      <c r="AG200" s="432">
        <f t="shared" si="84"/>
        <v>44348</v>
      </c>
      <c r="AH200" s="149">
        <f t="shared" si="79"/>
        <v>9.783942359978246</v>
      </c>
      <c r="AI200" s="150">
        <v>9.783942359978246</v>
      </c>
      <c r="AK200" s="4">
        <f t="shared" si="72"/>
        <v>2020</v>
      </c>
      <c r="AL200" s="432">
        <v>43951</v>
      </c>
      <c r="AM200" s="4">
        <f t="shared" si="73"/>
        <v>5.33</v>
      </c>
      <c r="AN200" s="4">
        <v>5.4</v>
      </c>
      <c r="AO200" s="4">
        <v>5.26</v>
      </c>
      <c r="AQ200" s="4">
        <f t="shared" si="74"/>
        <v>2024</v>
      </c>
      <c r="AR200" s="356">
        <v>45352</v>
      </c>
      <c r="AS200" s="4">
        <f t="shared" si="75"/>
        <v>12.370000000000001</v>
      </c>
      <c r="AT200" s="4">
        <v>12.39</v>
      </c>
      <c r="AU200" s="4">
        <v>12.35</v>
      </c>
      <c r="AV200" s="515">
        <f t="shared" si="82"/>
        <v>2030</v>
      </c>
      <c r="AW200" s="535">
        <v>47727</v>
      </c>
      <c r="AX200" s="515">
        <f t="shared" si="86"/>
        <v>5.0149499999999998</v>
      </c>
      <c r="AY200" s="596">
        <f>'[12]Forward Price Curve'!AE281</f>
        <v>5.0221</v>
      </c>
      <c r="AZ200" s="596">
        <f>'[12]Forward Price Curve'!AD281</f>
        <v>5.0077999999999996</v>
      </c>
      <c r="BA200" s="629">
        <f t="shared" si="83"/>
        <v>2033</v>
      </c>
      <c r="BB200" s="633">
        <v>48823</v>
      </c>
      <c r="BC200" s="629">
        <f t="shared" si="71"/>
        <v>5.6337999999999999</v>
      </c>
      <c r="BD200" s="634">
        <f>[13]Prices!AO197</f>
        <v>5.8800999999999997</v>
      </c>
      <c r="BE200" s="634">
        <f>[13]Prices!AP197</f>
        <v>5.3875000000000002</v>
      </c>
    </row>
    <row r="201" spans="20:57">
      <c r="T201" s="4">
        <f t="shared" si="76"/>
        <v>2021</v>
      </c>
      <c r="U201" s="434">
        <f t="shared" si="85"/>
        <v>44378</v>
      </c>
      <c r="V201" s="150">
        <v>82.21</v>
      </c>
      <c r="W201" s="150">
        <v>76.510000000000005</v>
      </c>
      <c r="X201" s="357">
        <f t="shared" si="80"/>
        <v>79.758999999999986</v>
      </c>
      <c r="Y201" s="343">
        <v>416</v>
      </c>
      <c r="Z201" s="343">
        <v>328</v>
      </c>
      <c r="AA201" s="343">
        <f t="shared" si="77"/>
        <v>0.55913978494623651</v>
      </c>
      <c r="AB201" s="343">
        <f t="shared" si="78"/>
        <v>0.44086021505376344</v>
      </c>
      <c r="AF201" s="4">
        <f t="shared" si="81"/>
        <v>2021</v>
      </c>
      <c r="AG201" s="432">
        <f t="shared" si="84"/>
        <v>44378</v>
      </c>
      <c r="AH201" s="149">
        <f t="shared" si="79"/>
        <v>9.93348015225666</v>
      </c>
      <c r="AI201" s="150">
        <v>9.93348015225666</v>
      </c>
      <c r="AK201" s="4">
        <f t="shared" si="72"/>
        <v>2020</v>
      </c>
      <c r="AL201" s="432">
        <v>43982</v>
      </c>
      <c r="AM201" s="4">
        <f t="shared" si="73"/>
        <v>5.33</v>
      </c>
      <c r="AN201" s="4">
        <v>5.4</v>
      </c>
      <c r="AO201" s="4">
        <v>5.26</v>
      </c>
      <c r="AQ201" s="4">
        <f t="shared" si="74"/>
        <v>2024</v>
      </c>
      <c r="AR201" s="356">
        <v>45383</v>
      </c>
      <c r="AS201" s="4">
        <f t="shared" si="75"/>
        <v>11.565</v>
      </c>
      <c r="AT201" s="4">
        <v>11.68</v>
      </c>
      <c r="AU201" s="4">
        <v>11.45</v>
      </c>
      <c r="AV201" s="515">
        <f t="shared" si="82"/>
        <v>2030</v>
      </c>
      <c r="AW201" s="535">
        <v>47757</v>
      </c>
      <c r="AX201" s="515">
        <f t="shared" si="86"/>
        <v>5.0579000000000001</v>
      </c>
      <c r="AY201" s="596">
        <f>'[12]Forward Price Curve'!AE282</f>
        <v>5.0364000000000004</v>
      </c>
      <c r="AZ201" s="596">
        <f>'[12]Forward Price Curve'!AD282</f>
        <v>5.0793999999999997</v>
      </c>
      <c r="BA201" s="629">
        <f t="shared" si="83"/>
        <v>2033</v>
      </c>
      <c r="BB201" s="633">
        <v>48853</v>
      </c>
      <c r="BC201" s="629">
        <f t="shared" si="71"/>
        <v>5.6876999999999995</v>
      </c>
      <c r="BD201" s="634">
        <f>[13]Prices!AO198</f>
        <v>5.9417</v>
      </c>
      <c r="BE201" s="634">
        <f>[13]Prices!AP198</f>
        <v>5.4337</v>
      </c>
    </row>
    <row r="202" spans="20:57">
      <c r="T202" s="4">
        <f t="shared" si="76"/>
        <v>2021</v>
      </c>
      <c r="U202" s="434">
        <f t="shared" si="85"/>
        <v>44409</v>
      </c>
      <c r="V202" s="150">
        <v>84.98</v>
      </c>
      <c r="W202" s="150">
        <v>76.510000000000005</v>
      </c>
      <c r="X202" s="357">
        <f t="shared" si="80"/>
        <v>81.337900000000005</v>
      </c>
      <c r="Y202" s="343">
        <v>416</v>
      </c>
      <c r="Z202" s="343">
        <v>328</v>
      </c>
      <c r="AA202" s="343">
        <f t="shared" si="77"/>
        <v>0.55913978494623651</v>
      </c>
      <c r="AB202" s="343">
        <f t="shared" si="78"/>
        <v>0.44086021505376344</v>
      </c>
      <c r="AF202" s="4">
        <f t="shared" si="81"/>
        <v>2021</v>
      </c>
      <c r="AG202" s="432">
        <f t="shared" si="84"/>
        <v>44409</v>
      </c>
      <c r="AH202" s="149">
        <f t="shared" si="79"/>
        <v>9.93348015225666</v>
      </c>
      <c r="AI202" s="150">
        <v>9.93348015225666</v>
      </c>
      <c r="AK202" s="4">
        <f t="shared" si="72"/>
        <v>2020</v>
      </c>
      <c r="AL202" s="432">
        <v>44012</v>
      </c>
      <c r="AM202" s="4">
        <f t="shared" si="73"/>
        <v>5.41</v>
      </c>
      <c r="AN202" s="4">
        <v>5.48</v>
      </c>
      <c r="AO202" s="4">
        <v>5.34</v>
      </c>
      <c r="AQ202" s="4">
        <f t="shared" si="74"/>
        <v>2024</v>
      </c>
      <c r="AR202" s="356">
        <v>45413</v>
      </c>
      <c r="AS202" s="4">
        <f t="shared" si="75"/>
        <v>11.565</v>
      </c>
      <c r="AT202" s="4">
        <v>11.68</v>
      </c>
      <c r="AU202" s="4">
        <v>11.45</v>
      </c>
      <c r="AV202" s="515">
        <f t="shared" si="82"/>
        <v>2030</v>
      </c>
      <c r="AW202" s="535">
        <v>47788</v>
      </c>
      <c r="AX202" s="515">
        <f t="shared" si="86"/>
        <v>5.2582000000000004</v>
      </c>
      <c r="AY202" s="596">
        <f>'[12]Forward Price Curve'!AE283</f>
        <v>5.2366999999999999</v>
      </c>
      <c r="AZ202" s="596">
        <f>'[12]Forward Price Curve'!AD283</f>
        <v>5.2797000000000001</v>
      </c>
      <c r="BA202" s="629">
        <f t="shared" si="83"/>
        <v>2033</v>
      </c>
      <c r="BB202" s="633">
        <v>48884</v>
      </c>
      <c r="BC202" s="629">
        <f t="shared" si="71"/>
        <v>5.9032</v>
      </c>
      <c r="BD202" s="634">
        <f>[13]Prices!AO199</f>
        <v>6.1109999999999998</v>
      </c>
      <c r="BE202" s="634">
        <f>[13]Prices!AP199</f>
        <v>5.6954000000000002</v>
      </c>
    </row>
    <row r="203" spans="20:57">
      <c r="T203" s="4">
        <f t="shared" si="76"/>
        <v>2021</v>
      </c>
      <c r="U203" s="434">
        <f t="shared" si="85"/>
        <v>44440</v>
      </c>
      <c r="V203" s="150">
        <v>83.53</v>
      </c>
      <c r="W203" s="150">
        <v>74.64</v>
      </c>
      <c r="X203" s="357">
        <f t="shared" si="80"/>
        <v>79.707300000000004</v>
      </c>
      <c r="Y203" s="343">
        <v>400</v>
      </c>
      <c r="Z203" s="343">
        <v>320</v>
      </c>
      <c r="AA203" s="343">
        <f t="shared" si="77"/>
        <v>0.55555555555555558</v>
      </c>
      <c r="AB203" s="343">
        <f t="shared" si="78"/>
        <v>0.44444444444444442</v>
      </c>
      <c r="AF203" s="4">
        <f t="shared" si="81"/>
        <v>2021</v>
      </c>
      <c r="AG203" s="432">
        <f t="shared" si="84"/>
        <v>44440</v>
      </c>
      <c r="AH203" s="149">
        <f t="shared" si="79"/>
        <v>9.93348015225666</v>
      </c>
      <c r="AI203" s="150">
        <v>9.93348015225666</v>
      </c>
      <c r="AK203" s="4">
        <f t="shared" si="72"/>
        <v>2020</v>
      </c>
      <c r="AL203" s="432">
        <v>44043</v>
      </c>
      <c r="AM203" s="4">
        <f t="shared" si="73"/>
        <v>5.4949999999999992</v>
      </c>
      <c r="AN203" s="4">
        <v>5.56</v>
      </c>
      <c r="AO203" s="4">
        <v>5.43</v>
      </c>
      <c r="AQ203" s="4">
        <f t="shared" si="74"/>
        <v>2024</v>
      </c>
      <c r="AR203" s="356">
        <v>45444</v>
      </c>
      <c r="AS203" s="4">
        <f t="shared" si="75"/>
        <v>11.745000000000001</v>
      </c>
      <c r="AT203" s="4">
        <v>11.86</v>
      </c>
      <c r="AU203" s="4">
        <v>11.63</v>
      </c>
      <c r="AV203" s="515">
        <f t="shared" si="82"/>
        <v>2030</v>
      </c>
      <c r="AW203" s="535">
        <v>47818</v>
      </c>
      <c r="AX203" s="515">
        <f t="shared" si="86"/>
        <v>5.4943000000000008</v>
      </c>
      <c r="AY203" s="596">
        <f>'[12]Forward Price Curve'!AE284</f>
        <v>5.48</v>
      </c>
      <c r="AZ203" s="596">
        <f>'[12]Forward Price Curve'!AD284</f>
        <v>5.5086000000000004</v>
      </c>
      <c r="BA203" s="629">
        <f t="shared" si="83"/>
        <v>2033</v>
      </c>
      <c r="BB203" s="633">
        <v>48914</v>
      </c>
      <c r="BC203" s="629">
        <f t="shared" si="71"/>
        <v>6.2803000000000004</v>
      </c>
      <c r="BD203" s="634">
        <f>[13]Prices!AO200</f>
        <v>6.4649999999999999</v>
      </c>
      <c r="BE203" s="634">
        <f>[13]Prices!AP200</f>
        <v>6.0956000000000001</v>
      </c>
    </row>
    <row r="204" spans="20:57">
      <c r="T204" s="4">
        <f t="shared" si="76"/>
        <v>2021</v>
      </c>
      <c r="U204" s="434">
        <f t="shared" si="85"/>
        <v>44470</v>
      </c>
      <c r="V204" s="150">
        <v>81.45</v>
      </c>
      <c r="W204" s="150">
        <v>74.209999999999994</v>
      </c>
      <c r="X204" s="357">
        <f t="shared" si="80"/>
        <v>78.336799999999997</v>
      </c>
      <c r="Y204" s="343">
        <v>416</v>
      </c>
      <c r="Z204" s="343">
        <v>328</v>
      </c>
      <c r="AA204" s="343">
        <f t="shared" si="77"/>
        <v>0.55913978494623651</v>
      </c>
      <c r="AB204" s="343">
        <f t="shared" si="78"/>
        <v>0.44086021505376344</v>
      </c>
      <c r="AF204" s="4">
        <f t="shared" si="81"/>
        <v>2021</v>
      </c>
      <c r="AG204" s="432">
        <f t="shared" si="84"/>
        <v>44470</v>
      </c>
      <c r="AH204" s="149">
        <f t="shared" si="79"/>
        <v>10.283534529635672</v>
      </c>
      <c r="AI204" s="150">
        <v>10.283534529635672</v>
      </c>
      <c r="AK204" s="4">
        <f t="shared" si="72"/>
        <v>2020</v>
      </c>
      <c r="AL204" s="432">
        <v>44074</v>
      </c>
      <c r="AM204" s="4">
        <f t="shared" si="73"/>
        <v>5.4949999999999992</v>
      </c>
      <c r="AN204" s="4">
        <v>5.56</v>
      </c>
      <c r="AO204" s="4">
        <v>5.43</v>
      </c>
      <c r="AQ204" s="4">
        <f t="shared" si="74"/>
        <v>2024</v>
      </c>
      <c r="AR204" s="356">
        <v>45474</v>
      </c>
      <c r="AS204" s="4">
        <f t="shared" si="75"/>
        <v>11.92</v>
      </c>
      <c r="AT204" s="4">
        <v>12.03</v>
      </c>
      <c r="AU204" s="4">
        <v>11.81</v>
      </c>
      <c r="AV204" s="515">
        <f t="shared" si="82"/>
        <v>2031</v>
      </c>
      <c r="AW204" s="535">
        <v>47849</v>
      </c>
      <c r="AX204" s="515">
        <f t="shared" si="86"/>
        <v>5.4031000000000002</v>
      </c>
      <c r="AY204" s="596">
        <f>'[12]Forward Price Curve'!AE285</f>
        <v>5.3958000000000004</v>
      </c>
      <c r="AZ204" s="596">
        <f>'[12]Forward Price Curve'!AD285</f>
        <v>5.4104000000000001</v>
      </c>
      <c r="BA204" s="629">
        <f t="shared" si="83"/>
        <v>2034</v>
      </c>
      <c r="BB204" s="633">
        <v>48945</v>
      </c>
      <c r="BC204" s="629">
        <f t="shared" ref="BC204:BC267" si="87">AVERAGE(BD204:BE204)</f>
        <v>6.3382000000000005</v>
      </c>
      <c r="BD204" s="634">
        <f>[13]Prices!AO201</f>
        <v>6.5193000000000003</v>
      </c>
      <c r="BE204" s="634">
        <f>[13]Prices!AP201</f>
        <v>6.1570999999999998</v>
      </c>
    </row>
    <row r="205" spans="20:57">
      <c r="T205" s="4">
        <f t="shared" si="76"/>
        <v>2021</v>
      </c>
      <c r="U205" s="434">
        <f t="shared" si="85"/>
        <v>44501</v>
      </c>
      <c r="V205" s="150">
        <v>88.01</v>
      </c>
      <c r="W205" s="150">
        <v>66.94</v>
      </c>
      <c r="X205" s="357">
        <f t="shared" si="80"/>
        <v>78.9499</v>
      </c>
      <c r="Y205" s="343">
        <v>400</v>
      </c>
      <c r="Z205" s="343">
        <v>320</v>
      </c>
      <c r="AA205" s="343">
        <f t="shared" si="77"/>
        <v>0.55555555555555558</v>
      </c>
      <c r="AB205" s="343">
        <f t="shared" si="78"/>
        <v>0.44444444444444442</v>
      </c>
      <c r="AF205" s="4">
        <f t="shared" si="81"/>
        <v>2021</v>
      </c>
      <c r="AG205" s="432">
        <f t="shared" si="84"/>
        <v>44501</v>
      </c>
      <c r="AH205" s="149">
        <f t="shared" si="79"/>
        <v>10.436470908102228</v>
      </c>
      <c r="AI205" s="150">
        <v>10.436470908102228</v>
      </c>
      <c r="AK205" s="4">
        <f t="shared" ref="AK205:AK268" si="88">YEAR(AL205)</f>
        <v>2020</v>
      </c>
      <c r="AL205" s="432">
        <v>44104</v>
      </c>
      <c r="AM205" s="4">
        <f t="shared" ref="AM205:AM268" si="89">AVERAGE(AN205:AO205)</f>
        <v>5.4949999999999992</v>
      </c>
      <c r="AN205" s="4">
        <v>5.56</v>
      </c>
      <c r="AO205" s="4">
        <v>5.43</v>
      </c>
      <c r="AQ205" s="4">
        <f t="shared" ref="AQ205:AQ268" si="90">YEAR(AR205)</f>
        <v>2024</v>
      </c>
      <c r="AR205" s="356">
        <v>45505</v>
      </c>
      <c r="AS205" s="4">
        <f t="shared" ref="AS205:AS268" si="91">AVERAGE(AT205:AU205)</f>
        <v>11.92</v>
      </c>
      <c r="AT205" s="4">
        <v>12.03</v>
      </c>
      <c r="AU205" s="4">
        <v>11.81</v>
      </c>
      <c r="AV205" s="515">
        <f t="shared" si="82"/>
        <v>2031</v>
      </c>
      <c r="AW205" s="535">
        <v>47880</v>
      </c>
      <c r="AX205" s="515">
        <f t="shared" si="86"/>
        <v>5.4470000000000001</v>
      </c>
      <c r="AY205" s="596">
        <f>'[12]Forward Price Curve'!AE286</f>
        <v>5.4397000000000002</v>
      </c>
      <c r="AZ205" s="596">
        <f>'[12]Forward Price Curve'!AD286</f>
        <v>5.4542999999999999</v>
      </c>
      <c r="BA205" s="629">
        <f t="shared" si="83"/>
        <v>2034</v>
      </c>
      <c r="BB205" s="633">
        <v>48976</v>
      </c>
      <c r="BC205" s="629">
        <f t="shared" si="87"/>
        <v>6.36965</v>
      </c>
      <c r="BD205" s="634">
        <f>[13]Prices!AO202</f>
        <v>6.5664999999999996</v>
      </c>
      <c r="BE205" s="634">
        <f>[13]Prices!AP202</f>
        <v>6.1727999999999996</v>
      </c>
    </row>
    <row r="206" spans="20:57">
      <c r="T206" s="4">
        <f t="shared" si="76"/>
        <v>2021</v>
      </c>
      <c r="U206" s="434">
        <f t="shared" si="85"/>
        <v>44531</v>
      </c>
      <c r="V206" s="150">
        <v>90.64</v>
      </c>
      <c r="W206" s="150">
        <v>75.510000000000005</v>
      </c>
      <c r="X206" s="357">
        <f t="shared" si="80"/>
        <v>84.134099999999989</v>
      </c>
      <c r="Y206" s="343">
        <v>416</v>
      </c>
      <c r="Z206" s="343">
        <v>328</v>
      </c>
      <c r="AA206" s="343">
        <f t="shared" si="77"/>
        <v>0.55913978494623651</v>
      </c>
      <c r="AB206" s="343">
        <f t="shared" si="78"/>
        <v>0.44086021505376344</v>
      </c>
      <c r="AF206" s="4">
        <f t="shared" si="81"/>
        <v>2021</v>
      </c>
      <c r="AG206" s="432">
        <f t="shared" si="84"/>
        <v>44531</v>
      </c>
      <c r="AH206" s="149">
        <f t="shared" si="79"/>
        <v>10.932664491571506</v>
      </c>
      <c r="AI206" s="150">
        <v>10.932664491571506</v>
      </c>
      <c r="AK206" s="4">
        <f t="shared" si="88"/>
        <v>2020</v>
      </c>
      <c r="AL206" s="432">
        <v>44135</v>
      </c>
      <c r="AM206" s="4">
        <f t="shared" si="89"/>
        <v>5.7050000000000001</v>
      </c>
      <c r="AN206" s="4">
        <v>5.73</v>
      </c>
      <c r="AO206" s="4">
        <v>5.68</v>
      </c>
      <c r="AQ206" s="4">
        <f t="shared" si="90"/>
        <v>2024</v>
      </c>
      <c r="AR206" s="356">
        <v>45536</v>
      </c>
      <c r="AS206" s="4">
        <f t="shared" si="91"/>
        <v>11.92</v>
      </c>
      <c r="AT206" s="4">
        <v>12.03</v>
      </c>
      <c r="AU206" s="4">
        <v>11.81</v>
      </c>
      <c r="AV206" s="515">
        <f t="shared" si="82"/>
        <v>2031</v>
      </c>
      <c r="AW206" s="535">
        <v>47908</v>
      </c>
      <c r="AX206" s="515">
        <f t="shared" si="86"/>
        <v>5.3154000000000003</v>
      </c>
      <c r="AY206" s="596">
        <f>'[12]Forward Price Curve'!AE287</f>
        <v>5.3227000000000002</v>
      </c>
      <c r="AZ206" s="596">
        <f>'[12]Forward Price Curve'!AD287</f>
        <v>5.3080999999999996</v>
      </c>
      <c r="BA206" s="629">
        <f t="shared" si="83"/>
        <v>2034</v>
      </c>
      <c r="BB206" s="633">
        <v>49004</v>
      </c>
      <c r="BC206" s="629">
        <f t="shared" si="87"/>
        <v>6.1020000000000003</v>
      </c>
      <c r="BD206" s="634">
        <f>[13]Prices!AO203</f>
        <v>6.3146000000000004</v>
      </c>
      <c r="BE206" s="634">
        <f>[13]Prices!AP203</f>
        <v>5.8894000000000002</v>
      </c>
    </row>
    <row r="207" spans="20:57">
      <c r="T207" s="4">
        <f t="shared" si="76"/>
        <v>2022</v>
      </c>
      <c r="U207" s="434">
        <f t="shared" si="85"/>
        <v>44562</v>
      </c>
      <c r="V207" s="150">
        <v>96.97</v>
      </c>
      <c r="W207" s="150">
        <v>86.9</v>
      </c>
      <c r="X207" s="357">
        <f t="shared" si="80"/>
        <v>92.639899999999997</v>
      </c>
      <c r="Y207" s="343">
        <v>400</v>
      </c>
      <c r="Z207" s="343">
        <v>344</v>
      </c>
      <c r="AA207" s="343">
        <f t="shared" si="77"/>
        <v>0.5376344086021505</v>
      </c>
      <c r="AB207" s="343">
        <f t="shared" si="78"/>
        <v>0.46236559139784944</v>
      </c>
      <c r="AF207" s="4">
        <f t="shared" si="81"/>
        <v>2022</v>
      </c>
      <c r="AG207" s="432">
        <f t="shared" si="84"/>
        <v>44562</v>
      </c>
      <c r="AH207" s="149">
        <f t="shared" si="79"/>
        <v>11.853681348558998</v>
      </c>
      <c r="AI207" s="150">
        <v>11.853681348558998</v>
      </c>
      <c r="AK207" s="4">
        <f t="shared" si="88"/>
        <v>2020</v>
      </c>
      <c r="AL207" s="432">
        <v>44165</v>
      </c>
      <c r="AM207" s="4">
        <f t="shared" si="89"/>
        <v>5.7850000000000001</v>
      </c>
      <c r="AN207" s="4">
        <v>5.81</v>
      </c>
      <c r="AO207" s="4">
        <v>5.76</v>
      </c>
      <c r="AQ207" s="4">
        <f t="shared" si="90"/>
        <v>2024</v>
      </c>
      <c r="AR207" s="356">
        <v>45566</v>
      </c>
      <c r="AS207" s="4">
        <f t="shared" si="91"/>
        <v>12.370000000000001</v>
      </c>
      <c r="AT207" s="4">
        <v>12.39</v>
      </c>
      <c r="AU207" s="4">
        <v>12.35</v>
      </c>
      <c r="AV207" s="515">
        <f t="shared" si="82"/>
        <v>2031</v>
      </c>
      <c r="AW207" s="535">
        <v>47939</v>
      </c>
      <c r="AX207" s="515">
        <f t="shared" si="86"/>
        <v>5.0521500000000001</v>
      </c>
      <c r="AY207" s="596">
        <f>'[12]Forward Price Curve'!AE288</f>
        <v>5.0887000000000002</v>
      </c>
      <c r="AZ207" s="596">
        <f>'[12]Forward Price Curve'!AD288</f>
        <v>5.0156000000000001</v>
      </c>
      <c r="BA207" s="629">
        <f t="shared" si="83"/>
        <v>2034</v>
      </c>
      <c r="BB207" s="633">
        <v>49035</v>
      </c>
      <c r="BC207" s="629">
        <f t="shared" si="87"/>
        <v>5.6768000000000001</v>
      </c>
      <c r="BD207" s="634">
        <f>[13]Prices!AO204</f>
        <v>5.9523999999999999</v>
      </c>
      <c r="BE207" s="634">
        <f>[13]Prices!AP204</f>
        <v>5.4012000000000002</v>
      </c>
    </row>
    <row r="208" spans="20:57">
      <c r="T208" s="4">
        <f t="shared" ref="T208:T271" si="92">+YEAR(U208)</f>
        <v>2022</v>
      </c>
      <c r="U208" s="434">
        <f t="shared" si="85"/>
        <v>44593</v>
      </c>
      <c r="V208" s="150">
        <v>92.93</v>
      </c>
      <c r="W208" s="150">
        <v>79.819999999999993</v>
      </c>
      <c r="X208" s="357">
        <f t="shared" si="80"/>
        <v>87.292699999999996</v>
      </c>
      <c r="Y208" s="343">
        <v>384</v>
      </c>
      <c r="Z208" s="343">
        <v>288</v>
      </c>
      <c r="AA208" s="343">
        <f t="shared" ref="AA208:AA271" si="93">Y208/(Y208+Z208)</f>
        <v>0.5714285714285714</v>
      </c>
      <c r="AB208" s="343">
        <f t="shared" ref="AB208:AB271" si="94">Z208/(Y208+Z208)</f>
        <v>0.42857142857142855</v>
      </c>
      <c r="AF208" s="4">
        <f t="shared" si="81"/>
        <v>2022</v>
      </c>
      <c r="AG208" s="432">
        <f t="shared" si="84"/>
        <v>44593</v>
      </c>
      <c r="AH208" s="149">
        <f t="shared" ref="AH208:AH271" si="95">AI208</f>
        <v>11.143376835236541</v>
      </c>
      <c r="AI208" s="150">
        <v>11.143376835236541</v>
      </c>
      <c r="AK208" s="4">
        <f t="shared" si="88"/>
        <v>2020</v>
      </c>
      <c r="AL208" s="432">
        <v>44196</v>
      </c>
      <c r="AM208" s="4">
        <f t="shared" si="89"/>
        <v>6.0749999999999993</v>
      </c>
      <c r="AN208" s="4">
        <v>6.05</v>
      </c>
      <c r="AO208" s="4">
        <v>6.1</v>
      </c>
      <c r="AQ208" s="4">
        <f t="shared" si="90"/>
        <v>2024</v>
      </c>
      <c r="AR208" s="356">
        <v>45597</v>
      </c>
      <c r="AS208" s="4">
        <f t="shared" si="91"/>
        <v>12.555</v>
      </c>
      <c r="AT208" s="4">
        <v>12.57</v>
      </c>
      <c r="AU208" s="4">
        <v>12.54</v>
      </c>
      <c r="AV208" s="515">
        <f t="shared" si="82"/>
        <v>2031</v>
      </c>
      <c r="AW208" s="535">
        <v>47969</v>
      </c>
      <c r="AX208" s="515">
        <f t="shared" si="86"/>
        <v>4.9132999999999996</v>
      </c>
      <c r="AY208" s="596">
        <f>'[12]Forward Price Curve'!AE289</f>
        <v>4.9718</v>
      </c>
      <c r="AZ208" s="596">
        <f>'[12]Forward Price Curve'!AD289</f>
        <v>4.8548</v>
      </c>
      <c r="BA208" s="629">
        <f t="shared" si="83"/>
        <v>2034</v>
      </c>
      <c r="BB208" s="633">
        <v>49065</v>
      </c>
      <c r="BC208" s="629">
        <f t="shared" si="87"/>
        <v>5.6925499999999998</v>
      </c>
      <c r="BD208" s="634">
        <f>[13]Prices!AO205</f>
        <v>5.9523999999999999</v>
      </c>
      <c r="BE208" s="634">
        <f>[13]Prices!AP205</f>
        <v>5.4326999999999996</v>
      </c>
    </row>
    <row r="209" spans="20:57">
      <c r="T209" s="4">
        <f t="shared" si="92"/>
        <v>2022</v>
      </c>
      <c r="U209" s="434">
        <f t="shared" si="85"/>
        <v>44621</v>
      </c>
      <c r="V209" s="150">
        <v>80.760000000000005</v>
      </c>
      <c r="W209" s="150">
        <v>74.260000000000005</v>
      </c>
      <c r="X209" s="357">
        <f t="shared" si="80"/>
        <v>77.965000000000003</v>
      </c>
      <c r="Y209" s="343">
        <v>432</v>
      </c>
      <c r="Z209" s="343">
        <v>312</v>
      </c>
      <c r="AA209" s="343">
        <f t="shared" si="93"/>
        <v>0.58064516129032262</v>
      </c>
      <c r="AB209" s="343">
        <f t="shared" si="94"/>
        <v>0.41935483870967744</v>
      </c>
      <c r="AF209" s="4">
        <f t="shared" si="81"/>
        <v>2022</v>
      </c>
      <c r="AG209" s="432">
        <f t="shared" si="84"/>
        <v>44621</v>
      </c>
      <c r="AH209" s="149">
        <f t="shared" si="95"/>
        <v>10.480652528548124</v>
      </c>
      <c r="AI209" s="150">
        <v>10.480652528548124</v>
      </c>
      <c r="AK209" s="4">
        <f t="shared" si="88"/>
        <v>2021</v>
      </c>
      <c r="AL209" s="432">
        <v>44227</v>
      </c>
      <c r="AM209" s="4">
        <f t="shared" si="89"/>
        <v>6.75</v>
      </c>
      <c r="AN209" s="4">
        <v>6.68</v>
      </c>
      <c r="AO209" s="4">
        <v>6.82</v>
      </c>
      <c r="AQ209" s="4">
        <f t="shared" si="90"/>
        <v>2024</v>
      </c>
      <c r="AR209" s="356">
        <v>45627</v>
      </c>
      <c r="AS209" s="4">
        <f t="shared" si="91"/>
        <v>13.18</v>
      </c>
      <c r="AT209" s="4">
        <v>13.1</v>
      </c>
      <c r="AU209" s="4">
        <v>13.26</v>
      </c>
      <c r="AV209" s="515">
        <f t="shared" si="82"/>
        <v>2031</v>
      </c>
      <c r="AW209" s="535">
        <v>48000</v>
      </c>
      <c r="AX209" s="515">
        <f t="shared" si="86"/>
        <v>4.9206000000000003</v>
      </c>
      <c r="AY209" s="596">
        <f>'[12]Forward Price Curve'!AE290</f>
        <v>4.9718</v>
      </c>
      <c r="AZ209" s="596">
        <f>'[12]Forward Price Curve'!AD290</f>
        <v>4.8693999999999997</v>
      </c>
      <c r="BA209" s="629">
        <f t="shared" si="83"/>
        <v>2034</v>
      </c>
      <c r="BB209" s="633">
        <v>49096</v>
      </c>
      <c r="BC209" s="629">
        <f t="shared" si="87"/>
        <v>5.7397999999999998</v>
      </c>
      <c r="BD209" s="634">
        <f>[13]Prices!AO206</f>
        <v>6.0153999999999996</v>
      </c>
      <c r="BE209" s="634">
        <f>[13]Prices!AP206</f>
        <v>5.4641999999999999</v>
      </c>
    </row>
    <row r="210" spans="20:57">
      <c r="T210" s="4">
        <f t="shared" si="92"/>
        <v>2022</v>
      </c>
      <c r="U210" s="434">
        <f t="shared" si="85"/>
        <v>44652</v>
      </c>
      <c r="V210" s="150">
        <v>77.569999999999993</v>
      </c>
      <c r="W210" s="150">
        <v>73.2</v>
      </c>
      <c r="X210" s="357">
        <f t="shared" si="80"/>
        <v>75.690899999999999</v>
      </c>
      <c r="Y210" s="343">
        <v>416</v>
      </c>
      <c r="Z210" s="343">
        <v>304</v>
      </c>
      <c r="AA210" s="343">
        <f t="shared" si="93"/>
        <v>0.57777777777777772</v>
      </c>
      <c r="AB210" s="343">
        <f t="shared" si="94"/>
        <v>0.42222222222222222</v>
      </c>
      <c r="AF210" s="4">
        <f t="shared" si="81"/>
        <v>2022</v>
      </c>
      <c r="AG210" s="432">
        <f t="shared" si="84"/>
        <v>44652</v>
      </c>
      <c r="AH210" s="149">
        <f t="shared" si="95"/>
        <v>9.9164872213159327</v>
      </c>
      <c r="AI210" s="150">
        <v>9.9164872213159327</v>
      </c>
      <c r="AK210" s="4">
        <f t="shared" si="88"/>
        <v>2021</v>
      </c>
      <c r="AL210" s="432">
        <v>44255</v>
      </c>
      <c r="AM210" s="4">
        <f t="shared" si="89"/>
        <v>6.2799999999999994</v>
      </c>
      <c r="AN210" s="4">
        <v>6.26</v>
      </c>
      <c r="AO210" s="4">
        <v>6.3</v>
      </c>
      <c r="AQ210" s="4">
        <f t="shared" si="90"/>
        <v>2025</v>
      </c>
      <c r="AR210" s="356">
        <v>45658</v>
      </c>
      <c r="AS210" s="4">
        <f t="shared" si="91"/>
        <v>14.42</v>
      </c>
      <c r="AT210" s="4">
        <v>14.23</v>
      </c>
      <c r="AU210" s="4">
        <v>14.61</v>
      </c>
      <c r="AV210" s="515">
        <f t="shared" si="82"/>
        <v>2031</v>
      </c>
      <c r="AW210" s="535">
        <v>48030</v>
      </c>
      <c r="AX210" s="515">
        <f t="shared" si="86"/>
        <v>4.9644500000000003</v>
      </c>
      <c r="AY210" s="596">
        <f>'[12]Forward Price Curve'!AE291</f>
        <v>5.0449000000000002</v>
      </c>
      <c r="AZ210" s="596">
        <f>'[12]Forward Price Curve'!AD291</f>
        <v>4.8840000000000003</v>
      </c>
      <c r="BA210" s="629">
        <f t="shared" si="83"/>
        <v>2034</v>
      </c>
      <c r="BB210" s="633">
        <v>49126</v>
      </c>
      <c r="BC210" s="629">
        <f t="shared" si="87"/>
        <v>5.92875</v>
      </c>
      <c r="BD210" s="634">
        <f>[13]Prices!AO207</f>
        <v>6.1727999999999996</v>
      </c>
      <c r="BE210" s="634">
        <f>[13]Prices!AP207</f>
        <v>5.6847000000000003</v>
      </c>
    </row>
    <row r="211" spans="20:57">
      <c r="T211" s="4">
        <f t="shared" si="92"/>
        <v>2022</v>
      </c>
      <c r="U211" s="434">
        <f t="shared" si="85"/>
        <v>44682</v>
      </c>
      <c r="V211" s="150">
        <v>82.12</v>
      </c>
      <c r="W211" s="150">
        <v>67.64</v>
      </c>
      <c r="X211" s="357">
        <f t="shared" si="80"/>
        <v>75.893599999999992</v>
      </c>
      <c r="Y211" s="343">
        <v>400</v>
      </c>
      <c r="Z211" s="343">
        <v>344</v>
      </c>
      <c r="AA211" s="343">
        <f t="shared" si="93"/>
        <v>0.5376344086021505</v>
      </c>
      <c r="AB211" s="343">
        <f t="shared" si="94"/>
        <v>0.46236559139784944</v>
      </c>
      <c r="AF211" s="4">
        <f t="shared" si="81"/>
        <v>2022</v>
      </c>
      <c r="AG211" s="432">
        <f t="shared" si="84"/>
        <v>44682</v>
      </c>
      <c r="AH211" s="149">
        <f t="shared" si="95"/>
        <v>9.8145296356715583</v>
      </c>
      <c r="AI211" s="150">
        <v>9.8145296356715583</v>
      </c>
      <c r="AK211" s="4">
        <f t="shared" si="88"/>
        <v>2021</v>
      </c>
      <c r="AL211" s="432">
        <v>44286</v>
      </c>
      <c r="AM211" s="4">
        <f t="shared" si="89"/>
        <v>5.8949999999999996</v>
      </c>
      <c r="AN211" s="4">
        <v>5.92</v>
      </c>
      <c r="AO211" s="4">
        <v>5.87</v>
      </c>
      <c r="AQ211" s="4">
        <f t="shared" si="90"/>
        <v>2025</v>
      </c>
      <c r="AR211" s="356">
        <v>45689</v>
      </c>
      <c r="AS211" s="4">
        <f t="shared" si="91"/>
        <v>13.414999999999999</v>
      </c>
      <c r="AT211" s="4">
        <v>13.33</v>
      </c>
      <c r="AU211" s="4">
        <v>13.5</v>
      </c>
      <c r="AV211" s="515">
        <f t="shared" si="82"/>
        <v>2031</v>
      </c>
      <c r="AW211" s="535">
        <v>48061</v>
      </c>
      <c r="AX211" s="515">
        <f t="shared" si="86"/>
        <v>5.1033499999999998</v>
      </c>
      <c r="AY211" s="596">
        <f>'[12]Forward Price Curve'!AE292</f>
        <v>5.1326000000000001</v>
      </c>
      <c r="AZ211" s="596">
        <f>'[12]Forward Price Curve'!AD292</f>
        <v>5.0740999999999996</v>
      </c>
      <c r="BA211" s="629">
        <f t="shared" si="83"/>
        <v>2034</v>
      </c>
      <c r="BB211" s="633">
        <v>49157</v>
      </c>
      <c r="BC211" s="629">
        <f t="shared" si="87"/>
        <v>5.9917499999999997</v>
      </c>
      <c r="BD211" s="634">
        <f>[13]Prices!AO208</f>
        <v>6.2201000000000004</v>
      </c>
      <c r="BE211" s="634">
        <f>[13]Prices!AP208</f>
        <v>5.7633999999999999</v>
      </c>
    </row>
    <row r="212" spans="20:57">
      <c r="T212" s="4">
        <f t="shared" si="92"/>
        <v>2022</v>
      </c>
      <c r="U212" s="434">
        <f t="shared" si="85"/>
        <v>44713</v>
      </c>
      <c r="V212" s="150">
        <v>83.55</v>
      </c>
      <c r="W212" s="150">
        <v>71.86</v>
      </c>
      <c r="X212" s="357">
        <f t="shared" si="80"/>
        <v>78.523299999999992</v>
      </c>
      <c r="Y212" s="343">
        <v>416</v>
      </c>
      <c r="Z212" s="343">
        <v>304</v>
      </c>
      <c r="AA212" s="343">
        <f t="shared" si="93"/>
        <v>0.57777777777777772</v>
      </c>
      <c r="AB212" s="343">
        <f t="shared" si="94"/>
        <v>0.42222222222222222</v>
      </c>
      <c r="AF212" s="4">
        <f t="shared" si="81"/>
        <v>2022</v>
      </c>
      <c r="AG212" s="432">
        <f t="shared" si="84"/>
        <v>44713</v>
      </c>
      <c r="AH212" s="149">
        <f t="shared" si="95"/>
        <v>9.970864600326264</v>
      </c>
      <c r="AI212" s="150">
        <v>9.970864600326264</v>
      </c>
      <c r="AK212" s="4">
        <f t="shared" si="88"/>
        <v>2021</v>
      </c>
      <c r="AL212" s="432">
        <v>44316</v>
      </c>
      <c r="AM212" s="4">
        <f t="shared" si="89"/>
        <v>5.51</v>
      </c>
      <c r="AN212" s="4">
        <v>5.58</v>
      </c>
      <c r="AO212" s="4">
        <v>5.44</v>
      </c>
      <c r="AQ212" s="4">
        <f t="shared" si="90"/>
        <v>2025</v>
      </c>
      <c r="AR212" s="356">
        <v>45717</v>
      </c>
      <c r="AS212" s="4">
        <f t="shared" si="91"/>
        <v>12.594999999999999</v>
      </c>
      <c r="AT212" s="4">
        <v>12.61</v>
      </c>
      <c r="AU212" s="4">
        <v>12.58</v>
      </c>
      <c r="AV212" s="515">
        <f t="shared" si="82"/>
        <v>2031</v>
      </c>
      <c r="AW212" s="535">
        <v>48092</v>
      </c>
      <c r="AX212" s="515">
        <f t="shared" si="86"/>
        <v>5.1033999999999997</v>
      </c>
      <c r="AY212" s="596">
        <f>'[12]Forward Price Curve'!AE293</f>
        <v>5.1033999999999997</v>
      </c>
      <c r="AZ212" s="596">
        <f>'[12]Forward Price Curve'!AD293</f>
        <v>5.1033999999999997</v>
      </c>
      <c r="BA212" s="629">
        <f t="shared" si="83"/>
        <v>2034</v>
      </c>
      <c r="BB212" s="633">
        <v>49188</v>
      </c>
      <c r="BC212" s="629">
        <f t="shared" si="87"/>
        <v>5.9130000000000003</v>
      </c>
      <c r="BD212" s="634">
        <f>[13]Prices!AO209</f>
        <v>6.2042999999999999</v>
      </c>
      <c r="BE212" s="634">
        <f>[13]Prices!AP209</f>
        <v>5.6216999999999997</v>
      </c>
    </row>
    <row r="213" spans="20:57">
      <c r="T213" s="4">
        <f t="shared" si="92"/>
        <v>2022</v>
      </c>
      <c r="U213" s="434">
        <f t="shared" si="85"/>
        <v>44743</v>
      </c>
      <c r="V213" s="150">
        <v>80.959999999999994</v>
      </c>
      <c r="W213" s="150">
        <v>77.08</v>
      </c>
      <c r="X213" s="357">
        <f t="shared" si="80"/>
        <v>79.291599999999988</v>
      </c>
      <c r="Y213" s="343">
        <v>400</v>
      </c>
      <c r="Z213" s="343">
        <v>344</v>
      </c>
      <c r="AA213" s="343">
        <f t="shared" si="93"/>
        <v>0.5376344086021505</v>
      </c>
      <c r="AB213" s="343">
        <f t="shared" si="94"/>
        <v>0.46236559139784944</v>
      </c>
      <c r="AF213" s="4">
        <f t="shared" si="81"/>
        <v>2022</v>
      </c>
      <c r="AG213" s="432">
        <f t="shared" si="84"/>
        <v>44743</v>
      </c>
      <c r="AH213" s="149">
        <f t="shared" si="95"/>
        <v>10.123800978792822</v>
      </c>
      <c r="AI213" s="150">
        <v>10.123800978792822</v>
      </c>
      <c r="AK213" s="4">
        <f t="shared" si="88"/>
        <v>2021</v>
      </c>
      <c r="AL213" s="432">
        <v>44347</v>
      </c>
      <c r="AM213" s="4">
        <f t="shared" si="89"/>
        <v>5.51</v>
      </c>
      <c r="AN213" s="4">
        <v>5.58</v>
      </c>
      <c r="AO213" s="4">
        <v>5.44</v>
      </c>
      <c r="AQ213" s="4">
        <f t="shared" si="90"/>
        <v>2025</v>
      </c>
      <c r="AR213" s="356">
        <v>45748</v>
      </c>
      <c r="AS213" s="4">
        <f t="shared" si="91"/>
        <v>11.77</v>
      </c>
      <c r="AT213" s="4">
        <v>11.89</v>
      </c>
      <c r="AU213" s="4">
        <v>11.65</v>
      </c>
      <c r="AV213" s="515">
        <f t="shared" si="82"/>
        <v>2031</v>
      </c>
      <c r="AW213" s="535">
        <v>48122</v>
      </c>
      <c r="AX213" s="515">
        <f t="shared" si="86"/>
        <v>5.1691500000000001</v>
      </c>
      <c r="AY213" s="596">
        <f>'[12]Forward Price Curve'!AE294</f>
        <v>5.1471999999999998</v>
      </c>
      <c r="AZ213" s="596">
        <f>'[12]Forward Price Curve'!AD294</f>
        <v>5.1910999999999996</v>
      </c>
      <c r="BA213" s="629">
        <f t="shared" si="83"/>
        <v>2034</v>
      </c>
      <c r="BB213" s="633">
        <v>49218</v>
      </c>
      <c r="BC213" s="629">
        <f t="shared" si="87"/>
        <v>5.9917499999999997</v>
      </c>
      <c r="BD213" s="634">
        <f>[13]Prices!AO210</f>
        <v>6.2988</v>
      </c>
      <c r="BE213" s="634">
        <f>[13]Prices!AP210</f>
        <v>5.6847000000000003</v>
      </c>
    </row>
    <row r="214" spans="20:57">
      <c r="T214" s="4">
        <f t="shared" si="92"/>
        <v>2022</v>
      </c>
      <c r="U214" s="434">
        <f t="shared" si="85"/>
        <v>44774</v>
      </c>
      <c r="V214" s="150">
        <v>82.94</v>
      </c>
      <c r="W214" s="150">
        <v>77.73</v>
      </c>
      <c r="X214" s="357">
        <f t="shared" si="80"/>
        <v>80.699700000000007</v>
      </c>
      <c r="Y214" s="343">
        <v>432</v>
      </c>
      <c r="Z214" s="343">
        <v>312</v>
      </c>
      <c r="AA214" s="343">
        <f t="shared" si="93"/>
        <v>0.58064516129032262</v>
      </c>
      <c r="AB214" s="343">
        <f t="shared" si="94"/>
        <v>0.41935483870967744</v>
      </c>
      <c r="AF214" s="4">
        <f t="shared" si="81"/>
        <v>2022</v>
      </c>
      <c r="AG214" s="432">
        <f t="shared" si="84"/>
        <v>44774</v>
      </c>
      <c r="AH214" s="149">
        <f t="shared" si="95"/>
        <v>10.123800978792822</v>
      </c>
      <c r="AI214" s="150">
        <v>10.123800978792822</v>
      </c>
      <c r="AK214" s="4">
        <f t="shared" si="88"/>
        <v>2021</v>
      </c>
      <c r="AL214" s="432">
        <v>44377</v>
      </c>
      <c r="AM214" s="4">
        <f t="shared" si="89"/>
        <v>5.6</v>
      </c>
      <c r="AN214" s="4">
        <v>5.67</v>
      </c>
      <c r="AO214" s="4">
        <v>5.53</v>
      </c>
      <c r="AQ214" s="4">
        <f t="shared" si="90"/>
        <v>2025</v>
      </c>
      <c r="AR214" s="356">
        <v>45778</v>
      </c>
      <c r="AS214" s="4">
        <f t="shared" si="91"/>
        <v>11.77</v>
      </c>
      <c r="AT214" s="4">
        <v>11.89</v>
      </c>
      <c r="AU214" s="4">
        <v>11.65</v>
      </c>
      <c r="AV214" s="515">
        <f t="shared" si="82"/>
        <v>2031</v>
      </c>
      <c r="AW214" s="535">
        <v>48153</v>
      </c>
      <c r="AX214" s="515">
        <f t="shared" si="86"/>
        <v>5.33</v>
      </c>
      <c r="AY214" s="596">
        <f>'[12]Forward Price Curve'!AE295</f>
        <v>5.3227000000000002</v>
      </c>
      <c r="AZ214" s="596">
        <f>'[12]Forward Price Curve'!AD295</f>
        <v>5.3372999999999999</v>
      </c>
      <c r="BA214" s="629">
        <f t="shared" si="83"/>
        <v>2034</v>
      </c>
      <c r="BB214" s="633">
        <v>49249</v>
      </c>
      <c r="BC214" s="629">
        <f t="shared" si="87"/>
        <v>6.1964500000000005</v>
      </c>
      <c r="BD214" s="634">
        <f>[13]Prices!AO211</f>
        <v>6.4562999999999997</v>
      </c>
      <c r="BE214" s="634">
        <f>[13]Prices!AP211</f>
        <v>5.9366000000000003</v>
      </c>
    </row>
    <row r="215" spans="20:57">
      <c r="T215" s="4">
        <f t="shared" si="92"/>
        <v>2022</v>
      </c>
      <c r="U215" s="434">
        <f t="shared" si="85"/>
        <v>44805</v>
      </c>
      <c r="V215" s="150">
        <v>81.709999999999994</v>
      </c>
      <c r="W215" s="150">
        <v>76.489999999999995</v>
      </c>
      <c r="X215" s="357">
        <f t="shared" si="80"/>
        <v>79.465399999999988</v>
      </c>
      <c r="Y215" s="343">
        <v>400</v>
      </c>
      <c r="Z215" s="343">
        <v>320</v>
      </c>
      <c r="AA215" s="343">
        <f t="shared" si="93"/>
        <v>0.55555555555555558</v>
      </c>
      <c r="AB215" s="343">
        <f t="shared" si="94"/>
        <v>0.44444444444444442</v>
      </c>
      <c r="AF215" s="4">
        <f t="shared" si="81"/>
        <v>2022</v>
      </c>
      <c r="AG215" s="432">
        <f t="shared" si="84"/>
        <v>44805</v>
      </c>
      <c r="AH215" s="149">
        <f t="shared" si="95"/>
        <v>10.123800978792822</v>
      </c>
      <c r="AI215" s="150">
        <v>10.123800978792822</v>
      </c>
      <c r="AK215" s="4">
        <f t="shared" si="88"/>
        <v>2021</v>
      </c>
      <c r="AL215" s="432">
        <v>44408</v>
      </c>
      <c r="AM215" s="4">
        <f t="shared" si="89"/>
        <v>5.68</v>
      </c>
      <c r="AN215" s="4">
        <v>5.75</v>
      </c>
      <c r="AO215" s="4">
        <v>5.61</v>
      </c>
      <c r="AQ215" s="4">
        <f t="shared" si="90"/>
        <v>2025</v>
      </c>
      <c r="AR215" s="356">
        <v>45809</v>
      </c>
      <c r="AS215" s="4">
        <f t="shared" si="91"/>
        <v>11.955</v>
      </c>
      <c r="AT215" s="4">
        <v>12.07</v>
      </c>
      <c r="AU215" s="4">
        <v>11.84</v>
      </c>
      <c r="AV215" s="515">
        <f t="shared" si="82"/>
        <v>2031</v>
      </c>
      <c r="AW215" s="535">
        <v>48183</v>
      </c>
      <c r="AX215" s="515">
        <f t="shared" si="86"/>
        <v>5.5566499999999994</v>
      </c>
      <c r="AY215" s="596">
        <f>'[12]Forward Price Curve'!AE296</f>
        <v>5.5419999999999998</v>
      </c>
      <c r="AZ215" s="596">
        <f>'[12]Forward Price Curve'!AD296</f>
        <v>5.5712999999999999</v>
      </c>
      <c r="BA215" s="629">
        <f t="shared" si="83"/>
        <v>2034</v>
      </c>
      <c r="BB215" s="633">
        <v>49279</v>
      </c>
      <c r="BC215" s="629">
        <f t="shared" si="87"/>
        <v>6.6452500000000008</v>
      </c>
      <c r="BD215" s="634">
        <f>[13]Prices!AO212</f>
        <v>6.8185000000000002</v>
      </c>
      <c r="BE215" s="634">
        <f>[13]Prices!AP212</f>
        <v>6.4720000000000004</v>
      </c>
    </row>
    <row r="216" spans="20:57">
      <c r="T216" s="4">
        <f t="shared" si="92"/>
        <v>2022</v>
      </c>
      <c r="U216" s="434">
        <f t="shared" si="85"/>
        <v>44835</v>
      </c>
      <c r="V216" s="150">
        <v>81.78</v>
      </c>
      <c r="W216" s="150">
        <v>74.319999999999993</v>
      </c>
      <c r="X216" s="357">
        <f t="shared" ref="X216:X279" si="96">V216*0.57+W216*0.43</f>
        <v>78.572199999999995</v>
      </c>
      <c r="Y216" s="343">
        <v>416</v>
      </c>
      <c r="Z216" s="343">
        <v>328</v>
      </c>
      <c r="AA216" s="343">
        <f t="shared" si="93"/>
        <v>0.55913978494623651</v>
      </c>
      <c r="AB216" s="343">
        <f t="shared" si="94"/>
        <v>0.44086021505376344</v>
      </c>
      <c r="AF216" s="4">
        <f t="shared" si="81"/>
        <v>2022</v>
      </c>
      <c r="AG216" s="432">
        <f t="shared" si="84"/>
        <v>44835</v>
      </c>
      <c r="AH216" s="149">
        <f t="shared" si="95"/>
        <v>10.480652528548124</v>
      </c>
      <c r="AI216" s="150">
        <v>10.480652528548124</v>
      </c>
      <c r="AK216" s="4">
        <f t="shared" si="88"/>
        <v>2021</v>
      </c>
      <c r="AL216" s="432">
        <v>44439</v>
      </c>
      <c r="AM216" s="4">
        <f t="shared" si="89"/>
        <v>5.68</v>
      </c>
      <c r="AN216" s="4">
        <v>5.75</v>
      </c>
      <c r="AO216" s="4">
        <v>5.61</v>
      </c>
      <c r="AQ216" s="4">
        <f t="shared" si="90"/>
        <v>2025</v>
      </c>
      <c r="AR216" s="356">
        <v>45839</v>
      </c>
      <c r="AS216" s="4">
        <f t="shared" si="91"/>
        <v>12.135</v>
      </c>
      <c r="AT216" s="4">
        <v>12.25</v>
      </c>
      <c r="AU216" s="4">
        <v>12.02</v>
      </c>
      <c r="AV216" s="515">
        <f t="shared" si="82"/>
        <v>2032</v>
      </c>
      <c r="AW216" s="535">
        <v>48214</v>
      </c>
      <c r="AX216" s="515">
        <f t="shared" si="86"/>
        <v>5.6938499999999994</v>
      </c>
      <c r="AY216" s="596">
        <f>'[12]Forward Price Curve'!AE297</f>
        <v>5.6788999999999996</v>
      </c>
      <c r="AZ216" s="596">
        <f>'[12]Forward Price Curve'!AD297</f>
        <v>5.7088000000000001</v>
      </c>
      <c r="BA216" s="629">
        <f t="shared" si="83"/>
        <v>2035</v>
      </c>
      <c r="BB216" s="633">
        <v>49310</v>
      </c>
      <c r="BC216" s="629">
        <f t="shared" si="87"/>
        <v>6.6224500000000006</v>
      </c>
      <c r="BD216" s="634">
        <f>[13]Prices!AO213</f>
        <v>6.8879999999999999</v>
      </c>
      <c r="BE216" s="634">
        <f>[13]Prices!AP213</f>
        <v>6.3569000000000004</v>
      </c>
    </row>
    <row r="217" spans="20:57">
      <c r="T217" s="4">
        <f t="shared" si="92"/>
        <v>2022</v>
      </c>
      <c r="U217" s="434">
        <f t="shared" si="85"/>
        <v>44866</v>
      </c>
      <c r="V217" s="150">
        <v>90.34</v>
      </c>
      <c r="W217" s="150">
        <v>72.010000000000005</v>
      </c>
      <c r="X217" s="357">
        <f t="shared" si="96"/>
        <v>82.458100000000002</v>
      </c>
      <c r="Y217" s="343">
        <v>400</v>
      </c>
      <c r="Z217" s="343">
        <v>320</v>
      </c>
      <c r="AA217" s="343">
        <f t="shared" si="93"/>
        <v>0.55555555555555558</v>
      </c>
      <c r="AB217" s="343">
        <f t="shared" si="94"/>
        <v>0.44444444444444442</v>
      </c>
      <c r="AF217" s="4">
        <f t="shared" si="81"/>
        <v>2022</v>
      </c>
      <c r="AG217" s="432">
        <f t="shared" si="84"/>
        <v>44866</v>
      </c>
      <c r="AH217" s="149">
        <f t="shared" si="95"/>
        <v>10.630190320826536</v>
      </c>
      <c r="AI217" s="150">
        <v>10.630190320826536</v>
      </c>
      <c r="AK217" s="4">
        <f t="shared" si="88"/>
        <v>2021</v>
      </c>
      <c r="AL217" s="432">
        <v>44469</v>
      </c>
      <c r="AM217" s="4">
        <f t="shared" si="89"/>
        <v>5.68</v>
      </c>
      <c r="AN217" s="4">
        <v>5.75</v>
      </c>
      <c r="AO217" s="4">
        <v>5.61</v>
      </c>
      <c r="AQ217" s="4">
        <f t="shared" si="90"/>
        <v>2025</v>
      </c>
      <c r="AR217" s="356">
        <v>45870</v>
      </c>
      <c r="AS217" s="4">
        <f t="shared" si="91"/>
        <v>12.135</v>
      </c>
      <c r="AT217" s="4">
        <v>12.25</v>
      </c>
      <c r="AU217" s="4">
        <v>12.02</v>
      </c>
      <c r="AV217" s="515">
        <f t="shared" si="82"/>
        <v>2032</v>
      </c>
      <c r="AW217" s="535">
        <v>48245</v>
      </c>
      <c r="AX217" s="515">
        <f t="shared" si="86"/>
        <v>5.7386499999999998</v>
      </c>
      <c r="AY217" s="596">
        <f>'[12]Forward Price Curve'!AE298</f>
        <v>5.7237</v>
      </c>
      <c r="AZ217" s="596">
        <f>'[12]Forward Price Curve'!AD298</f>
        <v>5.7535999999999996</v>
      </c>
      <c r="BA217" s="629">
        <f t="shared" si="83"/>
        <v>2035</v>
      </c>
      <c r="BB217" s="633">
        <v>49341</v>
      </c>
      <c r="BC217" s="629">
        <f t="shared" si="87"/>
        <v>6.6466000000000003</v>
      </c>
      <c r="BD217" s="634">
        <f>[13]Prices!AO214</f>
        <v>6.9202000000000004</v>
      </c>
      <c r="BE217" s="634">
        <f>[13]Prices!AP214</f>
        <v>6.3730000000000002</v>
      </c>
    </row>
    <row r="218" spans="20:57">
      <c r="T218" s="4">
        <f t="shared" si="92"/>
        <v>2022</v>
      </c>
      <c r="U218" s="434">
        <f t="shared" si="85"/>
        <v>44896</v>
      </c>
      <c r="V218" s="150">
        <v>91.48</v>
      </c>
      <c r="W218" s="150">
        <v>75.459999999999994</v>
      </c>
      <c r="X218" s="357">
        <f t="shared" si="96"/>
        <v>84.591399999999993</v>
      </c>
      <c r="Y218" s="343">
        <v>416</v>
      </c>
      <c r="Z218" s="343">
        <v>328</v>
      </c>
      <c r="AA218" s="343">
        <f t="shared" si="93"/>
        <v>0.55913978494623651</v>
      </c>
      <c r="AB218" s="343">
        <f t="shared" si="94"/>
        <v>0.44086021505376344</v>
      </c>
      <c r="AF218" s="4">
        <f t="shared" si="81"/>
        <v>2022</v>
      </c>
      <c r="AG218" s="432">
        <f t="shared" si="84"/>
        <v>44896</v>
      </c>
      <c r="AH218" s="149">
        <f t="shared" si="95"/>
        <v>11.143376835236541</v>
      </c>
      <c r="AI218" s="150">
        <v>11.143376835236541</v>
      </c>
      <c r="AK218" s="4">
        <f t="shared" si="88"/>
        <v>2021</v>
      </c>
      <c r="AL218" s="432">
        <v>44500</v>
      </c>
      <c r="AM218" s="4">
        <f t="shared" si="89"/>
        <v>5.8949999999999996</v>
      </c>
      <c r="AN218" s="4">
        <v>5.92</v>
      </c>
      <c r="AO218" s="4">
        <v>5.87</v>
      </c>
      <c r="AQ218" s="4">
        <f t="shared" si="90"/>
        <v>2025</v>
      </c>
      <c r="AR218" s="356">
        <v>45901</v>
      </c>
      <c r="AS218" s="4">
        <f t="shared" si="91"/>
        <v>12.135</v>
      </c>
      <c r="AT218" s="4">
        <v>12.25</v>
      </c>
      <c r="AU218" s="4">
        <v>12.02</v>
      </c>
      <c r="AV218" s="515">
        <f t="shared" si="82"/>
        <v>2032</v>
      </c>
      <c r="AW218" s="535">
        <v>48274</v>
      </c>
      <c r="AX218" s="515">
        <f t="shared" si="86"/>
        <v>5.5070499999999996</v>
      </c>
      <c r="AY218" s="596">
        <f>'[12]Forward Price Curve'!AE299</f>
        <v>5.4996</v>
      </c>
      <c r="AZ218" s="596">
        <f>'[12]Forward Price Curve'!AD299</f>
        <v>5.5145</v>
      </c>
      <c r="BA218" s="629">
        <f t="shared" si="83"/>
        <v>2035</v>
      </c>
      <c r="BB218" s="633">
        <v>49369</v>
      </c>
      <c r="BC218" s="629">
        <f t="shared" si="87"/>
        <v>5.8902000000000001</v>
      </c>
      <c r="BD218" s="634">
        <f>[13]Prices!AO215</f>
        <v>6.1638000000000002</v>
      </c>
      <c r="BE218" s="634">
        <f>[13]Prices!AP215</f>
        <v>5.6166</v>
      </c>
    </row>
    <row r="219" spans="20:57">
      <c r="T219" s="4">
        <f t="shared" si="92"/>
        <v>2023</v>
      </c>
      <c r="U219" s="434">
        <f t="shared" si="85"/>
        <v>44927</v>
      </c>
      <c r="V219" s="150">
        <v>99.66</v>
      </c>
      <c r="W219" s="150">
        <v>87.05</v>
      </c>
      <c r="X219" s="357">
        <f t="shared" si="96"/>
        <v>94.23769999999999</v>
      </c>
      <c r="Y219" s="343">
        <v>400</v>
      </c>
      <c r="Z219" s="343">
        <v>344</v>
      </c>
      <c r="AA219" s="343">
        <f t="shared" si="93"/>
        <v>0.5376344086021505</v>
      </c>
      <c r="AB219" s="343">
        <f t="shared" si="94"/>
        <v>0.46236559139784944</v>
      </c>
      <c r="AF219" s="4">
        <f t="shared" si="81"/>
        <v>2023</v>
      </c>
      <c r="AG219" s="432">
        <f t="shared" si="84"/>
        <v>44927</v>
      </c>
      <c r="AH219" s="149">
        <f t="shared" si="95"/>
        <v>12.081386623164763</v>
      </c>
      <c r="AI219" s="150">
        <v>12.081386623164763</v>
      </c>
      <c r="AK219" s="4">
        <f t="shared" si="88"/>
        <v>2021</v>
      </c>
      <c r="AL219" s="432">
        <v>44530</v>
      </c>
      <c r="AM219" s="4">
        <f t="shared" si="89"/>
        <v>5.9849999999999994</v>
      </c>
      <c r="AN219" s="4">
        <v>6.01</v>
      </c>
      <c r="AO219" s="4">
        <v>5.96</v>
      </c>
      <c r="AQ219" s="4">
        <f t="shared" si="90"/>
        <v>2025</v>
      </c>
      <c r="AR219" s="356">
        <v>45931</v>
      </c>
      <c r="AS219" s="4">
        <f t="shared" si="91"/>
        <v>12.594999999999999</v>
      </c>
      <c r="AT219" s="4">
        <v>12.61</v>
      </c>
      <c r="AU219" s="4">
        <v>12.58</v>
      </c>
      <c r="AV219" s="515">
        <f t="shared" si="82"/>
        <v>2032</v>
      </c>
      <c r="AW219" s="535">
        <v>48305</v>
      </c>
      <c r="AX219" s="515">
        <f t="shared" si="86"/>
        <v>5.2380500000000003</v>
      </c>
      <c r="AY219" s="596">
        <f>'[12]Forward Price Curve'!AE300</f>
        <v>5.2754000000000003</v>
      </c>
      <c r="AZ219" s="596">
        <f>'[12]Forward Price Curve'!AD300</f>
        <v>5.2007000000000003</v>
      </c>
      <c r="BA219" s="629">
        <f t="shared" si="83"/>
        <v>2035</v>
      </c>
      <c r="BB219" s="633">
        <v>49400</v>
      </c>
      <c r="BC219" s="629">
        <f t="shared" si="87"/>
        <v>5.2866999999999997</v>
      </c>
      <c r="BD219" s="634">
        <f>[13]Prices!AO216</f>
        <v>5.6005000000000003</v>
      </c>
      <c r="BE219" s="634">
        <f>[13]Prices!AP216</f>
        <v>4.9729000000000001</v>
      </c>
    </row>
    <row r="220" spans="20:57">
      <c r="T220" s="4">
        <f t="shared" si="92"/>
        <v>2023</v>
      </c>
      <c r="U220" s="434">
        <f t="shared" si="85"/>
        <v>44958</v>
      </c>
      <c r="V220" s="150">
        <v>93.42</v>
      </c>
      <c r="W220" s="150">
        <v>80.260000000000005</v>
      </c>
      <c r="X220" s="357">
        <f t="shared" si="96"/>
        <v>87.761200000000002</v>
      </c>
      <c r="Y220" s="343">
        <v>384</v>
      </c>
      <c r="Z220" s="343">
        <v>288</v>
      </c>
      <c r="AA220" s="343">
        <f t="shared" si="93"/>
        <v>0.5714285714285714</v>
      </c>
      <c r="AB220" s="343">
        <f t="shared" si="94"/>
        <v>0.42857142857142855</v>
      </c>
      <c r="AF220" s="4">
        <f t="shared" ref="AF220:AF283" si="97">+YEAR(AG220)</f>
        <v>2023</v>
      </c>
      <c r="AG220" s="432">
        <f t="shared" si="84"/>
        <v>44958</v>
      </c>
      <c r="AH220" s="149">
        <f t="shared" si="95"/>
        <v>11.354089178901576</v>
      </c>
      <c r="AI220" s="150">
        <v>11.354089178901576</v>
      </c>
      <c r="AK220" s="4">
        <f t="shared" si="88"/>
        <v>2021</v>
      </c>
      <c r="AL220" s="432">
        <v>44561</v>
      </c>
      <c r="AM220" s="4">
        <f t="shared" si="89"/>
        <v>6.2799999999999994</v>
      </c>
      <c r="AN220" s="4">
        <v>6.26</v>
      </c>
      <c r="AO220" s="4">
        <v>6.3</v>
      </c>
      <c r="AQ220" s="4">
        <f t="shared" si="90"/>
        <v>2025</v>
      </c>
      <c r="AR220" s="356">
        <v>45962</v>
      </c>
      <c r="AS220" s="4">
        <f t="shared" si="91"/>
        <v>12.774999999999999</v>
      </c>
      <c r="AT220" s="4">
        <v>12.79</v>
      </c>
      <c r="AU220" s="4">
        <v>12.76</v>
      </c>
      <c r="AV220" s="515">
        <f t="shared" ref="AV220:AV283" si="98">YEAR(AW220)</f>
        <v>2032</v>
      </c>
      <c r="AW220" s="535">
        <v>48335</v>
      </c>
      <c r="AX220" s="515">
        <f t="shared" si="86"/>
        <v>4.9764999999999997</v>
      </c>
      <c r="AY220" s="596">
        <f>'[12]Forward Price Curve'!AE301</f>
        <v>5.0064000000000002</v>
      </c>
      <c r="AZ220" s="596">
        <f>'[12]Forward Price Curve'!AD301</f>
        <v>4.9466000000000001</v>
      </c>
      <c r="BA220" s="629">
        <f t="shared" ref="BA220:BA283" si="99">YEAR(BB220)</f>
        <v>2035</v>
      </c>
      <c r="BB220" s="633">
        <v>49430</v>
      </c>
      <c r="BC220" s="629">
        <f t="shared" si="87"/>
        <v>5.2706</v>
      </c>
      <c r="BD220" s="634">
        <f>[13]Prices!AO217</f>
        <v>5.5843999999999996</v>
      </c>
      <c r="BE220" s="634">
        <f>[13]Prices!AP217</f>
        <v>4.9568000000000003</v>
      </c>
    </row>
    <row r="221" spans="20:57">
      <c r="T221" s="4">
        <f t="shared" si="92"/>
        <v>2023</v>
      </c>
      <c r="U221" s="434">
        <f t="shared" si="85"/>
        <v>44986</v>
      </c>
      <c r="V221" s="150">
        <v>82.83</v>
      </c>
      <c r="W221" s="150">
        <v>75.17</v>
      </c>
      <c r="X221" s="357">
        <f t="shared" si="96"/>
        <v>79.536200000000008</v>
      </c>
      <c r="Y221" s="343">
        <v>432</v>
      </c>
      <c r="Z221" s="343">
        <v>312</v>
      </c>
      <c r="AA221" s="343">
        <f t="shared" si="93"/>
        <v>0.58064516129032262</v>
      </c>
      <c r="AB221" s="343">
        <f t="shared" si="94"/>
        <v>0.41935483870967744</v>
      </c>
      <c r="AF221" s="4">
        <f t="shared" si="97"/>
        <v>2023</v>
      </c>
      <c r="AG221" s="432">
        <f t="shared" ref="AG221:AG284" si="100">EOMONTH(AG220,0)+1</f>
        <v>44986</v>
      </c>
      <c r="AH221" s="149">
        <f t="shared" si="95"/>
        <v>10.677770527460575</v>
      </c>
      <c r="AI221" s="150">
        <v>10.677770527460575</v>
      </c>
      <c r="AK221" s="4">
        <f t="shared" si="88"/>
        <v>2022</v>
      </c>
      <c r="AL221" s="432">
        <v>44592</v>
      </c>
      <c r="AM221" s="4">
        <f t="shared" si="89"/>
        <v>6.99</v>
      </c>
      <c r="AN221" s="4">
        <v>6.92</v>
      </c>
      <c r="AO221" s="4">
        <v>7.06</v>
      </c>
      <c r="AQ221" s="4">
        <f t="shared" si="90"/>
        <v>2025</v>
      </c>
      <c r="AR221" s="356">
        <v>45992</v>
      </c>
      <c r="AS221" s="4">
        <f t="shared" si="91"/>
        <v>13.414999999999999</v>
      </c>
      <c r="AT221" s="4">
        <v>13.33</v>
      </c>
      <c r="AU221" s="4">
        <v>13.5</v>
      </c>
      <c r="AV221" s="515">
        <f t="shared" si="98"/>
        <v>2032</v>
      </c>
      <c r="AW221" s="535">
        <v>48366</v>
      </c>
      <c r="AX221" s="515">
        <f t="shared" si="86"/>
        <v>4.9914500000000004</v>
      </c>
      <c r="AY221" s="596">
        <f>'[12]Forward Price Curve'!AE302</f>
        <v>5.0362999999999998</v>
      </c>
      <c r="AZ221" s="596">
        <f>'[12]Forward Price Curve'!AD302</f>
        <v>4.9466000000000001</v>
      </c>
      <c r="BA221" s="629">
        <f t="shared" si="99"/>
        <v>2035</v>
      </c>
      <c r="BB221" s="633">
        <v>49461</v>
      </c>
      <c r="BC221" s="629">
        <f t="shared" si="87"/>
        <v>5.3108500000000003</v>
      </c>
      <c r="BD221" s="634">
        <f>[13]Prices!AO218</f>
        <v>5.6487999999999996</v>
      </c>
      <c r="BE221" s="634">
        <f>[13]Prices!AP218</f>
        <v>4.9729000000000001</v>
      </c>
    </row>
    <row r="222" spans="20:57">
      <c r="T222" s="4">
        <f t="shared" si="92"/>
        <v>2023</v>
      </c>
      <c r="U222" s="434">
        <f t="shared" si="85"/>
        <v>45017</v>
      </c>
      <c r="V222" s="150">
        <v>79.45</v>
      </c>
      <c r="W222" s="150">
        <v>74.78</v>
      </c>
      <c r="X222" s="357">
        <f t="shared" si="96"/>
        <v>77.441900000000004</v>
      </c>
      <c r="Y222" s="343">
        <v>400</v>
      </c>
      <c r="Z222" s="343">
        <v>320</v>
      </c>
      <c r="AA222" s="343">
        <f t="shared" si="93"/>
        <v>0.55555555555555558</v>
      </c>
      <c r="AB222" s="343">
        <f t="shared" si="94"/>
        <v>0.44444444444444442</v>
      </c>
      <c r="AF222" s="4">
        <f t="shared" si="97"/>
        <v>2023</v>
      </c>
      <c r="AG222" s="432">
        <f t="shared" si="100"/>
        <v>45017</v>
      </c>
      <c r="AH222" s="149">
        <f t="shared" si="95"/>
        <v>10.106808047852095</v>
      </c>
      <c r="AI222" s="150">
        <v>10.106808047852095</v>
      </c>
      <c r="AK222" s="4">
        <f t="shared" si="88"/>
        <v>2022</v>
      </c>
      <c r="AL222" s="432">
        <v>44620</v>
      </c>
      <c r="AM222" s="4">
        <f t="shared" si="89"/>
        <v>6.5</v>
      </c>
      <c r="AN222" s="4">
        <v>6.48</v>
      </c>
      <c r="AO222" s="4">
        <v>6.52</v>
      </c>
      <c r="AQ222" s="4">
        <f t="shared" si="90"/>
        <v>2026</v>
      </c>
      <c r="AR222" s="356">
        <v>46023</v>
      </c>
      <c r="AS222" s="4">
        <f t="shared" si="91"/>
        <v>14.68</v>
      </c>
      <c r="AT222" s="4">
        <v>14.49</v>
      </c>
      <c r="AU222" s="4">
        <v>14.87</v>
      </c>
      <c r="AV222" s="515">
        <f t="shared" si="98"/>
        <v>2032</v>
      </c>
      <c r="AW222" s="535">
        <v>48396</v>
      </c>
      <c r="AX222" s="515">
        <f t="shared" si="86"/>
        <v>5.0064000000000002</v>
      </c>
      <c r="AY222" s="596">
        <f>'[12]Forward Price Curve'!AE303</f>
        <v>5.0811000000000002</v>
      </c>
      <c r="AZ222" s="596">
        <f>'[12]Forward Price Curve'!AD303</f>
        <v>4.9317000000000002</v>
      </c>
      <c r="BA222" s="629">
        <f t="shared" si="99"/>
        <v>2035</v>
      </c>
      <c r="BB222" s="633">
        <v>49491</v>
      </c>
      <c r="BC222" s="629">
        <f t="shared" si="87"/>
        <v>5.5120000000000005</v>
      </c>
      <c r="BD222" s="634">
        <f>[13]Prices!AO219</f>
        <v>5.8258000000000001</v>
      </c>
      <c r="BE222" s="634">
        <f>[13]Prices!AP219</f>
        <v>5.1981999999999999</v>
      </c>
    </row>
    <row r="223" spans="20:57">
      <c r="T223" s="4">
        <f t="shared" si="92"/>
        <v>2023</v>
      </c>
      <c r="U223" s="434">
        <f t="shared" si="85"/>
        <v>45047</v>
      </c>
      <c r="V223" s="150">
        <v>83.71</v>
      </c>
      <c r="W223" s="150">
        <v>73.58</v>
      </c>
      <c r="X223" s="357">
        <f t="shared" si="96"/>
        <v>79.354099999999988</v>
      </c>
      <c r="Y223" s="343">
        <v>416</v>
      </c>
      <c r="Z223" s="343">
        <v>328</v>
      </c>
      <c r="AA223" s="343">
        <f t="shared" si="93"/>
        <v>0.55913978494623651</v>
      </c>
      <c r="AB223" s="343">
        <f t="shared" si="94"/>
        <v>0.44086021505376344</v>
      </c>
      <c r="AF223" s="4">
        <f t="shared" si="97"/>
        <v>2023</v>
      </c>
      <c r="AG223" s="432">
        <f t="shared" si="100"/>
        <v>45047</v>
      </c>
      <c r="AH223" s="149">
        <f t="shared" si="95"/>
        <v>10.00485046220772</v>
      </c>
      <c r="AI223" s="150">
        <v>10.00485046220772</v>
      </c>
      <c r="AK223" s="4">
        <f t="shared" si="88"/>
        <v>2022</v>
      </c>
      <c r="AL223" s="432">
        <v>44651</v>
      </c>
      <c r="AM223" s="4">
        <f t="shared" si="89"/>
        <v>6.1050000000000004</v>
      </c>
      <c r="AN223" s="4">
        <v>6.13</v>
      </c>
      <c r="AO223" s="4">
        <v>6.08</v>
      </c>
      <c r="AQ223" s="4">
        <f t="shared" si="90"/>
        <v>2026</v>
      </c>
      <c r="AR223" s="356">
        <v>46054</v>
      </c>
      <c r="AS223" s="4">
        <f t="shared" si="91"/>
        <v>13.655000000000001</v>
      </c>
      <c r="AT223" s="4">
        <v>13.57</v>
      </c>
      <c r="AU223" s="4">
        <v>13.74</v>
      </c>
      <c r="AV223" s="515">
        <f t="shared" si="98"/>
        <v>2032</v>
      </c>
      <c r="AW223" s="535">
        <v>48427</v>
      </c>
      <c r="AX223" s="515">
        <f t="shared" si="86"/>
        <v>5.2006999999999994</v>
      </c>
      <c r="AY223" s="596">
        <f>'[12]Forward Price Curve'!AE304</f>
        <v>5.2305999999999999</v>
      </c>
      <c r="AZ223" s="596">
        <f>'[12]Forward Price Curve'!AD304</f>
        <v>5.1707999999999998</v>
      </c>
      <c r="BA223" s="629">
        <f t="shared" si="99"/>
        <v>2035</v>
      </c>
      <c r="BB223" s="633">
        <v>49522</v>
      </c>
      <c r="BC223" s="629">
        <f t="shared" si="87"/>
        <v>5.5602999999999998</v>
      </c>
      <c r="BD223" s="634">
        <f>[13]Prices!AO220</f>
        <v>5.8902000000000001</v>
      </c>
      <c r="BE223" s="634">
        <f>[13]Prices!AP220</f>
        <v>5.2304000000000004</v>
      </c>
    </row>
    <row r="224" spans="20:57">
      <c r="T224" s="4">
        <f t="shared" si="92"/>
        <v>2023</v>
      </c>
      <c r="U224" s="434">
        <f t="shared" si="85"/>
        <v>45078</v>
      </c>
      <c r="V224" s="150">
        <v>89.11</v>
      </c>
      <c r="W224" s="150">
        <v>76.38</v>
      </c>
      <c r="X224" s="357">
        <f t="shared" si="96"/>
        <v>83.636099999999999</v>
      </c>
      <c r="Y224" s="343">
        <v>416</v>
      </c>
      <c r="Z224" s="343">
        <v>304</v>
      </c>
      <c r="AA224" s="343">
        <f t="shared" si="93"/>
        <v>0.57777777777777772</v>
      </c>
      <c r="AB224" s="343">
        <f t="shared" si="94"/>
        <v>0.42222222222222222</v>
      </c>
      <c r="AF224" s="4">
        <f t="shared" si="97"/>
        <v>2023</v>
      </c>
      <c r="AG224" s="432">
        <f t="shared" si="100"/>
        <v>45078</v>
      </c>
      <c r="AH224" s="149">
        <f t="shared" si="95"/>
        <v>10.157786840674278</v>
      </c>
      <c r="AI224" s="150">
        <v>10.157786840674278</v>
      </c>
      <c r="AK224" s="4">
        <f t="shared" si="88"/>
        <v>2022</v>
      </c>
      <c r="AL224" s="432">
        <v>44681</v>
      </c>
      <c r="AM224" s="4">
        <f t="shared" si="89"/>
        <v>5.7050000000000001</v>
      </c>
      <c r="AN224" s="4">
        <v>5.78</v>
      </c>
      <c r="AO224" s="4">
        <v>5.63</v>
      </c>
      <c r="AQ224" s="4">
        <f t="shared" si="90"/>
        <v>2026</v>
      </c>
      <c r="AR224" s="356">
        <v>46082</v>
      </c>
      <c r="AS224" s="4">
        <f t="shared" si="91"/>
        <v>12.82</v>
      </c>
      <c r="AT224" s="4">
        <v>12.84</v>
      </c>
      <c r="AU224" s="4">
        <v>12.8</v>
      </c>
      <c r="AV224" s="515">
        <f t="shared" si="98"/>
        <v>2032</v>
      </c>
      <c r="AW224" s="535">
        <v>48458</v>
      </c>
      <c r="AX224" s="515">
        <f t="shared" si="86"/>
        <v>5.1932</v>
      </c>
      <c r="AY224" s="596">
        <f>'[12]Forward Price Curve'!AE305</f>
        <v>5.2007000000000003</v>
      </c>
      <c r="AZ224" s="596">
        <f>'[12]Forward Price Curve'!AD305</f>
        <v>5.1856999999999998</v>
      </c>
      <c r="BA224" s="629">
        <f t="shared" si="99"/>
        <v>2035</v>
      </c>
      <c r="BB224" s="633">
        <v>49553</v>
      </c>
      <c r="BC224" s="629">
        <f t="shared" si="87"/>
        <v>5.4636999999999993</v>
      </c>
      <c r="BD224" s="634">
        <f>[13]Prices!AO221</f>
        <v>5.8418999999999999</v>
      </c>
      <c r="BE224" s="634">
        <f>[13]Prices!AP221</f>
        <v>5.0854999999999997</v>
      </c>
    </row>
    <row r="225" spans="20:57">
      <c r="T225" s="4">
        <f t="shared" si="92"/>
        <v>2023</v>
      </c>
      <c r="U225" s="434">
        <f t="shared" si="85"/>
        <v>45108</v>
      </c>
      <c r="V225" s="150">
        <v>81.98</v>
      </c>
      <c r="W225" s="150">
        <v>77.400000000000006</v>
      </c>
      <c r="X225" s="357">
        <f t="shared" si="96"/>
        <v>80.010600000000011</v>
      </c>
      <c r="Y225" s="343">
        <v>400</v>
      </c>
      <c r="Z225" s="343">
        <v>344</v>
      </c>
      <c r="AA225" s="343">
        <f t="shared" si="93"/>
        <v>0.5376344086021505</v>
      </c>
      <c r="AB225" s="343">
        <f t="shared" si="94"/>
        <v>0.46236559139784944</v>
      </c>
      <c r="AF225" s="4">
        <f t="shared" si="97"/>
        <v>2023</v>
      </c>
      <c r="AG225" s="432">
        <f t="shared" si="100"/>
        <v>45108</v>
      </c>
      <c r="AH225" s="149">
        <f t="shared" si="95"/>
        <v>10.310723219140835</v>
      </c>
      <c r="AI225" s="150">
        <v>10.310723219140835</v>
      </c>
      <c r="AK225" s="4">
        <f t="shared" si="88"/>
        <v>2022</v>
      </c>
      <c r="AL225" s="432">
        <v>44712</v>
      </c>
      <c r="AM225" s="4">
        <f t="shared" si="89"/>
        <v>5.7050000000000001</v>
      </c>
      <c r="AN225" s="4">
        <v>5.78</v>
      </c>
      <c r="AO225" s="4">
        <v>5.63</v>
      </c>
      <c r="AQ225" s="4">
        <f t="shared" si="90"/>
        <v>2026</v>
      </c>
      <c r="AR225" s="356">
        <v>46113</v>
      </c>
      <c r="AS225" s="4">
        <f t="shared" si="91"/>
        <v>11.98</v>
      </c>
      <c r="AT225" s="4">
        <v>12.1</v>
      </c>
      <c r="AU225" s="4">
        <v>11.86</v>
      </c>
      <c r="AV225" s="515">
        <f t="shared" si="98"/>
        <v>2032</v>
      </c>
      <c r="AW225" s="535">
        <v>48488</v>
      </c>
      <c r="AX225" s="515">
        <f t="shared" si="86"/>
        <v>5.2754000000000003</v>
      </c>
      <c r="AY225" s="596">
        <f>'[12]Forward Price Curve'!AE306</f>
        <v>5.2754000000000003</v>
      </c>
      <c r="AZ225" s="596">
        <f>'[12]Forward Price Curve'!AD306</f>
        <v>5.2754000000000003</v>
      </c>
      <c r="BA225" s="629">
        <f t="shared" si="99"/>
        <v>2035</v>
      </c>
      <c r="BB225" s="633">
        <v>49583</v>
      </c>
      <c r="BC225" s="629">
        <f t="shared" si="87"/>
        <v>5.4798</v>
      </c>
      <c r="BD225" s="634">
        <f>[13]Prices!AO222</f>
        <v>5.8741000000000003</v>
      </c>
      <c r="BE225" s="634">
        <f>[13]Prices!AP222</f>
        <v>5.0854999999999997</v>
      </c>
    </row>
    <row r="226" spans="20:57">
      <c r="T226" s="4">
        <f t="shared" si="92"/>
        <v>2023</v>
      </c>
      <c r="U226" s="434">
        <f t="shared" si="85"/>
        <v>45139</v>
      </c>
      <c r="V226" s="150">
        <v>84.69</v>
      </c>
      <c r="W226" s="150">
        <v>78.900000000000006</v>
      </c>
      <c r="X226" s="357">
        <f t="shared" si="96"/>
        <v>82.200299999999999</v>
      </c>
      <c r="Y226" s="343">
        <v>432</v>
      </c>
      <c r="Z226" s="343">
        <v>312</v>
      </c>
      <c r="AA226" s="343">
        <f t="shared" si="93"/>
        <v>0.58064516129032262</v>
      </c>
      <c r="AB226" s="343">
        <f t="shared" si="94"/>
        <v>0.41935483870967744</v>
      </c>
      <c r="AF226" s="4">
        <f t="shared" si="97"/>
        <v>2023</v>
      </c>
      <c r="AG226" s="432">
        <f t="shared" si="100"/>
        <v>45139</v>
      </c>
      <c r="AH226" s="149">
        <f t="shared" si="95"/>
        <v>10.310723219140835</v>
      </c>
      <c r="AI226" s="150">
        <v>10.310723219140835</v>
      </c>
      <c r="AK226" s="4">
        <f t="shared" si="88"/>
        <v>2022</v>
      </c>
      <c r="AL226" s="432">
        <v>44742</v>
      </c>
      <c r="AM226" s="4">
        <f t="shared" si="89"/>
        <v>5.7949999999999999</v>
      </c>
      <c r="AN226" s="4">
        <v>5.87</v>
      </c>
      <c r="AO226" s="4">
        <v>5.72</v>
      </c>
      <c r="AQ226" s="4">
        <f t="shared" si="90"/>
        <v>2026</v>
      </c>
      <c r="AR226" s="356">
        <v>46143</v>
      </c>
      <c r="AS226" s="4">
        <f t="shared" si="91"/>
        <v>11.98</v>
      </c>
      <c r="AT226" s="4">
        <v>12.1</v>
      </c>
      <c r="AU226" s="4">
        <v>11.86</v>
      </c>
      <c r="AV226" s="515">
        <f t="shared" si="98"/>
        <v>2032</v>
      </c>
      <c r="AW226" s="535">
        <v>48519</v>
      </c>
      <c r="AX226" s="515">
        <f t="shared" si="86"/>
        <v>5.4846000000000004</v>
      </c>
      <c r="AY226" s="596">
        <f>'[12]Forward Price Curve'!AE307</f>
        <v>5.4846000000000004</v>
      </c>
      <c r="AZ226" s="596">
        <f>'[12]Forward Price Curve'!AD307</f>
        <v>5.4846000000000004</v>
      </c>
      <c r="BA226" s="629">
        <f t="shared" si="99"/>
        <v>2035</v>
      </c>
      <c r="BB226" s="633">
        <v>49614</v>
      </c>
      <c r="BC226" s="629">
        <f t="shared" si="87"/>
        <v>5.6407500000000006</v>
      </c>
      <c r="BD226" s="634">
        <f>[13]Prices!AO223</f>
        <v>6.0189000000000004</v>
      </c>
      <c r="BE226" s="634">
        <f>[13]Prices!AP223</f>
        <v>5.2625999999999999</v>
      </c>
    </row>
    <row r="227" spans="20:57">
      <c r="T227" s="4">
        <f t="shared" si="92"/>
        <v>2023</v>
      </c>
      <c r="U227" s="434">
        <f t="shared" si="85"/>
        <v>45170</v>
      </c>
      <c r="V227" s="150">
        <v>85.19</v>
      </c>
      <c r="W227" s="150">
        <v>77.849999999999994</v>
      </c>
      <c r="X227" s="357">
        <f t="shared" si="96"/>
        <v>82.033799999999985</v>
      </c>
      <c r="Y227" s="343">
        <v>400</v>
      </c>
      <c r="Z227" s="343">
        <v>320</v>
      </c>
      <c r="AA227" s="343">
        <f t="shared" si="93"/>
        <v>0.55555555555555558</v>
      </c>
      <c r="AB227" s="343">
        <f t="shared" si="94"/>
        <v>0.44444444444444442</v>
      </c>
      <c r="AF227" s="4">
        <f t="shared" si="97"/>
        <v>2023</v>
      </c>
      <c r="AG227" s="432">
        <f t="shared" si="100"/>
        <v>45170</v>
      </c>
      <c r="AH227" s="149">
        <f t="shared" si="95"/>
        <v>10.310723219140835</v>
      </c>
      <c r="AI227" s="150">
        <v>10.310723219140835</v>
      </c>
      <c r="AK227" s="4">
        <f t="shared" si="88"/>
        <v>2022</v>
      </c>
      <c r="AL227" s="432">
        <v>44773</v>
      </c>
      <c r="AM227" s="4">
        <f t="shared" si="89"/>
        <v>5.88</v>
      </c>
      <c r="AN227" s="4">
        <v>5.95</v>
      </c>
      <c r="AO227" s="4">
        <v>5.81</v>
      </c>
      <c r="AQ227" s="4">
        <f t="shared" si="90"/>
        <v>2026</v>
      </c>
      <c r="AR227" s="356">
        <v>46174</v>
      </c>
      <c r="AS227" s="4">
        <f t="shared" si="91"/>
        <v>12.17</v>
      </c>
      <c r="AT227" s="4">
        <v>12.29</v>
      </c>
      <c r="AU227" s="4">
        <v>12.05</v>
      </c>
      <c r="AV227" s="515">
        <f t="shared" si="98"/>
        <v>2032</v>
      </c>
      <c r="AW227" s="535">
        <v>48549</v>
      </c>
      <c r="AX227" s="515">
        <f t="shared" si="86"/>
        <v>5.6863999999999999</v>
      </c>
      <c r="AY227" s="596">
        <f>'[12]Forward Price Curve'!AE308</f>
        <v>5.6788999999999996</v>
      </c>
      <c r="AZ227" s="596">
        <f>'[12]Forward Price Curve'!AD308</f>
        <v>5.6939000000000002</v>
      </c>
      <c r="BA227" s="629">
        <f t="shared" si="99"/>
        <v>2035</v>
      </c>
      <c r="BB227" s="633">
        <v>49644</v>
      </c>
      <c r="BC227" s="629">
        <f t="shared" si="87"/>
        <v>6.0753000000000004</v>
      </c>
      <c r="BD227" s="634">
        <f>[13]Prices!AO224</f>
        <v>6.4051999999999998</v>
      </c>
      <c r="BE227" s="634">
        <f>[13]Prices!AP224</f>
        <v>5.7454000000000001</v>
      </c>
    </row>
    <row r="228" spans="20:57">
      <c r="T228" s="4">
        <f t="shared" si="92"/>
        <v>2023</v>
      </c>
      <c r="U228" s="434">
        <f t="shared" si="85"/>
        <v>45200</v>
      </c>
      <c r="V228" s="150">
        <v>83.47</v>
      </c>
      <c r="W228" s="150">
        <v>74.62</v>
      </c>
      <c r="X228" s="357">
        <f t="shared" si="96"/>
        <v>79.664500000000004</v>
      </c>
      <c r="Y228" s="343">
        <v>416</v>
      </c>
      <c r="Z228" s="343">
        <v>328</v>
      </c>
      <c r="AA228" s="343">
        <f t="shared" si="93"/>
        <v>0.55913978494623651</v>
      </c>
      <c r="AB228" s="343">
        <f t="shared" si="94"/>
        <v>0.44086021505376344</v>
      </c>
      <c r="AF228" s="4">
        <f t="shared" si="97"/>
        <v>2023</v>
      </c>
      <c r="AG228" s="432">
        <f t="shared" si="100"/>
        <v>45200</v>
      </c>
      <c r="AH228" s="149">
        <f t="shared" si="95"/>
        <v>10.677770527460575</v>
      </c>
      <c r="AI228" s="150">
        <v>10.677770527460575</v>
      </c>
      <c r="AK228" s="4">
        <f t="shared" si="88"/>
        <v>2022</v>
      </c>
      <c r="AL228" s="432">
        <v>44804</v>
      </c>
      <c r="AM228" s="4">
        <f t="shared" si="89"/>
        <v>5.88</v>
      </c>
      <c r="AN228" s="4">
        <v>5.95</v>
      </c>
      <c r="AO228" s="4">
        <v>5.81</v>
      </c>
      <c r="AQ228" s="4">
        <f t="shared" si="90"/>
        <v>2026</v>
      </c>
      <c r="AR228" s="356">
        <v>46204</v>
      </c>
      <c r="AS228" s="4">
        <f t="shared" si="91"/>
        <v>12.355</v>
      </c>
      <c r="AT228" s="4">
        <v>12.47</v>
      </c>
      <c r="AU228" s="4">
        <v>12.24</v>
      </c>
      <c r="AV228" s="515">
        <f t="shared" si="98"/>
        <v>2033</v>
      </c>
      <c r="AW228" s="535">
        <v>48580</v>
      </c>
      <c r="AX228" s="515">
        <f t="shared" si="86"/>
        <v>5.8038499999999997</v>
      </c>
      <c r="AY228" s="596">
        <f>'[12]Forward Price Curve'!AE309</f>
        <v>5.7885999999999997</v>
      </c>
      <c r="AZ228" s="596">
        <f>'[12]Forward Price Curve'!AD309</f>
        <v>5.8190999999999997</v>
      </c>
      <c r="BA228" s="629">
        <f t="shared" si="99"/>
        <v>2036</v>
      </c>
      <c r="BB228" s="633">
        <v>49675</v>
      </c>
      <c r="BC228" s="629">
        <f t="shared" si="87"/>
        <v>6.1184500000000002</v>
      </c>
      <c r="BD228" s="634">
        <f>[13]Prices!AO225</f>
        <v>6.4474</v>
      </c>
      <c r="BE228" s="634">
        <f>[13]Prices!AP225</f>
        <v>5.7895000000000003</v>
      </c>
    </row>
    <row r="229" spans="20:57">
      <c r="T229" s="4">
        <f t="shared" si="92"/>
        <v>2023</v>
      </c>
      <c r="U229" s="434">
        <f t="shared" si="85"/>
        <v>45231</v>
      </c>
      <c r="V229" s="150">
        <v>90.25</v>
      </c>
      <c r="W229" s="150">
        <v>74.849999999999994</v>
      </c>
      <c r="X229" s="357">
        <f t="shared" si="96"/>
        <v>83.627999999999986</v>
      </c>
      <c r="Y229" s="343">
        <v>400</v>
      </c>
      <c r="Z229" s="343">
        <v>320</v>
      </c>
      <c r="AA229" s="343">
        <f t="shared" si="93"/>
        <v>0.55555555555555558</v>
      </c>
      <c r="AB229" s="343">
        <f t="shared" si="94"/>
        <v>0.44444444444444442</v>
      </c>
      <c r="AF229" s="4">
        <f t="shared" si="97"/>
        <v>2023</v>
      </c>
      <c r="AG229" s="432">
        <f t="shared" si="100"/>
        <v>45231</v>
      </c>
      <c r="AH229" s="149">
        <f t="shared" si="95"/>
        <v>10.830706905927133</v>
      </c>
      <c r="AI229" s="150">
        <v>10.830706905927133</v>
      </c>
      <c r="AK229" s="4">
        <f t="shared" si="88"/>
        <v>2022</v>
      </c>
      <c r="AL229" s="432">
        <v>44834</v>
      </c>
      <c r="AM229" s="4">
        <f t="shared" si="89"/>
        <v>5.88</v>
      </c>
      <c r="AN229" s="4">
        <v>5.95</v>
      </c>
      <c r="AO229" s="4">
        <v>5.81</v>
      </c>
      <c r="AQ229" s="4">
        <f t="shared" si="90"/>
        <v>2026</v>
      </c>
      <c r="AR229" s="356">
        <v>46235</v>
      </c>
      <c r="AS229" s="4">
        <f t="shared" si="91"/>
        <v>12.355</v>
      </c>
      <c r="AT229" s="4">
        <v>12.47</v>
      </c>
      <c r="AU229" s="4">
        <v>12.24</v>
      </c>
      <c r="AV229" s="515">
        <f t="shared" si="98"/>
        <v>2033</v>
      </c>
      <c r="AW229" s="535">
        <v>48611</v>
      </c>
      <c r="AX229" s="515">
        <f t="shared" si="86"/>
        <v>5.8497000000000003</v>
      </c>
      <c r="AY229" s="596">
        <f>'[12]Forward Price Curve'!AE310</f>
        <v>5.8497000000000003</v>
      </c>
      <c r="AZ229" s="596">
        <f>'[12]Forward Price Curve'!AD310</f>
        <v>5.8497000000000003</v>
      </c>
      <c r="BA229" s="629">
        <f t="shared" si="99"/>
        <v>2036</v>
      </c>
      <c r="BB229" s="633">
        <v>49706</v>
      </c>
      <c r="BC229" s="629">
        <f t="shared" si="87"/>
        <v>6.1677999999999997</v>
      </c>
      <c r="BD229" s="634">
        <f>[13]Prices!AO226</f>
        <v>6.4802999999999997</v>
      </c>
      <c r="BE229" s="634">
        <f>[13]Prices!AP226</f>
        <v>5.8552999999999997</v>
      </c>
    </row>
    <row r="230" spans="20:57">
      <c r="T230" s="4">
        <f t="shared" si="92"/>
        <v>2023</v>
      </c>
      <c r="U230" s="434">
        <f t="shared" si="85"/>
        <v>45261</v>
      </c>
      <c r="V230" s="150">
        <v>95.63</v>
      </c>
      <c r="W230" s="150">
        <v>80.63</v>
      </c>
      <c r="X230" s="357">
        <f t="shared" si="96"/>
        <v>89.179999999999978</v>
      </c>
      <c r="Y230" s="343">
        <v>400</v>
      </c>
      <c r="Z230" s="343">
        <v>344</v>
      </c>
      <c r="AA230" s="343">
        <f t="shared" si="93"/>
        <v>0.5376344086021505</v>
      </c>
      <c r="AB230" s="343">
        <f t="shared" si="94"/>
        <v>0.46236559139784944</v>
      </c>
      <c r="AF230" s="4">
        <f t="shared" si="97"/>
        <v>2023</v>
      </c>
      <c r="AG230" s="432">
        <f t="shared" si="100"/>
        <v>45261</v>
      </c>
      <c r="AH230" s="149">
        <f t="shared" si="95"/>
        <v>11.354089178901576</v>
      </c>
      <c r="AI230" s="150">
        <v>11.354089178901576</v>
      </c>
      <c r="AK230" s="4">
        <f t="shared" si="88"/>
        <v>2022</v>
      </c>
      <c r="AL230" s="432">
        <v>44865</v>
      </c>
      <c r="AM230" s="4">
        <f t="shared" si="89"/>
        <v>6.1050000000000004</v>
      </c>
      <c r="AN230" s="4">
        <v>6.13</v>
      </c>
      <c r="AO230" s="4">
        <v>6.08</v>
      </c>
      <c r="AQ230" s="4">
        <f t="shared" si="90"/>
        <v>2026</v>
      </c>
      <c r="AR230" s="356">
        <v>46266</v>
      </c>
      <c r="AS230" s="4">
        <f t="shared" si="91"/>
        <v>12.355</v>
      </c>
      <c r="AT230" s="4">
        <v>12.47</v>
      </c>
      <c r="AU230" s="4">
        <v>12.24</v>
      </c>
      <c r="AV230" s="515">
        <f t="shared" si="98"/>
        <v>2033</v>
      </c>
      <c r="AW230" s="535">
        <v>48639</v>
      </c>
      <c r="AX230" s="515">
        <f t="shared" si="86"/>
        <v>5.6510999999999996</v>
      </c>
      <c r="AY230" s="596">
        <f>'[12]Forward Price Curve'!AE311</f>
        <v>5.6510999999999996</v>
      </c>
      <c r="AZ230" s="596">
        <f>'[12]Forward Price Curve'!AD311</f>
        <v>5.6510999999999996</v>
      </c>
      <c r="BA230" s="629">
        <f t="shared" si="99"/>
        <v>2036</v>
      </c>
      <c r="BB230" s="633">
        <v>49735</v>
      </c>
      <c r="BC230" s="629">
        <f t="shared" si="87"/>
        <v>5.8388499999999999</v>
      </c>
      <c r="BD230" s="634">
        <f>[13]Prices!AO227</f>
        <v>6.1677999999999997</v>
      </c>
      <c r="BE230" s="634">
        <f>[13]Prices!AP227</f>
        <v>5.5099</v>
      </c>
    </row>
    <row r="231" spans="20:57">
      <c r="T231" s="4">
        <f t="shared" si="92"/>
        <v>2024</v>
      </c>
      <c r="U231" s="434">
        <f t="shared" si="85"/>
        <v>45292</v>
      </c>
      <c r="V231" s="150">
        <v>99.83</v>
      </c>
      <c r="W231" s="150">
        <v>87.64</v>
      </c>
      <c r="X231" s="357">
        <f t="shared" si="96"/>
        <v>94.588300000000004</v>
      </c>
      <c r="Y231" s="343">
        <v>416</v>
      </c>
      <c r="Z231" s="343">
        <v>328</v>
      </c>
      <c r="AA231" s="343">
        <f t="shared" si="93"/>
        <v>0.55913978494623651</v>
      </c>
      <c r="AB231" s="343">
        <f t="shared" si="94"/>
        <v>0.44086021505376344</v>
      </c>
      <c r="AF231" s="4">
        <f t="shared" si="97"/>
        <v>2024</v>
      </c>
      <c r="AG231" s="432">
        <f t="shared" si="100"/>
        <v>45292</v>
      </c>
      <c r="AH231" s="149">
        <f t="shared" si="95"/>
        <v>12.309091897770525</v>
      </c>
      <c r="AI231" s="150">
        <v>12.309091897770525</v>
      </c>
      <c r="AK231" s="4">
        <f t="shared" si="88"/>
        <v>2022</v>
      </c>
      <c r="AL231" s="432">
        <v>44895</v>
      </c>
      <c r="AM231" s="4">
        <f t="shared" si="89"/>
        <v>6.1950000000000003</v>
      </c>
      <c r="AN231" s="4">
        <v>6.22</v>
      </c>
      <c r="AO231" s="4">
        <v>6.17</v>
      </c>
      <c r="AQ231" s="4">
        <f t="shared" si="90"/>
        <v>2026</v>
      </c>
      <c r="AR231" s="356">
        <v>46296</v>
      </c>
      <c r="AS231" s="4">
        <f t="shared" si="91"/>
        <v>12.82</v>
      </c>
      <c r="AT231" s="4">
        <v>12.84</v>
      </c>
      <c r="AU231" s="4">
        <v>12.8</v>
      </c>
      <c r="AV231" s="515">
        <f t="shared" si="98"/>
        <v>2033</v>
      </c>
      <c r="AW231" s="535">
        <v>48670</v>
      </c>
      <c r="AX231" s="515">
        <f t="shared" si="86"/>
        <v>5.3532999999999999</v>
      </c>
      <c r="AY231" s="596">
        <f>'[12]Forward Price Curve'!AE312</f>
        <v>5.3914999999999997</v>
      </c>
      <c r="AZ231" s="596">
        <f>'[12]Forward Price Curve'!AD312</f>
        <v>5.3151000000000002</v>
      </c>
      <c r="BA231" s="629">
        <f t="shared" si="99"/>
        <v>2036</v>
      </c>
      <c r="BB231" s="633">
        <v>49766</v>
      </c>
      <c r="BC231" s="629">
        <f t="shared" si="87"/>
        <v>5.4112</v>
      </c>
      <c r="BD231" s="634">
        <f>[13]Prices!AO228</f>
        <v>5.7565999999999997</v>
      </c>
      <c r="BE231" s="634">
        <f>[13]Prices!AP228</f>
        <v>5.0658000000000003</v>
      </c>
    </row>
    <row r="232" spans="20:57">
      <c r="T232" s="4">
        <f t="shared" si="92"/>
        <v>2024</v>
      </c>
      <c r="U232" s="434">
        <f t="shared" ref="U232:U295" si="101">EOMONTH(U231,0)+1</f>
        <v>45323</v>
      </c>
      <c r="V232" s="150">
        <v>96.21</v>
      </c>
      <c r="W232" s="150">
        <v>80.11</v>
      </c>
      <c r="X232" s="357">
        <f t="shared" si="96"/>
        <v>89.286999999999992</v>
      </c>
      <c r="Y232" s="343">
        <v>400</v>
      </c>
      <c r="Z232" s="343">
        <v>296</v>
      </c>
      <c r="AA232" s="343">
        <f t="shared" si="93"/>
        <v>0.57471264367816088</v>
      </c>
      <c r="AB232" s="343">
        <f t="shared" si="94"/>
        <v>0.42528735632183906</v>
      </c>
      <c r="AF232" s="4">
        <f t="shared" si="97"/>
        <v>2024</v>
      </c>
      <c r="AG232" s="432">
        <f t="shared" si="100"/>
        <v>45323</v>
      </c>
      <c r="AH232" s="149">
        <f t="shared" si="95"/>
        <v>11.568200108754759</v>
      </c>
      <c r="AI232" s="150">
        <v>11.568200108754759</v>
      </c>
      <c r="AK232" s="4">
        <f t="shared" si="88"/>
        <v>2022</v>
      </c>
      <c r="AL232" s="432">
        <v>44926</v>
      </c>
      <c r="AM232" s="4">
        <f t="shared" si="89"/>
        <v>6.5</v>
      </c>
      <c r="AN232" s="4">
        <v>6.48</v>
      </c>
      <c r="AO232" s="4">
        <v>6.52</v>
      </c>
      <c r="AQ232" s="4">
        <f t="shared" si="90"/>
        <v>2026</v>
      </c>
      <c r="AR232" s="356">
        <v>46327</v>
      </c>
      <c r="AS232" s="4">
        <f t="shared" si="91"/>
        <v>13.004999999999999</v>
      </c>
      <c r="AT232" s="4">
        <v>13.02</v>
      </c>
      <c r="AU232" s="4">
        <v>12.99</v>
      </c>
      <c r="AV232" s="515">
        <f t="shared" si="98"/>
        <v>2033</v>
      </c>
      <c r="AW232" s="535">
        <v>48700</v>
      </c>
      <c r="AX232" s="515">
        <f t="shared" si="86"/>
        <v>5.1394500000000001</v>
      </c>
      <c r="AY232" s="596">
        <f>'[12]Forward Price Curve'!AE313</f>
        <v>5.2081999999999997</v>
      </c>
      <c r="AZ232" s="596">
        <f>'[12]Forward Price Curve'!AD313</f>
        <v>5.0707000000000004</v>
      </c>
      <c r="BA232" s="629">
        <f t="shared" si="99"/>
        <v>2036</v>
      </c>
      <c r="BB232" s="633">
        <v>49796</v>
      </c>
      <c r="BC232" s="629">
        <f t="shared" si="87"/>
        <v>5.3948</v>
      </c>
      <c r="BD232" s="634">
        <f>[13]Prices!AO229</f>
        <v>5.7401999999999997</v>
      </c>
      <c r="BE232" s="634">
        <f>[13]Prices!AP229</f>
        <v>5.0494000000000003</v>
      </c>
    </row>
    <row r="233" spans="20:57">
      <c r="T233" s="4">
        <f t="shared" si="92"/>
        <v>2024</v>
      </c>
      <c r="U233" s="434">
        <f t="shared" si="101"/>
        <v>45352</v>
      </c>
      <c r="V233" s="150">
        <v>83.59</v>
      </c>
      <c r="W233" s="150">
        <v>74.08</v>
      </c>
      <c r="X233" s="357">
        <f t="shared" si="96"/>
        <v>79.500699999999995</v>
      </c>
      <c r="Y233" s="343">
        <v>416</v>
      </c>
      <c r="Z233" s="343">
        <v>328</v>
      </c>
      <c r="AA233" s="343">
        <f t="shared" si="93"/>
        <v>0.55913978494623651</v>
      </c>
      <c r="AB233" s="343">
        <f t="shared" si="94"/>
        <v>0.44086021505376344</v>
      </c>
      <c r="AF233" s="4">
        <f t="shared" si="97"/>
        <v>2024</v>
      </c>
      <c r="AG233" s="432">
        <f t="shared" si="100"/>
        <v>45352</v>
      </c>
      <c r="AH233" s="149">
        <f t="shared" si="95"/>
        <v>10.878287112561173</v>
      </c>
      <c r="AI233" s="150">
        <v>10.878287112561173</v>
      </c>
      <c r="AK233" s="4">
        <f t="shared" si="88"/>
        <v>2023</v>
      </c>
      <c r="AL233" s="432">
        <v>44957</v>
      </c>
      <c r="AM233" s="4">
        <f t="shared" si="89"/>
        <v>7.2349999999999994</v>
      </c>
      <c r="AN233" s="4">
        <v>7.16</v>
      </c>
      <c r="AO233" s="4">
        <v>7.31</v>
      </c>
      <c r="AQ233" s="4">
        <f t="shared" si="90"/>
        <v>2026</v>
      </c>
      <c r="AR233" s="356">
        <v>46357</v>
      </c>
      <c r="AS233" s="4">
        <f t="shared" si="91"/>
        <v>13.655000000000001</v>
      </c>
      <c r="AT233" s="4">
        <v>13.57</v>
      </c>
      <c r="AU233" s="4">
        <v>13.74</v>
      </c>
      <c r="AV233" s="515">
        <f t="shared" si="98"/>
        <v>2033</v>
      </c>
      <c r="AW233" s="535">
        <v>48731</v>
      </c>
      <c r="AX233" s="515">
        <f t="shared" si="86"/>
        <v>5.1394500000000001</v>
      </c>
      <c r="AY233" s="596">
        <f>'[12]Forward Price Curve'!AE314</f>
        <v>5.2081999999999997</v>
      </c>
      <c r="AZ233" s="596">
        <f>'[12]Forward Price Curve'!AD314</f>
        <v>5.0707000000000004</v>
      </c>
      <c r="BA233" s="629">
        <f t="shared" si="99"/>
        <v>2036</v>
      </c>
      <c r="BB233" s="633">
        <v>49827</v>
      </c>
      <c r="BC233" s="629">
        <f t="shared" si="87"/>
        <v>5.4687999999999999</v>
      </c>
      <c r="BD233" s="634">
        <f>[13]Prices!AO230</f>
        <v>5.8224</v>
      </c>
      <c r="BE233" s="634">
        <f>[13]Prices!AP230</f>
        <v>5.1151999999999997</v>
      </c>
    </row>
    <row r="234" spans="20:57">
      <c r="T234" s="4">
        <f t="shared" si="92"/>
        <v>2024</v>
      </c>
      <c r="U234" s="434">
        <f t="shared" si="101"/>
        <v>45383</v>
      </c>
      <c r="V234" s="150">
        <v>79.67</v>
      </c>
      <c r="W234" s="150">
        <v>76.239999999999995</v>
      </c>
      <c r="X234" s="357">
        <f t="shared" si="96"/>
        <v>78.195099999999996</v>
      </c>
      <c r="Y234" s="343">
        <v>416</v>
      </c>
      <c r="Z234" s="343">
        <v>304</v>
      </c>
      <c r="AA234" s="343">
        <f t="shared" si="93"/>
        <v>0.57777777777777772</v>
      </c>
      <c r="AB234" s="343">
        <f t="shared" si="94"/>
        <v>0.42222222222222222</v>
      </c>
      <c r="AF234" s="4">
        <f t="shared" si="97"/>
        <v>2024</v>
      </c>
      <c r="AG234" s="432">
        <f t="shared" si="100"/>
        <v>45383</v>
      </c>
      <c r="AH234" s="149">
        <f t="shared" si="95"/>
        <v>10.297128874388255</v>
      </c>
      <c r="AI234" s="150">
        <v>10.297128874388255</v>
      </c>
      <c r="AK234" s="4">
        <f t="shared" si="88"/>
        <v>2023</v>
      </c>
      <c r="AL234" s="432">
        <v>44985</v>
      </c>
      <c r="AM234" s="4">
        <f t="shared" si="89"/>
        <v>6.7249999999999996</v>
      </c>
      <c r="AN234" s="4">
        <v>6.7</v>
      </c>
      <c r="AO234" s="4">
        <v>6.75</v>
      </c>
      <c r="AQ234" s="4">
        <f t="shared" si="90"/>
        <v>2027</v>
      </c>
      <c r="AR234" s="356">
        <v>46388</v>
      </c>
      <c r="AS234" s="4">
        <f t="shared" si="91"/>
        <v>14.96</v>
      </c>
      <c r="AT234" s="4">
        <v>14.76</v>
      </c>
      <c r="AU234" s="4">
        <v>15.16</v>
      </c>
      <c r="AV234" s="515">
        <f t="shared" si="98"/>
        <v>2033</v>
      </c>
      <c r="AW234" s="535">
        <v>48761</v>
      </c>
      <c r="AX234" s="515">
        <f t="shared" si="86"/>
        <v>5.2616499999999995</v>
      </c>
      <c r="AY234" s="596">
        <f>'[12]Forward Price Curve'!AE315</f>
        <v>5.3761999999999999</v>
      </c>
      <c r="AZ234" s="596">
        <f>'[12]Forward Price Curve'!AD315</f>
        <v>5.1471</v>
      </c>
      <c r="BA234" s="629">
        <f t="shared" si="99"/>
        <v>2036</v>
      </c>
      <c r="BB234" s="633">
        <v>49857</v>
      </c>
      <c r="BC234" s="629">
        <f t="shared" si="87"/>
        <v>5.7237500000000008</v>
      </c>
      <c r="BD234" s="634">
        <f>[13]Prices!AO231</f>
        <v>6.0856000000000003</v>
      </c>
      <c r="BE234" s="634">
        <f>[13]Prices!AP231</f>
        <v>5.3619000000000003</v>
      </c>
    </row>
    <row r="235" spans="20:57">
      <c r="T235" s="4">
        <f t="shared" si="92"/>
        <v>2024</v>
      </c>
      <c r="U235" s="434">
        <f t="shared" si="101"/>
        <v>45413</v>
      </c>
      <c r="V235" s="150">
        <v>82.86</v>
      </c>
      <c r="W235" s="150">
        <v>72.27</v>
      </c>
      <c r="X235" s="357">
        <f t="shared" si="96"/>
        <v>78.306299999999993</v>
      </c>
      <c r="Y235" s="343">
        <v>416</v>
      </c>
      <c r="Z235" s="343">
        <v>328</v>
      </c>
      <c r="AA235" s="343">
        <f t="shared" si="93"/>
        <v>0.55913978494623651</v>
      </c>
      <c r="AB235" s="343">
        <f t="shared" si="94"/>
        <v>0.44086021505376344</v>
      </c>
      <c r="AF235" s="4">
        <f t="shared" si="97"/>
        <v>2024</v>
      </c>
      <c r="AG235" s="432">
        <f t="shared" si="100"/>
        <v>45413</v>
      </c>
      <c r="AH235" s="149">
        <f t="shared" si="95"/>
        <v>10.191772702555737</v>
      </c>
      <c r="AI235" s="150">
        <v>10.191772702555737</v>
      </c>
      <c r="AK235" s="4">
        <f t="shared" si="88"/>
        <v>2023</v>
      </c>
      <c r="AL235" s="432">
        <v>45016</v>
      </c>
      <c r="AM235" s="4">
        <f t="shared" si="89"/>
        <v>6.3149999999999995</v>
      </c>
      <c r="AN235" s="4">
        <v>6.34</v>
      </c>
      <c r="AO235" s="4">
        <v>6.29</v>
      </c>
      <c r="AQ235" s="4">
        <f t="shared" si="90"/>
        <v>2027</v>
      </c>
      <c r="AR235" s="356">
        <v>46419</v>
      </c>
      <c r="AS235" s="4">
        <f t="shared" si="91"/>
        <v>13.914999999999999</v>
      </c>
      <c r="AT235" s="4">
        <v>13.83</v>
      </c>
      <c r="AU235" s="4">
        <v>14</v>
      </c>
      <c r="AV235" s="515">
        <f t="shared" si="98"/>
        <v>2033</v>
      </c>
      <c r="AW235" s="535">
        <v>48792</v>
      </c>
      <c r="AX235" s="515">
        <f t="shared" si="86"/>
        <v>5.4220000000000006</v>
      </c>
      <c r="AY235" s="596">
        <f>'[12]Forward Price Curve'!AE316</f>
        <v>5.4678000000000004</v>
      </c>
      <c r="AZ235" s="596">
        <f>'[12]Forward Price Curve'!AD316</f>
        <v>5.3761999999999999</v>
      </c>
      <c r="BA235" s="629">
        <f t="shared" si="99"/>
        <v>2036</v>
      </c>
      <c r="BB235" s="633">
        <v>49888</v>
      </c>
      <c r="BC235" s="629">
        <f t="shared" si="87"/>
        <v>5.7730499999999996</v>
      </c>
      <c r="BD235" s="634">
        <f>[13]Prices!AO232</f>
        <v>6.1349</v>
      </c>
      <c r="BE235" s="634">
        <f>[13]Prices!AP232</f>
        <v>5.4112</v>
      </c>
    </row>
    <row r="236" spans="20:57">
      <c r="T236" s="4">
        <f t="shared" si="92"/>
        <v>2024</v>
      </c>
      <c r="U236" s="434">
        <f t="shared" si="101"/>
        <v>45444</v>
      </c>
      <c r="V236" s="150">
        <v>84.65</v>
      </c>
      <c r="W236" s="150">
        <v>77.25</v>
      </c>
      <c r="X236" s="357">
        <f t="shared" si="96"/>
        <v>81.468000000000004</v>
      </c>
      <c r="Y236" s="343">
        <v>400</v>
      </c>
      <c r="Z236" s="343">
        <v>320</v>
      </c>
      <c r="AA236" s="343">
        <f t="shared" si="93"/>
        <v>0.55555555555555558</v>
      </c>
      <c r="AB236" s="343">
        <f t="shared" si="94"/>
        <v>0.44444444444444442</v>
      </c>
      <c r="AF236" s="4">
        <f t="shared" si="97"/>
        <v>2024</v>
      </c>
      <c r="AG236" s="432">
        <f t="shared" si="100"/>
        <v>45444</v>
      </c>
      <c r="AH236" s="149">
        <f t="shared" si="95"/>
        <v>10.351506253398586</v>
      </c>
      <c r="AI236" s="150">
        <v>10.351506253398586</v>
      </c>
      <c r="AK236" s="4">
        <f t="shared" si="88"/>
        <v>2023</v>
      </c>
      <c r="AL236" s="432">
        <v>45046</v>
      </c>
      <c r="AM236" s="4">
        <f t="shared" si="89"/>
        <v>5.9050000000000002</v>
      </c>
      <c r="AN236" s="4">
        <v>5.98</v>
      </c>
      <c r="AO236" s="4">
        <v>5.83</v>
      </c>
      <c r="AQ236" s="4">
        <f t="shared" si="90"/>
        <v>2027</v>
      </c>
      <c r="AR236" s="356">
        <v>46447</v>
      </c>
      <c r="AS236" s="4">
        <f t="shared" si="91"/>
        <v>13.065000000000001</v>
      </c>
      <c r="AT236" s="4">
        <v>13.08</v>
      </c>
      <c r="AU236" s="4">
        <v>13.05</v>
      </c>
      <c r="AV236" s="515">
        <f t="shared" si="98"/>
        <v>2033</v>
      </c>
      <c r="AW236" s="535">
        <v>48823</v>
      </c>
      <c r="AX236" s="515">
        <f t="shared" si="86"/>
        <v>5.3838499999999998</v>
      </c>
      <c r="AY236" s="596">
        <f>'[12]Forward Price Curve'!AE317</f>
        <v>5.3914999999999997</v>
      </c>
      <c r="AZ236" s="596">
        <f>'[12]Forward Price Curve'!AD317</f>
        <v>5.3761999999999999</v>
      </c>
      <c r="BA236" s="629">
        <f t="shared" si="99"/>
        <v>2036</v>
      </c>
      <c r="BB236" s="633">
        <v>49919</v>
      </c>
      <c r="BC236" s="629">
        <f t="shared" si="87"/>
        <v>5.6414999999999997</v>
      </c>
      <c r="BD236" s="634">
        <f>[13]Prices!AO233</f>
        <v>6.0690999999999997</v>
      </c>
      <c r="BE236" s="634">
        <f>[13]Prices!AP233</f>
        <v>5.2138999999999998</v>
      </c>
    </row>
    <row r="237" spans="20:57">
      <c r="T237" s="4">
        <f t="shared" si="92"/>
        <v>2024</v>
      </c>
      <c r="U237" s="434">
        <f t="shared" si="101"/>
        <v>45474</v>
      </c>
      <c r="V237" s="150">
        <v>83.3</v>
      </c>
      <c r="W237" s="150">
        <v>80.040000000000006</v>
      </c>
      <c r="X237" s="357">
        <f t="shared" si="96"/>
        <v>81.898200000000003</v>
      </c>
      <c r="Y237" s="343">
        <v>416</v>
      </c>
      <c r="Z237" s="343">
        <v>328</v>
      </c>
      <c r="AA237" s="343">
        <f t="shared" si="93"/>
        <v>0.55913978494623651</v>
      </c>
      <c r="AB237" s="343">
        <f t="shared" si="94"/>
        <v>0.44086021505376344</v>
      </c>
      <c r="AF237" s="4">
        <f t="shared" si="97"/>
        <v>2024</v>
      </c>
      <c r="AG237" s="432">
        <f t="shared" si="100"/>
        <v>45474</v>
      </c>
      <c r="AH237" s="149">
        <f t="shared" si="95"/>
        <v>10.507841218053288</v>
      </c>
      <c r="AI237" s="150">
        <v>10.507841218053288</v>
      </c>
      <c r="AK237" s="4">
        <f t="shared" si="88"/>
        <v>2023</v>
      </c>
      <c r="AL237" s="432">
        <v>45077</v>
      </c>
      <c r="AM237" s="4">
        <f t="shared" si="89"/>
        <v>5.9050000000000002</v>
      </c>
      <c r="AN237" s="4">
        <v>5.98</v>
      </c>
      <c r="AO237" s="4">
        <v>5.83</v>
      </c>
      <c r="AQ237" s="4">
        <f t="shared" si="90"/>
        <v>2027</v>
      </c>
      <c r="AR237" s="356">
        <v>46478</v>
      </c>
      <c r="AS237" s="4">
        <f t="shared" si="91"/>
        <v>12.21</v>
      </c>
      <c r="AT237" s="4">
        <v>12.33</v>
      </c>
      <c r="AU237" s="4">
        <v>12.09</v>
      </c>
      <c r="AV237" s="515">
        <f t="shared" si="98"/>
        <v>2033</v>
      </c>
      <c r="AW237" s="535">
        <v>48853</v>
      </c>
      <c r="AX237" s="515">
        <f t="shared" si="86"/>
        <v>5.4831000000000003</v>
      </c>
      <c r="AY237" s="596">
        <f>'[12]Forward Price Curve'!AE318</f>
        <v>5.4678000000000004</v>
      </c>
      <c r="AZ237" s="596">
        <f>'[12]Forward Price Curve'!AD318</f>
        <v>5.4984000000000002</v>
      </c>
      <c r="BA237" s="629">
        <f t="shared" si="99"/>
        <v>2036</v>
      </c>
      <c r="BB237" s="633">
        <v>49949</v>
      </c>
      <c r="BC237" s="629">
        <f t="shared" si="87"/>
        <v>5.66615</v>
      </c>
      <c r="BD237" s="634">
        <f>[13]Prices!AO234</f>
        <v>6.1020000000000003</v>
      </c>
      <c r="BE237" s="634">
        <f>[13]Prices!AP234</f>
        <v>5.2302999999999997</v>
      </c>
    </row>
    <row r="238" spans="20:57">
      <c r="T238" s="4">
        <f t="shared" si="92"/>
        <v>2024</v>
      </c>
      <c r="U238" s="434">
        <f t="shared" si="101"/>
        <v>45505</v>
      </c>
      <c r="V238" s="150">
        <v>83.7</v>
      </c>
      <c r="W238" s="150">
        <v>80.459999999999994</v>
      </c>
      <c r="X238" s="357">
        <f t="shared" si="96"/>
        <v>82.306799999999996</v>
      </c>
      <c r="Y238" s="343">
        <v>432</v>
      </c>
      <c r="Z238" s="343">
        <v>312</v>
      </c>
      <c r="AA238" s="343">
        <f t="shared" si="93"/>
        <v>0.58064516129032262</v>
      </c>
      <c r="AB238" s="343">
        <f t="shared" si="94"/>
        <v>0.41935483870967744</v>
      </c>
      <c r="AF238" s="4">
        <f t="shared" si="97"/>
        <v>2024</v>
      </c>
      <c r="AG238" s="432">
        <f t="shared" si="100"/>
        <v>45505</v>
      </c>
      <c r="AH238" s="149">
        <f t="shared" si="95"/>
        <v>10.507841218053288</v>
      </c>
      <c r="AI238" s="150">
        <v>10.507841218053288</v>
      </c>
      <c r="AK238" s="4">
        <f t="shared" si="88"/>
        <v>2023</v>
      </c>
      <c r="AL238" s="432">
        <v>45107</v>
      </c>
      <c r="AM238" s="4">
        <f t="shared" si="89"/>
        <v>5.9950000000000001</v>
      </c>
      <c r="AN238" s="4">
        <v>6.07</v>
      </c>
      <c r="AO238" s="4">
        <v>5.92</v>
      </c>
      <c r="AQ238" s="4">
        <f t="shared" si="90"/>
        <v>2027</v>
      </c>
      <c r="AR238" s="356">
        <v>46508</v>
      </c>
      <c r="AS238" s="4">
        <f t="shared" si="91"/>
        <v>12.21</v>
      </c>
      <c r="AT238" s="4">
        <v>12.33</v>
      </c>
      <c r="AU238" s="4">
        <v>12.09</v>
      </c>
      <c r="AV238" s="515">
        <f t="shared" si="98"/>
        <v>2033</v>
      </c>
      <c r="AW238" s="535">
        <v>48884</v>
      </c>
      <c r="AX238" s="515">
        <f t="shared" si="86"/>
        <v>5.6892999999999994</v>
      </c>
      <c r="AY238" s="596">
        <f>'[12]Forward Price Curve'!AE319</f>
        <v>5.6510999999999996</v>
      </c>
      <c r="AZ238" s="596">
        <f>'[12]Forward Price Curve'!AD319</f>
        <v>5.7275</v>
      </c>
      <c r="BA238" s="629">
        <f t="shared" si="99"/>
        <v>2036</v>
      </c>
      <c r="BB238" s="633">
        <v>49980</v>
      </c>
      <c r="BC238" s="629">
        <f t="shared" si="87"/>
        <v>5.8306500000000003</v>
      </c>
      <c r="BD238" s="634">
        <f>[13]Prices!AO235</f>
        <v>6.2664999999999997</v>
      </c>
      <c r="BE238" s="634">
        <f>[13]Prices!AP235</f>
        <v>5.3948</v>
      </c>
    </row>
    <row r="239" spans="20:57">
      <c r="T239" s="4">
        <f t="shared" si="92"/>
        <v>2024</v>
      </c>
      <c r="U239" s="434">
        <f t="shared" si="101"/>
        <v>45536</v>
      </c>
      <c r="V239" s="150">
        <v>82.99</v>
      </c>
      <c r="W239" s="150">
        <v>78.86</v>
      </c>
      <c r="X239" s="357">
        <f t="shared" si="96"/>
        <v>81.214099999999988</v>
      </c>
      <c r="Y239" s="343">
        <v>384</v>
      </c>
      <c r="Z239" s="343">
        <v>336</v>
      </c>
      <c r="AA239" s="343">
        <f t="shared" si="93"/>
        <v>0.53333333333333333</v>
      </c>
      <c r="AB239" s="343">
        <f t="shared" si="94"/>
        <v>0.46666666666666667</v>
      </c>
      <c r="AF239" s="4">
        <f t="shared" si="97"/>
        <v>2024</v>
      </c>
      <c r="AG239" s="432">
        <f t="shared" si="100"/>
        <v>45536</v>
      </c>
      <c r="AH239" s="149">
        <f t="shared" si="95"/>
        <v>10.507841218053288</v>
      </c>
      <c r="AI239" s="150">
        <v>10.507841218053288</v>
      </c>
      <c r="AK239" s="4">
        <f t="shared" si="88"/>
        <v>2023</v>
      </c>
      <c r="AL239" s="432">
        <v>45138</v>
      </c>
      <c r="AM239" s="4">
        <f t="shared" si="89"/>
        <v>6.085</v>
      </c>
      <c r="AN239" s="4">
        <v>6.16</v>
      </c>
      <c r="AO239" s="4">
        <v>6.01</v>
      </c>
      <c r="AQ239" s="4">
        <f t="shared" si="90"/>
        <v>2027</v>
      </c>
      <c r="AR239" s="356">
        <v>46539</v>
      </c>
      <c r="AS239" s="4">
        <f t="shared" si="91"/>
        <v>12.399999999999999</v>
      </c>
      <c r="AT239" s="4">
        <v>12.52</v>
      </c>
      <c r="AU239" s="4">
        <v>12.28</v>
      </c>
      <c r="AV239" s="515">
        <f t="shared" si="98"/>
        <v>2033</v>
      </c>
      <c r="AW239" s="535">
        <v>48914</v>
      </c>
      <c r="AX239" s="515">
        <f t="shared" si="86"/>
        <v>6.0253499999999995</v>
      </c>
      <c r="AY239" s="596">
        <f>'[12]Forward Price Curve'!AE320</f>
        <v>5.9718999999999998</v>
      </c>
      <c r="AZ239" s="596">
        <f>'[12]Forward Price Curve'!AD320</f>
        <v>6.0788000000000002</v>
      </c>
      <c r="BA239" s="629">
        <f t="shared" si="99"/>
        <v>2036</v>
      </c>
      <c r="BB239" s="633">
        <v>50010</v>
      </c>
      <c r="BC239" s="629">
        <f t="shared" si="87"/>
        <v>6.2994000000000003</v>
      </c>
      <c r="BD239" s="634">
        <f>[13]Prices!AO236</f>
        <v>6.7270000000000003</v>
      </c>
      <c r="BE239" s="634">
        <f>[13]Prices!AP236</f>
        <v>5.8718000000000004</v>
      </c>
    </row>
    <row r="240" spans="20:57">
      <c r="T240" s="4">
        <f t="shared" si="92"/>
        <v>2024</v>
      </c>
      <c r="U240" s="434">
        <f t="shared" si="101"/>
        <v>45566</v>
      </c>
      <c r="V240" s="150">
        <v>84.3</v>
      </c>
      <c r="W240" s="150">
        <v>76.44</v>
      </c>
      <c r="X240" s="357">
        <f t="shared" si="96"/>
        <v>80.920199999999994</v>
      </c>
      <c r="Y240" s="343">
        <v>432</v>
      </c>
      <c r="Z240" s="343">
        <v>312</v>
      </c>
      <c r="AA240" s="343">
        <f t="shared" si="93"/>
        <v>0.58064516129032262</v>
      </c>
      <c r="AB240" s="343">
        <f t="shared" si="94"/>
        <v>0.41935483870967744</v>
      </c>
      <c r="AF240" s="4">
        <f t="shared" si="97"/>
        <v>2024</v>
      </c>
      <c r="AG240" s="432">
        <f t="shared" si="100"/>
        <v>45566</v>
      </c>
      <c r="AH240" s="149">
        <f t="shared" si="95"/>
        <v>10.878287112561173</v>
      </c>
      <c r="AI240" s="150">
        <v>10.878287112561173</v>
      </c>
      <c r="AK240" s="4">
        <f t="shared" si="88"/>
        <v>2023</v>
      </c>
      <c r="AL240" s="432">
        <v>45169</v>
      </c>
      <c r="AM240" s="4">
        <f t="shared" si="89"/>
        <v>6.085</v>
      </c>
      <c r="AN240" s="4">
        <v>6.16</v>
      </c>
      <c r="AO240" s="4">
        <v>6.01</v>
      </c>
      <c r="AQ240" s="4">
        <f t="shared" si="90"/>
        <v>2027</v>
      </c>
      <c r="AR240" s="356">
        <v>46569</v>
      </c>
      <c r="AS240" s="4">
        <f t="shared" si="91"/>
        <v>12.59</v>
      </c>
      <c r="AT240" s="4">
        <v>12.71</v>
      </c>
      <c r="AU240" s="4">
        <v>12.47</v>
      </c>
      <c r="AV240" s="515">
        <f t="shared" si="98"/>
        <v>2034</v>
      </c>
      <c r="AW240" s="535">
        <v>48945</v>
      </c>
      <c r="AX240" s="515">
        <f t="shared" si="86"/>
        <v>6.1500500000000002</v>
      </c>
      <c r="AY240" s="596">
        <f>'[12]Forward Price Curve'!AE321</f>
        <v>6.0876000000000001</v>
      </c>
      <c r="AZ240" s="596">
        <f>'[12]Forward Price Curve'!AD321</f>
        <v>6.2125000000000004</v>
      </c>
      <c r="BA240" s="629">
        <f t="shared" si="99"/>
        <v>2037</v>
      </c>
      <c r="BB240" s="633">
        <v>50041</v>
      </c>
      <c r="BC240" s="629">
        <f t="shared" si="87"/>
        <v>6.35175</v>
      </c>
      <c r="BD240" s="634">
        <f>[13]Prices!AO237</f>
        <v>6.7808000000000002</v>
      </c>
      <c r="BE240" s="634">
        <f>[13]Prices!AP237</f>
        <v>5.9226999999999999</v>
      </c>
    </row>
    <row r="241" spans="20:57">
      <c r="T241" s="4">
        <f t="shared" si="92"/>
        <v>2024</v>
      </c>
      <c r="U241" s="434">
        <f t="shared" si="101"/>
        <v>45597</v>
      </c>
      <c r="V241" s="150">
        <v>91.94</v>
      </c>
      <c r="W241" s="150">
        <v>75.13</v>
      </c>
      <c r="X241" s="357">
        <f t="shared" si="96"/>
        <v>84.711699999999979</v>
      </c>
      <c r="Y241" s="343">
        <v>400</v>
      </c>
      <c r="Z241" s="343">
        <v>320</v>
      </c>
      <c r="AA241" s="343">
        <f t="shared" si="93"/>
        <v>0.55555555555555558</v>
      </c>
      <c r="AB241" s="343">
        <f t="shared" si="94"/>
        <v>0.44444444444444442</v>
      </c>
      <c r="AF241" s="4">
        <f t="shared" si="97"/>
        <v>2024</v>
      </c>
      <c r="AG241" s="432">
        <f t="shared" si="100"/>
        <v>45597</v>
      </c>
      <c r="AH241" s="149">
        <f t="shared" si="95"/>
        <v>11.038020663404023</v>
      </c>
      <c r="AI241" s="150">
        <v>11.038020663404023</v>
      </c>
      <c r="AK241" s="4">
        <f t="shared" si="88"/>
        <v>2023</v>
      </c>
      <c r="AL241" s="432">
        <v>45199</v>
      </c>
      <c r="AM241" s="4">
        <f t="shared" si="89"/>
        <v>6.085</v>
      </c>
      <c r="AN241" s="4">
        <v>6.16</v>
      </c>
      <c r="AO241" s="4">
        <v>6.01</v>
      </c>
      <c r="AQ241" s="4">
        <f t="shared" si="90"/>
        <v>2027</v>
      </c>
      <c r="AR241" s="356">
        <v>46600</v>
      </c>
      <c r="AS241" s="4">
        <f t="shared" si="91"/>
        <v>12.59</v>
      </c>
      <c r="AT241" s="4">
        <v>12.71</v>
      </c>
      <c r="AU241" s="4">
        <v>12.47</v>
      </c>
      <c r="AV241" s="515">
        <f t="shared" si="98"/>
        <v>2034</v>
      </c>
      <c r="AW241" s="535">
        <v>48976</v>
      </c>
      <c r="AX241" s="515">
        <f t="shared" si="86"/>
        <v>6.1734500000000008</v>
      </c>
      <c r="AY241" s="596">
        <f>'[12]Forward Price Curve'!AE322</f>
        <v>6.1188000000000002</v>
      </c>
      <c r="AZ241" s="596">
        <f>'[12]Forward Price Curve'!AD322</f>
        <v>6.2281000000000004</v>
      </c>
      <c r="BA241" s="629">
        <f t="shared" si="99"/>
        <v>2037</v>
      </c>
      <c r="BB241" s="633">
        <v>50072</v>
      </c>
      <c r="BC241" s="629">
        <f t="shared" si="87"/>
        <v>6.3938000000000006</v>
      </c>
      <c r="BD241" s="634">
        <f>[13]Prices!AO238</f>
        <v>6.8144</v>
      </c>
      <c r="BE241" s="634">
        <f>[13]Prices!AP238</f>
        <v>5.9732000000000003</v>
      </c>
    </row>
    <row r="242" spans="20:57">
      <c r="T242" s="4">
        <f t="shared" si="92"/>
        <v>2024</v>
      </c>
      <c r="U242" s="434">
        <f t="shared" si="101"/>
        <v>45627</v>
      </c>
      <c r="V242" s="150">
        <v>97.25</v>
      </c>
      <c r="W242" s="150">
        <v>87.97</v>
      </c>
      <c r="X242" s="357">
        <f t="shared" si="96"/>
        <v>93.259600000000006</v>
      </c>
      <c r="Y242" s="343">
        <v>400</v>
      </c>
      <c r="Z242" s="343">
        <v>344</v>
      </c>
      <c r="AA242" s="343">
        <f t="shared" si="93"/>
        <v>0.5376344086021505</v>
      </c>
      <c r="AB242" s="343">
        <f t="shared" si="94"/>
        <v>0.46236559139784944</v>
      </c>
      <c r="AF242" s="4">
        <f t="shared" si="97"/>
        <v>2024</v>
      </c>
      <c r="AG242" s="432">
        <f t="shared" si="100"/>
        <v>45627</v>
      </c>
      <c r="AH242" s="149">
        <f t="shared" si="95"/>
        <v>11.568200108754759</v>
      </c>
      <c r="AI242" s="150">
        <v>11.568200108754759</v>
      </c>
      <c r="AK242" s="4">
        <f t="shared" si="88"/>
        <v>2023</v>
      </c>
      <c r="AL242" s="432">
        <v>45230</v>
      </c>
      <c r="AM242" s="4">
        <f t="shared" si="89"/>
        <v>6.3149999999999995</v>
      </c>
      <c r="AN242" s="4">
        <v>6.34</v>
      </c>
      <c r="AO242" s="4">
        <v>6.29</v>
      </c>
      <c r="AQ242" s="4">
        <f t="shared" si="90"/>
        <v>2027</v>
      </c>
      <c r="AR242" s="356">
        <v>46631</v>
      </c>
      <c r="AS242" s="4">
        <f t="shared" si="91"/>
        <v>12.59</v>
      </c>
      <c r="AT242" s="4">
        <v>12.71</v>
      </c>
      <c r="AU242" s="4">
        <v>12.47</v>
      </c>
      <c r="AV242" s="515">
        <f t="shared" si="98"/>
        <v>2034</v>
      </c>
      <c r="AW242" s="535">
        <v>49004</v>
      </c>
      <c r="AX242" s="515">
        <f t="shared" si="86"/>
        <v>5.8457000000000008</v>
      </c>
      <c r="AY242" s="596">
        <f>'[12]Forward Price Curve'!AE323</f>
        <v>5.8223000000000003</v>
      </c>
      <c r="AZ242" s="596">
        <f>'[12]Forward Price Curve'!AD323</f>
        <v>5.8691000000000004</v>
      </c>
      <c r="BA242" s="629">
        <f t="shared" si="99"/>
        <v>2037</v>
      </c>
      <c r="BB242" s="633">
        <v>50100</v>
      </c>
      <c r="BC242" s="629">
        <f t="shared" si="87"/>
        <v>6.0656999999999996</v>
      </c>
      <c r="BD242" s="634">
        <f>[13]Prices!AO239</f>
        <v>6.4947999999999997</v>
      </c>
      <c r="BE242" s="634">
        <f>[13]Prices!AP239</f>
        <v>5.6365999999999996</v>
      </c>
    </row>
    <row r="243" spans="20:57">
      <c r="T243" s="4">
        <f t="shared" si="92"/>
        <v>2025</v>
      </c>
      <c r="U243" s="434">
        <f t="shared" si="101"/>
        <v>45658</v>
      </c>
      <c r="V243" s="150">
        <v>102.37</v>
      </c>
      <c r="W243" s="150">
        <v>92.39</v>
      </c>
      <c r="X243" s="357">
        <f t="shared" si="96"/>
        <v>98.078599999999994</v>
      </c>
      <c r="Y243" s="343">
        <v>416</v>
      </c>
      <c r="Z243" s="343">
        <v>328</v>
      </c>
      <c r="AA243" s="343">
        <f t="shared" si="93"/>
        <v>0.55913978494623651</v>
      </c>
      <c r="AB243" s="343">
        <f t="shared" si="94"/>
        <v>0.44086021505376344</v>
      </c>
      <c r="AF243" s="4">
        <f t="shared" si="97"/>
        <v>2025</v>
      </c>
      <c r="AG243" s="432">
        <f t="shared" si="100"/>
        <v>45658</v>
      </c>
      <c r="AH243" s="149">
        <f t="shared" si="95"/>
        <v>12.543594344752583</v>
      </c>
      <c r="AI243" s="150">
        <v>12.543594344752583</v>
      </c>
      <c r="AK243" s="4">
        <f t="shared" si="88"/>
        <v>2023</v>
      </c>
      <c r="AL243" s="432">
        <v>45260</v>
      </c>
      <c r="AM243" s="4">
        <f t="shared" si="89"/>
        <v>6.4049999999999994</v>
      </c>
      <c r="AN243" s="4">
        <v>6.43</v>
      </c>
      <c r="AO243" s="4">
        <v>6.38</v>
      </c>
      <c r="AQ243" s="4">
        <f t="shared" si="90"/>
        <v>2027</v>
      </c>
      <c r="AR243" s="356">
        <v>46661</v>
      </c>
      <c r="AS243" s="4">
        <f t="shared" si="91"/>
        <v>13.065000000000001</v>
      </c>
      <c r="AT243" s="4">
        <v>13.08</v>
      </c>
      <c r="AU243" s="4">
        <v>13.05</v>
      </c>
      <c r="AV243" s="515">
        <f t="shared" si="98"/>
        <v>2034</v>
      </c>
      <c r="AW243" s="535">
        <v>49035</v>
      </c>
      <c r="AX243" s="515">
        <f t="shared" si="86"/>
        <v>5.5335000000000001</v>
      </c>
      <c r="AY243" s="596">
        <f>'[12]Forward Price Curve'!AE324</f>
        <v>5.5568999999999997</v>
      </c>
      <c r="AZ243" s="596">
        <f>'[12]Forward Price Curve'!AD324</f>
        <v>5.5101000000000004</v>
      </c>
      <c r="BA243" s="629">
        <f t="shared" si="99"/>
        <v>2037</v>
      </c>
      <c r="BB243" s="633">
        <v>50131</v>
      </c>
      <c r="BC243" s="629">
        <f t="shared" si="87"/>
        <v>5.7292000000000005</v>
      </c>
      <c r="BD243" s="634">
        <f>[13]Prices!AO240</f>
        <v>6.1078000000000001</v>
      </c>
      <c r="BE243" s="634">
        <f>[13]Prices!AP240</f>
        <v>5.3506</v>
      </c>
    </row>
    <row r="244" spans="20:57">
      <c r="T244" s="4">
        <f t="shared" si="92"/>
        <v>2025</v>
      </c>
      <c r="U244" s="434">
        <f t="shared" si="101"/>
        <v>45689</v>
      </c>
      <c r="V244" s="150">
        <v>96.35</v>
      </c>
      <c r="W244" s="150">
        <v>83.8</v>
      </c>
      <c r="X244" s="357">
        <f t="shared" si="96"/>
        <v>90.953499999999991</v>
      </c>
      <c r="Y244" s="343">
        <v>384</v>
      </c>
      <c r="Z244" s="343">
        <v>288</v>
      </c>
      <c r="AA244" s="343">
        <f t="shared" si="93"/>
        <v>0.5714285714285714</v>
      </c>
      <c r="AB244" s="343">
        <f t="shared" si="94"/>
        <v>0.42857142857142855</v>
      </c>
      <c r="AF244" s="4">
        <f t="shared" si="97"/>
        <v>2025</v>
      </c>
      <c r="AG244" s="432">
        <f t="shared" si="100"/>
        <v>45689</v>
      </c>
      <c r="AH244" s="149">
        <f t="shared" si="95"/>
        <v>11.78910821098423</v>
      </c>
      <c r="AI244" s="150">
        <v>11.78910821098423</v>
      </c>
      <c r="AK244" s="4">
        <f t="shared" si="88"/>
        <v>2023</v>
      </c>
      <c r="AL244" s="432">
        <v>45291</v>
      </c>
      <c r="AM244" s="4">
        <f t="shared" si="89"/>
        <v>6.7249999999999996</v>
      </c>
      <c r="AN244" s="4">
        <v>6.7</v>
      </c>
      <c r="AO244" s="4">
        <v>6.75</v>
      </c>
      <c r="AQ244" s="4">
        <f t="shared" si="90"/>
        <v>2027</v>
      </c>
      <c r="AR244" s="356">
        <v>46692</v>
      </c>
      <c r="AS244" s="4">
        <f t="shared" si="91"/>
        <v>13.254999999999999</v>
      </c>
      <c r="AT244" s="4">
        <v>13.27</v>
      </c>
      <c r="AU244" s="4">
        <v>13.24</v>
      </c>
      <c r="AV244" s="515">
        <f t="shared" si="98"/>
        <v>2034</v>
      </c>
      <c r="AW244" s="535">
        <v>49065</v>
      </c>
      <c r="AX244" s="515">
        <f t="shared" si="86"/>
        <v>5.4008500000000002</v>
      </c>
      <c r="AY244" s="596">
        <f>'[12]Forward Price Curve'!AE325</f>
        <v>5.4789000000000003</v>
      </c>
      <c r="AZ244" s="596">
        <f>'[12]Forward Price Curve'!AD325</f>
        <v>5.3228</v>
      </c>
      <c r="BA244" s="629">
        <f t="shared" si="99"/>
        <v>2037</v>
      </c>
      <c r="BB244" s="633">
        <v>50161</v>
      </c>
      <c r="BC244" s="629">
        <f t="shared" si="87"/>
        <v>5.7544000000000004</v>
      </c>
      <c r="BD244" s="634">
        <f>[13]Prices!AO241</f>
        <v>6.1414</v>
      </c>
      <c r="BE244" s="634">
        <f>[13]Prices!AP241</f>
        <v>5.3673999999999999</v>
      </c>
    </row>
    <row r="245" spans="20:57">
      <c r="T245" s="4">
        <f t="shared" si="92"/>
        <v>2025</v>
      </c>
      <c r="U245" s="434">
        <f t="shared" si="101"/>
        <v>45717</v>
      </c>
      <c r="V245" s="150">
        <v>81.66</v>
      </c>
      <c r="W245" s="150">
        <v>73.02</v>
      </c>
      <c r="X245" s="357">
        <f t="shared" si="96"/>
        <v>77.944799999999987</v>
      </c>
      <c r="Y245" s="343">
        <v>416</v>
      </c>
      <c r="Z245" s="343">
        <v>328</v>
      </c>
      <c r="AA245" s="343">
        <f t="shared" si="93"/>
        <v>0.55913978494623651</v>
      </c>
      <c r="AB245" s="343">
        <f t="shared" si="94"/>
        <v>0.44086021505376344</v>
      </c>
      <c r="AF245" s="4">
        <f t="shared" si="97"/>
        <v>2025</v>
      </c>
      <c r="AG245" s="432">
        <f t="shared" si="100"/>
        <v>45717</v>
      </c>
      <c r="AH245" s="149">
        <f t="shared" si="95"/>
        <v>11.085600870038064</v>
      </c>
      <c r="AI245" s="150">
        <v>11.085600870038064</v>
      </c>
      <c r="AK245" s="4">
        <f t="shared" si="88"/>
        <v>2024</v>
      </c>
      <c r="AL245" s="432">
        <v>45322</v>
      </c>
      <c r="AM245" s="4">
        <f t="shared" si="89"/>
        <v>7.4849999999999994</v>
      </c>
      <c r="AN245" s="4">
        <v>7.41</v>
      </c>
      <c r="AO245" s="4">
        <v>7.56</v>
      </c>
      <c r="AQ245" s="4">
        <f t="shared" si="90"/>
        <v>2027</v>
      </c>
      <c r="AR245" s="356">
        <v>46722</v>
      </c>
      <c r="AS245" s="4">
        <f t="shared" si="91"/>
        <v>13.914999999999999</v>
      </c>
      <c r="AT245" s="4">
        <v>13.83</v>
      </c>
      <c r="AU245" s="4">
        <v>14</v>
      </c>
      <c r="AV245" s="515">
        <f t="shared" si="98"/>
        <v>2034</v>
      </c>
      <c r="AW245" s="535">
        <v>49096</v>
      </c>
      <c r="AX245" s="515">
        <f t="shared" si="86"/>
        <v>5.3852500000000001</v>
      </c>
      <c r="AY245" s="596">
        <f>'[12]Forward Price Curve'!AE326</f>
        <v>5.4789000000000003</v>
      </c>
      <c r="AZ245" s="596">
        <f>'[12]Forward Price Curve'!AD326</f>
        <v>5.2915999999999999</v>
      </c>
      <c r="BA245" s="629">
        <f t="shared" si="99"/>
        <v>2037</v>
      </c>
      <c r="BB245" s="633">
        <v>50192</v>
      </c>
      <c r="BC245" s="629">
        <f t="shared" si="87"/>
        <v>5.8385499999999997</v>
      </c>
      <c r="BD245" s="634">
        <f>[13]Prices!AO242</f>
        <v>6.1919000000000004</v>
      </c>
      <c r="BE245" s="634">
        <f>[13]Prices!AP242</f>
        <v>5.4851999999999999</v>
      </c>
    </row>
    <row r="246" spans="20:57">
      <c r="T246" s="4">
        <f t="shared" si="92"/>
        <v>2025</v>
      </c>
      <c r="U246" s="434">
        <f t="shared" si="101"/>
        <v>45748</v>
      </c>
      <c r="V246" s="150">
        <v>81.22</v>
      </c>
      <c r="W246" s="150">
        <v>77.38</v>
      </c>
      <c r="X246" s="357">
        <f t="shared" si="96"/>
        <v>79.568799999999982</v>
      </c>
      <c r="Y246" s="343">
        <v>416</v>
      </c>
      <c r="Z246" s="343">
        <v>304</v>
      </c>
      <c r="AA246" s="343">
        <f t="shared" si="93"/>
        <v>0.57777777777777772</v>
      </c>
      <c r="AB246" s="343">
        <f t="shared" si="94"/>
        <v>0.42222222222222222</v>
      </c>
      <c r="AF246" s="4">
        <f t="shared" si="97"/>
        <v>2025</v>
      </c>
      <c r="AG246" s="432">
        <f t="shared" si="100"/>
        <v>45748</v>
      </c>
      <c r="AH246" s="149">
        <f t="shared" si="95"/>
        <v>10.494246873300707</v>
      </c>
      <c r="AI246" s="150">
        <v>10.494246873300707</v>
      </c>
      <c r="AK246" s="4">
        <f t="shared" si="88"/>
        <v>2024</v>
      </c>
      <c r="AL246" s="432">
        <v>45351</v>
      </c>
      <c r="AM246" s="4">
        <f t="shared" si="89"/>
        <v>6.9649999999999999</v>
      </c>
      <c r="AN246" s="4">
        <v>6.94</v>
      </c>
      <c r="AO246" s="4">
        <v>6.99</v>
      </c>
      <c r="AQ246" s="4">
        <f t="shared" si="90"/>
        <v>2028</v>
      </c>
      <c r="AR246" s="356">
        <v>46753</v>
      </c>
      <c r="AS246" s="4">
        <f t="shared" si="91"/>
        <v>15.239999999999998</v>
      </c>
      <c r="AT246" s="4">
        <v>15.04</v>
      </c>
      <c r="AU246" s="4">
        <v>15.44</v>
      </c>
      <c r="AV246" s="515">
        <f t="shared" si="98"/>
        <v>2034</v>
      </c>
      <c r="AW246" s="535">
        <v>49126</v>
      </c>
      <c r="AX246" s="515">
        <f t="shared" si="86"/>
        <v>5.4086499999999997</v>
      </c>
      <c r="AY246" s="596">
        <f>'[12]Forward Price Curve'!AE327</f>
        <v>5.5101000000000004</v>
      </c>
      <c r="AZ246" s="596">
        <f>'[12]Forward Price Curve'!AD327</f>
        <v>5.3071999999999999</v>
      </c>
      <c r="BA246" s="629">
        <f t="shared" si="99"/>
        <v>2037</v>
      </c>
      <c r="BB246" s="633">
        <v>50222</v>
      </c>
      <c r="BC246" s="629">
        <f t="shared" si="87"/>
        <v>6.0993499999999994</v>
      </c>
      <c r="BD246" s="634">
        <f>[13]Prices!AO243</f>
        <v>6.4779</v>
      </c>
      <c r="BE246" s="634">
        <f>[13]Prices!AP243</f>
        <v>5.7207999999999997</v>
      </c>
    </row>
    <row r="247" spans="20:57">
      <c r="T247" s="4">
        <f t="shared" si="92"/>
        <v>2025</v>
      </c>
      <c r="U247" s="434">
        <f t="shared" si="101"/>
        <v>45778</v>
      </c>
      <c r="V247" s="150">
        <v>82.71</v>
      </c>
      <c r="W247" s="150">
        <v>77.8</v>
      </c>
      <c r="X247" s="357">
        <f t="shared" si="96"/>
        <v>80.598699999999994</v>
      </c>
      <c r="Y247" s="343">
        <v>416</v>
      </c>
      <c r="Z247" s="343">
        <v>328</v>
      </c>
      <c r="AA247" s="343">
        <f t="shared" si="93"/>
        <v>0.55913978494623651</v>
      </c>
      <c r="AB247" s="343">
        <f t="shared" si="94"/>
        <v>0.44086021505376344</v>
      </c>
      <c r="AF247" s="4">
        <f t="shared" si="97"/>
        <v>2025</v>
      </c>
      <c r="AG247" s="432">
        <f t="shared" si="100"/>
        <v>45778</v>
      </c>
      <c r="AH247" s="149">
        <f t="shared" si="95"/>
        <v>10.385492115280043</v>
      </c>
      <c r="AI247" s="150">
        <v>10.385492115280043</v>
      </c>
      <c r="AK247" s="4">
        <f t="shared" si="88"/>
        <v>2024</v>
      </c>
      <c r="AL247" s="432">
        <v>45382</v>
      </c>
      <c r="AM247" s="4">
        <f t="shared" si="89"/>
        <v>6.5350000000000001</v>
      </c>
      <c r="AN247" s="4">
        <v>6.56</v>
      </c>
      <c r="AO247" s="4">
        <v>6.51</v>
      </c>
      <c r="AQ247" s="4">
        <f t="shared" si="90"/>
        <v>2028</v>
      </c>
      <c r="AR247" s="356">
        <v>46784</v>
      </c>
      <c r="AS247" s="4">
        <f t="shared" si="91"/>
        <v>14.18</v>
      </c>
      <c r="AT247" s="4">
        <v>14.09</v>
      </c>
      <c r="AU247" s="4">
        <v>14.27</v>
      </c>
      <c r="AV247" s="515">
        <f t="shared" si="98"/>
        <v>2034</v>
      </c>
      <c r="AW247" s="535">
        <v>49157</v>
      </c>
      <c r="AX247" s="515">
        <f t="shared" si="86"/>
        <v>5.5724999999999998</v>
      </c>
      <c r="AY247" s="596">
        <f>'[12]Forward Price Curve'!AE328</f>
        <v>5.6036999999999999</v>
      </c>
      <c r="AZ247" s="596">
        <f>'[12]Forward Price Curve'!AD328</f>
        <v>5.5412999999999997</v>
      </c>
      <c r="BA247" s="629">
        <f t="shared" si="99"/>
        <v>2037</v>
      </c>
      <c r="BB247" s="633">
        <v>50253</v>
      </c>
      <c r="BC247" s="629">
        <f t="shared" si="87"/>
        <v>6.1498000000000008</v>
      </c>
      <c r="BD247" s="634">
        <f>[13]Prices!AO244</f>
        <v>6.5452000000000004</v>
      </c>
      <c r="BE247" s="634">
        <f>[13]Prices!AP244</f>
        <v>5.7544000000000004</v>
      </c>
    </row>
    <row r="248" spans="20:57">
      <c r="T248" s="4">
        <f t="shared" si="92"/>
        <v>2025</v>
      </c>
      <c r="U248" s="434">
        <f t="shared" si="101"/>
        <v>45809</v>
      </c>
      <c r="V248" s="150">
        <v>89.53</v>
      </c>
      <c r="W248" s="150">
        <v>79.900000000000006</v>
      </c>
      <c r="X248" s="357">
        <f t="shared" si="96"/>
        <v>85.389099999999999</v>
      </c>
      <c r="Y248" s="343">
        <v>400</v>
      </c>
      <c r="Z248" s="343">
        <v>320</v>
      </c>
      <c r="AA248" s="343">
        <f t="shared" si="93"/>
        <v>0.55555555555555558</v>
      </c>
      <c r="AB248" s="343">
        <f t="shared" si="94"/>
        <v>0.44444444444444442</v>
      </c>
      <c r="AF248" s="4">
        <f t="shared" si="97"/>
        <v>2025</v>
      </c>
      <c r="AG248" s="432">
        <f t="shared" si="100"/>
        <v>45809</v>
      </c>
      <c r="AH248" s="149">
        <f t="shared" si="95"/>
        <v>10.548624252311038</v>
      </c>
      <c r="AI248" s="150">
        <v>10.548624252311038</v>
      </c>
      <c r="AK248" s="4">
        <f t="shared" si="88"/>
        <v>2024</v>
      </c>
      <c r="AL248" s="432">
        <v>45412</v>
      </c>
      <c r="AM248" s="4">
        <f t="shared" si="89"/>
        <v>6.11</v>
      </c>
      <c r="AN248" s="4">
        <v>6.19</v>
      </c>
      <c r="AO248" s="4">
        <v>6.03</v>
      </c>
      <c r="AQ248" s="4">
        <f t="shared" si="90"/>
        <v>2028</v>
      </c>
      <c r="AR248" s="356">
        <v>46813</v>
      </c>
      <c r="AS248" s="4">
        <f t="shared" si="91"/>
        <v>13.309999999999999</v>
      </c>
      <c r="AT248" s="4">
        <v>13.33</v>
      </c>
      <c r="AU248" s="4">
        <v>13.29</v>
      </c>
      <c r="AV248" s="515">
        <f t="shared" si="98"/>
        <v>2034</v>
      </c>
      <c r="AW248" s="535">
        <v>49188</v>
      </c>
      <c r="AX248" s="515">
        <f t="shared" si="86"/>
        <v>5.4554500000000008</v>
      </c>
      <c r="AY248" s="596">
        <f>'[12]Forward Price Curve'!AE329</f>
        <v>5.4476000000000004</v>
      </c>
      <c r="AZ248" s="596">
        <f>'[12]Forward Price Curve'!AD329</f>
        <v>5.4633000000000003</v>
      </c>
      <c r="BA248" s="629">
        <f t="shared" si="99"/>
        <v>2037</v>
      </c>
      <c r="BB248" s="633">
        <v>50284</v>
      </c>
      <c r="BC248" s="629">
        <f t="shared" si="87"/>
        <v>5.9984000000000002</v>
      </c>
      <c r="BD248" s="634">
        <f>[13]Prices!AO245</f>
        <v>6.4779</v>
      </c>
      <c r="BE248" s="634">
        <f>[13]Prices!AP245</f>
        <v>5.5189000000000004</v>
      </c>
    </row>
    <row r="249" spans="20:57">
      <c r="T249" s="4">
        <f t="shared" si="92"/>
        <v>2025</v>
      </c>
      <c r="U249" s="434">
        <f t="shared" si="101"/>
        <v>45839</v>
      </c>
      <c r="V249" s="150">
        <v>85.27</v>
      </c>
      <c r="W249" s="150">
        <v>81.73</v>
      </c>
      <c r="X249" s="357">
        <f t="shared" si="96"/>
        <v>83.747799999999998</v>
      </c>
      <c r="Y249" s="343">
        <v>416</v>
      </c>
      <c r="Z249" s="343">
        <v>328</v>
      </c>
      <c r="AA249" s="343">
        <f t="shared" si="93"/>
        <v>0.55913978494623651</v>
      </c>
      <c r="AB249" s="343">
        <f t="shared" si="94"/>
        <v>0.44086021505376344</v>
      </c>
      <c r="AF249" s="4">
        <f t="shared" si="97"/>
        <v>2025</v>
      </c>
      <c r="AG249" s="432">
        <f t="shared" si="100"/>
        <v>45839</v>
      </c>
      <c r="AH249" s="149">
        <f t="shared" si="95"/>
        <v>10.711756389342034</v>
      </c>
      <c r="AI249" s="150">
        <v>10.711756389342034</v>
      </c>
      <c r="AK249" s="4">
        <f t="shared" si="88"/>
        <v>2024</v>
      </c>
      <c r="AL249" s="432">
        <v>45443</v>
      </c>
      <c r="AM249" s="4">
        <f t="shared" si="89"/>
        <v>6.11</v>
      </c>
      <c r="AN249" s="4">
        <v>6.19</v>
      </c>
      <c r="AO249" s="4">
        <v>6.03</v>
      </c>
      <c r="AQ249" s="4">
        <f t="shared" si="90"/>
        <v>2028</v>
      </c>
      <c r="AR249" s="356">
        <v>46844</v>
      </c>
      <c r="AS249" s="4">
        <f t="shared" si="91"/>
        <v>12.445</v>
      </c>
      <c r="AT249" s="4">
        <v>12.57</v>
      </c>
      <c r="AU249" s="4">
        <v>12.32</v>
      </c>
      <c r="AV249" s="515">
        <f t="shared" si="98"/>
        <v>2034</v>
      </c>
      <c r="AW249" s="535">
        <v>49218</v>
      </c>
      <c r="AX249" s="515">
        <f t="shared" si="86"/>
        <v>5.5412999999999997</v>
      </c>
      <c r="AY249" s="596">
        <f>'[12]Forward Price Curve'!AE330</f>
        <v>5.5256999999999996</v>
      </c>
      <c r="AZ249" s="596">
        <f>'[12]Forward Price Curve'!AD330</f>
        <v>5.5568999999999997</v>
      </c>
      <c r="BA249" s="629">
        <f t="shared" si="99"/>
        <v>2037</v>
      </c>
      <c r="BB249" s="633">
        <v>50314</v>
      </c>
      <c r="BC249" s="629">
        <f t="shared" si="87"/>
        <v>6.0152000000000001</v>
      </c>
      <c r="BD249" s="634">
        <f>[13]Prices!AO246</f>
        <v>6.5284000000000004</v>
      </c>
      <c r="BE249" s="634">
        <f>[13]Prices!AP246</f>
        <v>5.5019999999999998</v>
      </c>
    </row>
    <row r="250" spans="20:57">
      <c r="T250" s="4">
        <f t="shared" si="92"/>
        <v>2025</v>
      </c>
      <c r="U250" s="434">
        <f t="shared" si="101"/>
        <v>45870</v>
      </c>
      <c r="V250" s="150">
        <v>85.69</v>
      </c>
      <c r="W250" s="150">
        <v>82.2</v>
      </c>
      <c r="X250" s="357">
        <f t="shared" si="96"/>
        <v>84.189300000000003</v>
      </c>
      <c r="Y250" s="343">
        <v>416</v>
      </c>
      <c r="Z250" s="343">
        <v>328</v>
      </c>
      <c r="AA250" s="343">
        <f t="shared" si="93"/>
        <v>0.55913978494623651</v>
      </c>
      <c r="AB250" s="343">
        <f t="shared" si="94"/>
        <v>0.44086021505376344</v>
      </c>
      <c r="AF250" s="4">
        <f t="shared" si="97"/>
        <v>2025</v>
      </c>
      <c r="AG250" s="432">
        <f t="shared" si="100"/>
        <v>45870</v>
      </c>
      <c r="AH250" s="149">
        <f t="shared" si="95"/>
        <v>10.711756389342034</v>
      </c>
      <c r="AI250" s="150">
        <v>10.711756389342034</v>
      </c>
      <c r="AK250" s="4">
        <f t="shared" si="88"/>
        <v>2024</v>
      </c>
      <c r="AL250" s="432">
        <v>45473</v>
      </c>
      <c r="AM250" s="4">
        <f t="shared" si="89"/>
        <v>6.2050000000000001</v>
      </c>
      <c r="AN250" s="4">
        <v>6.28</v>
      </c>
      <c r="AO250" s="4">
        <v>6.13</v>
      </c>
      <c r="AQ250" s="4">
        <f t="shared" si="90"/>
        <v>2028</v>
      </c>
      <c r="AR250" s="356">
        <v>46874</v>
      </c>
      <c r="AS250" s="4">
        <f t="shared" si="91"/>
        <v>12.445</v>
      </c>
      <c r="AT250" s="4">
        <v>12.57</v>
      </c>
      <c r="AU250" s="4">
        <v>12.32</v>
      </c>
      <c r="AV250" s="515">
        <f t="shared" si="98"/>
        <v>2034</v>
      </c>
      <c r="AW250" s="535">
        <v>49249</v>
      </c>
      <c r="AX250" s="515">
        <f t="shared" si="86"/>
        <v>5.7051999999999996</v>
      </c>
      <c r="AY250" s="596">
        <f>'[12]Forward Price Curve'!AE331</f>
        <v>5.6505999999999998</v>
      </c>
      <c r="AZ250" s="596">
        <f>'[12]Forward Price Curve'!AD331</f>
        <v>5.7598000000000003</v>
      </c>
      <c r="BA250" s="629">
        <f t="shared" si="99"/>
        <v>2037</v>
      </c>
      <c r="BB250" s="633">
        <v>50345</v>
      </c>
      <c r="BC250" s="629">
        <f t="shared" si="87"/>
        <v>6.2591999999999999</v>
      </c>
      <c r="BD250" s="634">
        <f>[13]Prices!AO247</f>
        <v>6.7134999999999998</v>
      </c>
      <c r="BE250" s="634">
        <f>[13]Prices!AP247</f>
        <v>5.8048999999999999</v>
      </c>
    </row>
    <row r="251" spans="20:57">
      <c r="T251" s="4">
        <f t="shared" si="92"/>
        <v>2025</v>
      </c>
      <c r="U251" s="434">
        <f t="shared" si="101"/>
        <v>45901</v>
      </c>
      <c r="V251" s="150">
        <v>84.94</v>
      </c>
      <c r="W251" s="150">
        <v>79.650000000000006</v>
      </c>
      <c r="X251" s="357">
        <f t="shared" si="96"/>
        <v>82.665300000000002</v>
      </c>
      <c r="Y251" s="343">
        <v>400</v>
      </c>
      <c r="Z251" s="343">
        <v>320</v>
      </c>
      <c r="AA251" s="343">
        <f t="shared" si="93"/>
        <v>0.55555555555555558</v>
      </c>
      <c r="AB251" s="343">
        <f t="shared" si="94"/>
        <v>0.44444444444444442</v>
      </c>
      <c r="AF251" s="4">
        <f t="shared" si="97"/>
        <v>2025</v>
      </c>
      <c r="AG251" s="432">
        <f t="shared" si="100"/>
        <v>45901</v>
      </c>
      <c r="AH251" s="149">
        <f t="shared" si="95"/>
        <v>10.711756389342034</v>
      </c>
      <c r="AI251" s="150">
        <v>10.711756389342034</v>
      </c>
      <c r="AK251" s="4">
        <f t="shared" si="88"/>
        <v>2024</v>
      </c>
      <c r="AL251" s="432">
        <v>45504</v>
      </c>
      <c r="AM251" s="4">
        <f t="shared" si="89"/>
        <v>6.3</v>
      </c>
      <c r="AN251" s="4">
        <v>6.38</v>
      </c>
      <c r="AO251" s="4">
        <v>6.22</v>
      </c>
      <c r="AQ251" s="4">
        <f t="shared" si="90"/>
        <v>2028</v>
      </c>
      <c r="AR251" s="356">
        <v>46905</v>
      </c>
      <c r="AS251" s="4">
        <f t="shared" si="91"/>
        <v>12.635</v>
      </c>
      <c r="AT251" s="4">
        <v>12.76</v>
      </c>
      <c r="AU251" s="4">
        <v>12.51</v>
      </c>
      <c r="AV251" s="515">
        <f t="shared" si="98"/>
        <v>2034</v>
      </c>
      <c r="AW251" s="535">
        <v>49279</v>
      </c>
      <c r="AX251" s="515">
        <f t="shared" si="86"/>
        <v>6.08765</v>
      </c>
      <c r="AY251" s="596">
        <f>'[12]Forward Price Curve'!AE332</f>
        <v>6.0251999999999999</v>
      </c>
      <c r="AZ251" s="596">
        <f>'[12]Forward Price Curve'!AD332</f>
        <v>6.1501000000000001</v>
      </c>
      <c r="BA251" s="629">
        <f t="shared" si="99"/>
        <v>2037</v>
      </c>
      <c r="BB251" s="633">
        <v>50375</v>
      </c>
      <c r="BC251" s="629">
        <f t="shared" si="87"/>
        <v>6.7639499999999995</v>
      </c>
      <c r="BD251" s="634">
        <f>[13]Prices!AO248</f>
        <v>7.2013999999999996</v>
      </c>
      <c r="BE251" s="634">
        <f>[13]Prices!AP248</f>
        <v>6.3265000000000002</v>
      </c>
    </row>
    <row r="252" spans="20:57">
      <c r="T252" s="4">
        <f t="shared" si="92"/>
        <v>2025</v>
      </c>
      <c r="U252" s="434">
        <f t="shared" si="101"/>
        <v>45931</v>
      </c>
      <c r="V252" s="150">
        <v>84.29</v>
      </c>
      <c r="W252" s="150">
        <v>73.59</v>
      </c>
      <c r="X252" s="357">
        <f t="shared" si="96"/>
        <v>79.688999999999993</v>
      </c>
      <c r="Y252" s="343">
        <v>432</v>
      </c>
      <c r="Z252" s="343">
        <v>312</v>
      </c>
      <c r="AA252" s="343">
        <f t="shared" si="93"/>
        <v>0.58064516129032262</v>
      </c>
      <c r="AB252" s="343">
        <f t="shared" si="94"/>
        <v>0.41935483870967744</v>
      </c>
      <c r="AF252" s="4">
        <f t="shared" si="97"/>
        <v>2025</v>
      </c>
      <c r="AG252" s="432">
        <f t="shared" si="100"/>
        <v>45931</v>
      </c>
      <c r="AH252" s="149">
        <f t="shared" si="95"/>
        <v>11.085600870038064</v>
      </c>
      <c r="AI252" s="150">
        <v>11.085600870038064</v>
      </c>
      <c r="AK252" s="4">
        <f t="shared" si="88"/>
        <v>2024</v>
      </c>
      <c r="AL252" s="432">
        <v>45535</v>
      </c>
      <c r="AM252" s="4">
        <f t="shared" si="89"/>
        <v>6.3</v>
      </c>
      <c r="AN252" s="4">
        <v>6.38</v>
      </c>
      <c r="AO252" s="4">
        <v>6.22</v>
      </c>
      <c r="AQ252" s="4">
        <f t="shared" si="90"/>
        <v>2028</v>
      </c>
      <c r="AR252" s="356">
        <v>46935</v>
      </c>
      <c r="AS252" s="4">
        <f t="shared" si="91"/>
        <v>12.83</v>
      </c>
      <c r="AT252" s="4">
        <v>12.95</v>
      </c>
      <c r="AU252" s="4">
        <v>12.71</v>
      </c>
      <c r="AV252" s="515">
        <f t="shared" si="98"/>
        <v>2035</v>
      </c>
      <c r="AW252" s="535">
        <v>49310</v>
      </c>
      <c r="AX252" s="515">
        <f t="shared" si="86"/>
        <v>6.1976499999999994</v>
      </c>
      <c r="AY252" s="596">
        <f>'[12]Forward Price Curve'!AE333</f>
        <v>6.1098999999999997</v>
      </c>
      <c r="AZ252" s="596">
        <f>'[12]Forward Price Curve'!AD333</f>
        <v>6.2854000000000001</v>
      </c>
      <c r="BA252" s="629">
        <f t="shared" si="99"/>
        <v>2038</v>
      </c>
      <c r="BB252" s="633">
        <v>50406</v>
      </c>
      <c r="BC252" s="629">
        <f t="shared" si="87"/>
        <v>6.7990499999999994</v>
      </c>
      <c r="BD252" s="634">
        <f>[13]Prices!AO249</f>
        <v>7.2465999999999999</v>
      </c>
      <c r="BE252" s="634">
        <f>[13]Prices!AP249</f>
        <v>6.3514999999999997</v>
      </c>
    </row>
    <row r="253" spans="20:57">
      <c r="T253" s="4">
        <f t="shared" si="92"/>
        <v>2025</v>
      </c>
      <c r="U253" s="434">
        <f t="shared" si="101"/>
        <v>45962</v>
      </c>
      <c r="V253" s="150">
        <v>95.2</v>
      </c>
      <c r="W253" s="150">
        <v>83.48</v>
      </c>
      <c r="X253" s="357">
        <f t="shared" si="96"/>
        <v>90.160399999999996</v>
      </c>
      <c r="Y253" s="343">
        <v>384</v>
      </c>
      <c r="Z253" s="343">
        <v>336</v>
      </c>
      <c r="AA253" s="343">
        <f t="shared" si="93"/>
        <v>0.53333333333333333</v>
      </c>
      <c r="AB253" s="343">
        <f t="shared" si="94"/>
        <v>0.46666666666666667</v>
      </c>
      <c r="AF253" s="4">
        <f t="shared" si="97"/>
        <v>2025</v>
      </c>
      <c r="AG253" s="432">
        <f t="shared" si="100"/>
        <v>45962</v>
      </c>
      <c r="AH253" s="149">
        <f t="shared" si="95"/>
        <v>11.248733007069058</v>
      </c>
      <c r="AI253" s="150">
        <v>11.248733007069058</v>
      </c>
      <c r="AK253" s="4">
        <f t="shared" si="88"/>
        <v>2024</v>
      </c>
      <c r="AL253" s="432">
        <v>45565</v>
      </c>
      <c r="AM253" s="4">
        <f t="shared" si="89"/>
        <v>6.3</v>
      </c>
      <c r="AN253" s="4">
        <v>6.38</v>
      </c>
      <c r="AO253" s="4">
        <v>6.22</v>
      </c>
      <c r="AQ253" s="4">
        <f t="shared" si="90"/>
        <v>2028</v>
      </c>
      <c r="AR253" s="356">
        <v>46966</v>
      </c>
      <c r="AS253" s="4">
        <f t="shared" si="91"/>
        <v>12.83</v>
      </c>
      <c r="AT253" s="4">
        <v>12.95</v>
      </c>
      <c r="AU253" s="4">
        <v>12.71</v>
      </c>
      <c r="AV253" s="515">
        <f t="shared" si="98"/>
        <v>2035</v>
      </c>
      <c r="AW253" s="535">
        <v>49341</v>
      </c>
      <c r="AX253" s="515">
        <f t="shared" si="86"/>
        <v>6.2294999999999998</v>
      </c>
      <c r="AY253" s="596">
        <f>'[12]Forward Price Curve'!AE334</f>
        <v>6.1577000000000002</v>
      </c>
      <c r="AZ253" s="596">
        <f>'[12]Forward Price Curve'!AD334</f>
        <v>6.3013000000000003</v>
      </c>
      <c r="BA253" s="629">
        <f t="shared" si="99"/>
        <v>2038</v>
      </c>
      <c r="BB253" s="633">
        <v>50437</v>
      </c>
      <c r="BC253" s="629">
        <f t="shared" si="87"/>
        <v>6.8420500000000004</v>
      </c>
      <c r="BD253" s="634">
        <f>[13]Prices!AO250</f>
        <v>7.2981999999999996</v>
      </c>
      <c r="BE253" s="634">
        <f>[13]Prices!AP250</f>
        <v>6.3859000000000004</v>
      </c>
    </row>
    <row r="254" spans="20:57">
      <c r="T254" s="4">
        <f t="shared" si="92"/>
        <v>2025</v>
      </c>
      <c r="U254" s="434">
        <f t="shared" si="101"/>
        <v>45992</v>
      </c>
      <c r="V254" s="150">
        <v>99.66</v>
      </c>
      <c r="W254" s="150">
        <v>91.39</v>
      </c>
      <c r="X254" s="357">
        <f t="shared" si="96"/>
        <v>96.103899999999982</v>
      </c>
      <c r="Y254" s="343">
        <v>416</v>
      </c>
      <c r="Z254" s="343">
        <v>328</v>
      </c>
      <c r="AA254" s="343">
        <f t="shared" si="93"/>
        <v>0.55913978494623651</v>
      </c>
      <c r="AB254" s="343">
        <f t="shared" si="94"/>
        <v>0.44086021505376344</v>
      </c>
      <c r="AF254" s="4">
        <f t="shared" si="97"/>
        <v>2025</v>
      </c>
      <c r="AG254" s="432">
        <f t="shared" si="100"/>
        <v>45992</v>
      </c>
      <c r="AH254" s="149">
        <f t="shared" si="95"/>
        <v>11.78910821098423</v>
      </c>
      <c r="AI254" s="150">
        <v>11.78910821098423</v>
      </c>
      <c r="AK254" s="4">
        <f t="shared" si="88"/>
        <v>2024</v>
      </c>
      <c r="AL254" s="432">
        <v>45596</v>
      </c>
      <c r="AM254" s="4">
        <f t="shared" si="89"/>
        <v>6.5350000000000001</v>
      </c>
      <c r="AN254" s="4">
        <v>6.56</v>
      </c>
      <c r="AO254" s="4">
        <v>6.51</v>
      </c>
      <c r="AQ254" s="4">
        <f t="shared" si="90"/>
        <v>2028</v>
      </c>
      <c r="AR254" s="356">
        <v>46997</v>
      </c>
      <c r="AS254" s="4">
        <f t="shared" si="91"/>
        <v>12.83</v>
      </c>
      <c r="AT254" s="4">
        <v>12.95</v>
      </c>
      <c r="AU254" s="4">
        <v>12.71</v>
      </c>
      <c r="AV254" s="515">
        <f t="shared" si="98"/>
        <v>2035</v>
      </c>
      <c r="AW254" s="535">
        <v>49369</v>
      </c>
      <c r="AX254" s="515">
        <f t="shared" si="86"/>
        <v>5.9264000000000001</v>
      </c>
      <c r="AY254" s="596">
        <f>'[12]Forward Price Curve'!AE335</f>
        <v>5.8864999999999998</v>
      </c>
      <c r="AZ254" s="596">
        <f>'[12]Forward Price Curve'!AD335</f>
        <v>5.9663000000000004</v>
      </c>
      <c r="BA254" s="629">
        <f t="shared" si="99"/>
        <v>2038</v>
      </c>
      <c r="BB254" s="633">
        <v>50465</v>
      </c>
      <c r="BC254" s="629">
        <f t="shared" si="87"/>
        <v>6.5236499999999999</v>
      </c>
      <c r="BD254" s="634">
        <f>[13]Prices!AO251</f>
        <v>6.9711999999999996</v>
      </c>
      <c r="BE254" s="634">
        <f>[13]Prices!AP251</f>
        <v>6.0761000000000003</v>
      </c>
    </row>
    <row r="255" spans="20:57">
      <c r="T255" s="4">
        <f t="shared" si="92"/>
        <v>2026</v>
      </c>
      <c r="U255" s="434">
        <f t="shared" si="101"/>
        <v>46023</v>
      </c>
      <c r="V255" s="150">
        <v>104.32</v>
      </c>
      <c r="W255" s="150">
        <v>94.15</v>
      </c>
      <c r="X255" s="357">
        <f t="shared" si="96"/>
        <v>99.946899999999999</v>
      </c>
      <c r="Y255" s="343">
        <v>416</v>
      </c>
      <c r="Z255" s="343">
        <v>328</v>
      </c>
      <c r="AA255" s="343">
        <f t="shared" si="93"/>
        <v>0.55913978494623651</v>
      </c>
      <c r="AB255" s="343">
        <f t="shared" si="94"/>
        <v>0.44086021505376344</v>
      </c>
      <c r="AF255" s="4">
        <f t="shared" si="97"/>
        <v>2026</v>
      </c>
      <c r="AG255" s="432">
        <f t="shared" si="100"/>
        <v>46023</v>
      </c>
      <c r="AH255" s="149">
        <f t="shared" si="95"/>
        <v>12.781495377922784</v>
      </c>
      <c r="AI255" s="150">
        <v>12.781495377922784</v>
      </c>
      <c r="AK255" s="4">
        <f t="shared" si="88"/>
        <v>2024</v>
      </c>
      <c r="AL255" s="432">
        <v>45626</v>
      </c>
      <c r="AM255" s="4">
        <f t="shared" si="89"/>
        <v>6.6349999999999998</v>
      </c>
      <c r="AN255" s="4">
        <v>6.66</v>
      </c>
      <c r="AO255" s="4">
        <v>6.61</v>
      </c>
      <c r="AQ255" s="4">
        <f t="shared" si="90"/>
        <v>2028</v>
      </c>
      <c r="AR255" s="356">
        <v>47027</v>
      </c>
      <c r="AS255" s="4">
        <f t="shared" si="91"/>
        <v>13.309999999999999</v>
      </c>
      <c r="AT255" s="4">
        <v>13.33</v>
      </c>
      <c r="AU255" s="4">
        <v>13.29</v>
      </c>
      <c r="AV255" s="515">
        <f t="shared" si="98"/>
        <v>2035</v>
      </c>
      <c r="AW255" s="535">
        <v>49400</v>
      </c>
      <c r="AX255" s="515">
        <f t="shared" ref="AX255:AX294" si="102">AVERAGE(AY255:AZ255)</f>
        <v>5.6552500000000006</v>
      </c>
      <c r="AY255" s="596">
        <f>'[12]Forward Price Curve'!AE336</f>
        <v>5.6313000000000004</v>
      </c>
      <c r="AZ255" s="596">
        <f>'[12]Forward Price Curve'!AD336</f>
        <v>5.6791999999999998</v>
      </c>
      <c r="BA255" s="629">
        <f t="shared" si="99"/>
        <v>2038</v>
      </c>
      <c r="BB255" s="633">
        <v>50496</v>
      </c>
      <c r="BC255" s="629">
        <f t="shared" si="87"/>
        <v>6.2051999999999996</v>
      </c>
      <c r="BD255" s="634">
        <f>[13]Prices!AO252</f>
        <v>6.5925000000000002</v>
      </c>
      <c r="BE255" s="634">
        <f>[13]Prices!AP252</f>
        <v>5.8178999999999998</v>
      </c>
    </row>
    <row r="256" spans="20:57">
      <c r="T256" s="4">
        <f t="shared" si="92"/>
        <v>2026</v>
      </c>
      <c r="U256" s="434">
        <f t="shared" si="101"/>
        <v>46054</v>
      </c>
      <c r="V256" s="150">
        <v>98.18</v>
      </c>
      <c r="W256" s="150">
        <v>85.39</v>
      </c>
      <c r="X256" s="357">
        <f t="shared" si="96"/>
        <v>92.680300000000003</v>
      </c>
      <c r="Y256" s="343">
        <v>384</v>
      </c>
      <c r="Z256" s="343">
        <v>288</v>
      </c>
      <c r="AA256" s="343">
        <f t="shared" si="93"/>
        <v>0.5714285714285714</v>
      </c>
      <c r="AB256" s="343">
        <f t="shared" si="94"/>
        <v>0.42857142857142855</v>
      </c>
      <c r="AF256" s="4">
        <f t="shared" si="97"/>
        <v>2026</v>
      </c>
      <c r="AG256" s="432">
        <f t="shared" si="100"/>
        <v>46054</v>
      </c>
      <c r="AH256" s="149">
        <f t="shared" si="95"/>
        <v>12.010016313213702</v>
      </c>
      <c r="AI256" s="150">
        <v>12.010016313213702</v>
      </c>
      <c r="AK256" s="4">
        <f t="shared" si="88"/>
        <v>2024</v>
      </c>
      <c r="AL256" s="432">
        <v>45657</v>
      </c>
      <c r="AM256" s="4">
        <f t="shared" si="89"/>
        <v>6.9649999999999999</v>
      </c>
      <c r="AN256" s="4">
        <v>6.94</v>
      </c>
      <c r="AO256" s="4">
        <v>6.99</v>
      </c>
      <c r="AQ256" s="4">
        <f t="shared" si="90"/>
        <v>2028</v>
      </c>
      <c r="AR256" s="356">
        <v>47058</v>
      </c>
      <c r="AS256" s="4">
        <f t="shared" si="91"/>
        <v>13.504999999999999</v>
      </c>
      <c r="AT256" s="4">
        <v>13.52</v>
      </c>
      <c r="AU256" s="4">
        <v>13.49</v>
      </c>
      <c r="AV256" s="515">
        <f t="shared" si="98"/>
        <v>2035</v>
      </c>
      <c r="AW256" s="535">
        <v>49430</v>
      </c>
      <c r="AX256" s="515">
        <f t="shared" si="102"/>
        <v>5.6233000000000004</v>
      </c>
      <c r="AY256" s="596">
        <f>'[12]Forward Price Curve'!AE337</f>
        <v>5.6631999999999998</v>
      </c>
      <c r="AZ256" s="596">
        <f>'[12]Forward Price Curve'!AD337</f>
        <v>5.5834000000000001</v>
      </c>
      <c r="BA256" s="629">
        <f t="shared" si="99"/>
        <v>2038</v>
      </c>
      <c r="BB256" s="633">
        <v>50526</v>
      </c>
      <c r="BC256" s="629">
        <f t="shared" si="87"/>
        <v>6.2309999999999999</v>
      </c>
      <c r="BD256" s="634">
        <f>[13]Prices!AO253</f>
        <v>6.6269</v>
      </c>
      <c r="BE256" s="634">
        <f>[13]Prices!AP253</f>
        <v>5.8350999999999997</v>
      </c>
    </row>
    <row r="257" spans="20:57">
      <c r="T257" s="4">
        <f t="shared" si="92"/>
        <v>2026</v>
      </c>
      <c r="U257" s="434">
        <f t="shared" si="101"/>
        <v>46082</v>
      </c>
      <c r="V257" s="150">
        <v>83.21</v>
      </c>
      <c r="W257" s="150">
        <v>74.41</v>
      </c>
      <c r="X257" s="357">
        <f t="shared" si="96"/>
        <v>79.425999999999988</v>
      </c>
      <c r="Y257" s="343">
        <v>416</v>
      </c>
      <c r="Z257" s="343">
        <v>328</v>
      </c>
      <c r="AA257" s="343">
        <f t="shared" si="93"/>
        <v>0.55913978494623651</v>
      </c>
      <c r="AB257" s="343">
        <f t="shared" si="94"/>
        <v>0.44086021505376344</v>
      </c>
      <c r="AF257" s="4">
        <f t="shared" si="97"/>
        <v>2026</v>
      </c>
      <c r="AG257" s="432">
        <f t="shared" si="100"/>
        <v>46082</v>
      </c>
      <c r="AH257" s="149">
        <f t="shared" si="95"/>
        <v>11.296313213703097</v>
      </c>
      <c r="AI257" s="150">
        <v>11.296313213703097</v>
      </c>
      <c r="AK257" s="4">
        <f t="shared" si="88"/>
        <v>2025</v>
      </c>
      <c r="AL257" s="432">
        <v>45688</v>
      </c>
      <c r="AM257" s="4">
        <f t="shared" si="89"/>
        <v>7.75</v>
      </c>
      <c r="AN257" s="4">
        <v>7.67</v>
      </c>
      <c r="AO257" s="4">
        <v>7.83</v>
      </c>
      <c r="AQ257" s="4">
        <f t="shared" si="90"/>
        <v>2028</v>
      </c>
      <c r="AR257" s="356">
        <v>47088</v>
      </c>
      <c r="AS257" s="4">
        <f t="shared" si="91"/>
        <v>14.18</v>
      </c>
      <c r="AT257" s="4">
        <v>14.09</v>
      </c>
      <c r="AU257" s="4">
        <v>14.27</v>
      </c>
      <c r="AV257" s="515">
        <f t="shared" si="98"/>
        <v>2035</v>
      </c>
      <c r="AW257" s="535">
        <v>49461</v>
      </c>
      <c r="AX257" s="515">
        <f t="shared" si="102"/>
        <v>5.5515500000000007</v>
      </c>
      <c r="AY257" s="596">
        <f>'[12]Forward Price Curve'!AE338</f>
        <v>5.6154000000000002</v>
      </c>
      <c r="AZ257" s="596">
        <f>'[12]Forward Price Curve'!AD338</f>
        <v>5.4877000000000002</v>
      </c>
      <c r="BA257" s="629">
        <f t="shared" si="99"/>
        <v>2038</v>
      </c>
      <c r="BB257" s="633">
        <v>50557</v>
      </c>
      <c r="BC257" s="629">
        <f t="shared" si="87"/>
        <v>6.3085000000000004</v>
      </c>
      <c r="BD257" s="634">
        <f>[13]Prices!AO254</f>
        <v>6.6958000000000002</v>
      </c>
      <c r="BE257" s="634">
        <f>[13]Prices!AP254</f>
        <v>5.9211999999999998</v>
      </c>
    </row>
    <row r="258" spans="20:57">
      <c r="T258" s="4">
        <f t="shared" si="92"/>
        <v>2026</v>
      </c>
      <c r="U258" s="434">
        <f t="shared" si="101"/>
        <v>46113</v>
      </c>
      <c r="V258" s="150">
        <v>82.76</v>
      </c>
      <c r="W258" s="150">
        <v>78.849999999999994</v>
      </c>
      <c r="X258" s="357">
        <f t="shared" si="96"/>
        <v>81.078699999999998</v>
      </c>
      <c r="Y258" s="343">
        <v>416</v>
      </c>
      <c r="Z258" s="343">
        <v>304</v>
      </c>
      <c r="AA258" s="343">
        <f t="shared" si="93"/>
        <v>0.57777777777777772</v>
      </c>
      <c r="AB258" s="343">
        <f t="shared" si="94"/>
        <v>0.42222222222222222</v>
      </c>
      <c r="AF258" s="4">
        <f t="shared" si="97"/>
        <v>2026</v>
      </c>
      <c r="AG258" s="432">
        <f t="shared" si="100"/>
        <v>46113</v>
      </c>
      <c r="AH258" s="149">
        <f t="shared" si="95"/>
        <v>10.691364872213157</v>
      </c>
      <c r="AI258" s="150">
        <v>10.691364872213157</v>
      </c>
      <c r="AK258" s="4">
        <f t="shared" si="88"/>
        <v>2025</v>
      </c>
      <c r="AL258" s="432">
        <v>45716</v>
      </c>
      <c r="AM258" s="4">
        <f t="shared" si="89"/>
        <v>7.2050000000000001</v>
      </c>
      <c r="AN258" s="4">
        <v>7.18</v>
      </c>
      <c r="AO258" s="4">
        <v>7.23</v>
      </c>
      <c r="AQ258" s="4">
        <f t="shared" si="90"/>
        <v>2029</v>
      </c>
      <c r="AR258" s="356">
        <v>47119</v>
      </c>
      <c r="AS258" s="4">
        <f t="shared" si="91"/>
        <v>15.535</v>
      </c>
      <c r="AT258" s="4">
        <v>15.33</v>
      </c>
      <c r="AU258" s="4">
        <v>15.74</v>
      </c>
      <c r="AV258" s="515">
        <f t="shared" si="98"/>
        <v>2035</v>
      </c>
      <c r="AW258" s="535">
        <v>49491</v>
      </c>
      <c r="AX258" s="515">
        <f t="shared" si="102"/>
        <v>5.6392500000000005</v>
      </c>
      <c r="AY258" s="596">
        <f>'[12]Forward Price Curve'!AE339</f>
        <v>5.6951000000000001</v>
      </c>
      <c r="AZ258" s="596">
        <f>'[12]Forward Price Curve'!AD339</f>
        <v>5.5834000000000001</v>
      </c>
      <c r="BA258" s="629">
        <f t="shared" si="99"/>
        <v>2038</v>
      </c>
      <c r="BB258" s="633">
        <v>50587</v>
      </c>
      <c r="BC258" s="629">
        <f t="shared" si="87"/>
        <v>6.6269</v>
      </c>
      <c r="BD258" s="634">
        <f>[13]Prices!AO255</f>
        <v>7.0056000000000003</v>
      </c>
      <c r="BE258" s="634">
        <f>[13]Prices!AP255</f>
        <v>6.2481999999999998</v>
      </c>
    </row>
    <row r="259" spans="20:57">
      <c r="T259" s="4">
        <f t="shared" si="92"/>
        <v>2026</v>
      </c>
      <c r="U259" s="434">
        <f t="shared" si="101"/>
        <v>46143</v>
      </c>
      <c r="V259" s="150">
        <v>84.28</v>
      </c>
      <c r="W259" s="150">
        <v>79.28</v>
      </c>
      <c r="X259" s="357">
        <f t="shared" si="96"/>
        <v>82.13</v>
      </c>
      <c r="Y259" s="343">
        <v>400</v>
      </c>
      <c r="Z259" s="343">
        <v>344</v>
      </c>
      <c r="AA259" s="343">
        <f t="shared" si="93"/>
        <v>0.5376344086021505</v>
      </c>
      <c r="AB259" s="343">
        <f t="shared" si="94"/>
        <v>0.46236559139784944</v>
      </c>
      <c r="AF259" s="4">
        <f t="shared" si="97"/>
        <v>2026</v>
      </c>
      <c r="AG259" s="432">
        <f t="shared" si="100"/>
        <v>46143</v>
      </c>
      <c r="AH259" s="149">
        <f t="shared" si="95"/>
        <v>10.582610114192494</v>
      </c>
      <c r="AI259" s="150">
        <v>10.582610114192494</v>
      </c>
      <c r="AK259" s="4">
        <f t="shared" si="88"/>
        <v>2025</v>
      </c>
      <c r="AL259" s="432">
        <v>45747</v>
      </c>
      <c r="AM259" s="4">
        <f t="shared" si="89"/>
        <v>6.7650000000000006</v>
      </c>
      <c r="AN259" s="4">
        <v>6.79</v>
      </c>
      <c r="AO259" s="4">
        <v>6.74</v>
      </c>
      <c r="AQ259" s="4">
        <f t="shared" si="90"/>
        <v>2029</v>
      </c>
      <c r="AR259" s="356">
        <v>47150</v>
      </c>
      <c r="AS259" s="4">
        <f t="shared" si="91"/>
        <v>14.45</v>
      </c>
      <c r="AT259" s="4">
        <v>14.36</v>
      </c>
      <c r="AU259" s="4">
        <v>14.54</v>
      </c>
      <c r="AV259" s="515">
        <f t="shared" si="98"/>
        <v>2035</v>
      </c>
      <c r="AW259" s="535">
        <v>49522</v>
      </c>
      <c r="AX259" s="515">
        <f t="shared" si="102"/>
        <v>5.7509499999999996</v>
      </c>
      <c r="AY259" s="596">
        <f>'[12]Forward Price Curve'!AE340</f>
        <v>5.7588999999999997</v>
      </c>
      <c r="AZ259" s="596">
        <f>'[12]Forward Price Curve'!AD340</f>
        <v>5.7430000000000003</v>
      </c>
      <c r="BA259" s="629">
        <f t="shared" si="99"/>
        <v>2038</v>
      </c>
      <c r="BB259" s="633">
        <v>50618</v>
      </c>
      <c r="BC259" s="629">
        <f t="shared" si="87"/>
        <v>6.6785999999999994</v>
      </c>
      <c r="BD259" s="634">
        <f>[13]Prices!AO256</f>
        <v>7.0744999999999996</v>
      </c>
      <c r="BE259" s="634">
        <f>[13]Prices!AP256</f>
        <v>6.2827000000000002</v>
      </c>
    </row>
    <row r="260" spans="20:57">
      <c r="T260" s="4">
        <f t="shared" si="92"/>
        <v>2026</v>
      </c>
      <c r="U260" s="434">
        <f t="shared" si="101"/>
        <v>46174</v>
      </c>
      <c r="V260" s="150">
        <v>91.23</v>
      </c>
      <c r="W260" s="150">
        <v>81.42</v>
      </c>
      <c r="X260" s="357">
        <f t="shared" si="96"/>
        <v>87.011700000000005</v>
      </c>
      <c r="Y260" s="343">
        <v>416</v>
      </c>
      <c r="Z260" s="343">
        <v>304</v>
      </c>
      <c r="AA260" s="343">
        <f t="shared" si="93"/>
        <v>0.57777777777777772</v>
      </c>
      <c r="AB260" s="343">
        <f t="shared" si="94"/>
        <v>0.42222222222222222</v>
      </c>
      <c r="AF260" s="4">
        <f t="shared" si="97"/>
        <v>2026</v>
      </c>
      <c r="AG260" s="432">
        <f t="shared" si="100"/>
        <v>46174</v>
      </c>
      <c r="AH260" s="149">
        <f t="shared" si="95"/>
        <v>10.74574225122349</v>
      </c>
      <c r="AI260" s="150">
        <v>10.74574225122349</v>
      </c>
      <c r="AK260" s="4">
        <f t="shared" si="88"/>
        <v>2025</v>
      </c>
      <c r="AL260" s="432">
        <v>45777</v>
      </c>
      <c r="AM260" s="4">
        <f t="shared" si="89"/>
        <v>6.3250000000000002</v>
      </c>
      <c r="AN260" s="4">
        <v>6.41</v>
      </c>
      <c r="AO260" s="4">
        <v>6.24</v>
      </c>
      <c r="AQ260" s="4">
        <f t="shared" si="90"/>
        <v>2029</v>
      </c>
      <c r="AR260" s="356">
        <v>47178</v>
      </c>
      <c r="AS260" s="4">
        <f t="shared" si="91"/>
        <v>13.565000000000001</v>
      </c>
      <c r="AT260" s="4">
        <v>13.58</v>
      </c>
      <c r="AU260" s="4">
        <v>13.55</v>
      </c>
      <c r="AV260" s="515">
        <f t="shared" si="98"/>
        <v>2035</v>
      </c>
      <c r="AW260" s="535">
        <v>49553</v>
      </c>
      <c r="AX260" s="515">
        <f t="shared" si="102"/>
        <v>5.6552500000000006</v>
      </c>
      <c r="AY260" s="596">
        <f>'[12]Forward Price Curve'!AE341</f>
        <v>5.6313000000000004</v>
      </c>
      <c r="AZ260" s="596">
        <f>'[12]Forward Price Curve'!AD341</f>
        <v>5.6791999999999998</v>
      </c>
      <c r="BA260" s="629">
        <f t="shared" si="99"/>
        <v>2038</v>
      </c>
      <c r="BB260" s="633">
        <v>50649</v>
      </c>
      <c r="BC260" s="629">
        <f t="shared" si="87"/>
        <v>6.5150500000000005</v>
      </c>
      <c r="BD260" s="634">
        <f>[13]Prices!AO257</f>
        <v>7.0056000000000003</v>
      </c>
      <c r="BE260" s="634">
        <f>[13]Prices!AP257</f>
        <v>6.0244999999999997</v>
      </c>
    </row>
    <row r="261" spans="20:57">
      <c r="T261" s="4">
        <f t="shared" si="92"/>
        <v>2026</v>
      </c>
      <c r="U261" s="434">
        <f t="shared" si="101"/>
        <v>46204</v>
      </c>
      <c r="V261" s="150">
        <v>86.89</v>
      </c>
      <c r="W261" s="150">
        <v>83.28</v>
      </c>
      <c r="X261" s="357">
        <f t="shared" si="96"/>
        <v>85.337699999999998</v>
      </c>
      <c r="Y261" s="343">
        <v>416</v>
      </c>
      <c r="Z261" s="343">
        <v>328</v>
      </c>
      <c r="AA261" s="343">
        <f t="shared" si="93"/>
        <v>0.55913978494623651</v>
      </c>
      <c r="AB261" s="343">
        <f t="shared" si="94"/>
        <v>0.44086021505376344</v>
      </c>
      <c r="AF261" s="4">
        <f t="shared" si="97"/>
        <v>2026</v>
      </c>
      <c r="AG261" s="432">
        <f t="shared" si="100"/>
        <v>46204</v>
      </c>
      <c r="AH261" s="149">
        <f t="shared" si="95"/>
        <v>10.912272974442631</v>
      </c>
      <c r="AI261" s="150">
        <v>10.912272974442631</v>
      </c>
      <c r="AK261" s="4">
        <f t="shared" si="88"/>
        <v>2025</v>
      </c>
      <c r="AL261" s="432">
        <v>45808</v>
      </c>
      <c r="AM261" s="4">
        <f t="shared" si="89"/>
        <v>6.3250000000000002</v>
      </c>
      <c r="AN261" s="4">
        <v>6.41</v>
      </c>
      <c r="AO261" s="4">
        <v>6.24</v>
      </c>
      <c r="AQ261" s="4">
        <f t="shared" si="90"/>
        <v>2029</v>
      </c>
      <c r="AR261" s="356">
        <v>47209</v>
      </c>
      <c r="AS261" s="4">
        <f t="shared" si="91"/>
        <v>12.68</v>
      </c>
      <c r="AT261" s="4">
        <v>12.81</v>
      </c>
      <c r="AU261" s="4">
        <v>12.55</v>
      </c>
      <c r="AV261" s="515">
        <f t="shared" si="98"/>
        <v>2035</v>
      </c>
      <c r="AW261" s="535">
        <v>49583</v>
      </c>
      <c r="AX261" s="515">
        <f t="shared" si="102"/>
        <v>5.7270500000000002</v>
      </c>
      <c r="AY261" s="596">
        <f>'[12]Forward Price Curve'!AE342</f>
        <v>5.7111000000000001</v>
      </c>
      <c r="AZ261" s="596">
        <f>'[12]Forward Price Curve'!AD342</f>
        <v>5.7430000000000003</v>
      </c>
      <c r="BA261" s="629">
        <f t="shared" si="99"/>
        <v>2038</v>
      </c>
      <c r="BB261" s="633">
        <v>50679</v>
      </c>
      <c r="BC261" s="629">
        <f t="shared" si="87"/>
        <v>6.5580499999999997</v>
      </c>
      <c r="BD261" s="634">
        <f>[13]Prices!AO258</f>
        <v>7.0571999999999999</v>
      </c>
      <c r="BE261" s="634">
        <f>[13]Prices!AP258</f>
        <v>6.0589000000000004</v>
      </c>
    </row>
    <row r="262" spans="20:57">
      <c r="T262" s="4">
        <f t="shared" si="92"/>
        <v>2026</v>
      </c>
      <c r="U262" s="434">
        <f t="shared" si="101"/>
        <v>46235</v>
      </c>
      <c r="V262" s="150">
        <v>87.32</v>
      </c>
      <c r="W262" s="150">
        <v>83.76</v>
      </c>
      <c r="X262" s="357">
        <f t="shared" si="96"/>
        <v>85.789199999999994</v>
      </c>
      <c r="Y262" s="343">
        <v>416</v>
      </c>
      <c r="Z262" s="343">
        <v>328</v>
      </c>
      <c r="AA262" s="343">
        <f t="shared" si="93"/>
        <v>0.55913978494623651</v>
      </c>
      <c r="AB262" s="343">
        <f t="shared" si="94"/>
        <v>0.44086021505376344</v>
      </c>
      <c r="AF262" s="4">
        <f t="shared" si="97"/>
        <v>2026</v>
      </c>
      <c r="AG262" s="432">
        <f t="shared" si="100"/>
        <v>46235</v>
      </c>
      <c r="AH262" s="149">
        <f t="shared" si="95"/>
        <v>10.912272974442631</v>
      </c>
      <c r="AI262" s="150">
        <v>10.912272974442631</v>
      </c>
      <c r="AK262" s="4">
        <f t="shared" si="88"/>
        <v>2025</v>
      </c>
      <c r="AL262" s="432">
        <v>45838</v>
      </c>
      <c r="AM262" s="4">
        <f t="shared" si="89"/>
        <v>6.42</v>
      </c>
      <c r="AN262" s="4">
        <v>6.5</v>
      </c>
      <c r="AO262" s="4">
        <v>6.34</v>
      </c>
      <c r="AQ262" s="4">
        <f t="shared" si="90"/>
        <v>2029</v>
      </c>
      <c r="AR262" s="356">
        <v>47239</v>
      </c>
      <c r="AS262" s="4">
        <f t="shared" si="91"/>
        <v>12.68</v>
      </c>
      <c r="AT262" s="4">
        <v>12.81</v>
      </c>
      <c r="AU262" s="4">
        <v>12.55</v>
      </c>
      <c r="AV262" s="515">
        <f t="shared" si="98"/>
        <v>2035</v>
      </c>
      <c r="AW262" s="535">
        <v>49614</v>
      </c>
      <c r="AX262" s="515">
        <f t="shared" si="102"/>
        <v>5.9503500000000003</v>
      </c>
      <c r="AY262" s="596">
        <f>'[12]Forward Price Curve'!AE343</f>
        <v>5.8864999999999998</v>
      </c>
      <c r="AZ262" s="596">
        <f>'[12]Forward Price Curve'!AD343</f>
        <v>6.0141999999999998</v>
      </c>
      <c r="BA262" s="629">
        <f t="shared" si="99"/>
        <v>2038</v>
      </c>
      <c r="BB262" s="633">
        <v>50710</v>
      </c>
      <c r="BC262" s="629">
        <f t="shared" si="87"/>
        <v>6.7646499999999996</v>
      </c>
      <c r="BD262" s="634">
        <f>[13]Prices!AO259</f>
        <v>7.2122000000000002</v>
      </c>
      <c r="BE262" s="634">
        <f>[13]Prices!AP259</f>
        <v>6.3170999999999999</v>
      </c>
    </row>
    <row r="263" spans="20:57">
      <c r="T263" s="4">
        <f t="shared" si="92"/>
        <v>2026</v>
      </c>
      <c r="U263" s="434">
        <f t="shared" si="101"/>
        <v>46266</v>
      </c>
      <c r="V263" s="150">
        <v>86.55</v>
      </c>
      <c r="W263" s="150">
        <v>81.16</v>
      </c>
      <c r="X263" s="357">
        <f t="shared" si="96"/>
        <v>84.232299999999995</v>
      </c>
      <c r="Y263" s="343">
        <v>400</v>
      </c>
      <c r="Z263" s="343">
        <v>320</v>
      </c>
      <c r="AA263" s="343">
        <f t="shared" si="93"/>
        <v>0.55555555555555558</v>
      </c>
      <c r="AB263" s="343">
        <f t="shared" si="94"/>
        <v>0.44444444444444442</v>
      </c>
      <c r="AF263" s="4">
        <f t="shared" si="97"/>
        <v>2026</v>
      </c>
      <c r="AG263" s="432">
        <f t="shared" si="100"/>
        <v>46266</v>
      </c>
      <c r="AH263" s="149">
        <f t="shared" si="95"/>
        <v>10.912272974442631</v>
      </c>
      <c r="AI263" s="150">
        <v>10.912272974442631</v>
      </c>
      <c r="AK263" s="4">
        <f t="shared" si="88"/>
        <v>2025</v>
      </c>
      <c r="AL263" s="432">
        <v>45869</v>
      </c>
      <c r="AM263" s="4">
        <f t="shared" si="89"/>
        <v>6.52</v>
      </c>
      <c r="AN263" s="4">
        <v>6.6</v>
      </c>
      <c r="AO263" s="4">
        <v>6.44</v>
      </c>
      <c r="AQ263" s="4">
        <f t="shared" si="90"/>
        <v>2029</v>
      </c>
      <c r="AR263" s="356">
        <v>47270</v>
      </c>
      <c r="AS263" s="4">
        <f t="shared" si="91"/>
        <v>12.875</v>
      </c>
      <c r="AT263" s="4">
        <v>13</v>
      </c>
      <c r="AU263" s="4">
        <v>12.75</v>
      </c>
      <c r="AV263" s="515">
        <f t="shared" si="98"/>
        <v>2035</v>
      </c>
      <c r="AW263" s="535">
        <v>49644</v>
      </c>
      <c r="AX263" s="515">
        <f t="shared" si="102"/>
        <v>6.2454999999999998</v>
      </c>
      <c r="AY263" s="596">
        <f>'[12]Forward Price Curve'!AE344</f>
        <v>6.1897000000000002</v>
      </c>
      <c r="AZ263" s="596">
        <f>'[12]Forward Price Curve'!AD344</f>
        <v>6.3013000000000003</v>
      </c>
      <c r="BA263" s="629">
        <f t="shared" si="99"/>
        <v>2038</v>
      </c>
      <c r="BB263" s="633">
        <v>50740</v>
      </c>
      <c r="BC263" s="629">
        <f t="shared" si="87"/>
        <v>7.28965</v>
      </c>
      <c r="BD263" s="634">
        <f>[13]Prices!AO260</f>
        <v>7.7629999999999999</v>
      </c>
      <c r="BE263" s="634">
        <f>[13]Prices!AP260</f>
        <v>6.8163</v>
      </c>
    </row>
    <row r="264" spans="20:57">
      <c r="T264" s="4">
        <f t="shared" si="92"/>
        <v>2026</v>
      </c>
      <c r="U264" s="434">
        <f t="shared" si="101"/>
        <v>46296</v>
      </c>
      <c r="V264" s="150">
        <v>85.89</v>
      </c>
      <c r="W264" s="150">
        <v>74.989999999999995</v>
      </c>
      <c r="X264" s="357">
        <f t="shared" si="96"/>
        <v>81.203000000000003</v>
      </c>
      <c r="Y264" s="343">
        <v>432</v>
      </c>
      <c r="Z264" s="343">
        <v>312</v>
      </c>
      <c r="AA264" s="343">
        <f t="shared" si="93"/>
        <v>0.58064516129032262</v>
      </c>
      <c r="AB264" s="343">
        <f t="shared" si="94"/>
        <v>0.41935483870967744</v>
      </c>
      <c r="AF264" s="4">
        <f t="shared" si="97"/>
        <v>2026</v>
      </c>
      <c r="AG264" s="432">
        <f t="shared" si="100"/>
        <v>46296</v>
      </c>
      <c r="AH264" s="149">
        <f t="shared" si="95"/>
        <v>11.296313213703097</v>
      </c>
      <c r="AI264" s="150">
        <v>11.296313213703097</v>
      </c>
      <c r="AK264" s="4">
        <f t="shared" si="88"/>
        <v>2025</v>
      </c>
      <c r="AL264" s="432">
        <v>45900</v>
      </c>
      <c r="AM264" s="4">
        <f t="shared" si="89"/>
        <v>6.52</v>
      </c>
      <c r="AN264" s="4">
        <v>6.6</v>
      </c>
      <c r="AO264" s="4">
        <v>6.44</v>
      </c>
      <c r="AQ264" s="4">
        <f t="shared" si="90"/>
        <v>2029</v>
      </c>
      <c r="AR264" s="356">
        <v>47300</v>
      </c>
      <c r="AS264" s="4">
        <f t="shared" si="91"/>
        <v>13.074999999999999</v>
      </c>
      <c r="AT264" s="4">
        <v>13.2</v>
      </c>
      <c r="AU264" s="4">
        <v>12.95</v>
      </c>
      <c r="AV264" s="515">
        <f t="shared" si="98"/>
        <v>2036</v>
      </c>
      <c r="AW264" s="535">
        <v>49675</v>
      </c>
      <c r="AX264" s="515">
        <f t="shared" si="102"/>
        <v>6.5377999999999998</v>
      </c>
      <c r="AY264" s="596">
        <f>'[12]Forward Price Curve'!AE345</f>
        <v>6.4725999999999999</v>
      </c>
      <c r="AZ264" s="596">
        <f>'[12]Forward Price Curve'!AD345</f>
        <v>6.6029999999999998</v>
      </c>
      <c r="BA264" s="629">
        <f t="shared" si="99"/>
        <v>2039</v>
      </c>
      <c r="BB264" s="633">
        <v>50771</v>
      </c>
      <c r="BC264" s="629">
        <f t="shared" si="87"/>
        <v>7.3340499999999995</v>
      </c>
      <c r="BD264" s="634">
        <f>[13]Prices!AO261</f>
        <v>7.8182999999999998</v>
      </c>
      <c r="BE264" s="634">
        <f>[13]Prices!AP261</f>
        <v>6.8498000000000001</v>
      </c>
    </row>
    <row r="265" spans="20:57">
      <c r="T265" s="4">
        <f t="shared" si="92"/>
        <v>2026</v>
      </c>
      <c r="U265" s="434">
        <f t="shared" si="101"/>
        <v>46327</v>
      </c>
      <c r="V265" s="150">
        <v>97.01</v>
      </c>
      <c r="W265" s="150">
        <v>85.07</v>
      </c>
      <c r="X265" s="357">
        <f t="shared" si="96"/>
        <v>91.875799999999998</v>
      </c>
      <c r="Y265" s="343">
        <v>384</v>
      </c>
      <c r="Z265" s="343">
        <v>336</v>
      </c>
      <c r="AA265" s="343">
        <f t="shared" si="93"/>
        <v>0.53333333333333333</v>
      </c>
      <c r="AB265" s="343">
        <f t="shared" si="94"/>
        <v>0.46666666666666667</v>
      </c>
      <c r="AF265" s="4">
        <f t="shared" si="97"/>
        <v>2026</v>
      </c>
      <c r="AG265" s="432">
        <f t="shared" si="100"/>
        <v>46327</v>
      </c>
      <c r="AH265" s="149">
        <f t="shared" si="95"/>
        <v>11.462843936922239</v>
      </c>
      <c r="AI265" s="150">
        <v>11.462843936922239</v>
      </c>
      <c r="AK265" s="4">
        <f t="shared" si="88"/>
        <v>2025</v>
      </c>
      <c r="AL265" s="432">
        <v>45930</v>
      </c>
      <c r="AM265" s="4">
        <f t="shared" si="89"/>
        <v>6.52</v>
      </c>
      <c r="AN265" s="4">
        <v>6.6</v>
      </c>
      <c r="AO265" s="4">
        <v>6.44</v>
      </c>
      <c r="AQ265" s="4">
        <f t="shared" si="90"/>
        <v>2029</v>
      </c>
      <c r="AR265" s="356">
        <v>47331</v>
      </c>
      <c r="AS265" s="4">
        <f t="shared" si="91"/>
        <v>13.074999999999999</v>
      </c>
      <c r="AT265" s="4">
        <v>13.2</v>
      </c>
      <c r="AU265" s="4">
        <v>12.95</v>
      </c>
      <c r="AV265" s="515">
        <f t="shared" si="98"/>
        <v>2036</v>
      </c>
      <c r="AW265" s="535">
        <v>49706</v>
      </c>
      <c r="AX265" s="515">
        <f t="shared" si="102"/>
        <v>6.4073499999999992</v>
      </c>
      <c r="AY265" s="596">
        <f>'[12]Forward Price Curve'!AE346</f>
        <v>6.3583999999999996</v>
      </c>
      <c r="AZ265" s="596">
        <f>'[12]Forward Price Curve'!AD346</f>
        <v>6.4562999999999997</v>
      </c>
      <c r="BA265" s="629">
        <f t="shared" si="99"/>
        <v>2039</v>
      </c>
      <c r="BB265" s="633">
        <v>50802</v>
      </c>
      <c r="BC265" s="629">
        <f t="shared" si="87"/>
        <v>7.3604500000000002</v>
      </c>
      <c r="BD265" s="634">
        <f>[13]Prices!AO262</f>
        <v>7.8711000000000002</v>
      </c>
      <c r="BE265" s="634">
        <f>[13]Prices!AP262</f>
        <v>6.8498000000000001</v>
      </c>
    </row>
    <row r="266" spans="20:57">
      <c r="T266" s="4">
        <f t="shared" si="92"/>
        <v>2026</v>
      </c>
      <c r="U266" s="434">
        <f t="shared" si="101"/>
        <v>46357</v>
      </c>
      <c r="V266" s="150">
        <v>101.55</v>
      </c>
      <c r="W266" s="150">
        <v>93.13</v>
      </c>
      <c r="X266" s="357">
        <f t="shared" si="96"/>
        <v>97.929399999999987</v>
      </c>
      <c r="Y266" s="343">
        <v>416</v>
      </c>
      <c r="Z266" s="343">
        <v>328</v>
      </c>
      <c r="AA266" s="343">
        <f t="shared" si="93"/>
        <v>0.55913978494623651</v>
      </c>
      <c r="AB266" s="343">
        <f t="shared" si="94"/>
        <v>0.44086021505376344</v>
      </c>
      <c r="AF266" s="4">
        <f t="shared" si="97"/>
        <v>2026</v>
      </c>
      <c r="AG266" s="432">
        <f t="shared" si="100"/>
        <v>46357</v>
      </c>
      <c r="AH266" s="149">
        <f t="shared" si="95"/>
        <v>12.010016313213702</v>
      </c>
      <c r="AI266" s="150">
        <v>12.010016313213702</v>
      </c>
      <c r="AK266" s="4">
        <f t="shared" si="88"/>
        <v>2025</v>
      </c>
      <c r="AL266" s="432">
        <v>45961</v>
      </c>
      <c r="AM266" s="4">
        <f t="shared" si="89"/>
        <v>6.7650000000000006</v>
      </c>
      <c r="AN266" s="4">
        <v>6.79</v>
      </c>
      <c r="AO266" s="4">
        <v>6.74</v>
      </c>
      <c r="AQ266" s="4">
        <f t="shared" si="90"/>
        <v>2029</v>
      </c>
      <c r="AR266" s="356">
        <v>47362</v>
      </c>
      <c r="AS266" s="4">
        <f t="shared" si="91"/>
        <v>13.074999999999999</v>
      </c>
      <c r="AT266" s="4">
        <v>13.2</v>
      </c>
      <c r="AU266" s="4">
        <v>12.95</v>
      </c>
      <c r="AV266" s="515">
        <f t="shared" si="98"/>
        <v>2036</v>
      </c>
      <c r="AW266" s="535">
        <v>49735</v>
      </c>
      <c r="AX266" s="515">
        <f t="shared" si="102"/>
        <v>6.1628000000000007</v>
      </c>
      <c r="AY266" s="596">
        <f>'[12]Forward Price Curve'!AE347</f>
        <v>6.1139000000000001</v>
      </c>
      <c r="AZ266" s="596">
        <f>'[12]Forward Price Curve'!AD347</f>
        <v>6.2117000000000004</v>
      </c>
      <c r="BA266" s="629">
        <f t="shared" si="99"/>
        <v>2039</v>
      </c>
      <c r="BB266" s="633">
        <v>50830</v>
      </c>
      <c r="BC266" s="629">
        <f t="shared" si="87"/>
        <v>6.9642499999999998</v>
      </c>
      <c r="BD266" s="634">
        <f>[13]Prices!AO263</f>
        <v>7.4309000000000003</v>
      </c>
      <c r="BE266" s="634">
        <f>[13]Prices!AP263</f>
        <v>6.4976000000000003</v>
      </c>
    </row>
    <row r="267" spans="20:57">
      <c r="T267" s="4">
        <f t="shared" si="92"/>
        <v>2027</v>
      </c>
      <c r="U267" s="434">
        <f t="shared" si="101"/>
        <v>46388</v>
      </c>
      <c r="V267" s="150">
        <v>106.3</v>
      </c>
      <c r="W267" s="150">
        <v>95.93</v>
      </c>
      <c r="X267" s="357">
        <f t="shared" si="96"/>
        <v>101.8409</v>
      </c>
      <c r="Y267" s="343">
        <v>400</v>
      </c>
      <c r="Z267" s="343">
        <v>344</v>
      </c>
      <c r="AA267" s="343">
        <f t="shared" si="93"/>
        <v>0.5376344086021505</v>
      </c>
      <c r="AB267" s="343">
        <f t="shared" si="94"/>
        <v>0.46236559139784944</v>
      </c>
      <c r="AF267" s="4">
        <f t="shared" si="97"/>
        <v>2027</v>
      </c>
      <c r="AG267" s="432">
        <f t="shared" si="100"/>
        <v>46388</v>
      </c>
      <c r="AH267" s="149">
        <f t="shared" si="95"/>
        <v>13.02279499728113</v>
      </c>
      <c r="AI267" s="150">
        <v>13.02279499728113</v>
      </c>
      <c r="AK267" s="4">
        <f t="shared" si="88"/>
        <v>2025</v>
      </c>
      <c r="AL267" s="432">
        <v>45991</v>
      </c>
      <c r="AM267" s="4">
        <f t="shared" si="89"/>
        <v>6.8650000000000002</v>
      </c>
      <c r="AN267" s="4">
        <v>6.89</v>
      </c>
      <c r="AO267" s="4">
        <v>6.84</v>
      </c>
      <c r="AQ267" s="4">
        <f t="shared" si="90"/>
        <v>2029</v>
      </c>
      <c r="AR267" s="356">
        <v>47392</v>
      </c>
      <c r="AS267" s="4">
        <f t="shared" si="91"/>
        <v>13.565000000000001</v>
      </c>
      <c r="AT267" s="4">
        <v>13.58</v>
      </c>
      <c r="AU267" s="4">
        <v>13.55</v>
      </c>
      <c r="AV267" s="515">
        <f t="shared" si="98"/>
        <v>2036</v>
      </c>
      <c r="AW267" s="535">
        <v>49766</v>
      </c>
      <c r="AX267" s="515">
        <f t="shared" si="102"/>
        <v>5.8611500000000003</v>
      </c>
      <c r="AY267" s="596">
        <f>'[12]Forward Price Curve'!AE348</f>
        <v>5.8693</v>
      </c>
      <c r="AZ267" s="596">
        <f>'[12]Forward Price Curve'!AD348</f>
        <v>5.8529999999999998</v>
      </c>
      <c r="BA267" s="629">
        <f t="shared" si="99"/>
        <v>2039</v>
      </c>
      <c r="BB267" s="633">
        <v>50861</v>
      </c>
      <c r="BC267" s="629">
        <f t="shared" si="87"/>
        <v>6.6120999999999999</v>
      </c>
      <c r="BD267" s="634">
        <f>[13]Prices!AO264</f>
        <v>7.0259</v>
      </c>
      <c r="BE267" s="634">
        <f>[13]Prices!AP264</f>
        <v>6.1982999999999997</v>
      </c>
    </row>
    <row r="268" spans="20:57">
      <c r="T268" s="4">
        <f t="shared" si="92"/>
        <v>2027</v>
      </c>
      <c r="U268" s="434">
        <f t="shared" si="101"/>
        <v>46419</v>
      </c>
      <c r="V268" s="150">
        <v>100.05</v>
      </c>
      <c r="W268" s="150">
        <v>87.01</v>
      </c>
      <c r="X268" s="357">
        <f t="shared" si="96"/>
        <v>94.442800000000005</v>
      </c>
      <c r="Y268" s="343">
        <v>384</v>
      </c>
      <c r="Z268" s="343">
        <v>288</v>
      </c>
      <c r="AA268" s="343">
        <f t="shared" si="93"/>
        <v>0.5714285714285714</v>
      </c>
      <c r="AB268" s="343">
        <f t="shared" si="94"/>
        <v>0.42857142857142855</v>
      </c>
      <c r="AF268" s="4">
        <f t="shared" si="97"/>
        <v>2027</v>
      </c>
      <c r="AG268" s="432">
        <f t="shared" si="100"/>
        <v>46419</v>
      </c>
      <c r="AH268" s="149">
        <f t="shared" si="95"/>
        <v>12.237721587819468</v>
      </c>
      <c r="AI268" s="150">
        <v>12.237721587819468</v>
      </c>
      <c r="AK268" s="4">
        <f t="shared" si="88"/>
        <v>2025</v>
      </c>
      <c r="AL268" s="432">
        <v>46022</v>
      </c>
      <c r="AM268" s="4">
        <f t="shared" si="89"/>
        <v>7.2050000000000001</v>
      </c>
      <c r="AN268" s="4">
        <v>7.18</v>
      </c>
      <c r="AO268" s="4">
        <v>7.23</v>
      </c>
      <c r="AQ268" s="4">
        <f t="shared" si="90"/>
        <v>2029</v>
      </c>
      <c r="AR268" s="356">
        <v>47423</v>
      </c>
      <c r="AS268" s="4">
        <f t="shared" si="91"/>
        <v>13.765000000000001</v>
      </c>
      <c r="AT268" s="4">
        <v>13.78</v>
      </c>
      <c r="AU268" s="4">
        <v>13.75</v>
      </c>
      <c r="AV268" s="515">
        <f t="shared" si="98"/>
        <v>2036</v>
      </c>
      <c r="AW268" s="535">
        <v>49796</v>
      </c>
      <c r="AX268" s="515">
        <f t="shared" si="102"/>
        <v>5.8285499999999999</v>
      </c>
      <c r="AY268" s="596">
        <f>'[12]Forward Price Curve'!AE349</f>
        <v>5.8529999999999998</v>
      </c>
      <c r="AZ268" s="596">
        <f>'[12]Forward Price Curve'!AD349</f>
        <v>5.8041</v>
      </c>
      <c r="BA268" s="629">
        <f t="shared" si="99"/>
        <v>2039</v>
      </c>
      <c r="BB268" s="633">
        <v>50891</v>
      </c>
      <c r="BC268" s="629">
        <f t="shared" ref="BC268:BC287" si="103">AVERAGE(BD268:BE268)</f>
        <v>6.6385000000000005</v>
      </c>
      <c r="BD268" s="634">
        <f>[13]Prices!AO265</f>
        <v>7.0610999999999997</v>
      </c>
      <c r="BE268" s="634">
        <f>[13]Prices!AP265</f>
        <v>6.2159000000000004</v>
      </c>
    </row>
    <row r="269" spans="20:57">
      <c r="T269" s="4">
        <f t="shared" si="92"/>
        <v>2027</v>
      </c>
      <c r="U269" s="434">
        <f t="shared" si="101"/>
        <v>46447</v>
      </c>
      <c r="V269" s="150">
        <v>84.79</v>
      </c>
      <c r="W269" s="150">
        <v>75.819999999999993</v>
      </c>
      <c r="X269" s="357">
        <f t="shared" si="96"/>
        <v>80.932899999999989</v>
      </c>
      <c r="Y269" s="343">
        <v>432</v>
      </c>
      <c r="Z269" s="343">
        <v>312</v>
      </c>
      <c r="AA269" s="343">
        <f t="shared" si="93"/>
        <v>0.58064516129032262</v>
      </c>
      <c r="AB269" s="343">
        <f t="shared" si="94"/>
        <v>0.41935483870967744</v>
      </c>
      <c r="AF269" s="4">
        <f t="shared" si="97"/>
        <v>2027</v>
      </c>
      <c r="AG269" s="432">
        <f t="shared" si="100"/>
        <v>46447</v>
      </c>
      <c r="AH269" s="149">
        <f t="shared" si="95"/>
        <v>11.51042414355628</v>
      </c>
      <c r="AI269" s="150">
        <v>11.51042414355628</v>
      </c>
      <c r="AK269" s="4">
        <f t="shared" ref="AK269:AK332" si="104">YEAR(AL269)</f>
        <v>2026</v>
      </c>
      <c r="AL269" s="432">
        <v>46053</v>
      </c>
      <c r="AM269" s="4">
        <f t="shared" ref="AM269:AM332" si="105">AVERAGE(AN269:AO269)</f>
        <v>8.02</v>
      </c>
      <c r="AN269" s="4">
        <v>7.94</v>
      </c>
      <c r="AO269" s="4">
        <v>8.1</v>
      </c>
      <c r="AQ269" s="4">
        <f t="shared" ref="AQ269:AQ332" si="106">YEAR(AR269)</f>
        <v>2029</v>
      </c>
      <c r="AR269" s="356">
        <v>47453</v>
      </c>
      <c r="AS269" s="4">
        <f t="shared" ref="AS269:AS332" si="107">AVERAGE(AT269:AU269)</f>
        <v>14.45</v>
      </c>
      <c r="AT269" s="4">
        <v>14.36</v>
      </c>
      <c r="AU269" s="4">
        <v>14.54</v>
      </c>
      <c r="AV269" s="515">
        <f t="shared" si="98"/>
        <v>2036</v>
      </c>
      <c r="AW269" s="535">
        <v>49827</v>
      </c>
      <c r="AX269" s="515">
        <f t="shared" si="102"/>
        <v>5.7470499999999998</v>
      </c>
      <c r="AY269" s="596">
        <f>'[12]Forward Price Curve'!AE350</f>
        <v>5.8204000000000002</v>
      </c>
      <c r="AZ269" s="596">
        <f>'[12]Forward Price Curve'!AD350</f>
        <v>5.6737000000000002</v>
      </c>
      <c r="BA269" s="629">
        <f t="shared" si="99"/>
        <v>2039</v>
      </c>
      <c r="BB269" s="633">
        <v>50922</v>
      </c>
      <c r="BC269" s="629">
        <f t="shared" si="103"/>
        <v>6.7264999999999997</v>
      </c>
      <c r="BD269" s="634">
        <f>[13]Prices!AO266</f>
        <v>7.1139000000000001</v>
      </c>
      <c r="BE269" s="634">
        <f>[13]Prices!AP266</f>
        <v>6.3391000000000002</v>
      </c>
    </row>
    <row r="270" spans="20:57">
      <c r="T270" s="4">
        <f t="shared" si="92"/>
        <v>2027</v>
      </c>
      <c r="U270" s="434">
        <f t="shared" si="101"/>
        <v>46478</v>
      </c>
      <c r="V270" s="150">
        <v>84.34</v>
      </c>
      <c r="W270" s="150">
        <v>80.349999999999994</v>
      </c>
      <c r="X270" s="357">
        <f t="shared" si="96"/>
        <v>82.624300000000005</v>
      </c>
      <c r="Y270" s="343">
        <v>416</v>
      </c>
      <c r="Z270" s="343">
        <v>304</v>
      </c>
      <c r="AA270" s="343">
        <f t="shared" si="93"/>
        <v>0.57777777777777772</v>
      </c>
      <c r="AB270" s="343">
        <f t="shared" si="94"/>
        <v>0.42222222222222222</v>
      </c>
      <c r="AF270" s="4">
        <f t="shared" si="97"/>
        <v>2027</v>
      </c>
      <c r="AG270" s="432">
        <f t="shared" si="100"/>
        <v>46478</v>
      </c>
      <c r="AH270" s="149">
        <f t="shared" si="95"/>
        <v>10.891881457313758</v>
      </c>
      <c r="AI270" s="150">
        <v>10.891881457313758</v>
      </c>
      <c r="AK270" s="4">
        <f t="shared" si="104"/>
        <v>2026</v>
      </c>
      <c r="AL270" s="432">
        <v>46081</v>
      </c>
      <c r="AM270" s="4">
        <f t="shared" si="105"/>
        <v>7.46</v>
      </c>
      <c r="AN270" s="4">
        <v>7.43</v>
      </c>
      <c r="AO270" s="4">
        <v>7.49</v>
      </c>
      <c r="AQ270" s="4">
        <f t="shared" si="106"/>
        <v>2030</v>
      </c>
      <c r="AR270" s="356">
        <v>47484</v>
      </c>
      <c r="AS270" s="4">
        <f t="shared" si="107"/>
        <v>15.829999999999998</v>
      </c>
      <c r="AT270" s="4">
        <v>15.62</v>
      </c>
      <c r="AU270" s="4">
        <v>16.04</v>
      </c>
      <c r="AV270" s="515">
        <f t="shared" si="98"/>
        <v>2036</v>
      </c>
      <c r="AW270" s="535">
        <v>49857</v>
      </c>
      <c r="AX270" s="515">
        <f t="shared" si="102"/>
        <v>5.8041</v>
      </c>
      <c r="AY270" s="596">
        <f>'[12]Forward Price Curve'!AE351</f>
        <v>5.8693</v>
      </c>
      <c r="AZ270" s="596">
        <f>'[12]Forward Price Curve'!AD351</f>
        <v>5.7389000000000001</v>
      </c>
      <c r="BA270" s="629">
        <f t="shared" si="99"/>
        <v>2039</v>
      </c>
      <c r="BB270" s="633">
        <v>50952</v>
      </c>
      <c r="BC270" s="629">
        <f t="shared" si="103"/>
        <v>7.0523000000000007</v>
      </c>
      <c r="BD270" s="634">
        <f>[13]Prices!AO267</f>
        <v>7.4485000000000001</v>
      </c>
      <c r="BE270" s="634">
        <f>[13]Prices!AP267</f>
        <v>6.6561000000000003</v>
      </c>
    </row>
    <row r="271" spans="20:57">
      <c r="T271" s="4">
        <f t="shared" si="92"/>
        <v>2027</v>
      </c>
      <c r="U271" s="434">
        <f t="shared" si="101"/>
        <v>46508</v>
      </c>
      <c r="V271" s="150">
        <v>85.88</v>
      </c>
      <c r="W271" s="150">
        <v>80.78</v>
      </c>
      <c r="X271" s="357">
        <f t="shared" si="96"/>
        <v>83.686999999999983</v>
      </c>
      <c r="Y271" s="343">
        <v>400</v>
      </c>
      <c r="Z271" s="343">
        <v>344</v>
      </c>
      <c r="AA271" s="343">
        <f t="shared" si="93"/>
        <v>0.5376344086021505</v>
      </c>
      <c r="AB271" s="343">
        <f t="shared" si="94"/>
        <v>0.46236559139784944</v>
      </c>
      <c r="AF271" s="4">
        <f t="shared" si="97"/>
        <v>2027</v>
      </c>
      <c r="AG271" s="432">
        <f t="shared" si="100"/>
        <v>46508</v>
      </c>
      <c r="AH271" s="149">
        <f t="shared" si="95"/>
        <v>10.77972811310495</v>
      </c>
      <c r="AI271" s="150">
        <v>10.77972811310495</v>
      </c>
      <c r="AK271" s="4">
        <f t="shared" si="104"/>
        <v>2026</v>
      </c>
      <c r="AL271" s="432">
        <v>46112</v>
      </c>
      <c r="AM271" s="4">
        <f t="shared" si="105"/>
        <v>7</v>
      </c>
      <c r="AN271" s="4">
        <v>7.03</v>
      </c>
      <c r="AO271" s="4">
        <v>6.97</v>
      </c>
      <c r="AQ271" s="4">
        <f t="shared" si="106"/>
        <v>2030</v>
      </c>
      <c r="AR271" s="356">
        <v>47515</v>
      </c>
      <c r="AS271" s="4">
        <f t="shared" si="107"/>
        <v>14.725000000000001</v>
      </c>
      <c r="AT271" s="4">
        <v>14.63</v>
      </c>
      <c r="AU271" s="4">
        <v>14.82</v>
      </c>
      <c r="AV271" s="515">
        <f t="shared" si="98"/>
        <v>2036</v>
      </c>
      <c r="AW271" s="535">
        <v>49888</v>
      </c>
      <c r="AX271" s="515">
        <f t="shared" si="102"/>
        <v>5.9997499999999997</v>
      </c>
      <c r="AY271" s="596">
        <f>'[12]Forward Price Curve'!AE352</f>
        <v>6.0160999999999998</v>
      </c>
      <c r="AZ271" s="596">
        <f>'[12]Forward Price Curve'!AD352</f>
        <v>5.9833999999999996</v>
      </c>
      <c r="BA271" s="629">
        <f t="shared" si="99"/>
        <v>2039</v>
      </c>
      <c r="BB271" s="633">
        <v>50983</v>
      </c>
      <c r="BC271" s="629">
        <f t="shared" si="103"/>
        <v>7.1667500000000004</v>
      </c>
      <c r="BD271" s="634">
        <f>[13]Prices!AO268</f>
        <v>7.5365000000000002</v>
      </c>
      <c r="BE271" s="634">
        <f>[13]Prices!AP268</f>
        <v>6.7969999999999997</v>
      </c>
    </row>
    <row r="272" spans="20:57">
      <c r="T272" s="4">
        <f t="shared" ref="T272:T335" si="108">+YEAR(U272)</f>
        <v>2027</v>
      </c>
      <c r="U272" s="434">
        <f t="shared" si="101"/>
        <v>46539</v>
      </c>
      <c r="V272" s="150">
        <v>92.96</v>
      </c>
      <c r="W272" s="150">
        <v>82.97</v>
      </c>
      <c r="X272" s="357">
        <f t="shared" si="96"/>
        <v>88.664299999999997</v>
      </c>
      <c r="Y272" s="343">
        <v>416</v>
      </c>
      <c r="Z272" s="343">
        <v>304</v>
      </c>
      <c r="AA272" s="343">
        <f t="shared" ref="AA272:AA335" si="109">Y272/(Y272+Z272)</f>
        <v>0.57777777777777772</v>
      </c>
      <c r="AB272" s="343">
        <f t="shared" ref="AB272:AB335" si="110">Z272/(Y272+Z272)</f>
        <v>0.42222222222222222</v>
      </c>
      <c r="AF272" s="4">
        <f t="shared" si="97"/>
        <v>2027</v>
      </c>
      <c r="AG272" s="432">
        <f t="shared" si="100"/>
        <v>46539</v>
      </c>
      <c r="AH272" s="149">
        <f t="shared" ref="AH272:AH335" si="111">AI272</f>
        <v>10.949657422512235</v>
      </c>
      <c r="AI272" s="150">
        <v>10.949657422512235</v>
      </c>
      <c r="AK272" s="4">
        <f t="shared" si="104"/>
        <v>2026</v>
      </c>
      <c r="AL272" s="432">
        <v>46142</v>
      </c>
      <c r="AM272" s="4">
        <f t="shared" si="105"/>
        <v>6.5449999999999999</v>
      </c>
      <c r="AN272" s="4">
        <v>6.63</v>
      </c>
      <c r="AO272" s="4">
        <v>6.46</v>
      </c>
      <c r="AQ272" s="4">
        <f t="shared" si="106"/>
        <v>2030</v>
      </c>
      <c r="AR272" s="356">
        <v>47543</v>
      </c>
      <c r="AS272" s="4">
        <f t="shared" si="107"/>
        <v>13.82</v>
      </c>
      <c r="AT272" s="4">
        <v>13.84</v>
      </c>
      <c r="AU272" s="4">
        <v>13.8</v>
      </c>
      <c r="AV272" s="515">
        <f t="shared" si="98"/>
        <v>2036</v>
      </c>
      <c r="AW272" s="535">
        <v>49919</v>
      </c>
      <c r="AX272" s="515">
        <f t="shared" si="102"/>
        <v>5.8774499999999996</v>
      </c>
      <c r="AY272" s="596">
        <f>'[12]Forward Price Curve'!AE353</f>
        <v>5.8529999999999998</v>
      </c>
      <c r="AZ272" s="596">
        <f>'[12]Forward Price Curve'!AD353</f>
        <v>5.9019000000000004</v>
      </c>
      <c r="BA272" s="629">
        <f t="shared" si="99"/>
        <v>2039</v>
      </c>
      <c r="BB272" s="633">
        <v>51014</v>
      </c>
      <c r="BC272" s="629">
        <f t="shared" si="103"/>
        <v>7.0699000000000005</v>
      </c>
      <c r="BD272" s="634">
        <f>[13]Prices!AO269</f>
        <v>7.4661</v>
      </c>
      <c r="BE272" s="634">
        <f>[13]Prices!AP269</f>
        <v>6.6737000000000002</v>
      </c>
    </row>
    <row r="273" spans="20:57">
      <c r="T273" s="4">
        <f t="shared" si="108"/>
        <v>2027</v>
      </c>
      <c r="U273" s="434">
        <f t="shared" si="101"/>
        <v>46569</v>
      </c>
      <c r="V273" s="150">
        <v>88.54</v>
      </c>
      <c r="W273" s="150">
        <v>84.87</v>
      </c>
      <c r="X273" s="357">
        <f t="shared" si="96"/>
        <v>86.9619</v>
      </c>
      <c r="Y273" s="343">
        <v>416</v>
      </c>
      <c r="Z273" s="343">
        <v>328</v>
      </c>
      <c r="AA273" s="343">
        <f t="shared" si="109"/>
        <v>0.55913978494623651</v>
      </c>
      <c r="AB273" s="343">
        <f t="shared" si="110"/>
        <v>0.44086021505376344</v>
      </c>
      <c r="AF273" s="4">
        <f t="shared" si="97"/>
        <v>2027</v>
      </c>
      <c r="AG273" s="432">
        <f t="shared" si="100"/>
        <v>46569</v>
      </c>
      <c r="AH273" s="149">
        <f t="shared" si="111"/>
        <v>11.119586731919519</v>
      </c>
      <c r="AI273" s="150">
        <v>11.119586731919519</v>
      </c>
      <c r="AK273" s="4">
        <f t="shared" si="104"/>
        <v>2026</v>
      </c>
      <c r="AL273" s="432">
        <v>46173</v>
      </c>
      <c r="AM273" s="4">
        <f t="shared" si="105"/>
        <v>6.5449999999999999</v>
      </c>
      <c r="AN273" s="4">
        <v>6.63</v>
      </c>
      <c r="AO273" s="4">
        <v>6.46</v>
      </c>
      <c r="AQ273" s="4">
        <f t="shared" si="106"/>
        <v>2030</v>
      </c>
      <c r="AR273" s="356">
        <v>47574</v>
      </c>
      <c r="AS273" s="4">
        <f t="shared" si="107"/>
        <v>12.92</v>
      </c>
      <c r="AT273" s="4">
        <v>13.05</v>
      </c>
      <c r="AU273" s="4">
        <v>12.79</v>
      </c>
      <c r="AV273" s="515">
        <f t="shared" si="98"/>
        <v>2036</v>
      </c>
      <c r="AW273" s="535">
        <v>49949</v>
      </c>
      <c r="AX273" s="515">
        <f t="shared" si="102"/>
        <v>5.97525</v>
      </c>
      <c r="AY273" s="596">
        <f>'[12]Forward Price Curve'!AE354</f>
        <v>5.9508000000000001</v>
      </c>
      <c r="AZ273" s="596">
        <f>'[12]Forward Price Curve'!AD354</f>
        <v>5.9996999999999998</v>
      </c>
      <c r="BA273" s="629">
        <f t="shared" si="99"/>
        <v>2039</v>
      </c>
      <c r="BB273" s="633">
        <v>51044</v>
      </c>
      <c r="BC273" s="629">
        <f t="shared" si="103"/>
        <v>7.1227</v>
      </c>
      <c r="BD273" s="634">
        <f>[13]Prices!AO270</f>
        <v>7.5189000000000004</v>
      </c>
      <c r="BE273" s="634">
        <f>[13]Prices!AP270</f>
        <v>6.7264999999999997</v>
      </c>
    </row>
    <row r="274" spans="20:57">
      <c r="T274" s="4">
        <f t="shared" si="108"/>
        <v>2027</v>
      </c>
      <c r="U274" s="434">
        <f t="shared" si="101"/>
        <v>46600</v>
      </c>
      <c r="V274" s="150">
        <v>88.98</v>
      </c>
      <c r="W274" s="150">
        <v>85.35</v>
      </c>
      <c r="X274" s="357">
        <f t="shared" si="96"/>
        <v>87.419099999999986</v>
      </c>
      <c r="Y274" s="343">
        <v>416</v>
      </c>
      <c r="Z274" s="343">
        <v>328</v>
      </c>
      <c r="AA274" s="343">
        <f t="shared" si="109"/>
        <v>0.55913978494623651</v>
      </c>
      <c r="AB274" s="343">
        <f t="shared" si="110"/>
        <v>0.44086021505376344</v>
      </c>
      <c r="AF274" s="4">
        <f t="shared" si="97"/>
        <v>2027</v>
      </c>
      <c r="AG274" s="432">
        <f t="shared" si="100"/>
        <v>46600</v>
      </c>
      <c r="AH274" s="149">
        <f t="shared" si="111"/>
        <v>11.119586731919519</v>
      </c>
      <c r="AI274" s="150">
        <v>11.119586731919519</v>
      </c>
      <c r="AK274" s="4">
        <f t="shared" si="104"/>
        <v>2026</v>
      </c>
      <c r="AL274" s="432">
        <v>46203</v>
      </c>
      <c r="AM274" s="4">
        <f t="shared" si="105"/>
        <v>6.6449999999999996</v>
      </c>
      <c r="AN274" s="4">
        <v>6.73</v>
      </c>
      <c r="AO274" s="4">
        <v>6.56</v>
      </c>
      <c r="AQ274" s="4">
        <f t="shared" si="106"/>
        <v>2030</v>
      </c>
      <c r="AR274" s="356">
        <v>47604</v>
      </c>
      <c r="AS274" s="4">
        <f t="shared" si="107"/>
        <v>12.92</v>
      </c>
      <c r="AT274" s="4">
        <v>13.05</v>
      </c>
      <c r="AU274" s="4">
        <v>12.79</v>
      </c>
      <c r="AV274" s="515">
        <f t="shared" si="98"/>
        <v>2036</v>
      </c>
      <c r="AW274" s="535">
        <v>49980</v>
      </c>
      <c r="AX274" s="515">
        <f t="shared" si="102"/>
        <v>6.1872500000000006</v>
      </c>
      <c r="AY274" s="596">
        <f>'[12]Forward Price Curve'!AE355</f>
        <v>6.1302000000000003</v>
      </c>
      <c r="AZ274" s="596">
        <f>'[12]Forward Price Curve'!AD355</f>
        <v>6.2443</v>
      </c>
      <c r="BA274" s="629">
        <f t="shared" si="99"/>
        <v>2039</v>
      </c>
      <c r="BB274" s="633">
        <v>51075</v>
      </c>
      <c r="BC274" s="629">
        <f t="shared" si="103"/>
        <v>7.2988</v>
      </c>
      <c r="BD274" s="634">
        <f>[13]Prices!AO271</f>
        <v>7.7477999999999998</v>
      </c>
      <c r="BE274" s="634">
        <f>[13]Prices!AP271</f>
        <v>6.8498000000000001</v>
      </c>
    </row>
    <row r="275" spans="20:57">
      <c r="T275" s="4">
        <f t="shared" si="108"/>
        <v>2027</v>
      </c>
      <c r="U275" s="434">
        <f t="shared" si="101"/>
        <v>46631</v>
      </c>
      <c r="V275" s="150">
        <v>88.2</v>
      </c>
      <c r="W275" s="150">
        <v>82.71</v>
      </c>
      <c r="X275" s="357">
        <f t="shared" si="96"/>
        <v>85.83929999999998</v>
      </c>
      <c r="Y275" s="343">
        <v>400</v>
      </c>
      <c r="Z275" s="343">
        <v>320</v>
      </c>
      <c r="AA275" s="343">
        <f t="shared" si="109"/>
        <v>0.55555555555555558</v>
      </c>
      <c r="AB275" s="343">
        <f t="shared" si="110"/>
        <v>0.44444444444444442</v>
      </c>
      <c r="AF275" s="4">
        <f t="shared" si="97"/>
        <v>2027</v>
      </c>
      <c r="AG275" s="432">
        <f t="shared" si="100"/>
        <v>46631</v>
      </c>
      <c r="AH275" s="149">
        <f t="shared" si="111"/>
        <v>11.119586731919519</v>
      </c>
      <c r="AI275" s="150">
        <v>11.119586731919519</v>
      </c>
      <c r="AK275" s="4">
        <f t="shared" si="104"/>
        <v>2026</v>
      </c>
      <c r="AL275" s="432">
        <v>46234</v>
      </c>
      <c r="AM275" s="4">
        <f t="shared" si="105"/>
        <v>6.75</v>
      </c>
      <c r="AN275" s="4">
        <v>6.83</v>
      </c>
      <c r="AO275" s="4">
        <v>6.67</v>
      </c>
      <c r="AQ275" s="4">
        <f t="shared" si="106"/>
        <v>2030</v>
      </c>
      <c r="AR275" s="356">
        <v>47635</v>
      </c>
      <c r="AS275" s="4">
        <f t="shared" si="107"/>
        <v>13.120000000000001</v>
      </c>
      <c r="AT275" s="4">
        <v>13.25</v>
      </c>
      <c r="AU275" s="4">
        <v>12.99</v>
      </c>
      <c r="AV275" s="515">
        <f t="shared" si="98"/>
        <v>2036</v>
      </c>
      <c r="AW275" s="535">
        <v>50010</v>
      </c>
      <c r="AX275" s="515">
        <f t="shared" si="102"/>
        <v>6.47255</v>
      </c>
      <c r="AY275" s="596">
        <f>'[12]Forward Price Curve'!AE356</f>
        <v>6.4073000000000002</v>
      </c>
      <c r="AZ275" s="596">
        <f>'[12]Forward Price Curve'!AD356</f>
        <v>6.5377999999999998</v>
      </c>
      <c r="BA275" s="629">
        <f t="shared" si="99"/>
        <v>2039</v>
      </c>
      <c r="BB275" s="633">
        <v>51105</v>
      </c>
      <c r="BC275" s="629">
        <f t="shared" si="103"/>
        <v>7.7566500000000005</v>
      </c>
      <c r="BD275" s="634">
        <f>[13]Prices!AO272</f>
        <v>8.2408999999999999</v>
      </c>
      <c r="BE275" s="634">
        <f>[13]Prices!AP272</f>
        <v>7.2724000000000002</v>
      </c>
    </row>
    <row r="276" spans="20:57">
      <c r="T276" s="4">
        <f t="shared" si="108"/>
        <v>2027</v>
      </c>
      <c r="U276" s="434">
        <f t="shared" si="101"/>
        <v>46661</v>
      </c>
      <c r="V276" s="150">
        <v>87.52</v>
      </c>
      <c r="W276" s="150">
        <v>76.41</v>
      </c>
      <c r="X276" s="357">
        <f t="shared" si="96"/>
        <v>82.742699999999985</v>
      </c>
      <c r="Y276" s="343">
        <v>416</v>
      </c>
      <c r="Z276" s="343">
        <v>328</v>
      </c>
      <c r="AA276" s="343">
        <f t="shared" si="109"/>
        <v>0.55913978494623651</v>
      </c>
      <c r="AB276" s="343">
        <f t="shared" si="110"/>
        <v>0.44086021505376344</v>
      </c>
      <c r="AF276" s="4">
        <f t="shared" si="97"/>
        <v>2027</v>
      </c>
      <c r="AG276" s="432">
        <f t="shared" si="100"/>
        <v>46661</v>
      </c>
      <c r="AH276" s="149">
        <f t="shared" si="111"/>
        <v>11.51042414355628</v>
      </c>
      <c r="AI276" s="150">
        <v>11.51042414355628</v>
      </c>
      <c r="AK276" s="4">
        <f t="shared" si="104"/>
        <v>2026</v>
      </c>
      <c r="AL276" s="432">
        <v>46265</v>
      </c>
      <c r="AM276" s="4">
        <f t="shared" si="105"/>
        <v>6.75</v>
      </c>
      <c r="AN276" s="4">
        <v>6.83</v>
      </c>
      <c r="AO276" s="4">
        <v>6.67</v>
      </c>
      <c r="AQ276" s="4">
        <f t="shared" si="106"/>
        <v>2030</v>
      </c>
      <c r="AR276" s="356">
        <v>47665</v>
      </c>
      <c r="AS276" s="4">
        <f t="shared" si="107"/>
        <v>13.32</v>
      </c>
      <c r="AT276" s="4">
        <v>13.45</v>
      </c>
      <c r="AU276" s="4">
        <v>13.19</v>
      </c>
      <c r="AV276" s="515">
        <f t="shared" si="98"/>
        <v>2037</v>
      </c>
      <c r="AW276" s="535">
        <v>50041</v>
      </c>
      <c r="AX276" s="515">
        <f t="shared" si="102"/>
        <v>6.6899499999999996</v>
      </c>
      <c r="AY276" s="596">
        <f>'[12]Forward Price Curve'!AE357</f>
        <v>6.6150000000000002</v>
      </c>
      <c r="AZ276" s="596">
        <f>'[12]Forward Price Curve'!AD357</f>
        <v>6.7648999999999999</v>
      </c>
      <c r="BA276" s="629">
        <f t="shared" si="99"/>
        <v>2040</v>
      </c>
      <c r="BB276" s="633">
        <v>51136</v>
      </c>
      <c r="BC276" s="629">
        <f t="shared" si="103"/>
        <v>7.8179499999999997</v>
      </c>
      <c r="BD276" s="634">
        <f>[13]Prices!AO273</f>
        <v>8.3042999999999996</v>
      </c>
      <c r="BE276" s="634">
        <f>[13]Prices!AP273</f>
        <v>7.3315999999999999</v>
      </c>
    </row>
    <row r="277" spans="20:57">
      <c r="T277" s="4">
        <f t="shared" si="108"/>
        <v>2027</v>
      </c>
      <c r="U277" s="434">
        <f t="shared" si="101"/>
        <v>46692</v>
      </c>
      <c r="V277" s="150">
        <v>98.85</v>
      </c>
      <c r="W277" s="150">
        <v>86.68</v>
      </c>
      <c r="X277" s="357">
        <f t="shared" si="96"/>
        <v>93.616899999999987</v>
      </c>
      <c r="Y277" s="343">
        <v>400</v>
      </c>
      <c r="Z277" s="343">
        <v>320</v>
      </c>
      <c r="AA277" s="343">
        <f t="shared" si="109"/>
        <v>0.55555555555555558</v>
      </c>
      <c r="AB277" s="343">
        <f t="shared" si="110"/>
        <v>0.44444444444444442</v>
      </c>
      <c r="AF277" s="4">
        <f t="shared" si="97"/>
        <v>2027</v>
      </c>
      <c r="AG277" s="432">
        <f t="shared" si="100"/>
        <v>46692</v>
      </c>
      <c r="AH277" s="149">
        <f t="shared" si="111"/>
        <v>11.67695486677542</v>
      </c>
      <c r="AI277" s="150">
        <v>11.67695486677542</v>
      </c>
      <c r="AK277" s="4">
        <f t="shared" si="104"/>
        <v>2026</v>
      </c>
      <c r="AL277" s="432">
        <v>46295</v>
      </c>
      <c r="AM277" s="4">
        <f t="shared" si="105"/>
        <v>6.75</v>
      </c>
      <c r="AN277" s="4">
        <v>6.83</v>
      </c>
      <c r="AO277" s="4">
        <v>6.67</v>
      </c>
      <c r="AQ277" s="4">
        <f t="shared" si="106"/>
        <v>2030</v>
      </c>
      <c r="AR277" s="356">
        <v>47696</v>
      </c>
      <c r="AS277" s="4">
        <f t="shared" si="107"/>
        <v>13.32</v>
      </c>
      <c r="AT277" s="4">
        <v>13.45</v>
      </c>
      <c r="AU277" s="4">
        <v>13.19</v>
      </c>
      <c r="AV277" s="515">
        <f t="shared" si="98"/>
        <v>2037</v>
      </c>
      <c r="AW277" s="535">
        <v>50072</v>
      </c>
      <c r="AX277" s="515">
        <f t="shared" si="102"/>
        <v>6.6816500000000003</v>
      </c>
      <c r="AY277" s="596">
        <f>'[12]Forward Price Curve'!AE358</f>
        <v>6.6150000000000002</v>
      </c>
      <c r="AZ277" s="596">
        <f>'[12]Forward Price Curve'!AD358</f>
        <v>6.7483000000000004</v>
      </c>
      <c r="BA277" s="629">
        <f t="shared" si="99"/>
        <v>2040</v>
      </c>
      <c r="BB277" s="633">
        <v>51167</v>
      </c>
      <c r="BC277" s="629">
        <f t="shared" si="103"/>
        <v>7.8269500000000001</v>
      </c>
      <c r="BD277" s="634">
        <f>[13]Prices!AO274</f>
        <v>8.3402999999999992</v>
      </c>
      <c r="BE277" s="634">
        <f>[13]Prices!AP274</f>
        <v>7.3136000000000001</v>
      </c>
    </row>
    <row r="278" spans="20:57">
      <c r="T278" s="4">
        <f t="shared" si="108"/>
        <v>2027</v>
      </c>
      <c r="U278" s="434">
        <f t="shared" si="101"/>
        <v>46722</v>
      </c>
      <c r="V278" s="150">
        <v>103.48</v>
      </c>
      <c r="W278" s="150">
        <v>94.9</v>
      </c>
      <c r="X278" s="357">
        <f t="shared" si="96"/>
        <v>99.790599999999998</v>
      </c>
      <c r="Y278" s="343">
        <v>416</v>
      </c>
      <c r="Z278" s="343">
        <v>328</v>
      </c>
      <c r="AA278" s="343">
        <f t="shared" si="109"/>
        <v>0.55913978494623651</v>
      </c>
      <c r="AB278" s="343">
        <f t="shared" si="110"/>
        <v>0.44086021505376344</v>
      </c>
      <c r="AF278" s="4">
        <f t="shared" si="97"/>
        <v>2027</v>
      </c>
      <c r="AG278" s="432">
        <f t="shared" si="100"/>
        <v>46722</v>
      </c>
      <c r="AH278" s="149">
        <f t="shared" si="111"/>
        <v>12.237721587819468</v>
      </c>
      <c r="AI278" s="150">
        <v>12.237721587819468</v>
      </c>
      <c r="AK278" s="4">
        <f t="shared" si="104"/>
        <v>2026</v>
      </c>
      <c r="AL278" s="432">
        <v>46326</v>
      </c>
      <c r="AM278" s="4">
        <f t="shared" si="105"/>
        <v>7</v>
      </c>
      <c r="AN278" s="4">
        <v>7.03</v>
      </c>
      <c r="AO278" s="4">
        <v>6.97</v>
      </c>
      <c r="AQ278" s="4">
        <f t="shared" si="106"/>
        <v>2030</v>
      </c>
      <c r="AR278" s="356">
        <v>47727</v>
      </c>
      <c r="AS278" s="4">
        <f t="shared" si="107"/>
        <v>13.32</v>
      </c>
      <c r="AT278" s="4">
        <v>13.45</v>
      </c>
      <c r="AU278" s="4">
        <v>13.19</v>
      </c>
      <c r="AV278" s="515">
        <f t="shared" si="98"/>
        <v>2037</v>
      </c>
      <c r="AW278" s="535">
        <v>50100</v>
      </c>
      <c r="AX278" s="515">
        <f t="shared" si="102"/>
        <v>6.3066999999999993</v>
      </c>
      <c r="AY278" s="596">
        <f>'[12]Forward Price Curve'!AE359</f>
        <v>6.2649999999999997</v>
      </c>
      <c r="AZ278" s="596">
        <f>'[12]Forward Price Curve'!AD359</f>
        <v>6.3483999999999998</v>
      </c>
      <c r="BA278" s="629">
        <f t="shared" si="99"/>
        <v>2040</v>
      </c>
      <c r="BB278" s="633">
        <v>51196</v>
      </c>
      <c r="BC278" s="629">
        <f t="shared" si="103"/>
        <v>7.3045499999999999</v>
      </c>
      <c r="BD278" s="634">
        <f>[13]Prices!AO275</f>
        <v>7.7638999999999996</v>
      </c>
      <c r="BE278" s="634">
        <f>[13]Prices!AP275</f>
        <v>6.8452000000000002</v>
      </c>
    </row>
    <row r="279" spans="20:57">
      <c r="T279" s="4">
        <f t="shared" si="108"/>
        <v>2028</v>
      </c>
      <c r="U279" s="434">
        <f t="shared" si="101"/>
        <v>46753</v>
      </c>
      <c r="V279" s="150">
        <v>108.32</v>
      </c>
      <c r="W279" s="150">
        <v>97.76</v>
      </c>
      <c r="X279" s="357">
        <f t="shared" si="96"/>
        <v>103.77919999999999</v>
      </c>
      <c r="Y279" s="343">
        <v>400</v>
      </c>
      <c r="Z279" s="343">
        <v>344</v>
      </c>
      <c r="AA279" s="343">
        <f t="shared" si="109"/>
        <v>0.5376344086021505</v>
      </c>
      <c r="AB279" s="343">
        <f t="shared" si="110"/>
        <v>0.46236559139784944</v>
      </c>
      <c r="AF279" s="4">
        <f t="shared" si="97"/>
        <v>2028</v>
      </c>
      <c r="AG279" s="432">
        <f t="shared" si="100"/>
        <v>46753</v>
      </c>
      <c r="AH279" s="149">
        <f t="shared" si="111"/>
        <v>13.270891789015767</v>
      </c>
      <c r="AI279" s="150">
        <v>13.270891789015767</v>
      </c>
      <c r="AK279" s="4">
        <f t="shared" si="104"/>
        <v>2026</v>
      </c>
      <c r="AL279" s="432">
        <v>46356</v>
      </c>
      <c r="AM279" s="4">
        <f t="shared" si="105"/>
        <v>7.1050000000000004</v>
      </c>
      <c r="AN279" s="4">
        <v>7.13</v>
      </c>
      <c r="AO279" s="4">
        <v>7.08</v>
      </c>
      <c r="AQ279" s="4">
        <f t="shared" si="106"/>
        <v>2030</v>
      </c>
      <c r="AR279" s="356">
        <v>47757</v>
      </c>
      <c r="AS279" s="4">
        <f t="shared" si="107"/>
        <v>13.82</v>
      </c>
      <c r="AT279" s="4">
        <v>13.84</v>
      </c>
      <c r="AU279" s="4">
        <v>13.8</v>
      </c>
      <c r="AV279" s="515">
        <f t="shared" si="98"/>
        <v>2037</v>
      </c>
      <c r="AW279" s="535">
        <v>50131</v>
      </c>
      <c r="AX279" s="515">
        <f t="shared" si="102"/>
        <v>5.9901</v>
      </c>
      <c r="AY279" s="596">
        <f>'[12]Forward Price Curve'!AE360</f>
        <v>5.9650999999999996</v>
      </c>
      <c r="AZ279" s="596">
        <f>'[12]Forward Price Curve'!AD360</f>
        <v>6.0151000000000003</v>
      </c>
      <c r="BA279" s="629">
        <f t="shared" si="99"/>
        <v>2040</v>
      </c>
      <c r="BB279" s="633">
        <v>51227</v>
      </c>
      <c r="BC279" s="629">
        <f t="shared" si="103"/>
        <v>6.8542000000000005</v>
      </c>
      <c r="BD279" s="634">
        <f>[13]Prices!AO276</f>
        <v>7.2415000000000003</v>
      </c>
      <c r="BE279" s="634">
        <f>[13]Prices!AP276</f>
        <v>6.4668999999999999</v>
      </c>
    </row>
    <row r="280" spans="20:57">
      <c r="T280" s="4">
        <f t="shared" si="108"/>
        <v>2028</v>
      </c>
      <c r="U280" s="434">
        <f t="shared" si="101"/>
        <v>46784</v>
      </c>
      <c r="V280" s="150">
        <v>101.95</v>
      </c>
      <c r="W280" s="150">
        <v>88.67</v>
      </c>
      <c r="X280" s="357">
        <f t="shared" ref="X280:X343" si="112">V280*0.57+W280*0.43</f>
        <v>96.239599999999996</v>
      </c>
      <c r="Y280" s="343">
        <v>400</v>
      </c>
      <c r="Z280" s="343">
        <v>296</v>
      </c>
      <c r="AA280" s="343">
        <f t="shared" si="109"/>
        <v>0.57471264367816088</v>
      </c>
      <c r="AB280" s="343">
        <f t="shared" si="110"/>
        <v>0.42528735632183906</v>
      </c>
      <c r="AF280" s="4">
        <f t="shared" si="97"/>
        <v>2028</v>
      </c>
      <c r="AG280" s="432">
        <f t="shared" si="100"/>
        <v>46784</v>
      </c>
      <c r="AH280" s="149">
        <f t="shared" si="111"/>
        <v>12.472224034801522</v>
      </c>
      <c r="AI280" s="150">
        <v>12.472224034801522</v>
      </c>
      <c r="AK280" s="4">
        <f t="shared" si="104"/>
        <v>2026</v>
      </c>
      <c r="AL280" s="432">
        <v>46387</v>
      </c>
      <c r="AM280" s="4">
        <f t="shared" si="105"/>
        <v>7.46</v>
      </c>
      <c r="AN280" s="4">
        <v>7.43</v>
      </c>
      <c r="AO280" s="4">
        <v>7.49</v>
      </c>
      <c r="AQ280" s="4">
        <f t="shared" si="106"/>
        <v>2030</v>
      </c>
      <c r="AR280" s="356">
        <v>47788</v>
      </c>
      <c r="AS280" s="4">
        <f t="shared" si="107"/>
        <v>14.024999999999999</v>
      </c>
      <c r="AT280" s="4">
        <v>14.04</v>
      </c>
      <c r="AU280" s="4">
        <v>14.01</v>
      </c>
      <c r="AV280" s="515">
        <f t="shared" si="98"/>
        <v>2037</v>
      </c>
      <c r="AW280" s="535">
        <v>50161</v>
      </c>
      <c r="AX280" s="515">
        <f t="shared" si="102"/>
        <v>5.9567999999999994</v>
      </c>
      <c r="AY280" s="596">
        <f>'[12]Forward Price Curve'!AE361</f>
        <v>5.9650999999999996</v>
      </c>
      <c r="AZ280" s="596">
        <f>'[12]Forward Price Curve'!AD361</f>
        <v>5.9485000000000001</v>
      </c>
      <c r="BA280" s="629">
        <f t="shared" si="99"/>
        <v>2040</v>
      </c>
      <c r="BB280" s="633">
        <v>51257</v>
      </c>
      <c r="BC280" s="629">
        <f t="shared" si="103"/>
        <v>6.8721999999999994</v>
      </c>
      <c r="BD280" s="634">
        <f>[13]Prices!AO277</f>
        <v>7.2774999999999999</v>
      </c>
      <c r="BE280" s="634">
        <f>[13]Prices!AP277</f>
        <v>6.4668999999999999</v>
      </c>
    </row>
    <row r="281" spans="20:57">
      <c r="T281" s="4">
        <f t="shared" si="108"/>
        <v>2028</v>
      </c>
      <c r="U281" s="434">
        <f t="shared" si="101"/>
        <v>46813</v>
      </c>
      <c r="V281" s="150">
        <v>86.4</v>
      </c>
      <c r="W281" s="150">
        <v>77.260000000000005</v>
      </c>
      <c r="X281" s="357">
        <f t="shared" si="112"/>
        <v>82.469799999999992</v>
      </c>
      <c r="Y281" s="343">
        <v>432</v>
      </c>
      <c r="Z281" s="343">
        <v>312</v>
      </c>
      <c r="AA281" s="343">
        <f t="shared" si="109"/>
        <v>0.58064516129032262</v>
      </c>
      <c r="AB281" s="343">
        <f t="shared" si="110"/>
        <v>0.41935483870967744</v>
      </c>
      <c r="AF281" s="4">
        <f t="shared" si="97"/>
        <v>2028</v>
      </c>
      <c r="AG281" s="432">
        <f t="shared" si="100"/>
        <v>46813</v>
      </c>
      <c r="AH281" s="149">
        <f t="shared" si="111"/>
        <v>11.727933659597609</v>
      </c>
      <c r="AI281" s="150">
        <v>11.727933659597609</v>
      </c>
      <c r="AK281" s="4">
        <f t="shared" si="104"/>
        <v>2027</v>
      </c>
      <c r="AL281" s="432">
        <v>46418</v>
      </c>
      <c r="AM281" s="4">
        <f t="shared" si="105"/>
        <v>8.3000000000000007</v>
      </c>
      <c r="AN281" s="4">
        <v>8.2100000000000009</v>
      </c>
      <c r="AO281" s="4">
        <v>8.39</v>
      </c>
      <c r="AQ281" s="4">
        <f t="shared" si="106"/>
        <v>2030</v>
      </c>
      <c r="AR281" s="356">
        <v>47818</v>
      </c>
      <c r="AS281" s="4">
        <f t="shared" si="107"/>
        <v>14.725000000000001</v>
      </c>
      <c r="AT281" s="4">
        <v>14.63</v>
      </c>
      <c r="AU281" s="4">
        <v>14.82</v>
      </c>
      <c r="AV281" s="515">
        <f t="shared" si="98"/>
        <v>2037</v>
      </c>
      <c r="AW281" s="535">
        <v>50192</v>
      </c>
      <c r="AX281" s="515">
        <f t="shared" si="102"/>
        <v>5.9068000000000005</v>
      </c>
      <c r="AY281" s="596">
        <f>'[12]Forward Price Curve'!AE362</f>
        <v>5.9817999999999998</v>
      </c>
      <c r="AZ281" s="596">
        <f>'[12]Forward Price Curve'!AD362</f>
        <v>5.8318000000000003</v>
      </c>
      <c r="BA281" s="629">
        <f t="shared" si="99"/>
        <v>2040</v>
      </c>
      <c r="BB281" s="633">
        <v>51288</v>
      </c>
      <c r="BC281" s="629">
        <f t="shared" si="103"/>
        <v>6.9262999999999995</v>
      </c>
      <c r="BD281" s="634">
        <f>[13]Prices!AO278</f>
        <v>7.3315999999999999</v>
      </c>
      <c r="BE281" s="634">
        <f>[13]Prices!AP278</f>
        <v>6.5209999999999999</v>
      </c>
    </row>
    <row r="282" spans="20:57">
      <c r="T282" s="4">
        <f t="shared" si="108"/>
        <v>2028</v>
      </c>
      <c r="U282" s="434">
        <f t="shared" si="101"/>
        <v>46844</v>
      </c>
      <c r="V282" s="150">
        <v>85.94</v>
      </c>
      <c r="W282" s="150">
        <v>81.87</v>
      </c>
      <c r="X282" s="357">
        <f t="shared" si="112"/>
        <v>84.189899999999994</v>
      </c>
      <c r="Y282" s="343">
        <v>400</v>
      </c>
      <c r="Z282" s="343">
        <v>320</v>
      </c>
      <c r="AA282" s="343">
        <f t="shared" si="109"/>
        <v>0.55555555555555558</v>
      </c>
      <c r="AB282" s="343">
        <f t="shared" si="110"/>
        <v>0.44444444444444442</v>
      </c>
      <c r="AF282" s="4">
        <f t="shared" si="97"/>
        <v>2028</v>
      </c>
      <c r="AG282" s="432">
        <f t="shared" si="100"/>
        <v>46844</v>
      </c>
      <c r="AH282" s="149">
        <f t="shared" si="111"/>
        <v>11.099195214790647</v>
      </c>
      <c r="AI282" s="150">
        <v>11.099195214790647</v>
      </c>
      <c r="AK282" s="4">
        <f t="shared" si="104"/>
        <v>2027</v>
      </c>
      <c r="AL282" s="432">
        <v>46446</v>
      </c>
      <c r="AM282" s="4">
        <f t="shared" si="105"/>
        <v>7.7200000000000006</v>
      </c>
      <c r="AN282" s="4">
        <v>7.69</v>
      </c>
      <c r="AO282" s="4">
        <v>7.75</v>
      </c>
      <c r="AQ282" s="4">
        <f t="shared" si="106"/>
        <v>2031</v>
      </c>
      <c r="AR282" s="356">
        <v>47849</v>
      </c>
      <c r="AS282" s="4">
        <f t="shared" si="107"/>
        <v>16.13</v>
      </c>
      <c r="AT282" s="4">
        <v>15.92</v>
      </c>
      <c r="AU282" s="4">
        <v>16.34</v>
      </c>
      <c r="AV282" s="515">
        <f t="shared" si="98"/>
        <v>2037</v>
      </c>
      <c r="AW282" s="535">
        <v>50222</v>
      </c>
      <c r="AX282" s="515">
        <f t="shared" si="102"/>
        <v>5.9568000000000003</v>
      </c>
      <c r="AY282" s="596">
        <f>'[12]Forward Price Curve'!AE363</f>
        <v>6.0151000000000003</v>
      </c>
      <c r="AZ282" s="596">
        <f>'[12]Forward Price Curve'!AD363</f>
        <v>5.8985000000000003</v>
      </c>
      <c r="BA282" s="629">
        <f t="shared" si="99"/>
        <v>2040</v>
      </c>
      <c r="BB282" s="633">
        <v>51318</v>
      </c>
      <c r="BC282" s="629">
        <f t="shared" si="103"/>
        <v>7.2684999999999995</v>
      </c>
      <c r="BD282" s="634">
        <f>[13]Prices!AO279</f>
        <v>7.6558000000000002</v>
      </c>
      <c r="BE282" s="634">
        <f>[13]Prices!AP279</f>
        <v>6.8811999999999998</v>
      </c>
    </row>
    <row r="283" spans="20:57">
      <c r="T283" s="4">
        <f t="shared" si="108"/>
        <v>2028</v>
      </c>
      <c r="U283" s="434">
        <f t="shared" si="101"/>
        <v>46874</v>
      </c>
      <c r="V283" s="150">
        <v>87.51</v>
      </c>
      <c r="W283" s="150">
        <v>82.32</v>
      </c>
      <c r="X283" s="357">
        <f t="shared" si="112"/>
        <v>85.278300000000002</v>
      </c>
      <c r="Y283" s="343">
        <v>416</v>
      </c>
      <c r="Z283" s="343">
        <v>328</v>
      </c>
      <c r="AA283" s="343">
        <f t="shared" si="109"/>
        <v>0.55913978494623651</v>
      </c>
      <c r="AB283" s="343">
        <f t="shared" si="110"/>
        <v>0.44086021505376344</v>
      </c>
      <c r="AF283" s="4">
        <f t="shared" si="97"/>
        <v>2028</v>
      </c>
      <c r="AG283" s="432">
        <f t="shared" si="100"/>
        <v>46874</v>
      </c>
      <c r="AH283" s="149">
        <f t="shared" si="111"/>
        <v>10.983643284393692</v>
      </c>
      <c r="AI283" s="150">
        <v>10.983643284393692</v>
      </c>
      <c r="AK283" s="4">
        <f t="shared" si="104"/>
        <v>2027</v>
      </c>
      <c r="AL283" s="432">
        <v>46477</v>
      </c>
      <c r="AM283" s="4">
        <f t="shared" si="105"/>
        <v>7.25</v>
      </c>
      <c r="AN283" s="4">
        <v>7.28</v>
      </c>
      <c r="AO283" s="4">
        <v>7.22</v>
      </c>
      <c r="AQ283" s="4">
        <f t="shared" si="106"/>
        <v>2031</v>
      </c>
      <c r="AR283" s="356">
        <v>47880</v>
      </c>
      <c r="AS283" s="4">
        <f t="shared" si="107"/>
        <v>15.004999999999999</v>
      </c>
      <c r="AT283" s="4">
        <v>14.91</v>
      </c>
      <c r="AU283" s="4">
        <v>15.1</v>
      </c>
      <c r="AV283" s="515">
        <f t="shared" si="98"/>
        <v>2037</v>
      </c>
      <c r="AW283" s="535">
        <v>50253</v>
      </c>
      <c r="AX283" s="515">
        <f t="shared" si="102"/>
        <v>6.1734</v>
      </c>
      <c r="AY283" s="596">
        <f>'[12]Forward Price Curve'!AE364</f>
        <v>6.1817000000000002</v>
      </c>
      <c r="AZ283" s="596">
        <f>'[12]Forward Price Curve'!AD364</f>
        <v>6.1650999999999998</v>
      </c>
      <c r="BA283" s="629">
        <f t="shared" si="99"/>
        <v>2040</v>
      </c>
      <c r="BB283" s="633">
        <v>51349</v>
      </c>
      <c r="BC283" s="629">
        <f t="shared" si="103"/>
        <v>7.3315999999999999</v>
      </c>
      <c r="BD283" s="634">
        <f>[13]Prices!AO280</f>
        <v>7.7279</v>
      </c>
      <c r="BE283" s="634">
        <f>[13]Prices!AP280</f>
        <v>6.9352999999999998</v>
      </c>
    </row>
    <row r="284" spans="20:57">
      <c r="T284" s="4">
        <f t="shared" si="108"/>
        <v>2028</v>
      </c>
      <c r="U284" s="434">
        <f t="shared" si="101"/>
        <v>46905</v>
      </c>
      <c r="V284" s="150">
        <v>94.73</v>
      </c>
      <c r="W284" s="150">
        <v>84.54</v>
      </c>
      <c r="X284" s="357">
        <f t="shared" si="112"/>
        <v>90.348299999999995</v>
      </c>
      <c r="Y284" s="343">
        <v>416</v>
      </c>
      <c r="Z284" s="343">
        <v>304</v>
      </c>
      <c r="AA284" s="343">
        <f t="shared" si="109"/>
        <v>0.57777777777777772</v>
      </c>
      <c r="AB284" s="343">
        <f t="shared" si="110"/>
        <v>0.42222222222222222</v>
      </c>
      <c r="AF284" s="4">
        <f t="shared" ref="AF284:AF347" si="113">+YEAR(AG284)</f>
        <v>2028</v>
      </c>
      <c r="AG284" s="432">
        <f t="shared" si="100"/>
        <v>46905</v>
      </c>
      <c r="AH284" s="149">
        <f t="shared" si="111"/>
        <v>11.156971179989123</v>
      </c>
      <c r="AI284" s="150">
        <v>11.156971179989123</v>
      </c>
      <c r="AK284" s="4">
        <f t="shared" si="104"/>
        <v>2027</v>
      </c>
      <c r="AL284" s="432">
        <v>46507</v>
      </c>
      <c r="AM284" s="4">
        <f t="shared" si="105"/>
        <v>6.7750000000000004</v>
      </c>
      <c r="AN284" s="4">
        <v>6.86</v>
      </c>
      <c r="AO284" s="4">
        <v>6.69</v>
      </c>
      <c r="AQ284" s="4">
        <f t="shared" si="106"/>
        <v>2031</v>
      </c>
      <c r="AR284" s="356">
        <v>47908</v>
      </c>
      <c r="AS284" s="4">
        <f t="shared" si="107"/>
        <v>14.09</v>
      </c>
      <c r="AT284" s="4">
        <v>14.11</v>
      </c>
      <c r="AU284" s="4">
        <v>14.07</v>
      </c>
      <c r="AV284" s="515">
        <f t="shared" ref="AV284:AV347" si="114">YEAR(AW284)</f>
        <v>2037</v>
      </c>
      <c r="AW284" s="535">
        <v>50284</v>
      </c>
      <c r="AX284" s="515">
        <f t="shared" si="102"/>
        <v>6.0401000000000007</v>
      </c>
      <c r="AY284" s="596">
        <f>'[12]Forward Price Curve'!AE365</f>
        <v>6.0151000000000003</v>
      </c>
      <c r="AZ284" s="596">
        <f>'[12]Forward Price Curve'!AD365</f>
        <v>6.0651000000000002</v>
      </c>
      <c r="BA284" s="629">
        <f t="shared" ref="BA284:BA287" si="115">YEAR(BB284)</f>
        <v>2040</v>
      </c>
      <c r="BB284" s="633">
        <v>51380</v>
      </c>
      <c r="BC284" s="629">
        <f t="shared" si="103"/>
        <v>7.1694499999999994</v>
      </c>
      <c r="BD284" s="634">
        <f>[13]Prices!AO281</f>
        <v>7.6197999999999997</v>
      </c>
      <c r="BE284" s="634">
        <f>[13]Prices!AP281</f>
        <v>6.7191000000000001</v>
      </c>
    </row>
    <row r="285" spans="20:57">
      <c r="T285" s="4">
        <f t="shared" si="108"/>
        <v>2028</v>
      </c>
      <c r="U285" s="434">
        <f t="shared" si="101"/>
        <v>46935</v>
      </c>
      <c r="V285" s="150">
        <v>90.22</v>
      </c>
      <c r="W285" s="150">
        <v>86.48</v>
      </c>
      <c r="X285" s="357">
        <f t="shared" si="112"/>
        <v>88.611799999999988</v>
      </c>
      <c r="Y285" s="343">
        <v>400</v>
      </c>
      <c r="Z285" s="343">
        <v>344</v>
      </c>
      <c r="AA285" s="343">
        <f t="shared" si="109"/>
        <v>0.5376344086021505</v>
      </c>
      <c r="AB285" s="343">
        <f t="shared" si="110"/>
        <v>0.46236559139784944</v>
      </c>
      <c r="AF285" s="4">
        <f t="shared" si="113"/>
        <v>2028</v>
      </c>
      <c r="AG285" s="432">
        <f t="shared" ref="AG285:AG348" si="116">EOMONTH(AG284,0)+1</f>
        <v>46935</v>
      </c>
      <c r="AH285" s="149">
        <f t="shared" si="111"/>
        <v>11.330299075584557</v>
      </c>
      <c r="AI285" s="150">
        <v>11.330299075584557</v>
      </c>
      <c r="AK285" s="4">
        <f t="shared" si="104"/>
        <v>2027</v>
      </c>
      <c r="AL285" s="432">
        <v>46538</v>
      </c>
      <c r="AM285" s="4">
        <f t="shared" si="105"/>
        <v>6.7750000000000004</v>
      </c>
      <c r="AN285" s="4">
        <v>6.86</v>
      </c>
      <c r="AO285" s="4">
        <v>6.69</v>
      </c>
      <c r="AQ285" s="4">
        <f t="shared" si="106"/>
        <v>2031</v>
      </c>
      <c r="AR285" s="356">
        <v>47939</v>
      </c>
      <c r="AS285" s="4">
        <f t="shared" si="107"/>
        <v>13.164999999999999</v>
      </c>
      <c r="AT285" s="4">
        <v>13.3</v>
      </c>
      <c r="AU285" s="4">
        <v>13.03</v>
      </c>
      <c r="AV285" s="515">
        <f t="shared" si="114"/>
        <v>2037</v>
      </c>
      <c r="AW285" s="535">
        <v>50314</v>
      </c>
      <c r="AX285" s="515">
        <f t="shared" si="102"/>
        <v>6.0900999999999996</v>
      </c>
      <c r="AY285" s="596">
        <f>'[12]Forward Price Curve'!AE366</f>
        <v>6.0651000000000002</v>
      </c>
      <c r="AZ285" s="596">
        <f>'[12]Forward Price Curve'!AD366</f>
        <v>6.1151</v>
      </c>
      <c r="BA285" s="629">
        <f t="shared" si="115"/>
        <v>2040</v>
      </c>
      <c r="BB285" s="633">
        <v>51410</v>
      </c>
      <c r="BC285" s="629">
        <f t="shared" si="103"/>
        <v>7.1693999999999996</v>
      </c>
      <c r="BD285" s="634">
        <f>[13]Prices!AO282</f>
        <v>7.6917999999999997</v>
      </c>
      <c r="BE285" s="634">
        <f>[13]Prices!AP282</f>
        <v>6.6470000000000002</v>
      </c>
    </row>
    <row r="286" spans="20:57">
      <c r="T286" s="4">
        <f t="shared" si="108"/>
        <v>2028</v>
      </c>
      <c r="U286" s="434">
        <f t="shared" si="101"/>
        <v>46966</v>
      </c>
      <c r="V286" s="150">
        <v>90.67</v>
      </c>
      <c r="W286" s="150">
        <v>86.97</v>
      </c>
      <c r="X286" s="357">
        <f t="shared" si="112"/>
        <v>89.079000000000008</v>
      </c>
      <c r="Y286" s="343">
        <v>432</v>
      </c>
      <c r="Z286" s="343">
        <v>312</v>
      </c>
      <c r="AA286" s="343">
        <f t="shared" si="109"/>
        <v>0.58064516129032262</v>
      </c>
      <c r="AB286" s="343">
        <f t="shared" si="110"/>
        <v>0.41935483870967744</v>
      </c>
      <c r="AF286" s="4">
        <f t="shared" si="113"/>
        <v>2028</v>
      </c>
      <c r="AG286" s="432">
        <f t="shared" si="116"/>
        <v>46966</v>
      </c>
      <c r="AH286" s="149">
        <f t="shared" si="111"/>
        <v>11.330299075584557</v>
      </c>
      <c r="AI286" s="150">
        <v>11.330299075584557</v>
      </c>
      <c r="AK286" s="4">
        <f t="shared" si="104"/>
        <v>2027</v>
      </c>
      <c r="AL286" s="432">
        <v>46568</v>
      </c>
      <c r="AM286" s="4">
        <f t="shared" si="105"/>
        <v>6.88</v>
      </c>
      <c r="AN286" s="4">
        <v>6.97</v>
      </c>
      <c r="AO286" s="4">
        <v>6.79</v>
      </c>
      <c r="AQ286" s="4">
        <f t="shared" si="106"/>
        <v>2031</v>
      </c>
      <c r="AR286" s="356">
        <v>47969</v>
      </c>
      <c r="AS286" s="4">
        <f t="shared" si="107"/>
        <v>13.164999999999999</v>
      </c>
      <c r="AT286" s="4">
        <v>13.3</v>
      </c>
      <c r="AU286" s="4">
        <v>13.03</v>
      </c>
      <c r="AV286" s="515">
        <f t="shared" si="114"/>
        <v>2037</v>
      </c>
      <c r="AW286" s="535">
        <v>50345</v>
      </c>
      <c r="AX286" s="515">
        <f t="shared" si="102"/>
        <v>6.3816500000000005</v>
      </c>
      <c r="AY286" s="596">
        <f>'[12]Forward Price Curve'!AE367</f>
        <v>6.3150000000000004</v>
      </c>
      <c r="AZ286" s="596">
        <f>'[12]Forward Price Curve'!AD367</f>
        <v>6.4482999999999997</v>
      </c>
      <c r="BA286" s="629">
        <f t="shared" si="115"/>
        <v>2040</v>
      </c>
      <c r="BB286" s="633">
        <v>51441</v>
      </c>
      <c r="BC286" s="629">
        <f t="shared" si="103"/>
        <v>7.4216499999999996</v>
      </c>
      <c r="BD286" s="634">
        <f>[13]Prices!AO283</f>
        <v>7.89</v>
      </c>
      <c r="BE286" s="634">
        <f>[13]Prices!AP283</f>
        <v>6.9532999999999996</v>
      </c>
    </row>
    <row r="287" spans="20:57">
      <c r="T287" s="4">
        <f t="shared" si="108"/>
        <v>2028</v>
      </c>
      <c r="U287" s="434">
        <f t="shared" si="101"/>
        <v>46997</v>
      </c>
      <c r="V287" s="150">
        <v>89.87</v>
      </c>
      <c r="W287" s="150">
        <v>84.28</v>
      </c>
      <c r="X287" s="357">
        <f t="shared" si="112"/>
        <v>87.46629999999999</v>
      </c>
      <c r="Y287" s="343">
        <v>400</v>
      </c>
      <c r="Z287" s="343">
        <v>320</v>
      </c>
      <c r="AA287" s="343">
        <f t="shared" si="109"/>
        <v>0.55555555555555558</v>
      </c>
      <c r="AB287" s="343">
        <f t="shared" si="110"/>
        <v>0.44444444444444442</v>
      </c>
      <c r="AF287" s="4">
        <f t="shared" si="113"/>
        <v>2028</v>
      </c>
      <c r="AG287" s="432">
        <f t="shared" si="116"/>
        <v>46997</v>
      </c>
      <c r="AH287" s="149">
        <f t="shared" si="111"/>
        <v>11.330299075584557</v>
      </c>
      <c r="AI287" s="150">
        <v>11.330299075584557</v>
      </c>
      <c r="AK287" s="4">
        <f t="shared" si="104"/>
        <v>2027</v>
      </c>
      <c r="AL287" s="432">
        <v>46599</v>
      </c>
      <c r="AM287" s="4">
        <f t="shared" si="105"/>
        <v>6.9850000000000003</v>
      </c>
      <c r="AN287" s="4">
        <v>7.07</v>
      </c>
      <c r="AO287" s="4">
        <v>6.9</v>
      </c>
      <c r="AQ287" s="4">
        <f t="shared" si="106"/>
        <v>2031</v>
      </c>
      <c r="AR287" s="356">
        <v>48000</v>
      </c>
      <c r="AS287" s="4">
        <f t="shared" si="107"/>
        <v>13.370000000000001</v>
      </c>
      <c r="AT287" s="4">
        <v>13.5</v>
      </c>
      <c r="AU287" s="4">
        <v>13.24</v>
      </c>
      <c r="AV287" s="515">
        <f t="shared" si="114"/>
        <v>2037</v>
      </c>
      <c r="AW287" s="535">
        <v>50375</v>
      </c>
      <c r="AX287" s="515">
        <f t="shared" si="102"/>
        <v>6.7065999999999999</v>
      </c>
      <c r="AY287" s="596">
        <f>'[12]Forward Price Curve'!AE368</f>
        <v>6.6150000000000002</v>
      </c>
      <c r="AZ287" s="596">
        <f>'[12]Forward Price Curve'!AD368</f>
        <v>6.7981999999999996</v>
      </c>
      <c r="BA287" s="629">
        <f t="shared" si="115"/>
        <v>2040</v>
      </c>
      <c r="BB287" s="633">
        <v>51471</v>
      </c>
      <c r="BC287" s="629">
        <f t="shared" si="103"/>
        <v>7.9079999999999995</v>
      </c>
      <c r="BD287" s="634">
        <f>[13]Prices!AO284</f>
        <v>8.4123999999999999</v>
      </c>
      <c r="BE287" s="634">
        <f>[13]Prices!AP284</f>
        <v>7.4036</v>
      </c>
    </row>
    <row r="288" spans="20:57">
      <c r="T288" s="4">
        <f t="shared" si="108"/>
        <v>2028</v>
      </c>
      <c r="U288" s="434">
        <f t="shared" si="101"/>
        <v>47027</v>
      </c>
      <c r="V288" s="150">
        <v>89.19</v>
      </c>
      <c r="W288" s="150">
        <v>77.86</v>
      </c>
      <c r="X288" s="357">
        <f t="shared" si="112"/>
        <v>84.318099999999987</v>
      </c>
      <c r="Y288" s="343">
        <v>416</v>
      </c>
      <c r="Z288" s="343">
        <v>328</v>
      </c>
      <c r="AA288" s="343">
        <f t="shared" si="109"/>
        <v>0.55913978494623651</v>
      </c>
      <c r="AB288" s="343">
        <f t="shared" si="110"/>
        <v>0.44086021505376344</v>
      </c>
      <c r="AF288" s="4">
        <f t="shared" si="113"/>
        <v>2028</v>
      </c>
      <c r="AG288" s="432">
        <f t="shared" si="116"/>
        <v>47027</v>
      </c>
      <c r="AH288" s="149">
        <f t="shared" si="111"/>
        <v>11.727933659597609</v>
      </c>
      <c r="AI288" s="150">
        <v>11.727933659597609</v>
      </c>
      <c r="AK288" s="4">
        <f t="shared" si="104"/>
        <v>2027</v>
      </c>
      <c r="AL288" s="432">
        <v>46630</v>
      </c>
      <c r="AM288" s="4">
        <f t="shared" si="105"/>
        <v>6.9850000000000003</v>
      </c>
      <c r="AN288" s="4">
        <v>7.07</v>
      </c>
      <c r="AO288" s="4">
        <v>6.9</v>
      </c>
      <c r="AQ288" s="4">
        <f t="shared" si="106"/>
        <v>2031</v>
      </c>
      <c r="AR288" s="356">
        <v>48030</v>
      </c>
      <c r="AS288" s="4">
        <f t="shared" si="107"/>
        <v>13.57</v>
      </c>
      <c r="AT288" s="4">
        <v>13.7</v>
      </c>
      <c r="AU288" s="4">
        <v>13.44</v>
      </c>
      <c r="AV288" s="515">
        <f t="shared" si="114"/>
        <v>2038</v>
      </c>
      <c r="AW288" s="535">
        <v>50406</v>
      </c>
      <c r="AX288" s="515">
        <f t="shared" si="102"/>
        <v>7.0329499999999996</v>
      </c>
      <c r="AY288" s="596">
        <f>'[12]Forward Price Curve'!AE369</f>
        <v>6.9478</v>
      </c>
      <c r="AZ288" s="596">
        <f>'[12]Forward Price Curve'!AD369</f>
        <v>7.1181000000000001</v>
      </c>
      <c r="BA288" s="629"/>
      <c r="BB288" s="633"/>
      <c r="BC288" s="629"/>
      <c r="BD288" s="634"/>
      <c r="BE288" s="634"/>
    </row>
    <row r="289" spans="20:57">
      <c r="T289" s="4">
        <f t="shared" si="108"/>
        <v>2028</v>
      </c>
      <c r="U289" s="434">
        <f t="shared" si="101"/>
        <v>47058</v>
      </c>
      <c r="V289" s="150">
        <v>100.73</v>
      </c>
      <c r="W289" s="150">
        <v>88.33</v>
      </c>
      <c r="X289" s="357">
        <f t="shared" si="112"/>
        <v>95.397999999999996</v>
      </c>
      <c r="Y289" s="343">
        <v>400</v>
      </c>
      <c r="Z289" s="343">
        <v>320</v>
      </c>
      <c r="AA289" s="343">
        <f t="shared" si="109"/>
        <v>0.55555555555555558</v>
      </c>
      <c r="AB289" s="343">
        <f t="shared" si="110"/>
        <v>0.44444444444444442</v>
      </c>
      <c r="AF289" s="4">
        <f t="shared" si="113"/>
        <v>2028</v>
      </c>
      <c r="AG289" s="432">
        <f t="shared" si="116"/>
        <v>47058</v>
      </c>
      <c r="AH289" s="149">
        <f t="shared" si="111"/>
        <v>11.897862969004894</v>
      </c>
      <c r="AI289" s="150">
        <v>11.897862969004894</v>
      </c>
      <c r="AK289" s="4">
        <f t="shared" si="104"/>
        <v>2027</v>
      </c>
      <c r="AL289" s="432">
        <v>46660</v>
      </c>
      <c r="AM289" s="4">
        <f t="shared" si="105"/>
        <v>6.9850000000000003</v>
      </c>
      <c r="AN289" s="4">
        <v>7.07</v>
      </c>
      <c r="AO289" s="4">
        <v>6.9</v>
      </c>
      <c r="AQ289" s="4">
        <f t="shared" si="106"/>
        <v>2031</v>
      </c>
      <c r="AR289" s="356">
        <v>48061</v>
      </c>
      <c r="AS289" s="4">
        <f t="shared" si="107"/>
        <v>13.57</v>
      </c>
      <c r="AT289" s="4">
        <v>13.7</v>
      </c>
      <c r="AU289" s="4">
        <v>13.44</v>
      </c>
      <c r="AV289" s="515">
        <f t="shared" si="114"/>
        <v>2038</v>
      </c>
      <c r="AW289" s="535">
        <v>50437</v>
      </c>
      <c r="AX289" s="515">
        <f t="shared" si="102"/>
        <v>7.0244</v>
      </c>
      <c r="AY289" s="596">
        <f>'[12]Forward Price Curve'!AE370</f>
        <v>6.9137000000000004</v>
      </c>
      <c r="AZ289" s="596">
        <f>'[12]Forward Price Curve'!AD370</f>
        <v>7.1351000000000004</v>
      </c>
      <c r="BA289" s="629"/>
      <c r="BB289" s="633"/>
      <c r="BC289" s="629"/>
      <c r="BD289" s="634"/>
      <c r="BE289" s="634"/>
    </row>
    <row r="290" spans="20:57">
      <c r="T290" s="4">
        <f t="shared" si="108"/>
        <v>2028</v>
      </c>
      <c r="U290" s="434">
        <f t="shared" si="101"/>
        <v>47088</v>
      </c>
      <c r="V290" s="150">
        <v>105.45</v>
      </c>
      <c r="W290" s="150">
        <v>96.7</v>
      </c>
      <c r="X290" s="357">
        <f t="shared" si="112"/>
        <v>101.6875</v>
      </c>
      <c r="Y290" s="343">
        <v>400</v>
      </c>
      <c r="Z290" s="343">
        <v>344</v>
      </c>
      <c r="AA290" s="343">
        <f t="shared" si="109"/>
        <v>0.5376344086021505</v>
      </c>
      <c r="AB290" s="343">
        <f t="shared" si="110"/>
        <v>0.46236559139784944</v>
      </c>
      <c r="AF290" s="4">
        <f t="shared" si="113"/>
        <v>2028</v>
      </c>
      <c r="AG290" s="432">
        <f t="shared" si="116"/>
        <v>47088</v>
      </c>
      <c r="AH290" s="149">
        <f t="shared" si="111"/>
        <v>12.472224034801522</v>
      </c>
      <c r="AI290" s="150">
        <v>12.472224034801522</v>
      </c>
      <c r="AK290" s="4">
        <f t="shared" si="104"/>
        <v>2027</v>
      </c>
      <c r="AL290" s="432">
        <v>46691</v>
      </c>
      <c r="AM290" s="4">
        <f t="shared" si="105"/>
        <v>7.25</v>
      </c>
      <c r="AN290" s="4">
        <v>7.28</v>
      </c>
      <c r="AO290" s="4">
        <v>7.22</v>
      </c>
      <c r="AQ290" s="4">
        <f t="shared" si="106"/>
        <v>2031</v>
      </c>
      <c r="AR290" s="356">
        <v>48092</v>
      </c>
      <c r="AS290" s="4">
        <f t="shared" si="107"/>
        <v>13.57</v>
      </c>
      <c r="AT290" s="4">
        <v>13.7</v>
      </c>
      <c r="AU290" s="4">
        <v>13.44</v>
      </c>
      <c r="AV290" s="515">
        <f t="shared" si="114"/>
        <v>2038</v>
      </c>
      <c r="AW290" s="535">
        <v>50465</v>
      </c>
      <c r="AX290" s="515">
        <f t="shared" si="102"/>
        <v>6.5987</v>
      </c>
      <c r="AY290" s="596">
        <f>'[12]Forward Price Curve'!AE371</f>
        <v>6.5560999999999998</v>
      </c>
      <c r="AZ290" s="596">
        <f>'[12]Forward Price Curve'!AD371</f>
        <v>6.6413000000000002</v>
      </c>
      <c r="BA290" s="629"/>
      <c r="BB290" s="633"/>
      <c r="BC290" s="629"/>
      <c r="BD290" s="634"/>
      <c r="BE290" s="634"/>
    </row>
    <row r="291" spans="20:57">
      <c r="T291" s="4">
        <f t="shared" si="108"/>
        <v>2029</v>
      </c>
      <c r="U291" s="434">
        <f t="shared" si="101"/>
        <v>47119</v>
      </c>
      <c r="V291" s="150">
        <v>110.37</v>
      </c>
      <c r="W291" s="150">
        <v>99.61</v>
      </c>
      <c r="X291" s="357">
        <f t="shared" si="112"/>
        <v>105.7432</v>
      </c>
      <c r="Y291" s="343">
        <v>416</v>
      </c>
      <c r="Z291" s="343">
        <v>328</v>
      </c>
      <c r="AA291" s="343">
        <f t="shared" si="109"/>
        <v>0.55913978494623651</v>
      </c>
      <c r="AB291" s="343">
        <f t="shared" si="110"/>
        <v>0.44086021505376344</v>
      </c>
      <c r="AF291" s="4">
        <f t="shared" si="113"/>
        <v>2029</v>
      </c>
      <c r="AG291" s="432">
        <f t="shared" si="116"/>
        <v>47119</v>
      </c>
      <c r="AH291" s="149">
        <f t="shared" si="111"/>
        <v>13.522387166938554</v>
      </c>
      <c r="AI291" s="150">
        <v>13.522387166938554</v>
      </c>
      <c r="AK291" s="4">
        <f t="shared" si="104"/>
        <v>2027</v>
      </c>
      <c r="AL291" s="432">
        <v>46721</v>
      </c>
      <c r="AM291" s="4">
        <f t="shared" si="105"/>
        <v>7.35</v>
      </c>
      <c r="AN291" s="4">
        <v>7.38</v>
      </c>
      <c r="AO291" s="4">
        <v>7.32</v>
      </c>
      <c r="AQ291" s="4">
        <f t="shared" si="106"/>
        <v>2031</v>
      </c>
      <c r="AR291" s="356">
        <v>48122</v>
      </c>
      <c r="AS291" s="4">
        <f t="shared" si="107"/>
        <v>14.09</v>
      </c>
      <c r="AT291" s="4">
        <v>14.11</v>
      </c>
      <c r="AU291" s="4">
        <v>14.07</v>
      </c>
      <c r="AV291" s="515">
        <f t="shared" si="114"/>
        <v>2038</v>
      </c>
      <c r="AW291" s="535">
        <v>50496</v>
      </c>
      <c r="AX291" s="515">
        <f t="shared" si="102"/>
        <v>6.3092500000000005</v>
      </c>
      <c r="AY291" s="596">
        <f>'[12]Forward Price Curve'!AE372</f>
        <v>6.2836999999999996</v>
      </c>
      <c r="AZ291" s="596">
        <f>'[12]Forward Price Curve'!AD372</f>
        <v>6.3348000000000004</v>
      </c>
      <c r="BA291" s="629"/>
      <c r="BB291" s="633"/>
      <c r="BC291" s="629"/>
      <c r="BD291" s="634"/>
      <c r="BE291" s="634"/>
    </row>
    <row r="292" spans="20:57">
      <c r="T292" s="4">
        <f t="shared" si="108"/>
        <v>2029</v>
      </c>
      <c r="U292" s="434">
        <f t="shared" si="101"/>
        <v>47150</v>
      </c>
      <c r="V292" s="150">
        <v>103.88</v>
      </c>
      <c r="W292" s="150">
        <v>90.35</v>
      </c>
      <c r="X292" s="357">
        <f t="shared" si="112"/>
        <v>98.062099999999987</v>
      </c>
      <c r="Y292" s="343">
        <v>384</v>
      </c>
      <c r="Z292" s="343">
        <v>288</v>
      </c>
      <c r="AA292" s="343">
        <f t="shared" si="109"/>
        <v>0.5714285714285714</v>
      </c>
      <c r="AB292" s="343">
        <f t="shared" si="110"/>
        <v>0.42857142857142855</v>
      </c>
      <c r="AF292" s="4">
        <f t="shared" si="113"/>
        <v>2029</v>
      </c>
      <c r="AG292" s="432">
        <f t="shared" si="116"/>
        <v>47150</v>
      </c>
      <c r="AH292" s="149">
        <f t="shared" si="111"/>
        <v>12.706726481783576</v>
      </c>
      <c r="AI292" s="150">
        <v>12.706726481783576</v>
      </c>
      <c r="AK292" s="4">
        <f t="shared" si="104"/>
        <v>2027</v>
      </c>
      <c r="AL292" s="432">
        <v>46752</v>
      </c>
      <c r="AM292" s="4">
        <f t="shared" si="105"/>
        <v>7.7200000000000006</v>
      </c>
      <c r="AN292" s="4">
        <v>7.69</v>
      </c>
      <c r="AO292" s="4">
        <v>7.75</v>
      </c>
      <c r="AQ292" s="4">
        <f t="shared" si="106"/>
        <v>2031</v>
      </c>
      <c r="AR292" s="356">
        <v>48153</v>
      </c>
      <c r="AS292" s="4">
        <f t="shared" si="107"/>
        <v>14.29</v>
      </c>
      <c r="AT292" s="4">
        <v>14.31</v>
      </c>
      <c r="AU292" s="4">
        <v>14.27</v>
      </c>
      <c r="AV292" s="515">
        <f t="shared" si="114"/>
        <v>2038</v>
      </c>
      <c r="AW292" s="535">
        <v>50526</v>
      </c>
      <c r="AX292" s="515">
        <f t="shared" si="102"/>
        <v>6.2155500000000004</v>
      </c>
      <c r="AY292" s="596">
        <f>'[12]Forward Price Curve'!AE373</f>
        <v>6.2325999999999997</v>
      </c>
      <c r="AZ292" s="596">
        <f>'[12]Forward Price Curve'!AD373</f>
        <v>6.1985000000000001</v>
      </c>
      <c r="BA292" s="629"/>
      <c r="BB292" s="633"/>
      <c r="BC292" s="629"/>
      <c r="BD292" s="634"/>
      <c r="BE292" s="634"/>
    </row>
    <row r="293" spans="20:57">
      <c r="T293" s="4">
        <f t="shared" si="108"/>
        <v>2029</v>
      </c>
      <c r="U293" s="434">
        <f t="shared" si="101"/>
        <v>47178</v>
      </c>
      <c r="V293" s="150">
        <v>88.05</v>
      </c>
      <c r="W293" s="150">
        <v>78.73</v>
      </c>
      <c r="X293" s="357">
        <f t="shared" si="112"/>
        <v>84.042399999999986</v>
      </c>
      <c r="Y293" s="343">
        <v>432</v>
      </c>
      <c r="Z293" s="343">
        <v>312</v>
      </c>
      <c r="AA293" s="343">
        <f t="shared" si="109"/>
        <v>0.58064516129032262</v>
      </c>
      <c r="AB293" s="343">
        <f t="shared" si="110"/>
        <v>0.41935483870967744</v>
      </c>
      <c r="AF293" s="4">
        <f t="shared" si="113"/>
        <v>2029</v>
      </c>
      <c r="AG293" s="432">
        <f t="shared" si="116"/>
        <v>47178</v>
      </c>
      <c r="AH293" s="149">
        <f t="shared" si="111"/>
        <v>11.952240348015225</v>
      </c>
      <c r="AI293" s="150">
        <v>11.952240348015225</v>
      </c>
      <c r="AK293" s="4">
        <f t="shared" si="104"/>
        <v>2028</v>
      </c>
      <c r="AL293" s="432">
        <v>46783</v>
      </c>
      <c r="AM293" s="4">
        <f t="shared" si="105"/>
        <v>8.59</v>
      </c>
      <c r="AN293" s="4">
        <v>8.5</v>
      </c>
      <c r="AO293" s="4">
        <v>8.68</v>
      </c>
      <c r="AQ293" s="4">
        <f t="shared" si="106"/>
        <v>2031</v>
      </c>
      <c r="AR293" s="356">
        <v>48183</v>
      </c>
      <c r="AS293" s="4">
        <f t="shared" si="107"/>
        <v>15.004999999999999</v>
      </c>
      <c r="AT293" s="4">
        <v>14.91</v>
      </c>
      <c r="AU293" s="4">
        <v>15.1</v>
      </c>
      <c r="AV293" s="515">
        <f t="shared" si="114"/>
        <v>2038</v>
      </c>
      <c r="AW293" s="535">
        <v>50557</v>
      </c>
      <c r="AX293" s="515">
        <f t="shared" si="102"/>
        <v>6.1814999999999998</v>
      </c>
      <c r="AY293" s="596">
        <f>'[12]Forward Price Curve'!AE374</f>
        <v>6.2325999999999997</v>
      </c>
      <c r="AZ293" s="596">
        <f>'[12]Forward Price Curve'!AD374</f>
        <v>6.1303999999999998</v>
      </c>
      <c r="BA293" s="629"/>
      <c r="BB293" s="633"/>
      <c r="BC293" s="629"/>
      <c r="BD293" s="634"/>
      <c r="BE293" s="634"/>
    </row>
    <row r="294" spans="20:57">
      <c r="T294" s="4">
        <f t="shared" si="108"/>
        <v>2029</v>
      </c>
      <c r="U294" s="434">
        <f t="shared" si="101"/>
        <v>47209</v>
      </c>
      <c r="V294" s="150">
        <v>87.57</v>
      </c>
      <c r="W294" s="150">
        <v>83.43</v>
      </c>
      <c r="X294" s="357">
        <f t="shared" si="112"/>
        <v>85.789799999999985</v>
      </c>
      <c r="Y294" s="343">
        <v>400</v>
      </c>
      <c r="Z294" s="343">
        <v>320</v>
      </c>
      <c r="AA294" s="343">
        <f t="shared" si="109"/>
        <v>0.55555555555555558</v>
      </c>
      <c r="AB294" s="343">
        <f t="shared" si="110"/>
        <v>0.44444444444444442</v>
      </c>
      <c r="AF294" s="4">
        <f t="shared" si="113"/>
        <v>2029</v>
      </c>
      <c r="AG294" s="432">
        <f t="shared" si="116"/>
        <v>47209</v>
      </c>
      <c r="AH294" s="149">
        <f t="shared" si="111"/>
        <v>11.309907558455681</v>
      </c>
      <c r="AI294" s="150">
        <v>11.309907558455681</v>
      </c>
      <c r="AK294" s="4">
        <f t="shared" si="104"/>
        <v>2028</v>
      </c>
      <c r="AL294" s="432">
        <v>46812</v>
      </c>
      <c r="AM294" s="4">
        <f t="shared" si="105"/>
        <v>7.99</v>
      </c>
      <c r="AN294" s="4">
        <v>7.96</v>
      </c>
      <c r="AO294" s="4">
        <v>8.02</v>
      </c>
      <c r="AQ294" s="4">
        <f t="shared" si="106"/>
        <v>2032</v>
      </c>
      <c r="AR294" s="356">
        <v>48214</v>
      </c>
      <c r="AS294" s="4">
        <f t="shared" si="107"/>
        <v>16.434999999999999</v>
      </c>
      <c r="AT294" s="4">
        <v>16.22</v>
      </c>
      <c r="AU294" s="4">
        <v>16.649999999999999</v>
      </c>
      <c r="AV294" s="515">
        <f t="shared" si="114"/>
        <v>2038</v>
      </c>
      <c r="AW294" s="535">
        <v>50587</v>
      </c>
      <c r="AX294" s="515">
        <f t="shared" si="102"/>
        <v>6.2751999999999999</v>
      </c>
      <c r="AY294" s="596">
        <f>'[12]Forward Price Curve'!AE375</f>
        <v>6.3348000000000004</v>
      </c>
      <c r="AZ294" s="596">
        <f>'[12]Forward Price Curve'!AD375</f>
        <v>6.2156000000000002</v>
      </c>
      <c r="BA294" s="629"/>
      <c r="BB294" s="633"/>
      <c r="BC294" s="629"/>
      <c r="BD294" s="634"/>
      <c r="BE294" s="634"/>
    </row>
    <row r="295" spans="20:57">
      <c r="T295" s="4">
        <f t="shared" si="108"/>
        <v>2029</v>
      </c>
      <c r="U295" s="434">
        <f t="shared" si="101"/>
        <v>47239</v>
      </c>
      <c r="V295" s="150">
        <v>89.18</v>
      </c>
      <c r="W295" s="150">
        <v>83.88</v>
      </c>
      <c r="X295" s="357">
        <f t="shared" si="112"/>
        <v>86.900999999999996</v>
      </c>
      <c r="Y295" s="343">
        <v>416</v>
      </c>
      <c r="Z295" s="343">
        <v>328</v>
      </c>
      <c r="AA295" s="343">
        <f t="shared" si="109"/>
        <v>0.55913978494623651</v>
      </c>
      <c r="AB295" s="343">
        <f t="shared" si="110"/>
        <v>0.44086021505376344</v>
      </c>
      <c r="AF295" s="4">
        <f t="shared" si="113"/>
        <v>2029</v>
      </c>
      <c r="AG295" s="432">
        <f t="shared" si="116"/>
        <v>47239</v>
      </c>
      <c r="AH295" s="149">
        <f t="shared" si="111"/>
        <v>11.194355628058725</v>
      </c>
      <c r="AI295" s="150">
        <v>11.194355628058725</v>
      </c>
      <c r="AK295" s="4">
        <f t="shared" si="104"/>
        <v>2028</v>
      </c>
      <c r="AL295" s="432">
        <v>46843</v>
      </c>
      <c r="AM295" s="4">
        <f t="shared" si="105"/>
        <v>7.5</v>
      </c>
      <c r="AN295" s="4">
        <v>7.53</v>
      </c>
      <c r="AO295" s="4">
        <v>7.47</v>
      </c>
      <c r="AQ295" s="4">
        <f t="shared" si="106"/>
        <v>2032</v>
      </c>
      <c r="AR295" s="356">
        <v>48245</v>
      </c>
      <c r="AS295" s="4">
        <f t="shared" si="107"/>
        <v>15.29</v>
      </c>
      <c r="AT295" s="4">
        <v>15.19</v>
      </c>
      <c r="AU295" s="4">
        <v>15.39</v>
      </c>
      <c r="AV295" s="515">
        <f t="shared" si="114"/>
        <v>2038</v>
      </c>
      <c r="AW295" s="535">
        <v>50618</v>
      </c>
      <c r="AX295" s="515">
        <f t="shared" ref="AX295:AX350" si="117">AVERAGE(AY295:AZ295)</f>
        <v>6.4625000000000004</v>
      </c>
      <c r="AY295" s="596">
        <f>'[12]Forward Price Curve'!AE376</f>
        <v>6.4539999999999997</v>
      </c>
      <c r="AZ295" s="596">
        <f>'[12]Forward Price Curve'!AD376</f>
        <v>6.4710000000000001</v>
      </c>
      <c r="BA295" s="629"/>
      <c r="BB295" s="633"/>
      <c r="BC295" s="629"/>
      <c r="BD295" s="634"/>
      <c r="BE295" s="634"/>
    </row>
    <row r="296" spans="20:57">
      <c r="T296" s="4">
        <f t="shared" si="108"/>
        <v>2029</v>
      </c>
      <c r="U296" s="434">
        <f t="shared" ref="U296:U359" si="118">EOMONTH(U295,0)+1</f>
        <v>47270</v>
      </c>
      <c r="V296" s="150">
        <v>96.53</v>
      </c>
      <c r="W296" s="150">
        <v>86.15</v>
      </c>
      <c r="X296" s="357">
        <f t="shared" si="112"/>
        <v>92.066599999999994</v>
      </c>
      <c r="Y296" s="343">
        <v>416</v>
      </c>
      <c r="Z296" s="343">
        <v>304</v>
      </c>
      <c r="AA296" s="343">
        <f t="shared" si="109"/>
        <v>0.57777777777777772</v>
      </c>
      <c r="AB296" s="343">
        <f t="shared" si="110"/>
        <v>0.42222222222222222</v>
      </c>
      <c r="AF296" s="4">
        <f t="shared" si="113"/>
        <v>2029</v>
      </c>
      <c r="AG296" s="432">
        <f t="shared" si="116"/>
        <v>47270</v>
      </c>
      <c r="AH296" s="149">
        <f t="shared" si="111"/>
        <v>11.367683523654158</v>
      </c>
      <c r="AI296" s="150">
        <v>11.367683523654158</v>
      </c>
      <c r="AK296" s="4">
        <f t="shared" si="104"/>
        <v>2028</v>
      </c>
      <c r="AL296" s="432">
        <v>46873</v>
      </c>
      <c r="AM296" s="4">
        <f t="shared" si="105"/>
        <v>7.01</v>
      </c>
      <c r="AN296" s="4">
        <v>7.1</v>
      </c>
      <c r="AO296" s="4">
        <v>6.92</v>
      </c>
      <c r="AQ296" s="4">
        <f t="shared" si="106"/>
        <v>2032</v>
      </c>
      <c r="AR296" s="356">
        <v>48274</v>
      </c>
      <c r="AS296" s="4">
        <f t="shared" si="107"/>
        <v>14.35</v>
      </c>
      <c r="AT296" s="4">
        <v>14.37</v>
      </c>
      <c r="AU296" s="4">
        <v>14.33</v>
      </c>
      <c r="AV296" s="515">
        <f t="shared" si="114"/>
        <v>2038</v>
      </c>
      <c r="AW296" s="535">
        <v>50649</v>
      </c>
      <c r="AX296" s="515">
        <f t="shared" si="117"/>
        <v>6.3262499999999999</v>
      </c>
      <c r="AY296" s="596">
        <f>'[12]Forward Price Curve'!AE377</f>
        <v>6.3007</v>
      </c>
      <c r="AZ296" s="596">
        <f>'[12]Forward Price Curve'!AD377</f>
        <v>6.3517999999999999</v>
      </c>
      <c r="BA296" s="629"/>
      <c r="BB296" s="633"/>
      <c r="BC296" s="629"/>
      <c r="BD296" s="634"/>
      <c r="BE296" s="634"/>
    </row>
    <row r="297" spans="20:57">
      <c r="T297" s="4">
        <f t="shared" si="108"/>
        <v>2029</v>
      </c>
      <c r="U297" s="434">
        <f t="shared" si="118"/>
        <v>47300</v>
      </c>
      <c r="V297" s="150">
        <v>91.94</v>
      </c>
      <c r="W297" s="150">
        <v>88.12</v>
      </c>
      <c r="X297" s="357">
        <f t="shared" si="112"/>
        <v>90.297399999999996</v>
      </c>
      <c r="Y297" s="343">
        <v>400</v>
      </c>
      <c r="Z297" s="343">
        <v>344</v>
      </c>
      <c r="AA297" s="343">
        <f t="shared" si="109"/>
        <v>0.5376344086021505</v>
      </c>
      <c r="AB297" s="343">
        <f t="shared" si="110"/>
        <v>0.46236559139784944</v>
      </c>
      <c r="AF297" s="4">
        <f t="shared" si="113"/>
        <v>2029</v>
      </c>
      <c r="AG297" s="432">
        <f t="shared" si="116"/>
        <v>47300</v>
      </c>
      <c r="AH297" s="149">
        <f t="shared" si="111"/>
        <v>11.541011419249593</v>
      </c>
      <c r="AI297" s="150">
        <v>11.541011419249593</v>
      </c>
      <c r="AK297" s="4">
        <f t="shared" si="104"/>
        <v>2028</v>
      </c>
      <c r="AL297" s="432">
        <v>46904</v>
      </c>
      <c r="AM297" s="4">
        <f t="shared" si="105"/>
        <v>7.01</v>
      </c>
      <c r="AN297" s="4">
        <v>7.1</v>
      </c>
      <c r="AO297" s="4">
        <v>6.92</v>
      </c>
      <c r="AQ297" s="4">
        <f t="shared" si="106"/>
        <v>2032</v>
      </c>
      <c r="AR297" s="356">
        <v>48305</v>
      </c>
      <c r="AS297" s="4">
        <f t="shared" si="107"/>
        <v>13.414999999999999</v>
      </c>
      <c r="AT297" s="4">
        <v>13.55</v>
      </c>
      <c r="AU297" s="4">
        <v>13.28</v>
      </c>
      <c r="AV297" s="515">
        <f t="shared" si="114"/>
        <v>2038</v>
      </c>
      <c r="AW297" s="535">
        <v>50679</v>
      </c>
      <c r="AX297" s="515">
        <f t="shared" si="117"/>
        <v>6.4625000000000004</v>
      </c>
      <c r="AY297" s="596">
        <f>'[12]Forward Price Curve'!AE378</f>
        <v>6.4028999999999998</v>
      </c>
      <c r="AZ297" s="596">
        <f>'[12]Forward Price Curve'!AD378</f>
        <v>6.5221</v>
      </c>
      <c r="BA297" s="629"/>
      <c r="BB297" s="633"/>
      <c r="BC297" s="629"/>
      <c r="BD297" s="634"/>
      <c r="BE297" s="634"/>
    </row>
    <row r="298" spans="20:57">
      <c r="T298" s="4">
        <f t="shared" si="108"/>
        <v>2029</v>
      </c>
      <c r="U298" s="434">
        <f t="shared" si="118"/>
        <v>47331</v>
      </c>
      <c r="V298" s="150">
        <v>92.39</v>
      </c>
      <c r="W298" s="150">
        <v>88.63</v>
      </c>
      <c r="X298" s="357">
        <f t="shared" si="112"/>
        <v>90.773200000000003</v>
      </c>
      <c r="Y298" s="343">
        <v>432</v>
      </c>
      <c r="Z298" s="343">
        <v>312</v>
      </c>
      <c r="AA298" s="343">
        <f t="shared" si="109"/>
        <v>0.58064516129032262</v>
      </c>
      <c r="AB298" s="343">
        <f t="shared" si="110"/>
        <v>0.41935483870967744</v>
      </c>
      <c r="AF298" s="4">
        <f t="shared" si="113"/>
        <v>2029</v>
      </c>
      <c r="AG298" s="432">
        <f t="shared" si="116"/>
        <v>47331</v>
      </c>
      <c r="AH298" s="149">
        <f t="shared" si="111"/>
        <v>11.541011419249593</v>
      </c>
      <c r="AI298" s="150">
        <v>11.541011419249593</v>
      </c>
      <c r="AK298" s="4">
        <f t="shared" si="104"/>
        <v>2028</v>
      </c>
      <c r="AL298" s="432">
        <v>46934</v>
      </c>
      <c r="AM298" s="4">
        <f t="shared" si="105"/>
        <v>7.12</v>
      </c>
      <c r="AN298" s="4">
        <v>7.21</v>
      </c>
      <c r="AO298" s="4">
        <v>7.03</v>
      </c>
      <c r="AQ298" s="4">
        <f t="shared" si="106"/>
        <v>2032</v>
      </c>
      <c r="AR298" s="356">
        <v>48335</v>
      </c>
      <c r="AS298" s="4">
        <f t="shared" si="107"/>
        <v>13.414999999999999</v>
      </c>
      <c r="AT298" s="4">
        <v>13.55</v>
      </c>
      <c r="AU298" s="4">
        <v>13.28</v>
      </c>
      <c r="AV298" s="515">
        <f t="shared" si="114"/>
        <v>2038</v>
      </c>
      <c r="AW298" s="535">
        <v>50710</v>
      </c>
      <c r="AX298" s="515">
        <f t="shared" si="117"/>
        <v>6.7605000000000004</v>
      </c>
      <c r="AY298" s="596">
        <f>'[12]Forward Price Curve'!AE379</f>
        <v>6.6582999999999997</v>
      </c>
      <c r="AZ298" s="596">
        <f>'[12]Forward Price Curve'!AD379</f>
        <v>6.8627000000000002</v>
      </c>
      <c r="BA298" s="629"/>
      <c r="BB298" s="633"/>
      <c r="BC298" s="629"/>
      <c r="BD298" s="634"/>
      <c r="BE298" s="634"/>
    </row>
    <row r="299" spans="20:57">
      <c r="T299" s="4">
        <f t="shared" si="108"/>
        <v>2029</v>
      </c>
      <c r="U299" s="434">
        <f t="shared" si="118"/>
        <v>47362</v>
      </c>
      <c r="V299" s="150">
        <v>91.58</v>
      </c>
      <c r="W299" s="150">
        <v>85.88</v>
      </c>
      <c r="X299" s="357">
        <f t="shared" si="112"/>
        <v>89.128999999999991</v>
      </c>
      <c r="Y299" s="343">
        <v>384</v>
      </c>
      <c r="Z299" s="343">
        <v>336</v>
      </c>
      <c r="AA299" s="343">
        <f t="shared" si="109"/>
        <v>0.53333333333333333</v>
      </c>
      <c r="AB299" s="343">
        <f t="shared" si="110"/>
        <v>0.46666666666666667</v>
      </c>
      <c r="AF299" s="4">
        <f t="shared" si="113"/>
        <v>2029</v>
      </c>
      <c r="AG299" s="432">
        <f t="shared" si="116"/>
        <v>47362</v>
      </c>
      <c r="AH299" s="149">
        <f t="shared" si="111"/>
        <v>11.541011419249593</v>
      </c>
      <c r="AI299" s="150">
        <v>11.541011419249593</v>
      </c>
      <c r="AK299" s="4">
        <f t="shared" si="104"/>
        <v>2028</v>
      </c>
      <c r="AL299" s="432">
        <v>46965</v>
      </c>
      <c r="AM299" s="4">
        <f t="shared" si="105"/>
        <v>7.23</v>
      </c>
      <c r="AN299" s="4">
        <v>7.32</v>
      </c>
      <c r="AO299" s="4">
        <v>7.14</v>
      </c>
      <c r="AQ299" s="4">
        <f t="shared" si="106"/>
        <v>2032</v>
      </c>
      <c r="AR299" s="356">
        <v>48366</v>
      </c>
      <c r="AS299" s="4">
        <f t="shared" si="107"/>
        <v>13.625</v>
      </c>
      <c r="AT299" s="4">
        <v>13.76</v>
      </c>
      <c r="AU299" s="4">
        <v>13.49</v>
      </c>
      <c r="AV299" s="515">
        <f t="shared" si="114"/>
        <v>2038</v>
      </c>
      <c r="AW299" s="535">
        <v>50740</v>
      </c>
      <c r="AX299" s="515">
        <f t="shared" si="117"/>
        <v>7.0755499999999998</v>
      </c>
      <c r="AY299" s="596">
        <f>'[12]Forward Price Curve'!AE380</f>
        <v>6.9819000000000004</v>
      </c>
      <c r="AZ299" s="596">
        <f>'[12]Forward Price Curve'!AD380</f>
        <v>7.1692</v>
      </c>
      <c r="BA299" s="629"/>
      <c r="BB299" s="633"/>
      <c r="BC299" s="629"/>
      <c r="BD299" s="634"/>
      <c r="BE299" s="634"/>
    </row>
    <row r="300" spans="20:57">
      <c r="T300" s="4">
        <f t="shared" si="108"/>
        <v>2029</v>
      </c>
      <c r="U300" s="434">
        <f t="shared" si="118"/>
        <v>47392</v>
      </c>
      <c r="V300" s="150">
        <v>90.88</v>
      </c>
      <c r="W300" s="150">
        <v>79.34</v>
      </c>
      <c r="X300" s="357">
        <f t="shared" si="112"/>
        <v>85.9178</v>
      </c>
      <c r="Y300" s="343">
        <v>432</v>
      </c>
      <c r="Z300" s="343">
        <v>312</v>
      </c>
      <c r="AA300" s="343">
        <f t="shared" si="109"/>
        <v>0.58064516129032262</v>
      </c>
      <c r="AB300" s="343">
        <f t="shared" si="110"/>
        <v>0.41935483870967744</v>
      </c>
      <c r="AF300" s="4">
        <f t="shared" si="113"/>
        <v>2029</v>
      </c>
      <c r="AG300" s="432">
        <f t="shared" si="116"/>
        <v>47392</v>
      </c>
      <c r="AH300" s="149">
        <f t="shared" si="111"/>
        <v>11.952240348015225</v>
      </c>
      <c r="AI300" s="150">
        <v>11.952240348015225</v>
      </c>
      <c r="AK300" s="4">
        <f t="shared" si="104"/>
        <v>2028</v>
      </c>
      <c r="AL300" s="432">
        <v>46996</v>
      </c>
      <c r="AM300" s="4">
        <f t="shared" si="105"/>
        <v>7.23</v>
      </c>
      <c r="AN300" s="4">
        <v>7.32</v>
      </c>
      <c r="AO300" s="4">
        <v>7.14</v>
      </c>
      <c r="AQ300" s="4">
        <f t="shared" si="106"/>
        <v>2032</v>
      </c>
      <c r="AR300" s="356">
        <v>48396</v>
      </c>
      <c r="AS300" s="4">
        <f t="shared" si="107"/>
        <v>13.83</v>
      </c>
      <c r="AT300" s="4">
        <v>13.96</v>
      </c>
      <c r="AU300" s="4">
        <v>13.7</v>
      </c>
      <c r="AV300" s="515">
        <f t="shared" si="114"/>
        <v>2039</v>
      </c>
      <c r="AW300" s="535">
        <v>50771</v>
      </c>
      <c r="AX300" s="515">
        <f t="shared" si="117"/>
        <v>7.1859999999999999</v>
      </c>
      <c r="AY300" s="596">
        <f>'[12]Forward Price Curve'!AE381</f>
        <v>7.1772999999999998</v>
      </c>
      <c r="AZ300" s="596">
        <f>'[12]Forward Price Curve'!AD381</f>
        <v>7.1947000000000001</v>
      </c>
      <c r="BA300" s="629"/>
      <c r="BB300" s="633"/>
      <c r="BC300" s="629"/>
      <c r="BD300" s="634"/>
      <c r="BE300" s="634"/>
    </row>
    <row r="301" spans="20:57">
      <c r="T301" s="4">
        <f t="shared" si="108"/>
        <v>2029</v>
      </c>
      <c r="U301" s="434">
        <f t="shared" si="118"/>
        <v>47423</v>
      </c>
      <c r="V301" s="150">
        <v>102.64</v>
      </c>
      <c r="W301" s="150">
        <v>90.01</v>
      </c>
      <c r="X301" s="357">
        <f t="shared" si="112"/>
        <v>97.209100000000007</v>
      </c>
      <c r="Y301" s="343">
        <v>400</v>
      </c>
      <c r="Z301" s="343">
        <v>320</v>
      </c>
      <c r="AA301" s="343">
        <f t="shared" si="109"/>
        <v>0.55555555555555558</v>
      </c>
      <c r="AB301" s="343">
        <f t="shared" si="110"/>
        <v>0.44444444444444442</v>
      </c>
      <c r="AF301" s="4">
        <f t="shared" si="113"/>
        <v>2029</v>
      </c>
      <c r="AG301" s="432">
        <f t="shared" si="116"/>
        <v>47423</v>
      </c>
      <c r="AH301" s="149">
        <f t="shared" si="111"/>
        <v>12.125568243610658</v>
      </c>
      <c r="AI301" s="150">
        <v>12.125568243610658</v>
      </c>
      <c r="AK301" s="4">
        <f t="shared" si="104"/>
        <v>2028</v>
      </c>
      <c r="AL301" s="432">
        <v>47026</v>
      </c>
      <c r="AM301" s="4">
        <f t="shared" si="105"/>
        <v>7.23</v>
      </c>
      <c r="AN301" s="4">
        <v>7.32</v>
      </c>
      <c r="AO301" s="4">
        <v>7.14</v>
      </c>
      <c r="AQ301" s="4">
        <f t="shared" si="106"/>
        <v>2032</v>
      </c>
      <c r="AR301" s="356">
        <v>48427</v>
      </c>
      <c r="AS301" s="4">
        <f t="shared" si="107"/>
        <v>13.83</v>
      </c>
      <c r="AT301" s="4">
        <v>13.96</v>
      </c>
      <c r="AU301" s="4">
        <v>13.7</v>
      </c>
      <c r="AV301" s="515">
        <f t="shared" si="114"/>
        <v>2039</v>
      </c>
      <c r="AW301" s="535">
        <v>50802</v>
      </c>
      <c r="AX301" s="515">
        <f t="shared" si="117"/>
        <v>7.2991999999999999</v>
      </c>
      <c r="AY301" s="596">
        <f>'[12]Forward Price Curve'!AE382</f>
        <v>7.1947000000000001</v>
      </c>
      <c r="AZ301" s="596">
        <f>'[12]Forward Price Curve'!AD382</f>
        <v>7.4036999999999997</v>
      </c>
      <c r="BA301" s="629"/>
      <c r="BB301" s="633"/>
      <c r="BC301" s="629"/>
      <c r="BD301" s="634"/>
      <c r="BE301" s="634"/>
    </row>
    <row r="302" spans="20:57">
      <c r="T302" s="4">
        <f t="shared" si="108"/>
        <v>2029</v>
      </c>
      <c r="U302" s="434">
        <f t="shared" si="118"/>
        <v>47453</v>
      </c>
      <c r="V302" s="150">
        <v>107.45</v>
      </c>
      <c r="W302" s="150">
        <v>98.54</v>
      </c>
      <c r="X302" s="357">
        <f t="shared" si="112"/>
        <v>103.61869999999999</v>
      </c>
      <c r="Y302" s="343">
        <v>400</v>
      </c>
      <c r="Z302" s="343">
        <v>344</v>
      </c>
      <c r="AA302" s="343">
        <f t="shared" si="109"/>
        <v>0.5376344086021505</v>
      </c>
      <c r="AB302" s="343">
        <f t="shared" si="110"/>
        <v>0.46236559139784944</v>
      </c>
      <c r="AF302" s="4">
        <f t="shared" si="113"/>
        <v>2029</v>
      </c>
      <c r="AG302" s="432">
        <f t="shared" si="116"/>
        <v>47453</v>
      </c>
      <c r="AH302" s="149">
        <f t="shared" si="111"/>
        <v>12.706726481783576</v>
      </c>
      <c r="AI302" s="150">
        <v>12.706726481783576</v>
      </c>
      <c r="AK302" s="4">
        <f t="shared" si="104"/>
        <v>2028</v>
      </c>
      <c r="AL302" s="432">
        <v>47057</v>
      </c>
      <c r="AM302" s="4">
        <f t="shared" si="105"/>
        <v>7.5</v>
      </c>
      <c r="AN302" s="4">
        <v>7.53</v>
      </c>
      <c r="AO302" s="4">
        <v>7.47</v>
      </c>
      <c r="AQ302" s="4">
        <f t="shared" si="106"/>
        <v>2032</v>
      </c>
      <c r="AR302" s="356">
        <v>48458</v>
      </c>
      <c r="AS302" s="4">
        <f t="shared" si="107"/>
        <v>13.83</v>
      </c>
      <c r="AT302" s="4">
        <v>13.96</v>
      </c>
      <c r="AU302" s="4">
        <v>13.7</v>
      </c>
      <c r="AV302" s="515">
        <f t="shared" si="114"/>
        <v>2039</v>
      </c>
      <c r="AW302" s="535">
        <v>50830</v>
      </c>
      <c r="AX302" s="515">
        <f t="shared" si="117"/>
        <v>6.8027499999999996</v>
      </c>
      <c r="AY302" s="596">
        <f>'[12]Forward Price Curve'!AE383</f>
        <v>6.7591999999999999</v>
      </c>
      <c r="AZ302" s="596">
        <f>'[12]Forward Price Curve'!AD383</f>
        <v>6.8463000000000003</v>
      </c>
      <c r="BA302" s="629"/>
      <c r="BB302" s="633"/>
      <c r="BC302" s="629"/>
      <c r="BD302" s="634"/>
      <c r="BE302" s="634"/>
    </row>
    <row r="303" spans="20:57">
      <c r="T303" s="4">
        <f t="shared" si="108"/>
        <v>2030</v>
      </c>
      <c r="U303" s="434">
        <f t="shared" si="118"/>
        <v>47484</v>
      </c>
      <c r="V303" s="150">
        <v>112.58</v>
      </c>
      <c r="W303" s="150">
        <v>101.61</v>
      </c>
      <c r="X303" s="357">
        <f t="shared" si="112"/>
        <v>107.8629</v>
      </c>
      <c r="Y303" s="343">
        <v>416</v>
      </c>
      <c r="Z303" s="343">
        <v>328</v>
      </c>
      <c r="AA303" s="343">
        <f t="shared" si="109"/>
        <v>0.55913978494623651</v>
      </c>
      <c r="AB303" s="343">
        <f t="shared" si="110"/>
        <v>0.44086021505376344</v>
      </c>
      <c r="AF303" s="4">
        <f t="shared" si="113"/>
        <v>2030</v>
      </c>
      <c r="AG303" s="432">
        <f t="shared" si="116"/>
        <v>47484</v>
      </c>
      <c r="AH303" s="149">
        <f t="shared" si="111"/>
        <v>13.790875475802068</v>
      </c>
      <c r="AI303" s="150">
        <v>13.790875475802068</v>
      </c>
      <c r="AK303" s="4">
        <f t="shared" si="104"/>
        <v>2028</v>
      </c>
      <c r="AL303" s="432">
        <v>47087</v>
      </c>
      <c r="AM303" s="4">
        <f t="shared" si="105"/>
        <v>7.6099999999999994</v>
      </c>
      <c r="AN303" s="4">
        <v>7.64</v>
      </c>
      <c r="AO303" s="4">
        <v>7.58</v>
      </c>
      <c r="AQ303" s="4">
        <f t="shared" si="106"/>
        <v>2032</v>
      </c>
      <c r="AR303" s="356">
        <v>48488</v>
      </c>
      <c r="AS303" s="4">
        <f t="shared" si="107"/>
        <v>14.35</v>
      </c>
      <c r="AT303" s="4">
        <v>14.37</v>
      </c>
      <c r="AU303" s="4">
        <v>14.33</v>
      </c>
      <c r="AV303" s="515">
        <f t="shared" si="114"/>
        <v>2039</v>
      </c>
      <c r="AW303" s="535">
        <v>50861</v>
      </c>
      <c r="AX303" s="515">
        <f t="shared" si="117"/>
        <v>6.4891500000000004</v>
      </c>
      <c r="AY303" s="596">
        <f>'[12]Forward Price Curve'!AE384</f>
        <v>6.4455999999999998</v>
      </c>
      <c r="AZ303" s="596">
        <f>'[12]Forward Price Curve'!AD384</f>
        <v>6.5327000000000002</v>
      </c>
      <c r="BA303" s="629"/>
      <c r="BB303" s="633"/>
      <c r="BC303" s="629"/>
      <c r="BD303" s="634"/>
      <c r="BE303" s="634"/>
    </row>
    <row r="304" spans="20:57">
      <c r="T304" s="4">
        <f t="shared" si="108"/>
        <v>2030</v>
      </c>
      <c r="U304" s="434">
        <f t="shared" si="118"/>
        <v>47515</v>
      </c>
      <c r="V304" s="150">
        <v>105.96</v>
      </c>
      <c r="W304" s="150">
        <v>92.16</v>
      </c>
      <c r="X304" s="357">
        <f t="shared" si="112"/>
        <v>100.02599999999998</v>
      </c>
      <c r="Y304" s="343">
        <v>384</v>
      </c>
      <c r="Z304" s="343">
        <v>288</v>
      </c>
      <c r="AA304" s="343">
        <f t="shared" si="109"/>
        <v>0.5714285714285714</v>
      </c>
      <c r="AB304" s="343">
        <f t="shared" si="110"/>
        <v>0.42857142857142855</v>
      </c>
      <c r="AF304" s="4">
        <f t="shared" si="113"/>
        <v>2030</v>
      </c>
      <c r="AG304" s="432">
        <f t="shared" si="116"/>
        <v>47515</v>
      </c>
      <c r="AH304" s="149">
        <f t="shared" si="111"/>
        <v>12.961620445894505</v>
      </c>
      <c r="AI304" s="150">
        <v>12.961620445894505</v>
      </c>
      <c r="AK304" s="4">
        <f t="shared" si="104"/>
        <v>2028</v>
      </c>
      <c r="AL304" s="432">
        <v>47118</v>
      </c>
      <c r="AM304" s="4">
        <f t="shared" si="105"/>
        <v>7.99</v>
      </c>
      <c r="AN304" s="4">
        <v>7.96</v>
      </c>
      <c r="AO304" s="4">
        <v>8.02</v>
      </c>
      <c r="AQ304" s="4">
        <f t="shared" si="106"/>
        <v>2032</v>
      </c>
      <c r="AR304" s="356">
        <v>48519</v>
      </c>
      <c r="AS304" s="4">
        <f t="shared" si="107"/>
        <v>14.559999999999999</v>
      </c>
      <c r="AT304" s="4">
        <v>14.58</v>
      </c>
      <c r="AU304" s="4">
        <v>14.54</v>
      </c>
      <c r="AV304" s="515">
        <f t="shared" si="114"/>
        <v>2039</v>
      </c>
      <c r="AW304" s="535">
        <v>50891</v>
      </c>
      <c r="AX304" s="515">
        <f t="shared" si="117"/>
        <v>6.4455999999999998</v>
      </c>
      <c r="AY304" s="596">
        <f>'[12]Forward Price Curve'!AE385</f>
        <v>6.4455999999999998</v>
      </c>
      <c r="AZ304" s="596">
        <f>'[12]Forward Price Curve'!AD385</f>
        <v>6.4455999999999998</v>
      </c>
      <c r="BA304" s="629"/>
      <c r="BB304" s="633"/>
      <c r="BC304" s="629"/>
      <c r="BD304" s="634"/>
      <c r="BE304" s="634"/>
    </row>
    <row r="305" spans="20:57">
      <c r="T305" s="4">
        <f t="shared" si="108"/>
        <v>2030</v>
      </c>
      <c r="U305" s="434">
        <f t="shared" si="118"/>
        <v>47543</v>
      </c>
      <c r="V305" s="150">
        <v>89.81</v>
      </c>
      <c r="W305" s="150">
        <v>80.3</v>
      </c>
      <c r="X305" s="357">
        <f t="shared" si="112"/>
        <v>85.720699999999994</v>
      </c>
      <c r="Y305" s="343">
        <v>416</v>
      </c>
      <c r="Z305" s="343">
        <v>328</v>
      </c>
      <c r="AA305" s="343">
        <f t="shared" si="109"/>
        <v>0.55913978494623651</v>
      </c>
      <c r="AB305" s="343">
        <f t="shared" si="110"/>
        <v>0.44086021505376344</v>
      </c>
      <c r="AF305" s="4">
        <f t="shared" si="113"/>
        <v>2030</v>
      </c>
      <c r="AG305" s="432">
        <f t="shared" si="116"/>
        <v>47543</v>
      </c>
      <c r="AH305" s="149">
        <f t="shared" si="111"/>
        <v>12.190141381185427</v>
      </c>
      <c r="AI305" s="150">
        <v>12.190141381185427</v>
      </c>
      <c r="AK305" s="4">
        <f t="shared" si="104"/>
        <v>2029</v>
      </c>
      <c r="AL305" s="432">
        <v>47149</v>
      </c>
      <c r="AM305" s="4">
        <f t="shared" si="105"/>
        <v>8.89</v>
      </c>
      <c r="AN305" s="4">
        <v>8.8000000000000007</v>
      </c>
      <c r="AO305" s="4">
        <v>8.98</v>
      </c>
      <c r="AQ305" s="4">
        <f t="shared" si="106"/>
        <v>2032</v>
      </c>
      <c r="AR305" s="356">
        <v>48549</v>
      </c>
      <c r="AS305" s="4">
        <f t="shared" si="107"/>
        <v>15.29</v>
      </c>
      <c r="AT305" s="4">
        <v>15.19</v>
      </c>
      <c r="AU305" s="4">
        <v>15.39</v>
      </c>
      <c r="AV305" s="515">
        <f t="shared" si="114"/>
        <v>2039</v>
      </c>
      <c r="AW305" s="535">
        <v>50922</v>
      </c>
      <c r="AX305" s="515">
        <f t="shared" si="117"/>
        <v>6.3846500000000006</v>
      </c>
      <c r="AY305" s="596">
        <f>'[12]Forward Price Curve'!AE386</f>
        <v>6.4282000000000004</v>
      </c>
      <c r="AZ305" s="596">
        <f>'[12]Forward Price Curve'!AD386</f>
        <v>6.3411</v>
      </c>
      <c r="BA305" s="629"/>
      <c r="BB305" s="633"/>
      <c r="BC305" s="629"/>
      <c r="BD305" s="634"/>
      <c r="BE305" s="634"/>
    </row>
    <row r="306" spans="20:57">
      <c r="T306" s="4">
        <f t="shared" si="108"/>
        <v>2030</v>
      </c>
      <c r="U306" s="434">
        <f t="shared" si="118"/>
        <v>47574</v>
      </c>
      <c r="V306" s="150">
        <v>89.32</v>
      </c>
      <c r="W306" s="150">
        <v>85.1</v>
      </c>
      <c r="X306" s="357">
        <f t="shared" si="112"/>
        <v>87.50539999999998</v>
      </c>
      <c r="Y306" s="343">
        <v>416</v>
      </c>
      <c r="Z306" s="343">
        <v>304</v>
      </c>
      <c r="AA306" s="343">
        <f t="shared" si="109"/>
        <v>0.57777777777777772</v>
      </c>
      <c r="AB306" s="343">
        <f t="shared" si="110"/>
        <v>0.42222222222222222</v>
      </c>
      <c r="AF306" s="4">
        <f t="shared" si="113"/>
        <v>2030</v>
      </c>
      <c r="AG306" s="432">
        <f t="shared" si="116"/>
        <v>47574</v>
      </c>
      <c r="AH306" s="149">
        <f t="shared" si="111"/>
        <v>11.537612833061447</v>
      </c>
      <c r="AI306" s="150">
        <v>11.537612833061447</v>
      </c>
      <c r="AK306" s="4">
        <f t="shared" si="104"/>
        <v>2029</v>
      </c>
      <c r="AL306" s="432">
        <v>47177</v>
      </c>
      <c r="AM306" s="4">
        <f t="shared" si="105"/>
        <v>8.27</v>
      </c>
      <c r="AN306" s="4">
        <v>8.24</v>
      </c>
      <c r="AO306" s="4">
        <v>8.3000000000000007</v>
      </c>
      <c r="AQ306" s="4">
        <f t="shared" si="106"/>
        <v>2033</v>
      </c>
      <c r="AR306" s="356">
        <v>48580</v>
      </c>
      <c r="AS306" s="4">
        <f t="shared" si="107"/>
        <v>16.73</v>
      </c>
      <c r="AT306" s="4">
        <v>16.510000000000002</v>
      </c>
      <c r="AU306" s="4">
        <v>16.95</v>
      </c>
      <c r="AV306" s="515">
        <f t="shared" si="114"/>
        <v>2039</v>
      </c>
      <c r="AW306" s="535">
        <v>50952</v>
      </c>
      <c r="AX306" s="515">
        <f t="shared" si="117"/>
        <v>6.4717500000000001</v>
      </c>
      <c r="AY306" s="596">
        <f>'[12]Forward Price Curve'!AE387</f>
        <v>6.5152999999999999</v>
      </c>
      <c r="AZ306" s="596">
        <f>'[12]Forward Price Curve'!AD387</f>
        <v>6.4282000000000004</v>
      </c>
      <c r="BA306" s="629"/>
      <c r="BB306" s="633"/>
      <c r="BC306" s="629"/>
      <c r="BD306" s="634"/>
      <c r="BE306" s="634"/>
    </row>
    <row r="307" spans="20:57">
      <c r="T307" s="4">
        <f t="shared" si="108"/>
        <v>2030</v>
      </c>
      <c r="U307" s="434">
        <f t="shared" si="118"/>
        <v>47604</v>
      </c>
      <c r="V307" s="150">
        <v>90.96</v>
      </c>
      <c r="W307" s="150">
        <v>85.56</v>
      </c>
      <c r="X307" s="357">
        <f t="shared" si="112"/>
        <v>88.637999999999991</v>
      </c>
      <c r="Y307" s="343">
        <v>416</v>
      </c>
      <c r="Z307" s="343">
        <v>328</v>
      </c>
      <c r="AA307" s="343">
        <f t="shared" si="109"/>
        <v>0.55913978494623651</v>
      </c>
      <c r="AB307" s="343">
        <f t="shared" si="110"/>
        <v>0.44086021505376344</v>
      </c>
      <c r="AF307" s="4">
        <f t="shared" si="113"/>
        <v>2030</v>
      </c>
      <c r="AG307" s="432">
        <f t="shared" si="116"/>
        <v>47604</v>
      </c>
      <c r="AH307" s="149">
        <f t="shared" si="111"/>
        <v>11.418662316476347</v>
      </c>
      <c r="AI307" s="150">
        <v>11.418662316476347</v>
      </c>
      <c r="AK307" s="4">
        <f t="shared" si="104"/>
        <v>2029</v>
      </c>
      <c r="AL307" s="432">
        <v>47208</v>
      </c>
      <c r="AM307" s="4">
        <f t="shared" si="105"/>
        <v>7.7650000000000006</v>
      </c>
      <c r="AN307" s="4">
        <v>7.8</v>
      </c>
      <c r="AO307" s="4">
        <v>7.73</v>
      </c>
      <c r="AQ307" s="4">
        <f t="shared" si="106"/>
        <v>2033</v>
      </c>
      <c r="AR307" s="356">
        <v>48611</v>
      </c>
      <c r="AS307" s="4">
        <f t="shared" si="107"/>
        <v>15.565000000000001</v>
      </c>
      <c r="AT307" s="4">
        <v>15.47</v>
      </c>
      <c r="AU307" s="4">
        <v>15.66</v>
      </c>
      <c r="AV307" s="515">
        <f t="shared" si="114"/>
        <v>2039</v>
      </c>
      <c r="AW307" s="535">
        <v>50983</v>
      </c>
      <c r="AX307" s="515">
        <f t="shared" si="117"/>
        <v>6.6546500000000002</v>
      </c>
      <c r="AY307" s="596">
        <f>'[12]Forward Price Curve'!AE388</f>
        <v>6.6372</v>
      </c>
      <c r="AZ307" s="596">
        <f>'[12]Forward Price Curve'!AD388</f>
        <v>6.6721000000000004</v>
      </c>
      <c r="BA307" s="629"/>
      <c r="BB307" s="633"/>
      <c r="BC307" s="629"/>
      <c r="BD307" s="634"/>
      <c r="BE307" s="634"/>
    </row>
    <row r="308" spans="20:57">
      <c r="T308" s="4">
        <f t="shared" si="108"/>
        <v>2030</v>
      </c>
      <c r="U308" s="434">
        <f t="shared" si="118"/>
        <v>47635</v>
      </c>
      <c r="V308" s="150">
        <v>98.46</v>
      </c>
      <c r="W308" s="150">
        <v>87.87</v>
      </c>
      <c r="X308" s="357">
        <f t="shared" si="112"/>
        <v>93.906299999999987</v>
      </c>
      <c r="Y308" s="343">
        <v>400</v>
      </c>
      <c r="Z308" s="343">
        <v>320</v>
      </c>
      <c r="AA308" s="343">
        <f t="shared" si="109"/>
        <v>0.55555555555555558</v>
      </c>
      <c r="AB308" s="343">
        <f t="shared" si="110"/>
        <v>0.44444444444444442</v>
      </c>
      <c r="AF308" s="4">
        <f t="shared" si="113"/>
        <v>2030</v>
      </c>
      <c r="AG308" s="432">
        <f t="shared" si="116"/>
        <v>47635</v>
      </c>
      <c r="AH308" s="149">
        <f t="shared" si="111"/>
        <v>11.595388798259924</v>
      </c>
      <c r="AI308" s="150">
        <v>11.595388798259924</v>
      </c>
      <c r="AK308" s="4">
        <f t="shared" si="104"/>
        <v>2029</v>
      </c>
      <c r="AL308" s="432">
        <v>47238</v>
      </c>
      <c r="AM308" s="4">
        <f t="shared" si="105"/>
        <v>7.2549999999999999</v>
      </c>
      <c r="AN308" s="4">
        <v>7.35</v>
      </c>
      <c r="AO308" s="4">
        <v>7.16</v>
      </c>
      <c r="AQ308" s="4">
        <f t="shared" si="106"/>
        <v>2033</v>
      </c>
      <c r="AR308" s="356">
        <v>48639</v>
      </c>
      <c r="AS308" s="4">
        <f t="shared" si="107"/>
        <v>14.61</v>
      </c>
      <c r="AT308" s="4">
        <v>14.63</v>
      </c>
      <c r="AU308" s="4">
        <v>14.59</v>
      </c>
      <c r="AV308" s="515">
        <f t="shared" si="114"/>
        <v>2039</v>
      </c>
      <c r="AW308" s="535">
        <v>51014</v>
      </c>
      <c r="AX308" s="515">
        <f t="shared" si="117"/>
        <v>6.5152999999999999</v>
      </c>
      <c r="AY308" s="596">
        <f>'[12]Forward Price Curve'!AE389</f>
        <v>6.4805000000000001</v>
      </c>
      <c r="AZ308" s="596">
        <f>'[12]Forward Price Curve'!AD389</f>
        <v>6.5500999999999996</v>
      </c>
      <c r="BA308" s="629"/>
      <c r="BB308" s="633"/>
      <c r="BC308" s="629"/>
      <c r="BD308" s="634"/>
      <c r="BE308" s="634"/>
    </row>
    <row r="309" spans="20:57">
      <c r="T309" s="4">
        <f t="shared" si="108"/>
        <v>2030</v>
      </c>
      <c r="U309" s="434">
        <f t="shared" si="118"/>
        <v>47665</v>
      </c>
      <c r="V309" s="150">
        <v>93.78</v>
      </c>
      <c r="W309" s="150">
        <v>89.88</v>
      </c>
      <c r="X309" s="357">
        <f t="shared" si="112"/>
        <v>92.102999999999994</v>
      </c>
      <c r="Y309" s="343">
        <v>416</v>
      </c>
      <c r="Z309" s="343">
        <v>328</v>
      </c>
      <c r="AA309" s="343">
        <f t="shared" si="109"/>
        <v>0.55913978494623651</v>
      </c>
      <c r="AB309" s="343">
        <f t="shared" si="110"/>
        <v>0.44086021505376344</v>
      </c>
      <c r="AF309" s="4">
        <f t="shared" si="113"/>
        <v>2030</v>
      </c>
      <c r="AG309" s="432">
        <f t="shared" si="116"/>
        <v>47665</v>
      </c>
      <c r="AH309" s="149">
        <f t="shared" si="111"/>
        <v>11.775513866231645</v>
      </c>
      <c r="AI309" s="150">
        <v>11.775513866231645</v>
      </c>
      <c r="AK309" s="4">
        <f t="shared" si="104"/>
        <v>2029</v>
      </c>
      <c r="AL309" s="432">
        <v>47269</v>
      </c>
      <c r="AM309" s="4">
        <f t="shared" si="105"/>
        <v>7.2549999999999999</v>
      </c>
      <c r="AN309" s="4">
        <v>7.35</v>
      </c>
      <c r="AO309" s="4">
        <v>7.16</v>
      </c>
      <c r="AQ309" s="4">
        <f t="shared" si="106"/>
        <v>2033</v>
      </c>
      <c r="AR309" s="356">
        <v>48670</v>
      </c>
      <c r="AS309" s="4">
        <f t="shared" si="107"/>
        <v>13.66</v>
      </c>
      <c r="AT309" s="4">
        <v>13.8</v>
      </c>
      <c r="AU309" s="4">
        <v>13.52</v>
      </c>
      <c r="AV309" s="515">
        <f t="shared" si="114"/>
        <v>2039</v>
      </c>
      <c r="AW309" s="535">
        <v>51044</v>
      </c>
      <c r="AX309" s="515">
        <f t="shared" si="117"/>
        <v>6.7156500000000001</v>
      </c>
      <c r="AY309" s="596">
        <f>'[12]Forward Price Curve'!AE390</f>
        <v>6.6721000000000004</v>
      </c>
      <c r="AZ309" s="596">
        <f>'[12]Forward Price Curve'!AD390</f>
        <v>6.7591999999999999</v>
      </c>
      <c r="BA309" s="629"/>
      <c r="BB309" s="633"/>
      <c r="BC309" s="629"/>
      <c r="BD309" s="634"/>
      <c r="BE309" s="634"/>
    </row>
    <row r="310" spans="20:57">
      <c r="T310" s="4">
        <f t="shared" si="108"/>
        <v>2030</v>
      </c>
      <c r="U310" s="434">
        <f t="shared" si="118"/>
        <v>47696</v>
      </c>
      <c r="V310" s="150">
        <v>94.24</v>
      </c>
      <c r="W310" s="150">
        <v>90.4</v>
      </c>
      <c r="X310" s="357">
        <f t="shared" si="112"/>
        <v>92.588799999999992</v>
      </c>
      <c r="Y310" s="343">
        <v>432</v>
      </c>
      <c r="Z310" s="343">
        <v>312</v>
      </c>
      <c r="AA310" s="343">
        <f t="shared" si="109"/>
        <v>0.58064516129032262</v>
      </c>
      <c r="AB310" s="343">
        <f t="shared" si="110"/>
        <v>0.41935483870967744</v>
      </c>
      <c r="AF310" s="4">
        <f t="shared" si="113"/>
        <v>2030</v>
      </c>
      <c r="AG310" s="432">
        <f t="shared" si="116"/>
        <v>47696</v>
      </c>
      <c r="AH310" s="149">
        <f t="shared" si="111"/>
        <v>11.775513866231645</v>
      </c>
      <c r="AI310" s="150">
        <v>11.775513866231645</v>
      </c>
      <c r="AK310" s="4">
        <f t="shared" si="104"/>
        <v>2029</v>
      </c>
      <c r="AL310" s="432">
        <v>47299</v>
      </c>
      <c r="AM310" s="4">
        <f t="shared" si="105"/>
        <v>7.37</v>
      </c>
      <c r="AN310" s="4">
        <v>7.46</v>
      </c>
      <c r="AO310" s="4">
        <v>7.28</v>
      </c>
      <c r="AQ310" s="4">
        <f t="shared" si="106"/>
        <v>2033</v>
      </c>
      <c r="AR310" s="356">
        <v>48700</v>
      </c>
      <c r="AS310" s="4">
        <f t="shared" si="107"/>
        <v>13.66</v>
      </c>
      <c r="AT310" s="4">
        <v>13.8</v>
      </c>
      <c r="AU310" s="4">
        <v>13.52</v>
      </c>
      <c r="AV310" s="515">
        <f t="shared" si="114"/>
        <v>2039</v>
      </c>
      <c r="AW310" s="535">
        <v>51075</v>
      </c>
      <c r="AX310" s="515">
        <f t="shared" si="117"/>
        <v>6.9856499999999997</v>
      </c>
      <c r="AY310" s="596">
        <f>'[12]Forward Price Curve'!AE391</f>
        <v>6.9160000000000004</v>
      </c>
      <c r="AZ310" s="596">
        <f>'[12]Forward Price Curve'!AD391</f>
        <v>7.0552999999999999</v>
      </c>
      <c r="BA310" s="629"/>
      <c r="BB310" s="633"/>
      <c r="BC310" s="629"/>
      <c r="BD310" s="634"/>
      <c r="BE310" s="634"/>
    </row>
    <row r="311" spans="20:57">
      <c r="T311" s="4">
        <f t="shared" si="108"/>
        <v>2030</v>
      </c>
      <c r="U311" s="434">
        <f t="shared" si="118"/>
        <v>47727</v>
      </c>
      <c r="V311" s="150">
        <v>93.41</v>
      </c>
      <c r="W311" s="150">
        <v>87.6</v>
      </c>
      <c r="X311" s="357">
        <f t="shared" si="112"/>
        <v>90.911699999999996</v>
      </c>
      <c r="Y311" s="343">
        <v>384</v>
      </c>
      <c r="Z311" s="343">
        <v>336</v>
      </c>
      <c r="AA311" s="343">
        <f t="shared" si="109"/>
        <v>0.53333333333333333</v>
      </c>
      <c r="AB311" s="343">
        <f t="shared" si="110"/>
        <v>0.46666666666666667</v>
      </c>
      <c r="AF311" s="4">
        <f t="shared" si="113"/>
        <v>2030</v>
      </c>
      <c r="AG311" s="432">
        <f t="shared" si="116"/>
        <v>47727</v>
      </c>
      <c r="AH311" s="149">
        <f t="shared" si="111"/>
        <v>11.775513866231645</v>
      </c>
      <c r="AI311" s="150">
        <v>11.775513866231645</v>
      </c>
      <c r="AK311" s="4">
        <f t="shared" si="104"/>
        <v>2029</v>
      </c>
      <c r="AL311" s="432">
        <v>47330</v>
      </c>
      <c r="AM311" s="4">
        <f t="shared" si="105"/>
        <v>7.48</v>
      </c>
      <c r="AN311" s="4">
        <v>7.57</v>
      </c>
      <c r="AO311" s="4">
        <v>7.39</v>
      </c>
      <c r="AQ311" s="4">
        <f t="shared" si="106"/>
        <v>2033</v>
      </c>
      <c r="AR311" s="356">
        <v>48731</v>
      </c>
      <c r="AS311" s="4">
        <f t="shared" si="107"/>
        <v>13.865</v>
      </c>
      <c r="AT311" s="4">
        <v>14</v>
      </c>
      <c r="AU311" s="4">
        <v>13.73</v>
      </c>
      <c r="AV311" s="515">
        <f t="shared" si="114"/>
        <v>2039</v>
      </c>
      <c r="AW311" s="535">
        <v>51105</v>
      </c>
      <c r="AX311" s="515">
        <f t="shared" si="117"/>
        <v>7.3166500000000001</v>
      </c>
      <c r="AY311" s="596">
        <f>'[12]Forward Price Curve'!AE392</f>
        <v>7.2121000000000004</v>
      </c>
      <c r="AZ311" s="596">
        <f>'[12]Forward Price Curve'!AD392</f>
        <v>7.4211999999999998</v>
      </c>
      <c r="BA311" s="629"/>
      <c r="BB311" s="633"/>
      <c r="BC311" s="629"/>
      <c r="BD311" s="634"/>
      <c r="BE311" s="634"/>
    </row>
    <row r="312" spans="20:57">
      <c r="T312" s="4">
        <f t="shared" si="108"/>
        <v>2030</v>
      </c>
      <c r="U312" s="434">
        <f t="shared" si="118"/>
        <v>47757</v>
      </c>
      <c r="V312" s="150">
        <v>92.7</v>
      </c>
      <c r="W312" s="150">
        <v>80.930000000000007</v>
      </c>
      <c r="X312" s="357">
        <f t="shared" si="112"/>
        <v>87.638900000000007</v>
      </c>
      <c r="Y312" s="343">
        <v>432</v>
      </c>
      <c r="Z312" s="343">
        <v>312</v>
      </c>
      <c r="AA312" s="343">
        <f t="shared" si="109"/>
        <v>0.58064516129032262</v>
      </c>
      <c r="AB312" s="343">
        <f t="shared" si="110"/>
        <v>0.41935483870967744</v>
      </c>
      <c r="AF312" s="4">
        <f t="shared" si="113"/>
        <v>2030</v>
      </c>
      <c r="AG312" s="432">
        <f t="shared" si="116"/>
        <v>47757</v>
      </c>
      <c r="AH312" s="149">
        <f t="shared" si="111"/>
        <v>12.190141381185427</v>
      </c>
      <c r="AI312" s="150">
        <v>12.190141381185427</v>
      </c>
      <c r="AK312" s="4">
        <f t="shared" si="104"/>
        <v>2029</v>
      </c>
      <c r="AL312" s="432">
        <v>47361</v>
      </c>
      <c r="AM312" s="4">
        <f t="shared" si="105"/>
        <v>7.48</v>
      </c>
      <c r="AN312" s="4">
        <v>7.57</v>
      </c>
      <c r="AO312" s="4">
        <v>7.39</v>
      </c>
      <c r="AQ312" s="4">
        <f t="shared" si="106"/>
        <v>2033</v>
      </c>
      <c r="AR312" s="356">
        <v>48761</v>
      </c>
      <c r="AS312" s="4">
        <f t="shared" si="107"/>
        <v>14.08</v>
      </c>
      <c r="AT312" s="4">
        <v>14.21</v>
      </c>
      <c r="AU312" s="4">
        <v>13.95</v>
      </c>
      <c r="AV312" s="515">
        <f t="shared" si="114"/>
        <v>2040</v>
      </c>
      <c r="AW312" s="535">
        <v>51136</v>
      </c>
      <c r="AX312" s="515">
        <f t="shared" si="117"/>
        <v>7.4493</v>
      </c>
      <c r="AY312" s="596">
        <f>'[12]Forward Price Curve'!AE393</f>
        <v>7.4671000000000003</v>
      </c>
      <c r="AZ312" s="596">
        <f>'[12]Forward Price Curve'!AD393</f>
        <v>7.4314999999999998</v>
      </c>
      <c r="BA312" s="629"/>
      <c r="BB312" s="633"/>
      <c r="BC312" s="629"/>
      <c r="BD312" s="634"/>
      <c r="BE312" s="634"/>
    </row>
    <row r="313" spans="20:57">
      <c r="T313" s="4">
        <f t="shared" si="108"/>
        <v>2030</v>
      </c>
      <c r="U313" s="434">
        <f t="shared" si="118"/>
        <v>47788</v>
      </c>
      <c r="V313" s="150">
        <v>104.7</v>
      </c>
      <c r="W313" s="150">
        <v>91.81</v>
      </c>
      <c r="X313" s="357">
        <f t="shared" si="112"/>
        <v>99.157299999999992</v>
      </c>
      <c r="Y313" s="343">
        <v>400</v>
      </c>
      <c r="Z313" s="343">
        <v>320</v>
      </c>
      <c r="AA313" s="343">
        <f t="shared" si="109"/>
        <v>0.55555555555555558</v>
      </c>
      <c r="AB313" s="343">
        <f t="shared" si="110"/>
        <v>0.44444444444444442</v>
      </c>
      <c r="AF313" s="4">
        <f t="shared" si="113"/>
        <v>2030</v>
      </c>
      <c r="AG313" s="432">
        <f t="shared" si="116"/>
        <v>47788</v>
      </c>
      <c r="AH313" s="149">
        <f t="shared" si="111"/>
        <v>12.366867862969004</v>
      </c>
      <c r="AI313" s="150">
        <v>12.366867862969004</v>
      </c>
      <c r="AK313" s="4">
        <f t="shared" si="104"/>
        <v>2029</v>
      </c>
      <c r="AL313" s="432">
        <v>47391</v>
      </c>
      <c r="AM313" s="4">
        <f t="shared" si="105"/>
        <v>7.48</v>
      </c>
      <c r="AN313" s="4">
        <v>7.57</v>
      </c>
      <c r="AO313" s="4">
        <v>7.39</v>
      </c>
      <c r="AQ313" s="4">
        <f t="shared" si="106"/>
        <v>2033</v>
      </c>
      <c r="AR313" s="356">
        <v>48792</v>
      </c>
      <c r="AS313" s="4">
        <f t="shared" si="107"/>
        <v>14.08</v>
      </c>
      <c r="AT313" s="4">
        <v>14.21</v>
      </c>
      <c r="AU313" s="4">
        <v>13.95</v>
      </c>
      <c r="AV313" s="515">
        <f t="shared" si="114"/>
        <v>2040</v>
      </c>
      <c r="AW313" s="535">
        <v>51167</v>
      </c>
      <c r="AX313" s="515">
        <f t="shared" si="117"/>
        <v>7.6631499999999999</v>
      </c>
      <c r="AY313" s="596">
        <f>'[12]Forward Price Curve'!AE394</f>
        <v>7.5384000000000002</v>
      </c>
      <c r="AZ313" s="596">
        <f>'[12]Forward Price Curve'!AD394</f>
        <v>7.7878999999999996</v>
      </c>
      <c r="BA313" s="629"/>
      <c r="BB313" s="633"/>
      <c r="BC313" s="629"/>
      <c r="BD313" s="634"/>
      <c r="BE313" s="634"/>
    </row>
    <row r="314" spans="20:57">
      <c r="T314" s="4">
        <f t="shared" si="108"/>
        <v>2030</v>
      </c>
      <c r="U314" s="434">
        <f t="shared" si="118"/>
        <v>47818</v>
      </c>
      <c r="V314" s="150">
        <v>109.6</v>
      </c>
      <c r="W314" s="150">
        <v>100.51</v>
      </c>
      <c r="X314" s="357">
        <f t="shared" si="112"/>
        <v>105.6913</v>
      </c>
      <c r="Y314" s="343">
        <v>400</v>
      </c>
      <c r="Z314" s="343">
        <v>344</v>
      </c>
      <c r="AA314" s="343">
        <f t="shared" si="109"/>
        <v>0.5376344086021505</v>
      </c>
      <c r="AB314" s="343">
        <f t="shared" si="110"/>
        <v>0.46236559139784944</v>
      </c>
      <c r="AF314" s="4">
        <f t="shared" si="113"/>
        <v>2030</v>
      </c>
      <c r="AG314" s="432">
        <f t="shared" si="116"/>
        <v>47818</v>
      </c>
      <c r="AH314" s="149">
        <f t="shared" si="111"/>
        <v>12.961620445894505</v>
      </c>
      <c r="AI314" s="150">
        <v>12.961620445894505</v>
      </c>
      <c r="AK314" s="4">
        <f t="shared" si="104"/>
        <v>2029</v>
      </c>
      <c r="AL314" s="432">
        <v>47422</v>
      </c>
      <c r="AM314" s="4">
        <f t="shared" si="105"/>
        <v>7.7650000000000006</v>
      </c>
      <c r="AN314" s="4">
        <v>7.8</v>
      </c>
      <c r="AO314" s="4">
        <v>7.73</v>
      </c>
      <c r="AQ314" s="4">
        <f t="shared" si="106"/>
        <v>2033</v>
      </c>
      <c r="AR314" s="356">
        <v>48823</v>
      </c>
      <c r="AS314" s="4">
        <f t="shared" si="107"/>
        <v>14.08</v>
      </c>
      <c r="AT314" s="4">
        <v>14.21</v>
      </c>
      <c r="AU314" s="4">
        <v>13.95</v>
      </c>
      <c r="AV314" s="515">
        <f t="shared" si="114"/>
        <v>2040</v>
      </c>
      <c r="AW314" s="535">
        <v>51196</v>
      </c>
      <c r="AX314" s="515">
        <f t="shared" si="117"/>
        <v>7.1730499999999999</v>
      </c>
      <c r="AY314" s="596">
        <f>'[12]Forward Price Curve'!AE395</f>
        <v>7.1106999999999996</v>
      </c>
      <c r="AZ314" s="596">
        <f>'[12]Forward Price Curve'!AD395</f>
        <v>7.2354000000000003</v>
      </c>
      <c r="BA314" s="629"/>
      <c r="BB314" s="633"/>
      <c r="BC314" s="629"/>
      <c r="BD314" s="634"/>
      <c r="BE314" s="634"/>
    </row>
    <row r="315" spans="20:57">
      <c r="T315" s="4">
        <f t="shared" si="108"/>
        <v>2031</v>
      </c>
      <c r="U315" s="434">
        <f t="shared" si="118"/>
        <v>47849</v>
      </c>
      <c r="V315" s="150">
        <v>114.83</v>
      </c>
      <c r="W315" s="150">
        <v>103.64</v>
      </c>
      <c r="X315" s="357">
        <f t="shared" si="112"/>
        <v>110.01829999999998</v>
      </c>
      <c r="Y315" s="343">
        <v>416</v>
      </c>
      <c r="Z315" s="343">
        <v>328</v>
      </c>
      <c r="AA315" s="343">
        <f t="shared" si="109"/>
        <v>0.55913978494623651</v>
      </c>
      <c r="AB315" s="343">
        <f t="shared" si="110"/>
        <v>0.44086021505376344</v>
      </c>
      <c r="AF315" s="4">
        <f t="shared" si="113"/>
        <v>2031</v>
      </c>
      <c r="AG315" s="432">
        <f t="shared" si="116"/>
        <v>47849</v>
      </c>
      <c r="AH315" s="149">
        <f t="shared" si="111"/>
        <v>14.069559543230017</v>
      </c>
      <c r="AI315" s="150">
        <v>14.069559543230017</v>
      </c>
      <c r="AK315" s="4">
        <f t="shared" si="104"/>
        <v>2029</v>
      </c>
      <c r="AL315" s="432">
        <v>47452</v>
      </c>
      <c r="AM315" s="4">
        <f t="shared" si="105"/>
        <v>7.88</v>
      </c>
      <c r="AN315" s="4">
        <v>7.91</v>
      </c>
      <c r="AO315" s="4">
        <v>7.85</v>
      </c>
      <c r="AQ315" s="4">
        <f t="shared" si="106"/>
        <v>2033</v>
      </c>
      <c r="AR315" s="356">
        <v>48853</v>
      </c>
      <c r="AS315" s="4">
        <f t="shared" si="107"/>
        <v>14.61</v>
      </c>
      <c r="AT315" s="4">
        <v>14.63</v>
      </c>
      <c r="AU315" s="4">
        <v>14.59</v>
      </c>
      <c r="AV315" s="515">
        <f t="shared" si="114"/>
        <v>2040</v>
      </c>
      <c r="AW315" s="535">
        <v>51227</v>
      </c>
      <c r="AX315" s="515">
        <f t="shared" si="117"/>
        <v>6.7720500000000001</v>
      </c>
      <c r="AY315" s="596">
        <f>'[12]Forward Price Curve'!AE396</f>
        <v>6.7363999999999997</v>
      </c>
      <c r="AZ315" s="596">
        <f>'[12]Forward Price Curve'!AD396</f>
        <v>6.8076999999999996</v>
      </c>
      <c r="BA315" s="629"/>
      <c r="BB315" s="633"/>
      <c r="BC315" s="629"/>
      <c r="BD315" s="634"/>
      <c r="BE315" s="634"/>
    </row>
    <row r="316" spans="20:57">
      <c r="T316" s="4">
        <f t="shared" si="108"/>
        <v>2031</v>
      </c>
      <c r="U316" s="434">
        <f t="shared" si="118"/>
        <v>47880</v>
      </c>
      <c r="V316" s="150">
        <v>108.08</v>
      </c>
      <c r="W316" s="150">
        <v>94</v>
      </c>
      <c r="X316" s="357">
        <f t="shared" si="112"/>
        <v>102.0256</v>
      </c>
      <c r="Y316" s="343">
        <v>384</v>
      </c>
      <c r="Z316" s="343">
        <v>288</v>
      </c>
      <c r="AA316" s="343">
        <f t="shared" si="109"/>
        <v>0.5714285714285714</v>
      </c>
      <c r="AB316" s="343">
        <f t="shared" si="110"/>
        <v>0.42857142857142855</v>
      </c>
      <c r="AF316" s="4">
        <f t="shared" si="113"/>
        <v>2031</v>
      </c>
      <c r="AG316" s="432">
        <f t="shared" si="116"/>
        <v>47880</v>
      </c>
      <c r="AH316" s="149">
        <f t="shared" si="111"/>
        <v>13.216514410005436</v>
      </c>
      <c r="AI316" s="150">
        <v>13.216514410005436</v>
      </c>
      <c r="AK316" s="4">
        <f t="shared" si="104"/>
        <v>2029</v>
      </c>
      <c r="AL316" s="432">
        <v>47483</v>
      </c>
      <c r="AM316" s="4">
        <f t="shared" si="105"/>
        <v>8.27</v>
      </c>
      <c r="AN316" s="4">
        <v>8.24</v>
      </c>
      <c r="AO316" s="4">
        <v>8.3000000000000007</v>
      </c>
      <c r="AQ316" s="4">
        <f t="shared" si="106"/>
        <v>2033</v>
      </c>
      <c r="AR316" s="356">
        <v>48884</v>
      </c>
      <c r="AS316" s="4">
        <f t="shared" si="107"/>
        <v>14.824999999999999</v>
      </c>
      <c r="AT316" s="4">
        <v>14.84</v>
      </c>
      <c r="AU316" s="4">
        <v>14.81</v>
      </c>
      <c r="AV316" s="515">
        <f t="shared" si="114"/>
        <v>2040</v>
      </c>
      <c r="AW316" s="535">
        <v>51257</v>
      </c>
      <c r="AX316" s="515">
        <f t="shared" si="117"/>
        <v>6.7275</v>
      </c>
      <c r="AY316" s="596">
        <f>'[12]Forward Price Curve'!AE397</f>
        <v>6.7186000000000003</v>
      </c>
      <c r="AZ316" s="596">
        <f>'[12]Forward Price Curve'!AD397</f>
        <v>6.7363999999999997</v>
      </c>
      <c r="BA316" s="629"/>
      <c r="BB316" s="633"/>
      <c r="BC316" s="629"/>
      <c r="BD316" s="634"/>
      <c r="BE316" s="634"/>
    </row>
    <row r="317" spans="20:57">
      <c r="T317" s="4">
        <f t="shared" si="108"/>
        <v>2031</v>
      </c>
      <c r="U317" s="434">
        <f t="shared" si="118"/>
        <v>47908</v>
      </c>
      <c r="V317" s="150">
        <v>91.6</v>
      </c>
      <c r="W317" s="150">
        <v>81.91</v>
      </c>
      <c r="X317" s="357">
        <f t="shared" si="112"/>
        <v>87.433299999999988</v>
      </c>
      <c r="Y317" s="343">
        <v>416</v>
      </c>
      <c r="Z317" s="343">
        <v>328</v>
      </c>
      <c r="AA317" s="343">
        <f t="shared" si="109"/>
        <v>0.55913978494623651</v>
      </c>
      <c r="AB317" s="343">
        <f t="shared" si="110"/>
        <v>0.44086021505376344</v>
      </c>
      <c r="AF317" s="4">
        <f t="shared" si="113"/>
        <v>2031</v>
      </c>
      <c r="AG317" s="432">
        <f t="shared" si="116"/>
        <v>47908</v>
      </c>
      <c r="AH317" s="149">
        <f t="shared" si="111"/>
        <v>12.431441000543773</v>
      </c>
      <c r="AI317" s="150">
        <v>12.431441000543773</v>
      </c>
      <c r="AK317" s="4">
        <f t="shared" si="104"/>
        <v>2030</v>
      </c>
      <c r="AL317" s="432">
        <v>47514</v>
      </c>
      <c r="AM317" s="4">
        <f t="shared" si="105"/>
        <v>9.2050000000000001</v>
      </c>
      <c r="AN317" s="4">
        <v>9.11</v>
      </c>
      <c r="AO317" s="4">
        <v>9.3000000000000007</v>
      </c>
      <c r="AQ317" s="4">
        <f t="shared" si="106"/>
        <v>2033</v>
      </c>
      <c r="AR317" s="356">
        <v>48914</v>
      </c>
      <c r="AS317" s="4">
        <f t="shared" si="107"/>
        <v>15.565000000000001</v>
      </c>
      <c r="AT317" s="4">
        <v>15.47</v>
      </c>
      <c r="AU317" s="4">
        <v>15.66</v>
      </c>
      <c r="AV317" s="515">
        <f t="shared" si="114"/>
        <v>2040</v>
      </c>
      <c r="AW317" s="535">
        <v>51288</v>
      </c>
      <c r="AX317" s="515">
        <f t="shared" si="117"/>
        <v>6.6473499999999994</v>
      </c>
      <c r="AY317" s="596">
        <f>'[12]Forward Price Curve'!AE398</f>
        <v>6.6829999999999998</v>
      </c>
      <c r="AZ317" s="596">
        <f>'[12]Forward Price Curve'!AD398</f>
        <v>6.6116999999999999</v>
      </c>
      <c r="BA317" s="629"/>
      <c r="BB317" s="633"/>
      <c r="BC317" s="629"/>
      <c r="BD317" s="634"/>
      <c r="BE317" s="634"/>
    </row>
    <row r="318" spans="20:57">
      <c r="T318" s="4">
        <f t="shared" si="108"/>
        <v>2031</v>
      </c>
      <c r="U318" s="434">
        <f t="shared" si="118"/>
        <v>47939</v>
      </c>
      <c r="V318" s="150">
        <v>91.11</v>
      </c>
      <c r="W318" s="150">
        <v>86.8</v>
      </c>
      <c r="X318" s="357">
        <f t="shared" si="112"/>
        <v>89.256699999999995</v>
      </c>
      <c r="Y318" s="343">
        <v>416</v>
      </c>
      <c r="Z318" s="343">
        <v>304</v>
      </c>
      <c r="AA318" s="343">
        <f t="shared" si="109"/>
        <v>0.57777777777777772</v>
      </c>
      <c r="AB318" s="343">
        <f t="shared" si="110"/>
        <v>0.42222222222222222</v>
      </c>
      <c r="AF318" s="4">
        <f t="shared" si="113"/>
        <v>2031</v>
      </c>
      <c r="AG318" s="432">
        <f t="shared" si="116"/>
        <v>47939</v>
      </c>
      <c r="AH318" s="149">
        <f t="shared" si="111"/>
        <v>11.765318107667209</v>
      </c>
      <c r="AI318" s="150">
        <v>11.765318107667209</v>
      </c>
      <c r="AK318" s="4">
        <f t="shared" si="104"/>
        <v>2030</v>
      </c>
      <c r="AL318" s="432">
        <v>47542</v>
      </c>
      <c r="AM318" s="4">
        <f t="shared" si="105"/>
        <v>8.5599999999999987</v>
      </c>
      <c r="AN318" s="4">
        <v>8.5299999999999994</v>
      </c>
      <c r="AO318" s="4">
        <v>8.59</v>
      </c>
      <c r="AQ318" s="4">
        <f t="shared" si="106"/>
        <v>2034</v>
      </c>
      <c r="AR318" s="356">
        <v>48945</v>
      </c>
      <c r="AS318" s="4">
        <f t="shared" si="107"/>
        <v>17.035</v>
      </c>
      <c r="AT318" s="4">
        <v>16.809999999999999</v>
      </c>
      <c r="AU318" s="4">
        <v>17.260000000000002</v>
      </c>
      <c r="AV318" s="515">
        <f t="shared" si="114"/>
        <v>2040</v>
      </c>
      <c r="AW318" s="535">
        <v>51318</v>
      </c>
      <c r="AX318" s="515">
        <f t="shared" si="117"/>
        <v>6.7275499999999999</v>
      </c>
      <c r="AY318" s="596">
        <f>'[12]Forward Price Curve'!AE399</f>
        <v>6.7721</v>
      </c>
      <c r="AZ318" s="596">
        <f>'[12]Forward Price Curve'!AD399</f>
        <v>6.6829999999999998</v>
      </c>
      <c r="BA318" s="629"/>
      <c r="BB318" s="633"/>
      <c r="BC318" s="629"/>
      <c r="BD318" s="634"/>
      <c r="BE318" s="634"/>
    </row>
    <row r="319" spans="20:57">
      <c r="T319" s="4">
        <f t="shared" si="108"/>
        <v>2031</v>
      </c>
      <c r="U319" s="434">
        <f t="shared" si="118"/>
        <v>47969</v>
      </c>
      <c r="V319" s="150">
        <v>92.78</v>
      </c>
      <c r="W319" s="150">
        <v>87.27</v>
      </c>
      <c r="X319" s="357">
        <f t="shared" si="112"/>
        <v>90.410699999999991</v>
      </c>
      <c r="Y319" s="343">
        <v>416</v>
      </c>
      <c r="Z319" s="343">
        <v>328</v>
      </c>
      <c r="AA319" s="343">
        <f t="shared" si="109"/>
        <v>0.55913978494623651</v>
      </c>
      <c r="AB319" s="343">
        <f t="shared" si="110"/>
        <v>0.44086021505376344</v>
      </c>
      <c r="AF319" s="4">
        <f t="shared" si="113"/>
        <v>2031</v>
      </c>
      <c r="AG319" s="432">
        <f t="shared" si="116"/>
        <v>47969</v>
      </c>
      <c r="AH319" s="149">
        <f t="shared" si="111"/>
        <v>11.646367591082109</v>
      </c>
      <c r="AI319" s="150">
        <v>11.646367591082109</v>
      </c>
      <c r="AK319" s="4">
        <f t="shared" si="104"/>
        <v>2030</v>
      </c>
      <c r="AL319" s="432">
        <v>47573</v>
      </c>
      <c r="AM319" s="4">
        <f t="shared" si="105"/>
        <v>8.0350000000000001</v>
      </c>
      <c r="AN319" s="4">
        <v>8.07</v>
      </c>
      <c r="AO319" s="4">
        <v>8</v>
      </c>
      <c r="AQ319" s="4">
        <f t="shared" si="106"/>
        <v>2034</v>
      </c>
      <c r="AR319" s="356">
        <v>48976</v>
      </c>
      <c r="AS319" s="4">
        <f t="shared" si="107"/>
        <v>15.85</v>
      </c>
      <c r="AT319" s="4">
        <v>15.75</v>
      </c>
      <c r="AU319" s="4">
        <v>15.95</v>
      </c>
      <c r="AV319" s="515">
        <f t="shared" si="114"/>
        <v>2040</v>
      </c>
      <c r="AW319" s="535">
        <v>51349</v>
      </c>
      <c r="AX319" s="515">
        <f t="shared" si="117"/>
        <v>6.9413499999999999</v>
      </c>
      <c r="AY319" s="596">
        <f>'[12]Forward Price Curve'!AE400</f>
        <v>6.9146000000000001</v>
      </c>
      <c r="AZ319" s="596">
        <f>'[12]Forward Price Curve'!AD400</f>
        <v>6.9680999999999997</v>
      </c>
      <c r="BA319" s="629"/>
      <c r="BB319" s="633"/>
      <c r="BC319" s="629"/>
      <c r="BD319" s="634"/>
      <c r="BE319" s="634"/>
    </row>
    <row r="320" spans="20:57">
      <c r="T320" s="4">
        <f t="shared" si="108"/>
        <v>2031</v>
      </c>
      <c r="U320" s="434">
        <f t="shared" si="118"/>
        <v>48000</v>
      </c>
      <c r="V320" s="150">
        <v>100.43</v>
      </c>
      <c r="W320" s="150">
        <v>89.63</v>
      </c>
      <c r="X320" s="357">
        <f t="shared" si="112"/>
        <v>95.786000000000001</v>
      </c>
      <c r="Y320" s="343">
        <v>400</v>
      </c>
      <c r="Z320" s="343">
        <v>320</v>
      </c>
      <c r="AA320" s="343">
        <f t="shared" si="109"/>
        <v>0.55555555555555558</v>
      </c>
      <c r="AB320" s="343">
        <f t="shared" si="110"/>
        <v>0.44444444444444442</v>
      </c>
      <c r="AF320" s="4">
        <f t="shared" si="113"/>
        <v>2031</v>
      </c>
      <c r="AG320" s="432">
        <f t="shared" si="116"/>
        <v>48000</v>
      </c>
      <c r="AH320" s="149">
        <f t="shared" si="111"/>
        <v>11.826492659053834</v>
      </c>
      <c r="AI320" s="150">
        <v>11.826492659053834</v>
      </c>
      <c r="AK320" s="4">
        <f t="shared" si="104"/>
        <v>2030</v>
      </c>
      <c r="AL320" s="432">
        <v>47603</v>
      </c>
      <c r="AM320" s="4">
        <f t="shared" si="105"/>
        <v>7.51</v>
      </c>
      <c r="AN320" s="4">
        <v>7.61</v>
      </c>
      <c r="AO320" s="4">
        <v>7.41</v>
      </c>
      <c r="AQ320" s="4">
        <f t="shared" si="106"/>
        <v>2034</v>
      </c>
      <c r="AR320" s="356">
        <v>49004</v>
      </c>
      <c r="AS320" s="4">
        <f t="shared" si="107"/>
        <v>14.875</v>
      </c>
      <c r="AT320" s="4">
        <v>14.9</v>
      </c>
      <c r="AU320" s="4">
        <v>14.85</v>
      </c>
      <c r="AV320" s="515">
        <f t="shared" si="114"/>
        <v>2040</v>
      </c>
      <c r="AW320" s="535">
        <v>51380</v>
      </c>
      <c r="AX320" s="515">
        <f t="shared" si="117"/>
        <v>6.7721</v>
      </c>
      <c r="AY320" s="596">
        <f>'[12]Forward Price Curve'!AE401</f>
        <v>6.7542999999999997</v>
      </c>
      <c r="AZ320" s="596">
        <f>'[12]Forward Price Curve'!AD401</f>
        <v>6.7899000000000003</v>
      </c>
      <c r="BA320" s="629"/>
      <c r="BB320" s="633"/>
      <c r="BC320" s="629"/>
      <c r="BD320" s="634"/>
      <c r="BE320" s="634"/>
    </row>
    <row r="321" spans="20:57">
      <c r="T321" s="4">
        <f t="shared" si="108"/>
        <v>2031</v>
      </c>
      <c r="U321" s="434">
        <f t="shared" si="118"/>
        <v>48030</v>
      </c>
      <c r="V321" s="150">
        <v>95.65</v>
      </c>
      <c r="W321" s="150">
        <v>91.68</v>
      </c>
      <c r="X321" s="357">
        <f t="shared" si="112"/>
        <v>93.942900000000009</v>
      </c>
      <c r="Y321" s="343">
        <v>416</v>
      </c>
      <c r="Z321" s="343">
        <v>328</v>
      </c>
      <c r="AA321" s="343">
        <f t="shared" si="109"/>
        <v>0.55913978494623651</v>
      </c>
      <c r="AB321" s="343">
        <f t="shared" si="110"/>
        <v>0.44086021505376344</v>
      </c>
      <c r="AF321" s="4">
        <f t="shared" si="113"/>
        <v>2031</v>
      </c>
      <c r="AG321" s="432">
        <f t="shared" si="116"/>
        <v>48030</v>
      </c>
      <c r="AH321" s="149">
        <f t="shared" si="111"/>
        <v>12.006617727025555</v>
      </c>
      <c r="AI321" s="150">
        <v>12.006617727025555</v>
      </c>
      <c r="AK321" s="4">
        <f t="shared" si="104"/>
        <v>2030</v>
      </c>
      <c r="AL321" s="432">
        <v>47634</v>
      </c>
      <c r="AM321" s="4">
        <f t="shared" si="105"/>
        <v>7.51</v>
      </c>
      <c r="AN321" s="4">
        <v>7.61</v>
      </c>
      <c r="AO321" s="4">
        <v>7.41</v>
      </c>
      <c r="AQ321" s="4">
        <f t="shared" si="106"/>
        <v>2034</v>
      </c>
      <c r="AR321" s="356">
        <v>49035</v>
      </c>
      <c r="AS321" s="4">
        <f t="shared" si="107"/>
        <v>13.899999999999999</v>
      </c>
      <c r="AT321" s="4">
        <v>14.04</v>
      </c>
      <c r="AU321" s="4">
        <v>13.76</v>
      </c>
      <c r="AV321" s="515">
        <f t="shared" si="114"/>
        <v>2040</v>
      </c>
      <c r="AW321" s="535">
        <v>51410</v>
      </c>
      <c r="AX321" s="515">
        <f t="shared" si="117"/>
        <v>7.0393999999999997</v>
      </c>
      <c r="AY321" s="596">
        <f>'[12]Forward Price Curve'!AE402</f>
        <v>6.9680999999999997</v>
      </c>
      <c r="AZ321" s="596">
        <f>'[12]Forward Price Curve'!AD402</f>
        <v>7.1106999999999996</v>
      </c>
      <c r="BA321" s="629"/>
      <c r="BB321" s="633"/>
      <c r="BC321" s="629"/>
      <c r="BD321" s="634"/>
      <c r="BE321" s="634"/>
    </row>
    <row r="322" spans="20:57">
      <c r="T322" s="4">
        <f t="shared" si="108"/>
        <v>2031</v>
      </c>
      <c r="U322" s="434">
        <f t="shared" si="118"/>
        <v>48061</v>
      </c>
      <c r="V322" s="150">
        <v>96.12</v>
      </c>
      <c r="W322" s="150">
        <v>92.21</v>
      </c>
      <c r="X322" s="357">
        <f t="shared" si="112"/>
        <v>94.438699999999983</v>
      </c>
      <c r="Y322" s="343">
        <v>416</v>
      </c>
      <c r="Z322" s="343">
        <v>328</v>
      </c>
      <c r="AA322" s="343">
        <f t="shared" si="109"/>
        <v>0.55913978494623651</v>
      </c>
      <c r="AB322" s="343">
        <f t="shared" si="110"/>
        <v>0.44086021505376344</v>
      </c>
      <c r="AF322" s="4">
        <f t="shared" si="113"/>
        <v>2031</v>
      </c>
      <c r="AG322" s="432">
        <f t="shared" si="116"/>
        <v>48061</v>
      </c>
      <c r="AH322" s="149">
        <f t="shared" si="111"/>
        <v>12.006617727025555</v>
      </c>
      <c r="AI322" s="150">
        <v>12.006617727025555</v>
      </c>
      <c r="AK322" s="4">
        <f t="shared" si="104"/>
        <v>2030</v>
      </c>
      <c r="AL322" s="432">
        <v>47664</v>
      </c>
      <c r="AM322" s="4">
        <f t="shared" si="105"/>
        <v>7.625</v>
      </c>
      <c r="AN322" s="4">
        <v>7.72</v>
      </c>
      <c r="AO322" s="4">
        <v>7.53</v>
      </c>
      <c r="AQ322" s="4">
        <f t="shared" si="106"/>
        <v>2034</v>
      </c>
      <c r="AR322" s="356">
        <v>49065</v>
      </c>
      <c r="AS322" s="4">
        <f t="shared" si="107"/>
        <v>13.899999999999999</v>
      </c>
      <c r="AT322" s="4">
        <v>14.04</v>
      </c>
      <c r="AU322" s="4">
        <v>13.76</v>
      </c>
      <c r="AV322" s="515">
        <f t="shared" si="114"/>
        <v>2040</v>
      </c>
      <c r="AW322" s="535">
        <v>51441</v>
      </c>
      <c r="AX322" s="515">
        <f t="shared" si="117"/>
        <v>7.3155999999999999</v>
      </c>
      <c r="AY322" s="596">
        <f>'[12]Forward Price Curve'!AE403</f>
        <v>7.2176</v>
      </c>
      <c r="AZ322" s="596">
        <f>'[12]Forward Price Curve'!AD403</f>
        <v>7.4135999999999997</v>
      </c>
      <c r="BA322" s="629"/>
      <c r="BB322" s="633"/>
      <c r="BC322" s="629"/>
      <c r="BD322" s="634"/>
      <c r="BE322" s="634"/>
    </row>
    <row r="323" spans="20:57">
      <c r="T323" s="4">
        <f t="shared" si="108"/>
        <v>2031</v>
      </c>
      <c r="U323" s="434">
        <f t="shared" si="118"/>
        <v>48092</v>
      </c>
      <c r="V323" s="150">
        <v>95.28</v>
      </c>
      <c r="W323" s="150">
        <v>89.35</v>
      </c>
      <c r="X323" s="357">
        <f t="shared" si="112"/>
        <v>92.730099999999993</v>
      </c>
      <c r="Y323" s="343">
        <v>400</v>
      </c>
      <c r="Z323" s="343">
        <v>320</v>
      </c>
      <c r="AA323" s="343">
        <f t="shared" si="109"/>
        <v>0.55555555555555558</v>
      </c>
      <c r="AB323" s="343">
        <f t="shared" si="110"/>
        <v>0.44444444444444442</v>
      </c>
      <c r="AF323" s="4">
        <f t="shared" si="113"/>
        <v>2031</v>
      </c>
      <c r="AG323" s="432">
        <f t="shared" si="116"/>
        <v>48092</v>
      </c>
      <c r="AH323" s="149">
        <f t="shared" si="111"/>
        <v>12.006617727025555</v>
      </c>
      <c r="AI323" s="150">
        <v>12.006617727025555</v>
      </c>
      <c r="AK323" s="4">
        <f t="shared" si="104"/>
        <v>2030</v>
      </c>
      <c r="AL323" s="432">
        <v>47695</v>
      </c>
      <c r="AM323" s="4">
        <f t="shared" si="105"/>
        <v>7.7450000000000001</v>
      </c>
      <c r="AN323" s="4">
        <v>7.84</v>
      </c>
      <c r="AO323" s="4">
        <v>7.65</v>
      </c>
      <c r="AQ323" s="4">
        <f t="shared" si="106"/>
        <v>2034</v>
      </c>
      <c r="AR323" s="356">
        <v>49096</v>
      </c>
      <c r="AS323" s="4">
        <f t="shared" si="107"/>
        <v>14.120000000000001</v>
      </c>
      <c r="AT323" s="4">
        <v>14.26</v>
      </c>
      <c r="AU323" s="4">
        <v>13.98</v>
      </c>
      <c r="AV323" s="515">
        <f t="shared" si="114"/>
        <v>2040</v>
      </c>
      <c r="AW323" s="535">
        <v>51471</v>
      </c>
      <c r="AX323" s="515">
        <f t="shared" si="117"/>
        <v>7.6809499999999993</v>
      </c>
      <c r="AY323" s="596">
        <f>'[12]Forward Price Curve'!AE404</f>
        <v>7.5739999999999998</v>
      </c>
      <c r="AZ323" s="596">
        <f>'[12]Forward Price Curve'!AD404</f>
        <v>7.7878999999999996</v>
      </c>
      <c r="BA323" s="629"/>
      <c r="BB323" s="633"/>
      <c r="BC323" s="629"/>
      <c r="BD323" s="634"/>
      <c r="BE323" s="634"/>
    </row>
    <row r="324" spans="20:57">
      <c r="T324" s="4">
        <f t="shared" si="108"/>
        <v>2031</v>
      </c>
      <c r="U324" s="434">
        <f t="shared" si="118"/>
        <v>48122</v>
      </c>
      <c r="V324" s="150">
        <v>94.55</v>
      </c>
      <c r="W324" s="150">
        <v>82.55</v>
      </c>
      <c r="X324" s="357">
        <f t="shared" si="112"/>
        <v>89.389999999999986</v>
      </c>
      <c r="Y324" s="343">
        <v>432</v>
      </c>
      <c r="Z324" s="343">
        <v>312</v>
      </c>
      <c r="AA324" s="343">
        <f t="shared" si="109"/>
        <v>0.58064516129032262</v>
      </c>
      <c r="AB324" s="343">
        <f t="shared" si="110"/>
        <v>0.41935483870967744</v>
      </c>
      <c r="AF324" s="4">
        <f t="shared" si="113"/>
        <v>2031</v>
      </c>
      <c r="AG324" s="432">
        <f t="shared" si="116"/>
        <v>48122</v>
      </c>
      <c r="AH324" s="149">
        <f t="shared" si="111"/>
        <v>12.431441000543773</v>
      </c>
      <c r="AI324" s="150">
        <v>12.431441000543773</v>
      </c>
      <c r="AK324" s="4">
        <f t="shared" si="104"/>
        <v>2030</v>
      </c>
      <c r="AL324" s="432">
        <v>47726</v>
      </c>
      <c r="AM324" s="4">
        <f t="shared" si="105"/>
        <v>7.7450000000000001</v>
      </c>
      <c r="AN324" s="4">
        <v>7.84</v>
      </c>
      <c r="AO324" s="4">
        <v>7.65</v>
      </c>
      <c r="AQ324" s="4">
        <f t="shared" si="106"/>
        <v>2034</v>
      </c>
      <c r="AR324" s="356">
        <v>49126</v>
      </c>
      <c r="AS324" s="4">
        <f t="shared" si="107"/>
        <v>14.335000000000001</v>
      </c>
      <c r="AT324" s="4">
        <v>14.47</v>
      </c>
      <c r="AU324" s="4">
        <v>14.2</v>
      </c>
      <c r="AV324" s="515">
        <f t="shared" si="114"/>
        <v>2041</v>
      </c>
      <c r="AW324" s="535">
        <v>51502</v>
      </c>
      <c r="AX324" s="515">
        <f t="shared" si="117"/>
        <v>7.6206499999999995</v>
      </c>
      <c r="AY324" s="596">
        <f>'[12]Forward Price Curve'!AE405</f>
        <v>7.6388999999999996</v>
      </c>
      <c r="AZ324" s="596">
        <f>'[12]Forward Price Curve'!AD405</f>
        <v>7.6024000000000003</v>
      </c>
      <c r="BA324" s="629"/>
      <c r="BB324" s="633"/>
      <c r="BC324" s="629"/>
      <c r="BD324" s="634"/>
      <c r="BE324" s="634"/>
    </row>
    <row r="325" spans="20:57">
      <c r="T325" s="4">
        <f t="shared" si="108"/>
        <v>2031</v>
      </c>
      <c r="U325" s="434">
        <f t="shared" si="118"/>
        <v>48153</v>
      </c>
      <c r="V325" s="150">
        <v>106.79</v>
      </c>
      <c r="W325" s="150">
        <v>93.64</v>
      </c>
      <c r="X325" s="357">
        <f t="shared" si="112"/>
        <v>101.13550000000001</v>
      </c>
      <c r="Y325" s="343">
        <v>384</v>
      </c>
      <c r="Z325" s="343">
        <v>336</v>
      </c>
      <c r="AA325" s="343">
        <f t="shared" si="109"/>
        <v>0.53333333333333333</v>
      </c>
      <c r="AB325" s="343">
        <f t="shared" si="110"/>
        <v>0.46666666666666667</v>
      </c>
      <c r="AF325" s="4">
        <f t="shared" si="113"/>
        <v>2031</v>
      </c>
      <c r="AG325" s="432">
        <f t="shared" si="116"/>
        <v>48153</v>
      </c>
      <c r="AH325" s="149">
        <f t="shared" si="111"/>
        <v>12.614964654703643</v>
      </c>
      <c r="AI325" s="150">
        <v>12.614964654703643</v>
      </c>
      <c r="AK325" s="4">
        <f t="shared" si="104"/>
        <v>2030</v>
      </c>
      <c r="AL325" s="432">
        <v>47756</v>
      </c>
      <c r="AM325" s="4">
        <f t="shared" si="105"/>
        <v>7.7450000000000001</v>
      </c>
      <c r="AN325" s="4">
        <v>7.84</v>
      </c>
      <c r="AO325" s="4">
        <v>7.65</v>
      </c>
      <c r="AQ325" s="4">
        <f t="shared" si="106"/>
        <v>2034</v>
      </c>
      <c r="AR325" s="356">
        <v>49157</v>
      </c>
      <c r="AS325" s="4">
        <f t="shared" si="107"/>
        <v>14.335000000000001</v>
      </c>
      <c r="AT325" s="4">
        <v>14.47</v>
      </c>
      <c r="AU325" s="4">
        <v>14.2</v>
      </c>
      <c r="AV325" s="515">
        <f t="shared" si="114"/>
        <v>2041</v>
      </c>
      <c r="AW325" s="535">
        <v>51533</v>
      </c>
      <c r="AX325" s="515">
        <f t="shared" si="117"/>
        <v>7.8393999999999995</v>
      </c>
      <c r="AY325" s="596">
        <f>'[12]Forward Price Curve'!AE406</f>
        <v>7.7118000000000002</v>
      </c>
      <c r="AZ325" s="596">
        <f>'[12]Forward Price Curve'!AD406</f>
        <v>7.9669999999999996</v>
      </c>
      <c r="BA325" s="629"/>
      <c r="BB325" s="633"/>
      <c r="BC325" s="629"/>
      <c r="BD325" s="634"/>
      <c r="BE325" s="634"/>
    </row>
    <row r="326" spans="20:57">
      <c r="T326" s="4">
        <f t="shared" si="108"/>
        <v>2031</v>
      </c>
      <c r="U326" s="434">
        <f t="shared" si="118"/>
        <v>48183</v>
      </c>
      <c r="V326" s="150">
        <v>111.79</v>
      </c>
      <c r="W326" s="150">
        <v>102.52</v>
      </c>
      <c r="X326" s="357">
        <f t="shared" si="112"/>
        <v>107.8039</v>
      </c>
      <c r="Y326" s="343">
        <v>416</v>
      </c>
      <c r="Z326" s="343">
        <v>328</v>
      </c>
      <c r="AA326" s="343">
        <f t="shared" si="109"/>
        <v>0.55913978494623651</v>
      </c>
      <c r="AB326" s="343">
        <f t="shared" si="110"/>
        <v>0.44086021505376344</v>
      </c>
      <c r="AF326" s="4">
        <f t="shared" si="113"/>
        <v>2031</v>
      </c>
      <c r="AG326" s="432">
        <f t="shared" si="116"/>
        <v>48183</v>
      </c>
      <c r="AH326" s="149">
        <f t="shared" si="111"/>
        <v>13.216514410005436</v>
      </c>
      <c r="AI326" s="150">
        <v>13.216514410005436</v>
      </c>
      <c r="AK326" s="4">
        <f t="shared" si="104"/>
        <v>2030</v>
      </c>
      <c r="AL326" s="432">
        <v>47787</v>
      </c>
      <c r="AM326" s="4">
        <f t="shared" si="105"/>
        <v>8.0350000000000001</v>
      </c>
      <c r="AN326" s="4">
        <v>8.07</v>
      </c>
      <c r="AO326" s="4">
        <v>8</v>
      </c>
      <c r="AQ326" s="4">
        <f t="shared" si="106"/>
        <v>2034</v>
      </c>
      <c r="AR326" s="356">
        <v>49188</v>
      </c>
      <c r="AS326" s="4">
        <f t="shared" si="107"/>
        <v>14.335000000000001</v>
      </c>
      <c r="AT326" s="4">
        <v>14.47</v>
      </c>
      <c r="AU326" s="4">
        <v>14.2</v>
      </c>
      <c r="AV326" s="515">
        <f t="shared" si="114"/>
        <v>2041</v>
      </c>
      <c r="AW326" s="535">
        <v>51561</v>
      </c>
      <c r="AX326" s="515">
        <f t="shared" si="117"/>
        <v>7.3380000000000001</v>
      </c>
      <c r="AY326" s="596">
        <f>'[12]Forward Price Curve'!AE407</f>
        <v>7.2742000000000004</v>
      </c>
      <c r="AZ326" s="596">
        <f>'[12]Forward Price Curve'!AD407</f>
        <v>7.4017999999999997</v>
      </c>
      <c r="BA326" s="629"/>
      <c r="BB326" s="633"/>
      <c r="BC326" s="629"/>
      <c r="BD326" s="634"/>
      <c r="BE326" s="634"/>
    </row>
    <row r="327" spans="20:57">
      <c r="T327" s="4">
        <f t="shared" si="108"/>
        <v>2032</v>
      </c>
      <c r="U327" s="434">
        <f t="shared" si="118"/>
        <v>48214</v>
      </c>
      <c r="V327" s="150">
        <v>117.25</v>
      </c>
      <c r="W327" s="150">
        <v>105.82</v>
      </c>
      <c r="X327" s="357">
        <f t="shared" si="112"/>
        <v>112.33509999999998</v>
      </c>
      <c r="Y327" s="343">
        <v>416</v>
      </c>
      <c r="Z327" s="343">
        <v>328</v>
      </c>
      <c r="AA327" s="343">
        <f t="shared" si="109"/>
        <v>0.55913978494623651</v>
      </c>
      <c r="AB327" s="343">
        <f t="shared" si="110"/>
        <v>0.44086021505376344</v>
      </c>
      <c r="AF327" s="4">
        <f t="shared" si="113"/>
        <v>2032</v>
      </c>
      <c r="AG327" s="432">
        <f t="shared" si="116"/>
        <v>48214</v>
      </c>
      <c r="AH327" s="149">
        <f t="shared" si="111"/>
        <v>14.361837955410548</v>
      </c>
      <c r="AI327" s="150">
        <v>14.361837955410548</v>
      </c>
      <c r="AK327" s="4">
        <f t="shared" si="104"/>
        <v>2030</v>
      </c>
      <c r="AL327" s="432">
        <v>47817</v>
      </c>
      <c r="AM327" s="4">
        <f t="shared" si="105"/>
        <v>8.1499999999999986</v>
      </c>
      <c r="AN327" s="4">
        <v>8.18</v>
      </c>
      <c r="AO327" s="4">
        <v>8.1199999999999992</v>
      </c>
      <c r="AQ327" s="4">
        <f t="shared" si="106"/>
        <v>2034</v>
      </c>
      <c r="AR327" s="356">
        <v>49218</v>
      </c>
      <c r="AS327" s="4">
        <f t="shared" si="107"/>
        <v>14.875</v>
      </c>
      <c r="AT327" s="4">
        <v>14.9</v>
      </c>
      <c r="AU327" s="4">
        <v>14.85</v>
      </c>
      <c r="AV327" s="515">
        <f t="shared" si="114"/>
        <v>2041</v>
      </c>
      <c r="AW327" s="535">
        <v>51592</v>
      </c>
      <c r="AX327" s="515">
        <f t="shared" si="117"/>
        <v>6.9278499999999994</v>
      </c>
      <c r="AY327" s="596">
        <f>'[12]Forward Price Curve'!AE408</f>
        <v>6.8914</v>
      </c>
      <c r="AZ327" s="596">
        <f>'[12]Forward Price Curve'!AD408</f>
        <v>6.9642999999999997</v>
      </c>
      <c r="BA327" s="629"/>
      <c r="BB327" s="633"/>
      <c r="BC327" s="629"/>
      <c r="BD327" s="634"/>
      <c r="BE327" s="634"/>
    </row>
    <row r="328" spans="20:57">
      <c r="T328" s="4">
        <f t="shared" si="108"/>
        <v>2032</v>
      </c>
      <c r="U328" s="434">
        <f t="shared" si="118"/>
        <v>48245</v>
      </c>
      <c r="V328" s="150">
        <v>110.35</v>
      </c>
      <c r="W328" s="150">
        <v>95.98</v>
      </c>
      <c r="X328" s="357">
        <f t="shared" si="112"/>
        <v>104.17089999999999</v>
      </c>
      <c r="Y328" s="343">
        <v>384</v>
      </c>
      <c r="Z328" s="343">
        <v>312</v>
      </c>
      <c r="AA328" s="343">
        <f t="shared" si="109"/>
        <v>0.55172413793103448</v>
      </c>
      <c r="AB328" s="343">
        <f t="shared" si="110"/>
        <v>0.44827586206896552</v>
      </c>
      <c r="AF328" s="4">
        <f t="shared" si="113"/>
        <v>2032</v>
      </c>
      <c r="AG328" s="432">
        <f t="shared" si="116"/>
        <v>48245</v>
      </c>
      <c r="AH328" s="149">
        <f t="shared" si="111"/>
        <v>13.495198477433386</v>
      </c>
      <c r="AI328" s="150">
        <v>13.495198477433386</v>
      </c>
      <c r="AK328" s="4">
        <f t="shared" si="104"/>
        <v>2030</v>
      </c>
      <c r="AL328" s="432">
        <v>47848</v>
      </c>
      <c r="AM328" s="4">
        <f t="shared" si="105"/>
        <v>8.5599999999999987</v>
      </c>
      <c r="AN328" s="4">
        <v>8.5299999999999994</v>
      </c>
      <c r="AO328" s="4">
        <v>8.59</v>
      </c>
      <c r="AQ328" s="4">
        <f t="shared" si="106"/>
        <v>2034</v>
      </c>
      <c r="AR328" s="356">
        <v>49249</v>
      </c>
      <c r="AS328" s="4">
        <f t="shared" si="107"/>
        <v>15.09</v>
      </c>
      <c r="AT328" s="4">
        <v>15.11</v>
      </c>
      <c r="AU328" s="4">
        <v>15.07</v>
      </c>
      <c r="AV328" s="515">
        <f t="shared" si="114"/>
        <v>2041</v>
      </c>
      <c r="AW328" s="535">
        <v>51622</v>
      </c>
      <c r="AX328" s="515">
        <f t="shared" si="117"/>
        <v>6.88225</v>
      </c>
      <c r="AY328" s="596">
        <f>'[12]Forward Price Curve'!AE409</f>
        <v>6.8731</v>
      </c>
      <c r="AZ328" s="596">
        <f>'[12]Forward Price Curve'!AD409</f>
        <v>6.8914</v>
      </c>
      <c r="BA328" s="629"/>
      <c r="BB328" s="633"/>
      <c r="BC328" s="629"/>
      <c r="BD328" s="634"/>
      <c r="BE328" s="634"/>
    </row>
    <row r="329" spans="20:57">
      <c r="T329" s="4">
        <f t="shared" si="108"/>
        <v>2032</v>
      </c>
      <c r="U329" s="434">
        <f t="shared" si="118"/>
        <v>48274</v>
      </c>
      <c r="V329" s="150">
        <v>93.53</v>
      </c>
      <c r="W329" s="150">
        <v>83.63</v>
      </c>
      <c r="X329" s="357">
        <f t="shared" si="112"/>
        <v>89.272999999999996</v>
      </c>
      <c r="Y329" s="343">
        <v>432</v>
      </c>
      <c r="Z329" s="343">
        <v>312</v>
      </c>
      <c r="AA329" s="343">
        <f t="shared" si="109"/>
        <v>0.58064516129032262</v>
      </c>
      <c r="AB329" s="343">
        <f t="shared" si="110"/>
        <v>0.41935483870967744</v>
      </c>
      <c r="AF329" s="4">
        <f t="shared" si="113"/>
        <v>2032</v>
      </c>
      <c r="AG329" s="432">
        <f t="shared" si="116"/>
        <v>48274</v>
      </c>
      <c r="AH329" s="149">
        <f t="shared" si="111"/>
        <v>12.693132137030997</v>
      </c>
      <c r="AI329" s="150">
        <v>12.693132137030997</v>
      </c>
      <c r="AK329" s="4">
        <f t="shared" si="104"/>
        <v>2031</v>
      </c>
      <c r="AL329" s="432">
        <v>47879</v>
      </c>
      <c r="AM329" s="4">
        <f t="shared" si="105"/>
        <v>9.5249999999999986</v>
      </c>
      <c r="AN329" s="4">
        <v>9.43</v>
      </c>
      <c r="AO329" s="4">
        <v>9.6199999999999992</v>
      </c>
      <c r="AQ329" s="4">
        <f t="shared" si="106"/>
        <v>2034</v>
      </c>
      <c r="AR329" s="356">
        <v>49279</v>
      </c>
      <c r="AS329" s="4">
        <f t="shared" si="107"/>
        <v>15.85</v>
      </c>
      <c r="AT329" s="4">
        <v>15.75</v>
      </c>
      <c r="AU329" s="4">
        <v>15.95</v>
      </c>
      <c r="AV329" s="515">
        <f t="shared" si="114"/>
        <v>2041</v>
      </c>
      <c r="AW329" s="535">
        <v>51653</v>
      </c>
      <c r="AX329" s="515">
        <f t="shared" si="117"/>
        <v>6.8002500000000001</v>
      </c>
      <c r="AY329" s="596">
        <f>'[12]Forward Price Curve'!AE410</f>
        <v>6.8367000000000004</v>
      </c>
      <c r="AZ329" s="596">
        <f>'[12]Forward Price Curve'!AD410</f>
        <v>6.7637999999999998</v>
      </c>
      <c r="BA329" s="629"/>
      <c r="BB329" s="633"/>
      <c r="BC329" s="629"/>
      <c r="BD329" s="634"/>
      <c r="BE329" s="634"/>
    </row>
    <row r="330" spans="20:57">
      <c r="T330" s="4">
        <f t="shared" si="108"/>
        <v>2032</v>
      </c>
      <c r="U330" s="434">
        <f t="shared" si="118"/>
        <v>48305</v>
      </c>
      <c r="V330" s="150">
        <v>93.02</v>
      </c>
      <c r="W330" s="150">
        <v>88.62</v>
      </c>
      <c r="X330" s="357">
        <f t="shared" si="112"/>
        <v>91.127999999999986</v>
      </c>
      <c r="Y330" s="343">
        <v>416</v>
      </c>
      <c r="Z330" s="343">
        <v>304</v>
      </c>
      <c r="AA330" s="343">
        <f t="shared" si="109"/>
        <v>0.57777777777777772</v>
      </c>
      <c r="AB330" s="343">
        <f t="shared" si="110"/>
        <v>0.42222222222222222</v>
      </c>
      <c r="AF330" s="4">
        <f t="shared" si="113"/>
        <v>2032</v>
      </c>
      <c r="AG330" s="432">
        <f t="shared" si="116"/>
        <v>48305</v>
      </c>
      <c r="AH330" s="149">
        <f t="shared" si="111"/>
        <v>12.01341489940185</v>
      </c>
      <c r="AI330" s="150">
        <v>12.01341489940185</v>
      </c>
      <c r="AK330" s="4">
        <f t="shared" si="104"/>
        <v>2031</v>
      </c>
      <c r="AL330" s="432">
        <v>47907</v>
      </c>
      <c r="AM330" s="4">
        <f t="shared" si="105"/>
        <v>8.86</v>
      </c>
      <c r="AN330" s="4">
        <v>8.83</v>
      </c>
      <c r="AO330" s="4">
        <v>8.89</v>
      </c>
      <c r="AQ330" s="4">
        <f t="shared" si="106"/>
        <v>2035</v>
      </c>
      <c r="AR330" s="356">
        <v>49310</v>
      </c>
      <c r="AS330" s="4">
        <f t="shared" si="107"/>
        <v>17.34</v>
      </c>
      <c r="AT330" s="4">
        <v>17.11</v>
      </c>
      <c r="AU330" s="4">
        <v>17.57</v>
      </c>
      <c r="AV330" s="515">
        <f t="shared" si="114"/>
        <v>2041</v>
      </c>
      <c r="AW330" s="535">
        <v>51683</v>
      </c>
      <c r="AX330" s="515">
        <f t="shared" si="117"/>
        <v>6.8822500000000009</v>
      </c>
      <c r="AY330" s="596">
        <f>'[12]Forward Price Curve'!AE411</f>
        <v>6.9278000000000004</v>
      </c>
      <c r="AZ330" s="596">
        <f>'[12]Forward Price Curve'!AD411</f>
        <v>6.8367000000000004</v>
      </c>
      <c r="BA330" s="629"/>
      <c r="BB330" s="633"/>
      <c r="BC330" s="629"/>
      <c r="BD330" s="634"/>
      <c r="BE330" s="634"/>
    </row>
    <row r="331" spans="20:57">
      <c r="T331" s="4">
        <f t="shared" si="108"/>
        <v>2032</v>
      </c>
      <c r="U331" s="434">
        <f t="shared" si="118"/>
        <v>48335</v>
      </c>
      <c r="V331" s="150">
        <v>94.73</v>
      </c>
      <c r="W331" s="150">
        <v>89.11</v>
      </c>
      <c r="X331" s="357">
        <f t="shared" si="112"/>
        <v>92.313400000000001</v>
      </c>
      <c r="Y331" s="343">
        <v>400</v>
      </c>
      <c r="Z331" s="343">
        <v>344</v>
      </c>
      <c r="AA331" s="343">
        <f t="shared" si="109"/>
        <v>0.5376344086021505</v>
      </c>
      <c r="AB331" s="343">
        <f t="shared" si="110"/>
        <v>0.46236559139784944</v>
      </c>
      <c r="AF331" s="4">
        <f t="shared" si="113"/>
        <v>2032</v>
      </c>
      <c r="AG331" s="432">
        <f t="shared" si="116"/>
        <v>48335</v>
      </c>
      <c r="AH331" s="149">
        <f t="shared" si="111"/>
        <v>11.887667210440457</v>
      </c>
      <c r="AI331" s="150">
        <v>11.887667210440457</v>
      </c>
      <c r="AK331" s="4">
        <f t="shared" si="104"/>
        <v>2031</v>
      </c>
      <c r="AL331" s="432">
        <v>47938</v>
      </c>
      <c r="AM331" s="4">
        <f t="shared" si="105"/>
        <v>8.3149999999999995</v>
      </c>
      <c r="AN331" s="4">
        <v>8.35</v>
      </c>
      <c r="AO331" s="4">
        <v>8.2799999999999994</v>
      </c>
      <c r="AQ331" s="4">
        <f t="shared" si="106"/>
        <v>2035</v>
      </c>
      <c r="AR331" s="356">
        <v>49341</v>
      </c>
      <c r="AS331" s="4">
        <f t="shared" si="107"/>
        <v>16.130000000000003</v>
      </c>
      <c r="AT331" s="4">
        <v>16.03</v>
      </c>
      <c r="AU331" s="4">
        <v>16.23</v>
      </c>
      <c r="AV331" s="515">
        <f t="shared" si="114"/>
        <v>2041</v>
      </c>
      <c r="AW331" s="535">
        <v>51714</v>
      </c>
      <c r="AX331" s="515">
        <f t="shared" si="117"/>
        <v>7.1010499999999999</v>
      </c>
      <c r="AY331" s="596">
        <f>'[12]Forward Price Curve'!AE412</f>
        <v>7.0736999999999997</v>
      </c>
      <c r="AZ331" s="596">
        <f>'[12]Forward Price Curve'!AD412</f>
        <v>7.1284000000000001</v>
      </c>
      <c r="BA331" s="629"/>
      <c r="BB331" s="633"/>
      <c r="BC331" s="629"/>
      <c r="BD331" s="634"/>
      <c r="BE331" s="634"/>
    </row>
    <row r="332" spans="20:57">
      <c r="T332" s="4">
        <f t="shared" si="108"/>
        <v>2032</v>
      </c>
      <c r="U332" s="434">
        <f t="shared" si="118"/>
        <v>48366</v>
      </c>
      <c r="V332" s="150">
        <v>102.54</v>
      </c>
      <c r="W332" s="150">
        <v>91.51</v>
      </c>
      <c r="X332" s="357">
        <f t="shared" si="112"/>
        <v>97.7971</v>
      </c>
      <c r="Y332" s="343">
        <v>416</v>
      </c>
      <c r="Z332" s="343">
        <v>304</v>
      </c>
      <c r="AA332" s="343">
        <f t="shared" si="109"/>
        <v>0.57777777777777772</v>
      </c>
      <c r="AB332" s="343">
        <f t="shared" si="110"/>
        <v>0.42222222222222222</v>
      </c>
      <c r="AF332" s="4">
        <f t="shared" si="113"/>
        <v>2032</v>
      </c>
      <c r="AG332" s="432">
        <f t="shared" si="116"/>
        <v>48366</v>
      </c>
      <c r="AH332" s="149">
        <f t="shared" si="111"/>
        <v>12.077988036976619</v>
      </c>
      <c r="AI332" s="150">
        <v>12.077988036976619</v>
      </c>
      <c r="AK332" s="4">
        <f t="shared" si="104"/>
        <v>2031</v>
      </c>
      <c r="AL332" s="432">
        <v>47968</v>
      </c>
      <c r="AM332" s="4">
        <f t="shared" si="105"/>
        <v>7.77</v>
      </c>
      <c r="AN332" s="4">
        <v>7.87</v>
      </c>
      <c r="AO332" s="4">
        <v>7.67</v>
      </c>
      <c r="AQ332" s="4">
        <f t="shared" si="106"/>
        <v>2035</v>
      </c>
      <c r="AR332" s="356">
        <v>49369</v>
      </c>
      <c r="AS332" s="4">
        <f t="shared" si="107"/>
        <v>15.14</v>
      </c>
      <c r="AT332" s="4">
        <v>15.16</v>
      </c>
      <c r="AU332" s="4">
        <v>15.12</v>
      </c>
      <c r="AV332" s="515">
        <f t="shared" si="114"/>
        <v>2041</v>
      </c>
      <c r="AW332" s="535">
        <v>51745</v>
      </c>
      <c r="AX332" s="515">
        <f t="shared" si="117"/>
        <v>6.9278500000000003</v>
      </c>
      <c r="AY332" s="596">
        <f>'[12]Forward Price Curve'!AE413</f>
        <v>6.9096000000000002</v>
      </c>
      <c r="AZ332" s="596">
        <f>'[12]Forward Price Curve'!AD413</f>
        <v>6.9461000000000004</v>
      </c>
      <c r="BA332" s="629"/>
      <c r="BB332" s="633"/>
      <c r="BC332" s="629"/>
      <c r="BD332" s="634"/>
      <c r="BE332" s="634"/>
    </row>
    <row r="333" spans="20:57">
      <c r="T333" s="4">
        <f t="shared" si="108"/>
        <v>2032</v>
      </c>
      <c r="U333" s="434">
        <f t="shared" si="118"/>
        <v>48396</v>
      </c>
      <c r="V333" s="150">
        <v>97.66</v>
      </c>
      <c r="W333" s="150">
        <v>93.61</v>
      </c>
      <c r="X333" s="357">
        <f t="shared" si="112"/>
        <v>95.918499999999995</v>
      </c>
      <c r="Y333" s="343">
        <v>416</v>
      </c>
      <c r="Z333" s="343">
        <v>328</v>
      </c>
      <c r="AA333" s="343">
        <f t="shared" si="109"/>
        <v>0.55913978494623651</v>
      </c>
      <c r="AB333" s="343">
        <f t="shared" si="110"/>
        <v>0.44086021505376344</v>
      </c>
      <c r="AF333" s="4">
        <f t="shared" si="113"/>
        <v>2032</v>
      </c>
      <c r="AG333" s="432">
        <f t="shared" si="116"/>
        <v>48396</v>
      </c>
      <c r="AH333" s="149">
        <f t="shared" si="111"/>
        <v>12.261511691136484</v>
      </c>
      <c r="AI333" s="150">
        <v>12.261511691136484</v>
      </c>
      <c r="AK333" s="4">
        <f t="shared" ref="AK333:AK371" si="119">YEAR(AL333)</f>
        <v>2031</v>
      </c>
      <c r="AL333" s="432">
        <v>47999</v>
      </c>
      <c r="AM333" s="4">
        <f t="shared" ref="AM333:AM371" si="120">AVERAGE(AN333:AO333)</f>
        <v>7.77</v>
      </c>
      <c r="AN333" s="4">
        <v>7.87</v>
      </c>
      <c r="AO333" s="4">
        <v>7.67</v>
      </c>
      <c r="AQ333" s="4">
        <f t="shared" ref="AQ333:AQ372" si="121">YEAR(AR333)</f>
        <v>2035</v>
      </c>
      <c r="AR333" s="356">
        <v>49400</v>
      </c>
      <c r="AS333" s="4">
        <f t="shared" ref="AS333:AS372" si="122">AVERAGE(AT333:AU333)</f>
        <v>14.155000000000001</v>
      </c>
      <c r="AT333" s="4">
        <v>14.3</v>
      </c>
      <c r="AU333" s="4">
        <v>14.01</v>
      </c>
      <c r="AV333" s="515">
        <f t="shared" si="114"/>
        <v>2041</v>
      </c>
      <c r="AW333" s="535">
        <v>51775</v>
      </c>
      <c r="AX333" s="515">
        <f t="shared" si="117"/>
        <v>7.2012999999999998</v>
      </c>
      <c r="AY333" s="596">
        <f>'[12]Forward Price Curve'!AE414</f>
        <v>7.1284000000000001</v>
      </c>
      <c r="AZ333" s="596">
        <f>'[12]Forward Price Curve'!AD414</f>
        <v>7.2742000000000004</v>
      </c>
      <c r="BA333" s="629"/>
      <c r="BB333" s="633"/>
      <c r="BC333" s="629"/>
      <c r="BD333" s="634"/>
      <c r="BE333" s="634"/>
    </row>
    <row r="334" spans="20:57">
      <c r="T334" s="4">
        <f t="shared" si="108"/>
        <v>2032</v>
      </c>
      <c r="U334" s="434">
        <f t="shared" si="118"/>
        <v>48427</v>
      </c>
      <c r="V334" s="150">
        <v>98.14</v>
      </c>
      <c r="W334" s="150">
        <v>94.14</v>
      </c>
      <c r="X334" s="357">
        <f t="shared" si="112"/>
        <v>96.419999999999987</v>
      </c>
      <c r="Y334" s="343">
        <v>416</v>
      </c>
      <c r="Z334" s="343">
        <v>328</v>
      </c>
      <c r="AA334" s="343">
        <f t="shared" si="109"/>
        <v>0.55913978494623651</v>
      </c>
      <c r="AB334" s="343">
        <f t="shared" si="110"/>
        <v>0.44086021505376344</v>
      </c>
      <c r="AF334" s="4">
        <f t="shared" si="113"/>
        <v>2032</v>
      </c>
      <c r="AG334" s="432">
        <f t="shared" si="116"/>
        <v>48427</v>
      </c>
      <c r="AH334" s="149">
        <f t="shared" si="111"/>
        <v>12.261511691136484</v>
      </c>
      <c r="AI334" s="150">
        <v>12.261511691136484</v>
      </c>
      <c r="AK334" s="4">
        <f t="shared" si="119"/>
        <v>2031</v>
      </c>
      <c r="AL334" s="432">
        <v>48029</v>
      </c>
      <c r="AM334" s="4">
        <f t="shared" si="120"/>
        <v>7.8949999999999996</v>
      </c>
      <c r="AN334" s="4">
        <v>7.99</v>
      </c>
      <c r="AO334" s="4">
        <v>7.8</v>
      </c>
      <c r="AQ334" s="4">
        <f t="shared" si="121"/>
        <v>2035</v>
      </c>
      <c r="AR334" s="356">
        <v>49430</v>
      </c>
      <c r="AS334" s="4">
        <f t="shared" si="122"/>
        <v>14.155000000000001</v>
      </c>
      <c r="AT334" s="4">
        <v>14.3</v>
      </c>
      <c r="AU334" s="4">
        <v>14.01</v>
      </c>
      <c r="AV334" s="515">
        <f t="shared" si="114"/>
        <v>2041</v>
      </c>
      <c r="AW334" s="535">
        <v>51806</v>
      </c>
      <c r="AX334" s="515">
        <f t="shared" si="117"/>
        <v>7.4839000000000002</v>
      </c>
      <c r="AY334" s="596">
        <f>'[12]Forward Price Curve'!AE415</f>
        <v>7.3836000000000004</v>
      </c>
      <c r="AZ334" s="596">
        <f>'[12]Forward Price Curve'!AD415</f>
        <v>7.5842000000000001</v>
      </c>
      <c r="BA334" s="629"/>
      <c r="BB334" s="633"/>
      <c r="BC334" s="629"/>
      <c r="BD334" s="634"/>
      <c r="BE334" s="634"/>
    </row>
    <row r="335" spans="20:57">
      <c r="T335" s="4">
        <f t="shared" si="108"/>
        <v>2032</v>
      </c>
      <c r="U335" s="434">
        <f t="shared" si="118"/>
        <v>48458</v>
      </c>
      <c r="V335" s="150">
        <v>97.28</v>
      </c>
      <c r="W335" s="150">
        <v>91.22</v>
      </c>
      <c r="X335" s="357">
        <f t="shared" si="112"/>
        <v>94.674199999999999</v>
      </c>
      <c r="Y335" s="343">
        <v>400</v>
      </c>
      <c r="Z335" s="343">
        <v>320</v>
      </c>
      <c r="AA335" s="343">
        <f t="shared" si="109"/>
        <v>0.55555555555555558</v>
      </c>
      <c r="AB335" s="343">
        <f t="shared" si="110"/>
        <v>0.44444444444444442</v>
      </c>
      <c r="AF335" s="4">
        <f t="shared" si="113"/>
        <v>2032</v>
      </c>
      <c r="AG335" s="432">
        <f t="shared" si="116"/>
        <v>48458</v>
      </c>
      <c r="AH335" s="149">
        <f t="shared" si="111"/>
        <v>12.261511691136484</v>
      </c>
      <c r="AI335" s="150">
        <v>12.261511691136484</v>
      </c>
      <c r="AK335" s="4">
        <f t="shared" si="119"/>
        <v>2031</v>
      </c>
      <c r="AL335" s="432">
        <v>48060</v>
      </c>
      <c r="AM335" s="4">
        <f t="shared" si="120"/>
        <v>8.0150000000000006</v>
      </c>
      <c r="AN335" s="4">
        <v>8.11</v>
      </c>
      <c r="AO335" s="4">
        <v>7.92</v>
      </c>
      <c r="AQ335" s="4">
        <f t="shared" si="121"/>
        <v>2035</v>
      </c>
      <c r="AR335" s="356">
        <v>49461</v>
      </c>
      <c r="AS335" s="4">
        <f t="shared" si="122"/>
        <v>14.370000000000001</v>
      </c>
      <c r="AT335" s="4">
        <v>14.51</v>
      </c>
      <c r="AU335" s="4">
        <v>14.23</v>
      </c>
      <c r="AV335" s="515">
        <f t="shared" si="114"/>
        <v>2041</v>
      </c>
      <c r="AW335" s="535">
        <v>51836</v>
      </c>
      <c r="AX335" s="515">
        <f t="shared" si="117"/>
        <v>7.8575999999999997</v>
      </c>
      <c r="AY335" s="596">
        <f>'[12]Forward Price Curve'!AE416</f>
        <v>7.7481999999999998</v>
      </c>
      <c r="AZ335" s="596">
        <f>'[12]Forward Price Curve'!AD416</f>
        <v>7.9669999999999996</v>
      </c>
      <c r="BA335" s="629"/>
      <c r="BB335" s="633"/>
      <c r="BC335" s="629"/>
      <c r="BD335" s="634"/>
      <c r="BE335" s="634"/>
    </row>
    <row r="336" spans="20:57">
      <c r="T336" s="4">
        <f t="shared" ref="T336:T383" si="123">+YEAR(U336)</f>
        <v>2032</v>
      </c>
      <c r="U336" s="434">
        <f t="shared" si="118"/>
        <v>48488</v>
      </c>
      <c r="V336" s="150">
        <v>96.54</v>
      </c>
      <c r="W336" s="150">
        <v>84.28</v>
      </c>
      <c r="X336" s="357">
        <f t="shared" si="112"/>
        <v>91.268200000000007</v>
      </c>
      <c r="Y336" s="343">
        <v>416</v>
      </c>
      <c r="Z336" s="343">
        <v>328</v>
      </c>
      <c r="AA336" s="343">
        <f t="shared" ref="AA336:AA383" si="124">Y336/(Y336+Z336)</f>
        <v>0.55913978494623651</v>
      </c>
      <c r="AB336" s="343">
        <f t="shared" ref="AB336:AB383" si="125">Z336/(Y336+Z336)</f>
        <v>0.44086021505376344</v>
      </c>
      <c r="AF336" s="4">
        <f t="shared" si="113"/>
        <v>2032</v>
      </c>
      <c r="AG336" s="432">
        <f t="shared" si="116"/>
        <v>48488</v>
      </c>
      <c r="AH336" s="149">
        <f t="shared" ref="AH336:AH383" si="126">AI336</f>
        <v>12.693132137030997</v>
      </c>
      <c r="AI336" s="150">
        <v>12.693132137030997</v>
      </c>
      <c r="AK336" s="4">
        <f t="shared" si="119"/>
        <v>2031</v>
      </c>
      <c r="AL336" s="432">
        <v>48091</v>
      </c>
      <c r="AM336" s="4">
        <f t="shared" si="120"/>
        <v>8.0150000000000006</v>
      </c>
      <c r="AN336" s="4">
        <v>8.11</v>
      </c>
      <c r="AO336" s="4">
        <v>7.92</v>
      </c>
      <c r="AQ336" s="4">
        <f t="shared" si="121"/>
        <v>2035</v>
      </c>
      <c r="AR336" s="356">
        <v>49491</v>
      </c>
      <c r="AS336" s="4">
        <f t="shared" si="122"/>
        <v>14.59</v>
      </c>
      <c r="AT336" s="4">
        <v>14.73</v>
      </c>
      <c r="AU336" s="4">
        <v>14.45</v>
      </c>
      <c r="AV336" s="515">
        <f t="shared" si="114"/>
        <v>2042</v>
      </c>
      <c r="AW336" s="535">
        <v>51867</v>
      </c>
      <c r="AX336" s="515">
        <f t="shared" si="117"/>
        <v>7.7958499999999997</v>
      </c>
      <c r="AY336" s="596">
        <f>'[12]Forward Price Curve'!AE417</f>
        <v>7.8144999999999998</v>
      </c>
      <c r="AZ336" s="596">
        <f>'[12]Forward Price Curve'!AD417</f>
        <v>7.7771999999999997</v>
      </c>
      <c r="BA336" s="629"/>
      <c r="BB336" s="633"/>
      <c r="BC336" s="629"/>
      <c r="BD336" s="634"/>
      <c r="BE336" s="634"/>
    </row>
    <row r="337" spans="20:57">
      <c r="T337" s="4">
        <f t="shared" si="123"/>
        <v>2032</v>
      </c>
      <c r="U337" s="434">
        <f t="shared" si="118"/>
        <v>48519</v>
      </c>
      <c r="V337" s="150">
        <v>109.03</v>
      </c>
      <c r="W337" s="150">
        <v>95.61</v>
      </c>
      <c r="X337" s="357">
        <f t="shared" si="112"/>
        <v>103.2594</v>
      </c>
      <c r="Y337" s="343">
        <v>400</v>
      </c>
      <c r="Z337" s="343">
        <v>320</v>
      </c>
      <c r="AA337" s="343">
        <f t="shared" si="124"/>
        <v>0.55555555555555558</v>
      </c>
      <c r="AB337" s="343">
        <f t="shared" si="125"/>
        <v>0.44444444444444442</v>
      </c>
      <c r="AF337" s="4">
        <f t="shared" si="113"/>
        <v>2032</v>
      </c>
      <c r="AG337" s="432">
        <f t="shared" si="116"/>
        <v>48519</v>
      </c>
      <c r="AH337" s="149">
        <f t="shared" si="126"/>
        <v>12.876655791190865</v>
      </c>
      <c r="AI337" s="150">
        <v>12.876655791190865</v>
      </c>
      <c r="AK337" s="4">
        <f t="shared" si="119"/>
        <v>2031</v>
      </c>
      <c r="AL337" s="432">
        <v>48121</v>
      </c>
      <c r="AM337" s="4">
        <f t="shared" si="120"/>
        <v>8.0150000000000006</v>
      </c>
      <c r="AN337" s="4">
        <v>8.11</v>
      </c>
      <c r="AO337" s="4">
        <v>7.92</v>
      </c>
      <c r="AQ337" s="4">
        <f t="shared" si="121"/>
        <v>2035</v>
      </c>
      <c r="AR337" s="356">
        <v>49522</v>
      </c>
      <c r="AS337" s="4">
        <f t="shared" si="122"/>
        <v>14.59</v>
      </c>
      <c r="AT337" s="4">
        <v>14.73</v>
      </c>
      <c r="AU337" s="4">
        <v>14.45</v>
      </c>
      <c r="AV337" s="515">
        <f t="shared" si="114"/>
        <v>2042</v>
      </c>
      <c r="AW337" s="535">
        <v>51898</v>
      </c>
      <c r="AX337" s="515">
        <f t="shared" si="117"/>
        <v>8.0197000000000003</v>
      </c>
      <c r="AY337" s="596">
        <f>'[12]Forward Price Curve'!AE418</f>
        <v>7.8891</v>
      </c>
      <c r="AZ337" s="596">
        <f>'[12]Forward Price Curve'!AD418</f>
        <v>8.1502999999999997</v>
      </c>
      <c r="BA337" s="629"/>
      <c r="BB337" s="633"/>
      <c r="BC337" s="629"/>
      <c r="BD337" s="634"/>
      <c r="BE337" s="634"/>
    </row>
    <row r="338" spans="20:57">
      <c r="T338" s="4">
        <f t="shared" si="123"/>
        <v>2032</v>
      </c>
      <c r="U338" s="434">
        <f t="shared" si="118"/>
        <v>48549</v>
      </c>
      <c r="V338" s="150">
        <v>114.14</v>
      </c>
      <c r="W338" s="150">
        <v>104.67</v>
      </c>
      <c r="X338" s="357">
        <f t="shared" si="112"/>
        <v>110.06789999999999</v>
      </c>
      <c r="Y338" s="343">
        <v>416</v>
      </c>
      <c r="Z338" s="343">
        <v>328</v>
      </c>
      <c r="AA338" s="343">
        <f t="shared" si="124"/>
        <v>0.55913978494623651</v>
      </c>
      <c r="AB338" s="343">
        <f t="shared" si="125"/>
        <v>0.44086021505376344</v>
      </c>
      <c r="AF338" s="4">
        <f t="shared" si="113"/>
        <v>2032</v>
      </c>
      <c r="AG338" s="432">
        <f t="shared" si="116"/>
        <v>48549</v>
      </c>
      <c r="AH338" s="149">
        <f t="shared" si="126"/>
        <v>13.495198477433386</v>
      </c>
      <c r="AI338" s="150">
        <v>13.495198477433386</v>
      </c>
      <c r="AK338" s="4">
        <f t="shared" si="119"/>
        <v>2031</v>
      </c>
      <c r="AL338" s="432">
        <v>48152</v>
      </c>
      <c r="AM338" s="4">
        <f t="shared" si="120"/>
        <v>8.3149999999999995</v>
      </c>
      <c r="AN338" s="4">
        <v>8.35</v>
      </c>
      <c r="AO338" s="4">
        <v>8.2799999999999994</v>
      </c>
      <c r="AQ338" s="4">
        <f t="shared" si="121"/>
        <v>2035</v>
      </c>
      <c r="AR338" s="356">
        <v>49553</v>
      </c>
      <c r="AS338" s="4">
        <f t="shared" si="122"/>
        <v>14.59</v>
      </c>
      <c r="AT338" s="4">
        <v>14.73</v>
      </c>
      <c r="AU338" s="4">
        <v>14.45</v>
      </c>
      <c r="AV338" s="515">
        <f t="shared" si="114"/>
        <v>2042</v>
      </c>
      <c r="AW338" s="535">
        <v>51926</v>
      </c>
      <c r="AX338" s="515">
        <f t="shared" si="117"/>
        <v>7.5068000000000001</v>
      </c>
      <c r="AY338" s="596">
        <f>'[12]Forward Price Curve'!AE419</f>
        <v>7.4414999999999996</v>
      </c>
      <c r="AZ338" s="596">
        <f>'[12]Forward Price Curve'!AD419</f>
        <v>7.5720999999999998</v>
      </c>
      <c r="BA338" s="629"/>
      <c r="BB338" s="633"/>
      <c r="BC338" s="629"/>
      <c r="BD338" s="634"/>
      <c r="BE338" s="634"/>
    </row>
    <row r="339" spans="20:57">
      <c r="T339" s="4">
        <f t="shared" si="123"/>
        <v>2033</v>
      </c>
      <c r="U339" s="434">
        <f t="shared" si="118"/>
        <v>48580</v>
      </c>
      <c r="V339" s="150">
        <v>119.71</v>
      </c>
      <c r="W339" s="150">
        <v>108.04</v>
      </c>
      <c r="X339" s="357">
        <f t="shared" si="112"/>
        <v>114.69189999999999</v>
      </c>
      <c r="Y339" s="343">
        <v>400</v>
      </c>
      <c r="Z339" s="343">
        <v>344</v>
      </c>
      <c r="AA339" s="343">
        <f t="shared" si="124"/>
        <v>0.5376344086021505</v>
      </c>
      <c r="AB339" s="343">
        <f t="shared" si="125"/>
        <v>0.46236559139784944</v>
      </c>
      <c r="AF339" s="4">
        <f t="shared" si="113"/>
        <v>2033</v>
      </c>
      <c r="AG339" s="432">
        <f t="shared" si="116"/>
        <v>48580</v>
      </c>
      <c r="AH339" s="149">
        <f t="shared" si="126"/>
        <v>14.664312126155517</v>
      </c>
      <c r="AI339" s="150">
        <v>14.664312126155517</v>
      </c>
      <c r="AK339" s="4">
        <f t="shared" si="119"/>
        <v>2031</v>
      </c>
      <c r="AL339" s="432">
        <v>48182</v>
      </c>
      <c r="AM339" s="4">
        <f t="shared" si="120"/>
        <v>8.4350000000000005</v>
      </c>
      <c r="AN339" s="4">
        <v>8.4700000000000006</v>
      </c>
      <c r="AO339" s="4">
        <v>8.4</v>
      </c>
      <c r="AQ339" s="4">
        <f t="shared" si="121"/>
        <v>2035</v>
      </c>
      <c r="AR339" s="356">
        <v>49583</v>
      </c>
      <c r="AS339" s="4">
        <f t="shared" si="122"/>
        <v>15.14</v>
      </c>
      <c r="AT339" s="4">
        <v>15.16</v>
      </c>
      <c r="AU339" s="4">
        <v>15.12</v>
      </c>
      <c r="AV339" s="515">
        <f t="shared" si="114"/>
        <v>2042</v>
      </c>
      <c r="AW339" s="535">
        <v>51957</v>
      </c>
      <c r="AX339" s="515">
        <f t="shared" si="117"/>
        <v>7.0872000000000002</v>
      </c>
      <c r="AY339" s="596">
        <f>'[12]Forward Price Curve'!AE420</f>
        <v>7.0499000000000001</v>
      </c>
      <c r="AZ339" s="596">
        <f>'[12]Forward Price Curve'!AD420</f>
        <v>7.1245000000000003</v>
      </c>
      <c r="BA339" s="629"/>
      <c r="BB339" s="633"/>
      <c r="BC339" s="629"/>
      <c r="BD339" s="634"/>
      <c r="BE339" s="634"/>
    </row>
    <row r="340" spans="20:57">
      <c r="T340" s="4">
        <f t="shared" si="123"/>
        <v>2033</v>
      </c>
      <c r="U340" s="434">
        <f t="shared" si="118"/>
        <v>48611</v>
      </c>
      <c r="V340" s="150">
        <v>112.67</v>
      </c>
      <c r="W340" s="150">
        <v>97.99</v>
      </c>
      <c r="X340" s="357">
        <f t="shared" si="112"/>
        <v>106.35759999999999</v>
      </c>
      <c r="Y340" s="343">
        <v>384</v>
      </c>
      <c r="Z340" s="343">
        <v>288</v>
      </c>
      <c r="AA340" s="343">
        <f t="shared" si="124"/>
        <v>0.5714285714285714</v>
      </c>
      <c r="AB340" s="343">
        <f t="shared" si="125"/>
        <v>0.42857142857142855</v>
      </c>
      <c r="AF340" s="4">
        <f t="shared" si="113"/>
        <v>2033</v>
      </c>
      <c r="AG340" s="432">
        <f t="shared" si="116"/>
        <v>48611</v>
      </c>
      <c r="AH340" s="149">
        <f t="shared" si="126"/>
        <v>13.780679717237627</v>
      </c>
      <c r="AI340" s="150">
        <v>13.780679717237627</v>
      </c>
      <c r="AK340" s="4">
        <f t="shared" si="119"/>
        <v>2031</v>
      </c>
      <c r="AL340" s="432">
        <v>48213</v>
      </c>
      <c r="AM340" s="4">
        <f t="shared" si="120"/>
        <v>8.86</v>
      </c>
      <c r="AN340" s="4">
        <v>8.83</v>
      </c>
      <c r="AO340" s="4">
        <v>8.89</v>
      </c>
      <c r="AQ340" s="4">
        <f t="shared" si="121"/>
        <v>2035</v>
      </c>
      <c r="AR340" s="356">
        <v>49614</v>
      </c>
      <c r="AS340" s="4">
        <f t="shared" si="122"/>
        <v>15.36</v>
      </c>
      <c r="AT340" s="4">
        <v>15.38</v>
      </c>
      <c r="AU340" s="4">
        <v>15.34</v>
      </c>
      <c r="AV340" s="515">
        <f t="shared" si="114"/>
        <v>2042</v>
      </c>
      <c r="AW340" s="535">
        <v>51987</v>
      </c>
      <c r="AX340" s="515">
        <f t="shared" si="117"/>
        <v>7.0405499999999996</v>
      </c>
      <c r="AY340" s="596">
        <f>'[12]Forward Price Curve'!AE421</f>
        <v>7.0312000000000001</v>
      </c>
      <c r="AZ340" s="596">
        <f>'[12]Forward Price Curve'!AD421</f>
        <v>7.0499000000000001</v>
      </c>
      <c r="BA340" s="629"/>
      <c r="BB340" s="633"/>
      <c r="BC340" s="629"/>
      <c r="BD340" s="634"/>
      <c r="BE340" s="634"/>
    </row>
    <row r="341" spans="20:57">
      <c r="T341" s="4">
        <f t="shared" si="123"/>
        <v>2033</v>
      </c>
      <c r="U341" s="434">
        <f t="shared" si="118"/>
        <v>48639</v>
      </c>
      <c r="V341" s="150">
        <v>95.49</v>
      </c>
      <c r="W341" s="150">
        <v>85.39</v>
      </c>
      <c r="X341" s="357">
        <f t="shared" si="112"/>
        <v>91.146999999999991</v>
      </c>
      <c r="Y341" s="343">
        <v>432</v>
      </c>
      <c r="Z341" s="343">
        <v>312</v>
      </c>
      <c r="AA341" s="343">
        <f t="shared" si="124"/>
        <v>0.58064516129032262</v>
      </c>
      <c r="AB341" s="343">
        <f t="shared" si="125"/>
        <v>0.41935483870967744</v>
      </c>
      <c r="AF341" s="4">
        <f t="shared" si="113"/>
        <v>2033</v>
      </c>
      <c r="AG341" s="432">
        <f t="shared" si="116"/>
        <v>48639</v>
      </c>
      <c r="AH341" s="149">
        <f t="shared" si="126"/>
        <v>12.958221859706361</v>
      </c>
      <c r="AI341" s="150">
        <v>12.958221859706361</v>
      </c>
      <c r="AK341" s="4">
        <f t="shared" si="119"/>
        <v>2032</v>
      </c>
      <c r="AL341" s="432">
        <v>48244</v>
      </c>
      <c r="AM341" s="4">
        <f t="shared" si="120"/>
        <v>9.86</v>
      </c>
      <c r="AN341" s="4">
        <v>9.76</v>
      </c>
      <c r="AO341" s="4">
        <v>9.9600000000000009</v>
      </c>
      <c r="AQ341" s="4">
        <f t="shared" si="121"/>
        <v>2035</v>
      </c>
      <c r="AR341" s="356">
        <v>49644</v>
      </c>
      <c r="AS341" s="4">
        <f t="shared" si="122"/>
        <v>16.130000000000003</v>
      </c>
      <c r="AT341" s="4">
        <v>16.03</v>
      </c>
      <c r="AU341" s="4">
        <v>16.23</v>
      </c>
      <c r="AV341" s="515">
        <f t="shared" si="114"/>
        <v>2042</v>
      </c>
      <c r="AW341" s="535">
        <v>52018</v>
      </c>
      <c r="AX341" s="515">
        <f t="shared" si="117"/>
        <v>6.9565999999999999</v>
      </c>
      <c r="AY341" s="596">
        <f>'[12]Forward Price Curve'!AE422</f>
        <v>6.9939</v>
      </c>
      <c r="AZ341" s="596">
        <f>'[12]Forward Price Curve'!AD422</f>
        <v>6.9192999999999998</v>
      </c>
      <c r="BA341" s="629"/>
      <c r="BB341" s="633"/>
      <c r="BC341" s="629"/>
      <c r="BD341" s="634"/>
      <c r="BE341" s="634"/>
    </row>
    <row r="342" spans="20:57">
      <c r="T342" s="4">
        <f t="shared" si="123"/>
        <v>2033</v>
      </c>
      <c r="U342" s="434">
        <f t="shared" si="118"/>
        <v>48670</v>
      </c>
      <c r="V342" s="150">
        <v>94.98</v>
      </c>
      <c r="W342" s="150">
        <v>90.49</v>
      </c>
      <c r="X342" s="357">
        <f t="shared" si="112"/>
        <v>93.049299999999988</v>
      </c>
      <c r="Y342" s="343">
        <v>416</v>
      </c>
      <c r="Z342" s="343">
        <v>304</v>
      </c>
      <c r="AA342" s="343">
        <f t="shared" si="124"/>
        <v>0.57777777777777772</v>
      </c>
      <c r="AB342" s="343">
        <f t="shared" si="125"/>
        <v>0.42222222222222222</v>
      </c>
      <c r="AF342" s="4">
        <f t="shared" si="113"/>
        <v>2033</v>
      </c>
      <c r="AG342" s="432">
        <f t="shared" si="116"/>
        <v>48670</v>
      </c>
      <c r="AH342" s="149">
        <f t="shared" si="126"/>
        <v>12.264910277324633</v>
      </c>
      <c r="AI342" s="150">
        <v>12.264910277324633</v>
      </c>
      <c r="AK342" s="4">
        <f t="shared" si="119"/>
        <v>2032</v>
      </c>
      <c r="AL342" s="432">
        <v>48273</v>
      </c>
      <c r="AM342" s="4">
        <f t="shared" si="120"/>
        <v>9.17</v>
      </c>
      <c r="AN342" s="4">
        <v>9.14</v>
      </c>
      <c r="AO342" s="4">
        <v>9.1999999999999993</v>
      </c>
      <c r="AQ342" s="4">
        <f t="shared" si="121"/>
        <v>2036</v>
      </c>
      <c r="AR342" s="356">
        <v>49675</v>
      </c>
      <c r="AS342" s="4">
        <f t="shared" si="122"/>
        <v>17.649999999999999</v>
      </c>
      <c r="AT342" s="4">
        <v>17.420000000000002</v>
      </c>
      <c r="AU342" s="4">
        <v>17.88</v>
      </c>
      <c r="AV342" s="515">
        <f t="shared" si="114"/>
        <v>2042</v>
      </c>
      <c r="AW342" s="535">
        <v>52048</v>
      </c>
      <c r="AX342" s="515">
        <f t="shared" si="117"/>
        <v>7.0405499999999996</v>
      </c>
      <c r="AY342" s="596">
        <f>'[12]Forward Price Curve'!AE423</f>
        <v>7.0872000000000002</v>
      </c>
      <c r="AZ342" s="596">
        <f>'[12]Forward Price Curve'!AD423</f>
        <v>6.9939</v>
      </c>
      <c r="BA342" s="629"/>
      <c r="BB342" s="633"/>
      <c r="BC342" s="629"/>
      <c r="BD342" s="634"/>
      <c r="BE342" s="634"/>
    </row>
    <row r="343" spans="20:57">
      <c r="T343" s="4">
        <f t="shared" si="123"/>
        <v>2033</v>
      </c>
      <c r="U343" s="434">
        <f t="shared" si="118"/>
        <v>48700</v>
      </c>
      <c r="V343" s="150">
        <v>96.72</v>
      </c>
      <c r="W343" s="150">
        <v>90.98</v>
      </c>
      <c r="X343" s="357">
        <f t="shared" si="112"/>
        <v>94.251800000000003</v>
      </c>
      <c r="Y343" s="343">
        <v>400</v>
      </c>
      <c r="Z343" s="343">
        <v>344</v>
      </c>
      <c r="AA343" s="343">
        <f t="shared" si="124"/>
        <v>0.5376344086021505</v>
      </c>
      <c r="AB343" s="343">
        <f t="shared" si="125"/>
        <v>0.46236559139784944</v>
      </c>
      <c r="AF343" s="4">
        <f t="shared" si="113"/>
        <v>2033</v>
      </c>
      <c r="AG343" s="432">
        <f t="shared" si="116"/>
        <v>48700</v>
      </c>
      <c r="AH343" s="149">
        <f t="shared" si="126"/>
        <v>12.135764002175096</v>
      </c>
      <c r="AI343" s="150">
        <v>12.135764002175096</v>
      </c>
      <c r="AK343" s="4">
        <f t="shared" si="119"/>
        <v>2032</v>
      </c>
      <c r="AL343" s="432">
        <v>48304</v>
      </c>
      <c r="AM343" s="4">
        <f t="shared" si="120"/>
        <v>8.6050000000000004</v>
      </c>
      <c r="AN343" s="4">
        <v>8.64</v>
      </c>
      <c r="AO343" s="4">
        <v>8.57</v>
      </c>
      <c r="AQ343" s="4">
        <f t="shared" si="121"/>
        <v>2036</v>
      </c>
      <c r="AR343" s="356">
        <v>49706</v>
      </c>
      <c r="AS343" s="4">
        <f t="shared" si="122"/>
        <v>16.420000000000002</v>
      </c>
      <c r="AT343" s="4">
        <v>16.32</v>
      </c>
      <c r="AU343" s="4">
        <v>16.52</v>
      </c>
      <c r="AV343" s="515">
        <f t="shared" si="114"/>
        <v>2042</v>
      </c>
      <c r="AW343" s="535">
        <v>52079</v>
      </c>
      <c r="AX343" s="515">
        <f t="shared" si="117"/>
        <v>7.2643500000000003</v>
      </c>
      <c r="AY343" s="596">
        <f>'[12]Forward Price Curve'!AE424</f>
        <v>7.2363999999999997</v>
      </c>
      <c r="AZ343" s="596">
        <f>'[12]Forward Price Curve'!AD424</f>
        <v>7.2923</v>
      </c>
      <c r="BA343" s="629"/>
      <c r="BB343" s="633"/>
      <c r="BC343" s="629"/>
      <c r="BD343" s="634"/>
      <c r="BE343" s="634"/>
    </row>
    <row r="344" spans="20:57">
      <c r="T344" s="4">
        <f t="shared" si="123"/>
        <v>2033</v>
      </c>
      <c r="U344" s="434">
        <f t="shared" si="118"/>
        <v>48731</v>
      </c>
      <c r="V344" s="150">
        <v>104.69</v>
      </c>
      <c r="W344" s="150">
        <v>93.43</v>
      </c>
      <c r="X344" s="357">
        <f t="shared" ref="X344:X383" si="127">V344*0.57+W344*0.43</f>
        <v>99.848199999999991</v>
      </c>
      <c r="Y344" s="343">
        <v>416</v>
      </c>
      <c r="Z344" s="343">
        <v>304</v>
      </c>
      <c r="AA344" s="343">
        <f t="shared" si="124"/>
        <v>0.57777777777777772</v>
      </c>
      <c r="AB344" s="343">
        <f t="shared" si="125"/>
        <v>0.42222222222222222</v>
      </c>
      <c r="AF344" s="4">
        <f t="shared" si="113"/>
        <v>2033</v>
      </c>
      <c r="AG344" s="432">
        <f t="shared" si="116"/>
        <v>48731</v>
      </c>
      <c r="AH344" s="149">
        <f t="shared" si="126"/>
        <v>12.326084828711256</v>
      </c>
      <c r="AI344" s="150">
        <v>12.326084828711256</v>
      </c>
      <c r="AK344" s="4">
        <f t="shared" si="119"/>
        <v>2032</v>
      </c>
      <c r="AL344" s="432">
        <v>48334</v>
      </c>
      <c r="AM344" s="4">
        <f t="shared" si="120"/>
        <v>8.0449999999999999</v>
      </c>
      <c r="AN344" s="4">
        <v>8.15</v>
      </c>
      <c r="AO344" s="4">
        <v>7.94</v>
      </c>
      <c r="AQ344" s="4">
        <f t="shared" si="121"/>
        <v>2036</v>
      </c>
      <c r="AR344" s="356">
        <v>49735</v>
      </c>
      <c r="AS344" s="4">
        <f t="shared" si="122"/>
        <v>15.414999999999999</v>
      </c>
      <c r="AT344" s="4">
        <v>15.44</v>
      </c>
      <c r="AU344" s="4">
        <v>15.39</v>
      </c>
      <c r="AV344" s="515">
        <f t="shared" si="114"/>
        <v>2042</v>
      </c>
      <c r="AW344" s="535">
        <v>52110</v>
      </c>
      <c r="AX344" s="515">
        <f t="shared" si="117"/>
        <v>7.0871500000000003</v>
      </c>
      <c r="AY344" s="596">
        <f>'[12]Forward Price Curve'!AE425</f>
        <v>7.0685000000000002</v>
      </c>
      <c r="AZ344" s="596">
        <f>'[12]Forward Price Curve'!AD425</f>
        <v>7.1058000000000003</v>
      </c>
      <c r="BA344" s="629"/>
      <c r="BB344" s="633"/>
      <c r="BC344" s="629"/>
      <c r="BD344" s="634"/>
      <c r="BE344" s="634"/>
    </row>
    <row r="345" spans="20:57">
      <c r="T345" s="4">
        <f t="shared" si="123"/>
        <v>2033</v>
      </c>
      <c r="U345" s="434">
        <f t="shared" si="118"/>
        <v>48761</v>
      </c>
      <c r="V345" s="150">
        <v>99.71</v>
      </c>
      <c r="W345" s="150">
        <v>95.57</v>
      </c>
      <c r="X345" s="357">
        <f t="shared" si="127"/>
        <v>97.929799999999986</v>
      </c>
      <c r="Y345" s="343">
        <v>400</v>
      </c>
      <c r="Z345" s="343">
        <v>344</v>
      </c>
      <c r="AA345" s="343">
        <f t="shared" si="124"/>
        <v>0.5376344086021505</v>
      </c>
      <c r="AB345" s="343">
        <f t="shared" si="125"/>
        <v>0.46236559139784944</v>
      </c>
      <c r="AF345" s="4">
        <f t="shared" si="113"/>
        <v>2033</v>
      </c>
      <c r="AG345" s="432">
        <f t="shared" si="116"/>
        <v>48761</v>
      </c>
      <c r="AH345" s="149">
        <f t="shared" si="126"/>
        <v>12.519804241435562</v>
      </c>
      <c r="AI345" s="150">
        <v>12.519804241435562</v>
      </c>
      <c r="AK345" s="4">
        <f t="shared" si="119"/>
        <v>2032</v>
      </c>
      <c r="AL345" s="432">
        <v>48365</v>
      </c>
      <c r="AM345" s="4">
        <f t="shared" si="120"/>
        <v>8.0449999999999999</v>
      </c>
      <c r="AN345" s="4">
        <v>8.15</v>
      </c>
      <c r="AO345" s="4">
        <v>7.94</v>
      </c>
      <c r="AQ345" s="4">
        <f t="shared" si="121"/>
        <v>2036</v>
      </c>
      <c r="AR345" s="356">
        <v>49766</v>
      </c>
      <c r="AS345" s="4">
        <f t="shared" si="122"/>
        <v>14.405000000000001</v>
      </c>
      <c r="AT345" s="4">
        <v>14.55</v>
      </c>
      <c r="AU345" s="4">
        <v>14.26</v>
      </c>
      <c r="AV345" s="515">
        <f t="shared" si="114"/>
        <v>2042</v>
      </c>
      <c r="AW345" s="535">
        <v>52140</v>
      </c>
      <c r="AX345" s="515">
        <f t="shared" si="117"/>
        <v>7.3668999999999993</v>
      </c>
      <c r="AY345" s="596">
        <f>'[12]Forward Price Curve'!AE426</f>
        <v>7.2923</v>
      </c>
      <c r="AZ345" s="596">
        <f>'[12]Forward Price Curve'!AD426</f>
        <v>7.4414999999999996</v>
      </c>
      <c r="BA345" s="629"/>
      <c r="BB345" s="633"/>
      <c r="BC345" s="629"/>
      <c r="BD345" s="634"/>
      <c r="BE345" s="634"/>
    </row>
    <row r="346" spans="20:57">
      <c r="T346" s="4">
        <f t="shared" si="123"/>
        <v>2033</v>
      </c>
      <c r="U346" s="434">
        <f t="shared" si="118"/>
        <v>48792</v>
      </c>
      <c r="V346" s="150">
        <v>100.2</v>
      </c>
      <c r="W346" s="150">
        <v>96.12</v>
      </c>
      <c r="X346" s="357">
        <f t="shared" si="127"/>
        <v>98.445599999999999</v>
      </c>
      <c r="Y346" s="343">
        <v>432</v>
      </c>
      <c r="Z346" s="343">
        <v>312</v>
      </c>
      <c r="AA346" s="343">
        <f t="shared" si="124"/>
        <v>0.58064516129032262</v>
      </c>
      <c r="AB346" s="343">
        <f t="shared" si="125"/>
        <v>0.41935483870967744</v>
      </c>
      <c r="AF346" s="4">
        <f t="shared" si="113"/>
        <v>2033</v>
      </c>
      <c r="AG346" s="432">
        <f t="shared" si="116"/>
        <v>48792</v>
      </c>
      <c r="AH346" s="149">
        <f t="shared" si="126"/>
        <v>12.519804241435562</v>
      </c>
      <c r="AI346" s="150">
        <v>12.519804241435562</v>
      </c>
      <c r="AK346" s="4">
        <f t="shared" si="119"/>
        <v>2032</v>
      </c>
      <c r="AL346" s="432">
        <v>48395</v>
      </c>
      <c r="AM346" s="4">
        <f t="shared" si="120"/>
        <v>8.17</v>
      </c>
      <c r="AN346" s="4">
        <v>8.27</v>
      </c>
      <c r="AO346" s="4">
        <v>8.07</v>
      </c>
      <c r="AQ346" s="4">
        <f t="shared" si="121"/>
        <v>2036</v>
      </c>
      <c r="AR346" s="356">
        <v>49796</v>
      </c>
      <c r="AS346" s="4">
        <f t="shared" si="122"/>
        <v>14.405000000000001</v>
      </c>
      <c r="AT346" s="4">
        <v>14.55</v>
      </c>
      <c r="AU346" s="4">
        <v>14.26</v>
      </c>
      <c r="AV346" s="515">
        <f t="shared" si="114"/>
        <v>2042</v>
      </c>
      <c r="AW346" s="535">
        <v>52171</v>
      </c>
      <c r="AX346" s="515">
        <f t="shared" si="117"/>
        <v>7.6560000000000006</v>
      </c>
      <c r="AY346" s="596">
        <f>'[12]Forward Price Curve'!AE427</f>
        <v>7.5533999999999999</v>
      </c>
      <c r="AZ346" s="596">
        <f>'[12]Forward Price Curve'!AD427</f>
        <v>7.7586000000000004</v>
      </c>
      <c r="BA346" s="629"/>
      <c r="BB346" s="633"/>
      <c r="BC346" s="629"/>
      <c r="BD346" s="634"/>
      <c r="BE346" s="634"/>
    </row>
    <row r="347" spans="20:57">
      <c r="T347" s="4">
        <f t="shared" si="123"/>
        <v>2033</v>
      </c>
      <c r="U347" s="434">
        <f t="shared" si="118"/>
        <v>48823</v>
      </c>
      <c r="V347" s="150">
        <v>99.33</v>
      </c>
      <c r="W347" s="150">
        <v>93.14</v>
      </c>
      <c r="X347" s="357">
        <f t="shared" si="127"/>
        <v>96.668299999999988</v>
      </c>
      <c r="Y347" s="343">
        <v>400</v>
      </c>
      <c r="Z347" s="343">
        <v>320</v>
      </c>
      <c r="AA347" s="343">
        <f t="shared" si="124"/>
        <v>0.55555555555555558</v>
      </c>
      <c r="AB347" s="343">
        <f t="shared" si="125"/>
        <v>0.44444444444444442</v>
      </c>
      <c r="AF347" s="4">
        <f t="shared" si="113"/>
        <v>2033</v>
      </c>
      <c r="AG347" s="432">
        <f t="shared" si="116"/>
        <v>48823</v>
      </c>
      <c r="AH347" s="149">
        <f t="shared" si="126"/>
        <v>12.519804241435562</v>
      </c>
      <c r="AI347" s="150">
        <v>12.519804241435562</v>
      </c>
      <c r="AK347" s="4">
        <f t="shared" si="119"/>
        <v>2032</v>
      </c>
      <c r="AL347" s="432">
        <v>48426</v>
      </c>
      <c r="AM347" s="4">
        <f t="shared" si="120"/>
        <v>8.2949999999999999</v>
      </c>
      <c r="AN347" s="4">
        <v>8.4</v>
      </c>
      <c r="AO347" s="4">
        <v>8.19</v>
      </c>
      <c r="AQ347" s="4">
        <f t="shared" si="121"/>
        <v>2036</v>
      </c>
      <c r="AR347" s="356">
        <v>49827</v>
      </c>
      <c r="AS347" s="4">
        <f t="shared" si="122"/>
        <v>14.629999999999999</v>
      </c>
      <c r="AT347" s="4">
        <v>14.77</v>
      </c>
      <c r="AU347" s="4">
        <v>14.49</v>
      </c>
      <c r="AV347" s="515">
        <f t="shared" si="114"/>
        <v>2042</v>
      </c>
      <c r="AW347" s="535">
        <v>52201</v>
      </c>
      <c r="AX347" s="515">
        <f t="shared" si="117"/>
        <v>8.0383499999999994</v>
      </c>
      <c r="AY347" s="596">
        <f>'[12]Forward Price Curve'!AE428</f>
        <v>7.9264000000000001</v>
      </c>
      <c r="AZ347" s="596">
        <f>'[12]Forward Price Curve'!AD428</f>
        <v>8.1502999999999997</v>
      </c>
      <c r="BA347" s="629"/>
      <c r="BB347" s="633"/>
      <c r="BC347" s="629"/>
      <c r="BD347" s="634"/>
      <c r="BE347" s="634"/>
    </row>
    <row r="348" spans="20:57">
      <c r="T348" s="4">
        <f t="shared" si="123"/>
        <v>2033</v>
      </c>
      <c r="U348" s="434">
        <f t="shared" si="118"/>
        <v>48853</v>
      </c>
      <c r="V348" s="150">
        <v>98.57</v>
      </c>
      <c r="W348" s="150">
        <v>86.05</v>
      </c>
      <c r="X348" s="357">
        <f t="shared" si="127"/>
        <v>93.186399999999992</v>
      </c>
      <c r="Y348" s="343">
        <v>416</v>
      </c>
      <c r="Z348" s="343">
        <v>328</v>
      </c>
      <c r="AA348" s="343">
        <f t="shared" si="124"/>
        <v>0.55913978494623651</v>
      </c>
      <c r="AB348" s="343">
        <f t="shared" si="125"/>
        <v>0.44086021505376344</v>
      </c>
      <c r="AF348" s="4">
        <f t="shared" ref="AF348:AF383" si="128">+YEAR(AG348)</f>
        <v>2033</v>
      </c>
      <c r="AG348" s="432">
        <f t="shared" si="116"/>
        <v>48853</v>
      </c>
      <c r="AH348" s="149">
        <f t="shared" si="126"/>
        <v>12.958221859706361</v>
      </c>
      <c r="AI348" s="150">
        <v>12.958221859706361</v>
      </c>
      <c r="AK348" s="4">
        <f t="shared" si="119"/>
        <v>2032</v>
      </c>
      <c r="AL348" s="432">
        <v>48457</v>
      </c>
      <c r="AM348" s="4">
        <f t="shared" si="120"/>
        <v>8.2949999999999999</v>
      </c>
      <c r="AN348" s="4">
        <v>8.4</v>
      </c>
      <c r="AO348" s="4">
        <v>8.19</v>
      </c>
      <c r="AQ348" s="4">
        <f t="shared" si="121"/>
        <v>2036</v>
      </c>
      <c r="AR348" s="356">
        <v>49857</v>
      </c>
      <c r="AS348" s="4">
        <f t="shared" si="122"/>
        <v>14.855</v>
      </c>
      <c r="AT348" s="4">
        <v>15</v>
      </c>
      <c r="AU348" s="4">
        <v>14.71</v>
      </c>
      <c r="AV348" s="515">
        <f t="shared" ref="AV348:AV350" si="129">YEAR(AW348)</f>
        <v>2043</v>
      </c>
      <c r="AW348" s="535">
        <v>52232</v>
      </c>
      <c r="AX348" s="515">
        <f t="shared" si="117"/>
        <v>7.9752000000000001</v>
      </c>
      <c r="AY348" s="596">
        <f>'[12]Forward Price Curve'!AE429</f>
        <v>7.9943</v>
      </c>
      <c r="AZ348" s="596">
        <f>'[12]Forward Price Curve'!AD429</f>
        <v>7.9561000000000002</v>
      </c>
      <c r="BA348" s="629"/>
      <c r="BB348" s="633"/>
      <c r="BC348" s="629"/>
      <c r="BD348" s="634"/>
      <c r="BE348" s="634"/>
    </row>
    <row r="349" spans="20:57">
      <c r="T349" s="4">
        <f t="shared" si="123"/>
        <v>2033</v>
      </c>
      <c r="U349" s="434">
        <f t="shared" si="118"/>
        <v>48884</v>
      </c>
      <c r="V349" s="150">
        <v>111.32</v>
      </c>
      <c r="W349" s="150">
        <v>97.62</v>
      </c>
      <c r="X349" s="357">
        <f t="shared" si="127"/>
        <v>105.429</v>
      </c>
      <c r="Y349" s="343">
        <v>400</v>
      </c>
      <c r="Z349" s="343">
        <v>320</v>
      </c>
      <c r="AA349" s="343">
        <f t="shared" si="124"/>
        <v>0.55555555555555558</v>
      </c>
      <c r="AB349" s="343">
        <f t="shared" si="125"/>
        <v>0.44444444444444442</v>
      </c>
      <c r="AF349" s="4">
        <f t="shared" si="128"/>
        <v>2033</v>
      </c>
      <c r="AG349" s="432">
        <f t="shared" ref="AG349:AG383" si="130">EOMONTH(AG348,0)+1</f>
        <v>48884</v>
      </c>
      <c r="AH349" s="149">
        <f t="shared" si="126"/>
        <v>13.148542686242523</v>
      </c>
      <c r="AI349" s="150">
        <v>13.148542686242523</v>
      </c>
      <c r="AK349" s="4">
        <f t="shared" si="119"/>
        <v>2032</v>
      </c>
      <c r="AL349" s="432">
        <v>48487</v>
      </c>
      <c r="AM349" s="4">
        <f t="shared" si="120"/>
        <v>8.2949999999999999</v>
      </c>
      <c r="AN349" s="4">
        <v>8.4</v>
      </c>
      <c r="AO349" s="4">
        <v>8.19</v>
      </c>
      <c r="AQ349" s="4">
        <f t="shared" si="121"/>
        <v>2036</v>
      </c>
      <c r="AR349" s="356">
        <v>49888</v>
      </c>
      <c r="AS349" s="4">
        <f t="shared" si="122"/>
        <v>14.855</v>
      </c>
      <c r="AT349" s="4">
        <v>15</v>
      </c>
      <c r="AU349" s="4">
        <v>14.71</v>
      </c>
      <c r="AV349" s="515">
        <f t="shared" si="129"/>
        <v>2043</v>
      </c>
      <c r="AW349" s="535">
        <v>52263</v>
      </c>
      <c r="AX349" s="515">
        <f t="shared" si="117"/>
        <v>8.2041500000000003</v>
      </c>
      <c r="AY349" s="596">
        <f>'[12]Forward Price Curve'!AE430</f>
        <v>8.0706000000000007</v>
      </c>
      <c r="AZ349" s="596">
        <f>'[12]Forward Price Curve'!AD430</f>
        <v>8.3376999999999999</v>
      </c>
      <c r="BA349" s="629"/>
      <c r="BB349" s="633"/>
      <c r="BC349" s="629"/>
      <c r="BD349" s="634"/>
      <c r="BE349" s="634"/>
    </row>
    <row r="350" spans="20:57">
      <c r="T350" s="4">
        <f t="shared" si="123"/>
        <v>2033</v>
      </c>
      <c r="U350" s="434">
        <f t="shared" si="118"/>
        <v>48914</v>
      </c>
      <c r="V350" s="150">
        <v>116.54</v>
      </c>
      <c r="W350" s="150">
        <v>106.87</v>
      </c>
      <c r="X350" s="357">
        <f t="shared" si="127"/>
        <v>112.3819</v>
      </c>
      <c r="Y350" s="343">
        <v>416</v>
      </c>
      <c r="Z350" s="343">
        <v>328</v>
      </c>
      <c r="AA350" s="343">
        <f t="shared" si="124"/>
        <v>0.55913978494623651</v>
      </c>
      <c r="AB350" s="343">
        <f t="shared" si="125"/>
        <v>0.44086021505376344</v>
      </c>
      <c r="AF350" s="4">
        <f t="shared" si="128"/>
        <v>2033</v>
      </c>
      <c r="AG350" s="432">
        <f t="shared" si="130"/>
        <v>48914</v>
      </c>
      <c r="AH350" s="149">
        <f t="shared" si="126"/>
        <v>13.780679717237627</v>
      </c>
      <c r="AI350" s="150">
        <v>13.780679717237627</v>
      </c>
      <c r="AK350" s="4">
        <f t="shared" si="119"/>
        <v>2032</v>
      </c>
      <c r="AL350" s="432">
        <v>48518</v>
      </c>
      <c r="AM350" s="4">
        <f t="shared" si="120"/>
        <v>8.6050000000000004</v>
      </c>
      <c r="AN350" s="4">
        <v>8.64</v>
      </c>
      <c r="AO350" s="4">
        <v>8.57</v>
      </c>
      <c r="AQ350" s="4">
        <f t="shared" si="121"/>
        <v>2036</v>
      </c>
      <c r="AR350" s="356">
        <v>49919</v>
      </c>
      <c r="AS350" s="4">
        <f t="shared" si="122"/>
        <v>14.855</v>
      </c>
      <c r="AT350" s="4">
        <v>15</v>
      </c>
      <c r="AU350" s="4">
        <v>14.71</v>
      </c>
      <c r="AV350" s="515">
        <f t="shared" si="129"/>
        <v>2043</v>
      </c>
      <c r="AW350" s="535">
        <v>52291</v>
      </c>
      <c r="AX350" s="515">
        <f t="shared" si="117"/>
        <v>7.6794500000000001</v>
      </c>
      <c r="AY350" s="596">
        <f>'[12]Forward Price Curve'!AE431</f>
        <v>7.6127000000000002</v>
      </c>
      <c r="AZ350" s="596">
        <f>'[12]Forward Price Curve'!AD431</f>
        <v>7.7462</v>
      </c>
      <c r="BA350" s="629"/>
      <c r="BB350" s="633"/>
      <c r="BC350" s="629"/>
      <c r="BD350" s="634"/>
      <c r="BE350" s="634"/>
    </row>
    <row r="351" spans="20:57">
      <c r="T351" s="4">
        <f t="shared" si="123"/>
        <v>2034</v>
      </c>
      <c r="U351" s="434">
        <f t="shared" si="118"/>
        <v>48945</v>
      </c>
      <c r="V351" s="150">
        <v>122.22</v>
      </c>
      <c r="W351" s="150">
        <v>110.31</v>
      </c>
      <c r="X351" s="357">
        <f t="shared" si="127"/>
        <v>117.09869999999999</v>
      </c>
      <c r="Y351" s="343">
        <v>400</v>
      </c>
      <c r="Z351" s="343">
        <v>344</v>
      </c>
      <c r="AA351" s="343">
        <f t="shared" si="124"/>
        <v>0.5376344086021505</v>
      </c>
      <c r="AB351" s="343">
        <f t="shared" si="125"/>
        <v>0.46236559139784944</v>
      </c>
      <c r="AF351" s="4">
        <f t="shared" si="128"/>
        <v>2034</v>
      </c>
      <c r="AG351" s="432">
        <f t="shared" si="130"/>
        <v>48945</v>
      </c>
      <c r="AH351" s="149">
        <f t="shared" si="126"/>
        <v>14.970184883088635</v>
      </c>
      <c r="AI351" s="150">
        <v>14.970184883088635</v>
      </c>
      <c r="AK351" s="4">
        <f t="shared" si="119"/>
        <v>2032</v>
      </c>
      <c r="AL351" s="432">
        <v>48548</v>
      </c>
      <c r="AM351" s="4">
        <f t="shared" si="120"/>
        <v>8.7349999999999994</v>
      </c>
      <c r="AN351" s="4">
        <v>8.77</v>
      </c>
      <c r="AO351" s="4">
        <v>8.6999999999999993</v>
      </c>
      <c r="AQ351" s="4">
        <f t="shared" si="121"/>
        <v>2036</v>
      </c>
      <c r="AR351" s="356">
        <v>49949</v>
      </c>
      <c r="AS351" s="4">
        <f t="shared" si="122"/>
        <v>15.414999999999999</v>
      </c>
      <c r="AT351" s="4">
        <v>15.44</v>
      </c>
      <c r="AU351" s="4">
        <v>15.39</v>
      </c>
      <c r="AV351" s="515"/>
      <c r="AW351" s="535"/>
      <c r="AY351" s="596"/>
      <c r="BA351" s="629"/>
      <c r="BB351" s="633"/>
      <c r="BC351" s="629"/>
      <c r="BD351" s="634"/>
      <c r="BE351" s="629"/>
    </row>
    <row r="352" spans="20:57">
      <c r="T352" s="4">
        <f t="shared" si="123"/>
        <v>2034</v>
      </c>
      <c r="U352" s="434">
        <f t="shared" si="118"/>
        <v>48976</v>
      </c>
      <c r="V352" s="150">
        <v>115.03</v>
      </c>
      <c r="W352" s="150">
        <v>100.05</v>
      </c>
      <c r="X352" s="357">
        <f t="shared" si="127"/>
        <v>108.58859999999999</v>
      </c>
      <c r="Y352" s="343">
        <v>384</v>
      </c>
      <c r="Z352" s="343">
        <v>288</v>
      </c>
      <c r="AA352" s="343">
        <f t="shared" si="124"/>
        <v>0.5714285714285714</v>
      </c>
      <c r="AB352" s="343">
        <f t="shared" si="125"/>
        <v>0.42857142857142855</v>
      </c>
      <c r="AF352" s="4">
        <f t="shared" si="128"/>
        <v>2034</v>
      </c>
      <c r="AG352" s="432">
        <f t="shared" si="130"/>
        <v>48976</v>
      </c>
      <c r="AH352" s="149">
        <f t="shared" si="126"/>
        <v>14.06616095704187</v>
      </c>
      <c r="AI352" s="150">
        <v>14.06616095704187</v>
      </c>
      <c r="AK352" s="4">
        <f t="shared" si="119"/>
        <v>2032</v>
      </c>
      <c r="AL352" s="432">
        <v>48579</v>
      </c>
      <c r="AM352" s="4">
        <f t="shared" si="120"/>
        <v>9.17</v>
      </c>
      <c r="AN352" s="4">
        <v>9.14</v>
      </c>
      <c r="AO352" s="4">
        <v>9.1999999999999993</v>
      </c>
      <c r="AQ352" s="4">
        <f t="shared" si="121"/>
        <v>2036</v>
      </c>
      <c r="AR352" s="356">
        <v>49980</v>
      </c>
      <c r="AS352" s="4">
        <f t="shared" si="122"/>
        <v>15.64</v>
      </c>
      <c r="AT352" s="4">
        <v>15.66</v>
      </c>
      <c r="AU352" s="4">
        <v>15.62</v>
      </c>
      <c r="AV352" s="515"/>
      <c r="AW352" s="535"/>
      <c r="AY352" s="596"/>
      <c r="BA352" s="629"/>
      <c r="BB352" s="633"/>
      <c r="BC352" s="629"/>
      <c r="BD352" s="634"/>
      <c r="BE352" s="629"/>
    </row>
    <row r="353" spans="20:57">
      <c r="T353" s="4">
        <f t="shared" si="123"/>
        <v>2034</v>
      </c>
      <c r="U353" s="434">
        <f t="shared" si="118"/>
        <v>49004</v>
      </c>
      <c r="V353" s="150">
        <v>97.5</v>
      </c>
      <c r="W353" s="150">
        <v>87.18</v>
      </c>
      <c r="X353" s="357">
        <f t="shared" si="127"/>
        <v>93.062399999999997</v>
      </c>
      <c r="Y353" s="343">
        <v>432</v>
      </c>
      <c r="Z353" s="343">
        <v>312</v>
      </c>
      <c r="AA353" s="343">
        <f t="shared" si="124"/>
        <v>0.58064516129032262</v>
      </c>
      <c r="AB353" s="343">
        <f t="shared" si="125"/>
        <v>0.41935483870967744</v>
      </c>
      <c r="AF353" s="4">
        <f t="shared" si="128"/>
        <v>2034</v>
      </c>
      <c r="AG353" s="432">
        <f t="shared" si="130"/>
        <v>49004</v>
      </c>
      <c r="AH353" s="149">
        <f t="shared" si="126"/>
        <v>13.230108754758021</v>
      </c>
      <c r="AI353" s="150">
        <v>13.230108754758021</v>
      </c>
      <c r="AK353" s="4">
        <f t="shared" si="119"/>
        <v>2033</v>
      </c>
      <c r="AL353" s="432">
        <v>48610</v>
      </c>
      <c r="AM353" s="4">
        <f t="shared" si="120"/>
        <v>10.205</v>
      </c>
      <c r="AN353" s="4">
        <v>10.1</v>
      </c>
      <c r="AO353" s="4">
        <v>10.31</v>
      </c>
      <c r="AQ353" s="4">
        <f t="shared" si="121"/>
        <v>2036</v>
      </c>
      <c r="AR353" s="356">
        <v>50010</v>
      </c>
      <c r="AS353" s="4">
        <f t="shared" si="122"/>
        <v>16.420000000000002</v>
      </c>
      <c r="AT353" s="4">
        <v>16.32</v>
      </c>
      <c r="AU353" s="4">
        <v>16.52</v>
      </c>
      <c r="AV353" s="515"/>
      <c r="AW353" s="535"/>
      <c r="AY353" s="596"/>
      <c r="BA353" s="629"/>
      <c r="BB353" s="633"/>
      <c r="BC353" s="629"/>
      <c r="BD353" s="634"/>
      <c r="BE353" s="629"/>
    </row>
    <row r="354" spans="20:57">
      <c r="T354" s="4">
        <f t="shared" si="123"/>
        <v>2034</v>
      </c>
      <c r="U354" s="434">
        <f t="shared" si="118"/>
        <v>49035</v>
      </c>
      <c r="V354" s="150">
        <v>96.97</v>
      </c>
      <c r="W354" s="150">
        <v>92.39</v>
      </c>
      <c r="X354" s="357">
        <f t="shared" si="127"/>
        <v>95.000599999999991</v>
      </c>
      <c r="Y354" s="343">
        <v>400</v>
      </c>
      <c r="Z354" s="343">
        <v>320</v>
      </c>
      <c r="AA354" s="343">
        <f t="shared" si="124"/>
        <v>0.55555555555555558</v>
      </c>
      <c r="AB354" s="343">
        <f t="shared" si="125"/>
        <v>0.44444444444444442</v>
      </c>
      <c r="AF354" s="4">
        <f t="shared" si="128"/>
        <v>2034</v>
      </c>
      <c r="AG354" s="432">
        <f t="shared" si="130"/>
        <v>49035</v>
      </c>
      <c r="AH354" s="149">
        <f t="shared" si="126"/>
        <v>12.519804241435562</v>
      </c>
      <c r="AI354" s="150">
        <v>12.519804241435562</v>
      </c>
      <c r="AK354" s="4">
        <f t="shared" si="119"/>
        <v>2033</v>
      </c>
      <c r="AL354" s="432">
        <v>48638</v>
      </c>
      <c r="AM354" s="4">
        <f t="shared" si="120"/>
        <v>9.495000000000001</v>
      </c>
      <c r="AN354" s="4">
        <v>9.4600000000000009</v>
      </c>
      <c r="AO354" s="4">
        <v>9.5299999999999994</v>
      </c>
      <c r="AQ354" s="4">
        <f t="shared" si="121"/>
        <v>2037</v>
      </c>
      <c r="AR354" s="356">
        <v>50041</v>
      </c>
      <c r="AS354" s="4">
        <f t="shared" si="122"/>
        <v>17.984999999999999</v>
      </c>
      <c r="AT354" s="4">
        <v>17.75</v>
      </c>
      <c r="AU354" s="4">
        <v>18.22</v>
      </c>
      <c r="AV354" s="515"/>
      <c r="AW354" s="535"/>
      <c r="AY354" s="596"/>
      <c r="BA354" s="629"/>
      <c r="BB354" s="633"/>
      <c r="BC354" s="629"/>
      <c r="BD354" s="634"/>
      <c r="BE354" s="629"/>
    </row>
    <row r="355" spans="20:57">
      <c r="T355" s="4">
        <f t="shared" si="123"/>
        <v>2034</v>
      </c>
      <c r="U355" s="434">
        <f t="shared" si="118"/>
        <v>49065</v>
      </c>
      <c r="V355" s="150">
        <v>98.75</v>
      </c>
      <c r="W355" s="150">
        <v>92.89</v>
      </c>
      <c r="X355" s="357">
        <f t="shared" si="127"/>
        <v>96.230199999999996</v>
      </c>
      <c r="Y355" s="343">
        <v>416</v>
      </c>
      <c r="Z355" s="343">
        <v>328</v>
      </c>
      <c r="AA355" s="343">
        <f t="shared" si="124"/>
        <v>0.55913978494623651</v>
      </c>
      <c r="AB355" s="343">
        <f t="shared" si="125"/>
        <v>0.44086021505376344</v>
      </c>
      <c r="AF355" s="4">
        <f t="shared" si="128"/>
        <v>2034</v>
      </c>
      <c r="AG355" s="432">
        <f t="shared" si="130"/>
        <v>49065</v>
      </c>
      <c r="AH355" s="149">
        <f t="shared" si="126"/>
        <v>12.390657966286026</v>
      </c>
      <c r="AI355" s="150">
        <v>12.390657966286026</v>
      </c>
      <c r="AK355" s="4">
        <f t="shared" si="119"/>
        <v>2033</v>
      </c>
      <c r="AL355" s="432">
        <v>48669</v>
      </c>
      <c r="AM355" s="4">
        <f t="shared" si="120"/>
        <v>8.91</v>
      </c>
      <c r="AN355" s="4">
        <v>8.9499999999999993</v>
      </c>
      <c r="AO355" s="4">
        <v>8.8699999999999992</v>
      </c>
      <c r="AQ355" s="4">
        <f t="shared" si="121"/>
        <v>2037</v>
      </c>
      <c r="AR355" s="356">
        <v>50072</v>
      </c>
      <c r="AS355" s="4">
        <f t="shared" si="122"/>
        <v>16.734999999999999</v>
      </c>
      <c r="AT355" s="4">
        <v>16.63</v>
      </c>
      <c r="AU355" s="4">
        <v>16.84</v>
      </c>
      <c r="AV355" s="515"/>
      <c r="AW355" s="535"/>
      <c r="AY355" s="596"/>
      <c r="BA355" s="629"/>
      <c r="BB355" s="633"/>
      <c r="BC355" s="629"/>
      <c r="BD355" s="634"/>
      <c r="BE355" s="629"/>
    </row>
    <row r="356" spans="20:57">
      <c r="T356" s="4">
        <f t="shared" si="123"/>
        <v>2034</v>
      </c>
      <c r="U356" s="434">
        <f t="shared" si="118"/>
        <v>49096</v>
      </c>
      <c r="V356" s="150">
        <v>106.89</v>
      </c>
      <c r="W356" s="150">
        <v>95.39</v>
      </c>
      <c r="X356" s="357">
        <f t="shared" si="127"/>
        <v>101.94499999999999</v>
      </c>
      <c r="Y356" s="343">
        <v>416</v>
      </c>
      <c r="Z356" s="343">
        <v>304</v>
      </c>
      <c r="AA356" s="343">
        <f t="shared" si="124"/>
        <v>0.57777777777777772</v>
      </c>
      <c r="AB356" s="343">
        <f t="shared" si="125"/>
        <v>0.42222222222222222</v>
      </c>
      <c r="AF356" s="4">
        <f t="shared" si="128"/>
        <v>2034</v>
      </c>
      <c r="AG356" s="432">
        <f t="shared" si="130"/>
        <v>49096</v>
      </c>
      <c r="AH356" s="149">
        <f t="shared" si="126"/>
        <v>12.584377379010331</v>
      </c>
      <c r="AI356" s="150">
        <v>12.584377379010331</v>
      </c>
      <c r="AK356" s="4">
        <f t="shared" si="119"/>
        <v>2033</v>
      </c>
      <c r="AL356" s="432">
        <v>48699</v>
      </c>
      <c r="AM356" s="4">
        <f t="shared" si="120"/>
        <v>8.33</v>
      </c>
      <c r="AN356" s="4">
        <v>8.44</v>
      </c>
      <c r="AO356" s="4">
        <v>8.2200000000000006</v>
      </c>
      <c r="AQ356" s="4">
        <f t="shared" si="121"/>
        <v>2037</v>
      </c>
      <c r="AR356" s="356">
        <v>50100</v>
      </c>
      <c r="AS356" s="4">
        <f t="shared" si="122"/>
        <v>15.71</v>
      </c>
      <c r="AT356" s="4">
        <v>15.73</v>
      </c>
      <c r="AU356" s="4">
        <v>15.69</v>
      </c>
      <c r="AV356" s="515"/>
      <c r="AW356" s="535"/>
      <c r="AY356" s="596"/>
      <c r="BA356" s="629"/>
      <c r="BB356" s="633"/>
      <c r="BC356" s="629"/>
      <c r="BD356" s="634"/>
      <c r="BE356" s="629"/>
    </row>
    <row r="357" spans="20:57">
      <c r="T357" s="4">
        <f t="shared" si="123"/>
        <v>2034</v>
      </c>
      <c r="U357" s="434">
        <f t="shared" si="118"/>
        <v>49126</v>
      </c>
      <c r="V357" s="150">
        <v>101.81</v>
      </c>
      <c r="W357" s="150">
        <v>97.58</v>
      </c>
      <c r="X357" s="357">
        <f t="shared" si="127"/>
        <v>99.991099999999989</v>
      </c>
      <c r="Y357" s="343">
        <v>400</v>
      </c>
      <c r="Z357" s="343">
        <v>344</v>
      </c>
      <c r="AA357" s="343">
        <f t="shared" si="124"/>
        <v>0.5376344086021505</v>
      </c>
      <c r="AB357" s="343">
        <f t="shared" si="125"/>
        <v>0.46236559139784944</v>
      </c>
      <c r="AF357" s="4">
        <f t="shared" si="128"/>
        <v>2034</v>
      </c>
      <c r="AG357" s="432">
        <f t="shared" si="130"/>
        <v>49126</v>
      </c>
      <c r="AH357" s="149">
        <f t="shared" si="126"/>
        <v>12.77809679173464</v>
      </c>
      <c r="AI357" s="150">
        <v>12.77809679173464</v>
      </c>
      <c r="AK357" s="4">
        <f t="shared" si="119"/>
        <v>2033</v>
      </c>
      <c r="AL357" s="432">
        <v>48730</v>
      </c>
      <c r="AM357" s="4">
        <f t="shared" si="120"/>
        <v>8.33</v>
      </c>
      <c r="AN357" s="4">
        <v>8.44</v>
      </c>
      <c r="AO357" s="4">
        <v>8.2200000000000006</v>
      </c>
      <c r="AQ357" s="4">
        <f t="shared" si="121"/>
        <v>2037</v>
      </c>
      <c r="AR357" s="356">
        <v>50131</v>
      </c>
      <c r="AS357" s="4">
        <f t="shared" si="122"/>
        <v>14.68</v>
      </c>
      <c r="AT357" s="4">
        <v>14.83</v>
      </c>
      <c r="AU357" s="4">
        <v>14.53</v>
      </c>
      <c r="AV357" s="515"/>
      <c r="AW357" s="535"/>
      <c r="AY357" s="596"/>
      <c r="BA357" s="629"/>
      <c r="BB357" s="633"/>
      <c r="BC357" s="629"/>
      <c r="BD357" s="634"/>
      <c r="BE357" s="629"/>
    </row>
    <row r="358" spans="20:57">
      <c r="T358" s="4">
        <f t="shared" si="123"/>
        <v>2034</v>
      </c>
      <c r="U358" s="434">
        <f t="shared" si="118"/>
        <v>49157</v>
      </c>
      <c r="V358" s="150">
        <v>102.31</v>
      </c>
      <c r="W358" s="150">
        <v>98.14</v>
      </c>
      <c r="X358" s="357">
        <f t="shared" si="127"/>
        <v>100.51689999999999</v>
      </c>
      <c r="Y358" s="343">
        <v>432</v>
      </c>
      <c r="Z358" s="343">
        <v>312</v>
      </c>
      <c r="AA358" s="343">
        <f t="shared" si="124"/>
        <v>0.58064516129032262</v>
      </c>
      <c r="AB358" s="343">
        <f t="shared" si="125"/>
        <v>0.41935483870967744</v>
      </c>
      <c r="AF358" s="4">
        <f t="shared" si="128"/>
        <v>2034</v>
      </c>
      <c r="AG358" s="432">
        <f t="shared" si="130"/>
        <v>49157</v>
      </c>
      <c r="AH358" s="149">
        <f t="shared" si="126"/>
        <v>12.77809679173464</v>
      </c>
      <c r="AI358" s="150">
        <v>12.77809679173464</v>
      </c>
      <c r="AK358" s="4">
        <f t="shared" si="119"/>
        <v>2033</v>
      </c>
      <c r="AL358" s="432">
        <v>48760</v>
      </c>
      <c r="AM358" s="4">
        <f t="shared" si="120"/>
        <v>8.4550000000000001</v>
      </c>
      <c r="AN358" s="4">
        <v>8.56</v>
      </c>
      <c r="AO358" s="4">
        <v>8.35</v>
      </c>
      <c r="AQ358" s="4">
        <f t="shared" si="121"/>
        <v>2037</v>
      </c>
      <c r="AR358" s="356">
        <v>50161</v>
      </c>
      <c r="AS358" s="4">
        <f t="shared" si="122"/>
        <v>14.68</v>
      </c>
      <c r="AT358" s="4">
        <v>14.83</v>
      </c>
      <c r="AU358" s="4">
        <v>14.53</v>
      </c>
      <c r="AV358" s="515"/>
      <c r="AW358" s="535"/>
      <c r="AY358" s="596"/>
      <c r="BA358" s="629"/>
      <c r="BB358" s="633"/>
      <c r="BC358" s="629"/>
      <c r="BD358" s="634"/>
      <c r="BE358" s="629"/>
    </row>
    <row r="359" spans="20:57">
      <c r="T359" s="4">
        <f t="shared" si="123"/>
        <v>2034</v>
      </c>
      <c r="U359" s="434">
        <f t="shared" si="118"/>
        <v>49188</v>
      </c>
      <c r="V359" s="150">
        <v>101.41</v>
      </c>
      <c r="W359" s="150">
        <v>95.1</v>
      </c>
      <c r="X359" s="357">
        <f t="shared" si="127"/>
        <v>98.696699999999993</v>
      </c>
      <c r="Y359" s="343">
        <v>400</v>
      </c>
      <c r="Z359" s="343">
        <v>320</v>
      </c>
      <c r="AA359" s="343">
        <f t="shared" si="124"/>
        <v>0.55555555555555558</v>
      </c>
      <c r="AB359" s="343">
        <f t="shared" si="125"/>
        <v>0.44444444444444442</v>
      </c>
      <c r="AF359" s="4">
        <f t="shared" si="128"/>
        <v>2034</v>
      </c>
      <c r="AG359" s="432">
        <f t="shared" si="130"/>
        <v>49188</v>
      </c>
      <c r="AH359" s="149">
        <f t="shared" si="126"/>
        <v>12.77809679173464</v>
      </c>
      <c r="AI359" s="150">
        <v>12.77809679173464</v>
      </c>
      <c r="AK359" s="4">
        <f t="shared" si="119"/>
        <v>2033</v>
      </c>
      <c r="AL359" s="432">
        <v>48791</v>
      </c>
      <c r="AM359" s="4">
        <f t="shared" si="120"/>
        <v>8.5850000000000009</v>
      </c>
      <c r="AN359" s="4">
        <v>8.69</v>
      </c>
      <c r="AO359" s="4">
        <v>8.48</v>
      </c>
      <c r="AQ359" s="4">
        <f t="shared" si="121"/>
        <v>2037</v>
      </c>
      <c r="AR359" s="356">
        <v>50192</v>
      </c>
      <c r="AS359" s="4">
        <f t="shared" si="122"/>
        <v>14.91</v>
      </c>
      <c r="AT359" s="4">
        <v>15.06</v>
      </c>
      <c r="AU359" s="4">
        <v>14.76</v>
      </c>
      <c r="AV359" s="515"/>
      <c r="AW359" s="535"/>
      <c r="AY359" s="596"/>
      <c r="BA359" s="629"/>
      <c r="BB359" s="633"/>
      <c r="BC359" s="629"/>
      <c r="BD359" s="634"/>
      <c r="BE359" s="629"/>
    </row>
    <row r="360" spans="20:57">
      <c r="T360" s="4">
        <f t="shared" si="123"/>
        <v>2034</v>
      </c>
      <c r="U360" s="434">
        <f t="shared" ref="U360:U423" si="131">EOMONTH(U359,0)+1</f>
        <v>49218</v>
      </c>
      <c r="V360" s="150">
        <v>100.64</v>
      </c>
      <c r="W360" s="150">
        <v>87.86</v>
      </c>
      <c r="X360" s="357">
        <f t="shared" si="127"/>
        <v>95.144599999999997</v>
      </c>
      <c r="Y360" s="343">
        <v>416</v>
      </c>
      <c r="Z360" s="343">
        <v>328</v>
      </c>
      <c r="AA360" s="343">
        <f t="shared" si="124"/>
        <v>0.55913978494623651</v>
      </c>
      <c r="AB360" s="343">
        <f t="shared" si="125"/>
        <v>0.44086021505376344</v>
      </c>
      <c r="AF360" s="4">
        <f t="shared" si="128"/>
        <v>2034</v>
      </c>
      <c r="AG360" s="432">
        <f t="shared" si="130"/>
        <v>49218</v>
      </c>
      <c r="AH360" s="149">
        <f t="shared" si="126"/>
        <v>13.230108754758021</v>
      </c>
      <c r="AI360" s="150">
        <v>13.230108754758021</v>
      </c>
      <c r="AK360" s="4">
        <f t="shared" si="119"/>
        <v>2033</v>
      </c>
      <c r="AL360" s="432">
        <v>48822</v>
      </c>
      <c r="AM360" s="4">
        <f t="shared" si="120"/>
        <v>8.5850000000000009</v>
      </c>
      <c r="AN360" s="4">
        <v>8.69</v>
      </c>
      <c r="AO360" s="4">
        <v>8.48</v>
      </c>
      <c r="AQ360" s="4">
        <f t="shared" si="121"/>
        <v>2037</v>
      </c>
      <c r="AR360" s="356">
        <v>50222</v>
      </c>
      <c r="AS360" s="4">
        <f t="shared" si="122"/>
        <v>15.135</v>
      </c>
      <c r="AT360" s="4">
        <v>15.28</v>
      </c>
      <c r="AU360" s="4">
        <v>14.99</v>
      </c>
      <c r="AV360" s="515"/>
      <c r="AW360" s="535"/>
      <c r="BA360" s="629"/>
      <c r="BB360" s="633"/>
      <c r="BC360" s="629"/>
      <c r="BD360" s="629"/>
      <c r="BE360" s="629"/>
    </row>
    <row r="361" spans="20:57">
      <c r="T361" s="4">
        <f t="shared" si="123"/>
        <v>2034</v>
      </c>
      <c r="U361" s="434">
        <f t="shared" si="131"/>
        <v>49249</v>
      </c>
      <c r="V361" s="150">
        <v>113.66</v>
      </c>
      <c r="W361" s="150">
        <v>99.67</v>
      </c>
      <c r="X361" s="357">
        <f t="shared" si="127"/>
        <v>107.64429999999999</v>
      </c>
      <c r="Y361" s="343">
        <v>400</v>
      </c>
      <c r="Z361" s="343">
        <v>320</v>
      </c>
      <c r="AA361" s="343">
        <f t="shared" si="124"/>
        <v>0.55555555555555558</v>
      </c>
      <c r="AB361" s="343">
        <f t="shared" si="125"/>
        <v>0.44444444444444442</v>
      </c>
      <c r="AF361" s="4">
        <f t="shared" si="128"/>
        <v>2034</v>
      </c>
      <c r="AG361" s="432">
        <f t="shared" si="130"/>
        <v>49249</v>
      </c>
      <c r="AH361" s="149">
        <f t="shared" si="126"/>
        <v>13.423828167482325</v>
      </c>
      <c r="AI361" s="150">
        <v>13.423828167482325</v>
      </c>
      <c r="AK361" s="4">
        <f t="shared" si="119"/>
        <v>2033</v>
      </c>
      <c r="AL361" s="432">
        <v>48852</v>
      </c>
      <c r="AM361" s="4">
        <f t="shared" si="120"/>
        <v>8.5850000000000009</v>
      </c>
      <c r="AN361" s="4">
        <v>8.69</v>
      </c>
      <c r="AO361" s="4">
        <v>8.48</v>
      </c>
      <c r="AQ361" s="4">
        <f t="shared" si="121"/>
        <v>2037</v>
      </c>
      <c r="AR361" s="356">
        <v>50253</v>
      </c>
      <c r="AS361" s="4">
        <f t="shared" si="122"/>
        <v>15.135</v>
      </c>
      <c r="AT361" s="4">
        <v>15.28</v>
      </c>
      <c r="AU361" s="4">
        <v>14.99</v>
      </c>
      <c r="AV361" s="515"/>
      <c r="AW361" s="535"/>
      <c r="BA361" s="629"/>
      <c r="BB361" s="633"/>
      <c r="BC361" s="629"/>
      <c r="BD361" s="629"/>
      <c r="BE361" s="629"/>
    </row>
    <row r="362" spans="20:57">
      <c r="T362" s="4">
        <f t="shared" si="123"/>
        <v>2034</v>
      </c>
      <c r="U362" s="434">
        <f t="shared" si="131"/>
        <v>49279</v>
      </c>
      <c r="V362" s="150">
        <v>118.99</v>
      </c>
      <c r="W362" s="150">
        <v>109.11</v>
      </c>
      <c r="X362" s="357">
        <f t="shared" si="127"/>
        <v>114.74159999999999</v>
      </c>
      <c r="Y362" s="343">
        <v>400</v>
      </c>
      <c r="Z362" s="343">
        <v>344</v>
      </c>
      <c r="AA362" s="343">
        <f t="shared" si="124"/>
        <v>0.5376344086021505</v>
      </c>
      <c r="AB362" s="343">
        <f t="shared" si="125"/>
        <v>0.46236559139784944</v>
      </c>
      <c r="AF362" s="4">
        <f t="shared" si="128"/>
        <v>2034</v>
      </c>
      <c r="AG362" s="432">
        <f t="shared" si="130"/>
        <v>49279</v>
      </c>
      <c r="AH362" s="149">
        <f t="shared" si="126"/>
        <v>14.06616095704187</v>
      </c>
      <c r="AI362" s="150">
        <v>14.06616095704187</v>
      </c>
      <c r="AK362" s="4">
        <f t="shared" si="119"/>
        <v>2033</v>
      </c>
      <c r="AL362" s="432">
        <v>48883</v>
      </c>
      <c r="AM362" s="4">
        <f t="shared" si="120"/>
        <v>8.91</v>
      </c>
      <c r="AN362" s="4">
        <v>8.9499999999999993</v>
      </c>
      <c r="AO362" s="4">
        <v>8.8699999999999992</v>
      </c>
      <c r="AQ362" s="4">
        <f t="shared" si="121"/>
        <v>2037</v>
      </c>
      <c r="AR362" s="356">
        <v>50284</v>
      </c>
      <c r="AS362" s="4">
        <f t="shared" si="122"/>
        <v>15.135</v>
      </c>
      <c r="AT362" s="4">
        <v>15.28</v>
      </c>
      <c r="AU362" s="4">
        <v>14.99</v>
      </c>
      <c r="AV362" s="515"/>
      <c r="AW362" s="535"/>
      <c r="BA362" s="629"/>
      <c r="BB362" s="633"/>
      <c r="BC362" s="629"/>
      <c r="BD362" s="629"/>
      <c r="BE362" s="629"/>
    </row>
    <row r="363" spans="20:57">
      <c r="T363" s="4">
        <f t="shared" si="123"/>
        <v>2035</v>
      </c>
      <c r="U363" s="434">
        <f t="shared" si="131"/>
        <v>49310</v>
      </c>
      <c r="V363" s="150">
        <v>124.79</v>
      </c>
      <c r="W363" s="150">
        <v>112.62</v>
      </c>
      <c r="X363" s="357">
        <f t="shared" si="127"/>
        <v>119.55689999999998</v>
      </c>
      <c r="Y363" s="343">
        <v>416</v>
      </c>
      <c r="Z363" s="343">
        <v>328</v>
      </c>
      <c r="AA363" s="343">
        <f t="shared" si="124"/>
        <v>0.55913978494623651</v>
      </c>
      <c r="AB363" s="343">
        <f t="shared" si="125"/>
        <v>0.44086021505376344</v>
      </c>
      <c r="AF363" s="4">
        <f t="shared" si="128"/>
        <v>2035</v>
      </c>
      <c r="AG363" s="432">
        <f t="shared" si="130"/>
        <v>49310</v>
      </c>
      <c r="AH363" s="149">
        <f t="shared" si="126"/>
        <v>15.282854812398041</v>
      </c>
      <c r="AI363" s="150">
        <v>15.282854812398041</v>
      </c>
      <c r="AK363" s="4">
        <f t="shared" si="119"/>
        <v>2033</v>
      </c>
      <c r="AL363" s="432">
        <v>48913</v>
      </c>
      <c r="AM363" s="4">
        <f t="shared" si="120"/>
        <v>9.0350000000000001</v>
      </c>
      <c r="AN363" s="4">
        <v>9.07</v>
      </c>
      <c r="AO363" s="4">
        <v>9</v>
      </c>
      <c r="AQ363" s="4">
        <f t="shared" si="121"/>
        <v>2037</v>
      </c>
      <c r="AR363" s="356">
        <v>50314</v>
      </c>
      <c r="AS363" s="4">
        <f t="shared" si="122"/>
        <v>15.71</v>
      </c>
      <c r="AT363" s="4">
        <v>15.73</v>
      </c>
      <c r="AU363" s="4">
        <v>15.69</v>
      </c>
      <c r="AV363" s="515"/>
      <c r="BA363" s="629"/>
      <c r="BB363" s="629"/>
      <c r="BC363" s="629"/>
      <c r="BD363" s="629"/>
      <c r="BE363" s="629"/>
    </row>
    <row r="364" spans="20:57">
      <c r="T364" s="4">
        <f t="shared" si="123"/>
        <v>2035</v>
      </c>
      <c r="U364" s="434">
        <f t="shared" si="131"/>
        <v>49341</v>
      </c>
      <c r="V364" s="150">
        <v>117.45</v>
      </c>
      <c r="W364" s="150">
        <v>102.15</v>
      </c>
      <c r="X364" s="357">
        <f t="shared" si="127"/>
        <v>110.87100000000001</v>
      </c>
      <c r="Y364" s="343">
        <v>384</v>
      </c>
      <c r="Z364" s="343">
        <v>288</v>
      </c>
      <c r="AA364" s="343">
        <f t="shared" si="124"/>
        <v>0.5714285714285714</v>
      </c>
      <c r="AB364" s="343">
        <f t="shared" si="125"/>
        <v>0.42857142857142855</v>
      </c>
      <c r="AF364" s="4">
        <f t="shared" si="128"/>
        <v>2035</v>
      </c>
      <c r="AG364" s="432">
        <f t="shared" si="130"/>
        <v>49341</v>
      </c>
      <c r="AH364" s="149">
        <f t="shared" si="126"/>
        <v>14.361837955410548</v>
      </c>
      <c r="AI364" s="150">
        <v>14.361837955410548</v>
      </c>
      <c r="AK364" s="4">
        <f t="shared" si="119"/>
        <v>2033</v>
      </c>
      <c r="AL364" s="432">
        <v>48944</v>
      </c>
      <c r="AM364" s="4">
        <f t="shared" si="120"/>
        <v>9.495000000000001</v>
      </c>
      <c r="AN364" s="4">
        <v>9.4600000000000009</v>
      </c>
      <c r="AO364" s="4">
        <v>9.5299999999999994</v>
      </c>
      <c r="AQ364" s="4">
        <f t="shared" si="121"/>
        <v>2037</v>
      </c>
      <c r="AR364" s="356">
        <v>50345</v>
      </c>
      <c r="AS364" s="4">
        <f t="shared" si="122"/>
        <v>15.934999999999999</v>
      </c>
      <c r="AT364" s="4">
        <v>15.95</v>
      </c>
      <c r="AU364" s="4">
        <v>15.92</v>
      </c>
      <c r="AV364" s="515"/>
      <c r="BA364" s="629"/>
      <c r="BB364" s="629"/>
      <c r="BC364" s="629"/>
      <c r="BD364" s="629"/>
      <c r="BE364" s="629"/>
    </row>
    <row r="365" spans="20:57">
      <c r="T365" s="4">
        <f t="shared" si="123"/>
        <v>2035</v>
      </c>
      <c r="U365" s="434">
        <f t="shared" si="131"/>
        <v>49369</v>
      </c>
      <c r="V365" s="150">
        <v>99.54</v>
      </c>
      <c r="W365" s="150">
        <v>89.01</v>
      </c>
      <c r="X365" s="357">
        <f t="shared" si="127"/>
        <v>95.012100000000004</v>
      </c>
      <c r="Y365" s="343">
        <v>432</v>
      </c>
      <c r="Z365" s="343">
        <v>312</v>
      </c>
      <c r="AA365" s="343">
        <f t="shared" si="124"/>
        <v>0.58064516129032262</v>
      </c>
      <c r="AB365" s="343">
        <f t="shared" si="125"/>
        <v>0.41935483870967744</v>
      </c>
      <c r="AF365" s="4">
        <f t="shared" si="128"/>
        <v>2035</v>
      </c>
      <c r="AG365" s="432">
        <f t="shared" si="130"/>
        <v>49369</v>
      </c>
      <c r="AH365" s="149">
        <f t="shared" si="126"/>
        <v>13.508792822185971</v>
      </c>
      <c r="AI365" s="150">
        <v>13.508792822185971</v>
      </c>
      <c r="AK365" s="4">
        <f t="shared" si="119"/>
        <v>2034</v>
      </c>
      <c r="AL365" s="432">
        <v>48975</v>
      </c>
      <c r="AM365" s="4">
        <f t="shared" si="120"/>
        <v>10.559999999999999</v>
      </c>
      <c r="AN365" s="4">
        <v>10.45</v>
      </c>
      <c r="AO365" s="4">
        <v>10.67</v>
      </c>
      <c r="AQ365" s="4">
        <f t="shared" si="121"/>
        <v>2037</v>
      </c>
      <c r="AR365" s="356">
        <v>50375</v>
      </c>
      <c r="AS365" s="4">
        <f t="shared" si="122"/>
        <v>16.734999999999999</v>
      </c>
      <c r="AT365" s="4">
        <v>16.63</v>
      </c>
      <c r="AU365" s="4">
        <v>16.84</v>
      </c>
      <c r="AV365" s="515"/>
      <c r="BA365" s="629"/>
      <c r="BB365" s="629"/>
      <c r="BC365" s="629"/>
      <c r="BD365" s="629"/>
      <c r="BE365" s="629"/>
    </row>
    <row r="366" spans="20:57">
      <c r="T366" s="4">
        <f t="shared" si="123"/>
        <v>2035</v>
      </c>
      <c r="U366" s="434">
        <f t="shared" si="131"/>
        <v>49400</v>
      </c>
      <c r="V366" s="150">
        <v>99.01</v>
      </c>
      <c r="W366" s="150">
        <v>94.33</v>
      </c>
      <c r="X366" s="357">
        <f t="shared" si="127"/>
        <v>96.997600000000006</v>
      </c>
      <c r="Y366" s="343">
        <v>400</v>
      </c>
      <c r="Z366" s="343">
        <v>320</v>
      </c>
      <c r="AA366" s="343">
        <f t="shared" si="124"/>
        <v>0.55555555555555558</v>
      </c>
      <c r="AB366" s="343">
        <f t="shared" si="125"/>
        <v>0.44444444444444442</v>
      </c>
      <c r="AF366" s="4">
        <f t="shared" si="128"/>
        <v>2035</v>
      </c>
      <c r="AG366" s="432">
        <f t="shared" si="130"/>
        <v>49400</v>
      </c>
      <c r="AH366" s="149">
        <f t="shared" si="126"/>
        <v>12.784893964110928</v>
      </c>
      <c r="AI366" s="150">
        <v>12.784893964110928</v>
      </c>
      <c r="AK366" s="4">
        <f t="shared" si="119"/>
        <v>2034</v>
      </c>
      <c r="AL366" s="432">
        <v>49003</v>
      </c>
      <c r="AM366" s="4">
        <f t="shared" si="120"/>
        <v>9.8249999999999993</v>
      </c>
      <c r="AN366" s="4">
        <v>9.7899999999999991</v>
      </c>
      <c r="AO366" s="4">
        <v>9.86</v>
      </c>
      <c r="AQ366" s="4">
        <f t="shared" si="121"/>
        <v>2038</v>
      </c>
      <c r="AR366" s="356">
        <v>50406</v>
      </c>
      <c r="AS366" s="4">
        <f t="shared" si="122"/>
        <v>18.310000000000002</v>
      </c>
      <c r="AT366" s="4">
        <v>18.07</v>
      </c>
      <c r="AU366" s="4">
        <v>18.55</v>
      </c>
      <c r="AV366" s="515"/>
      <c r="BA366" s="629"/>
      <c r="BB366" s="629"/>
      <c r="BC366" s="629"/>
      <c r="BD366" s="629"/>
      <c r="BE366" s="629"/>
    </row>
    <row r="367" spans="20:57">
      <c r="T367" s="4">
        <f t="shared" si="123"/>
        <v>2035</v>
      </c>
      <c r="U367" s="434">
        <f t="shared" si="131"/>
        <v>49430</v>
      </c>
      <c r="V367" s="150">
        <v>100.82</v>
      </c>
      <c r="W367" s="150">
        <v>94.84</v>
      </c>
      <c r="X367" s="357">
        <f t="shared" si="127"/>
        <v>98.248599999999982</v>
      </c>
      <c r="Y367" s="343">
        <v>416</v>
      </c>
      <c r="Z367" s="343">
        <v>328</v>
      </c>
      <c r="AA367" s="343">
        <f t="shared" si="124"/>
        <v>0.55913978494623651</v>
      </c>
      <c r="AB367" s="343">
        <f t="shared" si="125"/>
        <v>0.44086021505376344</v>
      </c>
      <c r="AF367" s="4">
        <f t="shared" si="128"/>
        <v>2035</v>
      </c>
      <c r="AG367" s="432">
        <f t="shared" si="130"/>
        <v>49430</v>
      </c>
      <c r="AH367" s="149">
        <f t="shared" si="126"/>
        <v>12.652349102773247</v>
      </c>
      <c r="AI367" s="150">
        <v>12.652349102773247</v>
      </c>
      <c r="AK367" s="4">
        <f t="shared" si="119"/>
        <v>2034</v>
      </c>
      <c r="AL367" s="432">
        <v>49034</v>
      </c>
      <c r="AM367" s="4">
        <f t="shared" si="120"/>
        <v>9.2199999999999989</v>
      </c>
      <c r="AN367" s="4">
        <v>9.26</v>
      </c>
      <c r="AO367" s="4">
        <v>9.18</v>
      </c>
      <c r="AQ367" s="4">
        <f t="shared" si="121"/>
        <v>2038</v>
      </c>
      <c r="AR367" s="356">
        <v>50437</v>
      </c>
      <c r="AS367" s="4">
        <f t="shared" si="122"/>
        <v>17.035</v>
      </c>
      <c r="AT367" s="4">
        <v>16.93</v>
      </c>
      <c r="AU367" s="4">
        <v>17.14</v>
      </c>
      <c r="AV367" s="515"/>
      <c r="BA367" s="629"/>
      <c r="BB367" s="629"/>
      <c r="BC367" s="629"/>
      <c r="BD367" s="629"/>
      <c r="BE367" s="629"/>
    </row>
    <row r="368" spans="20:57">
      <c r="T368" s="4">
        <f t="shared" si="123"/>
        <v>2035</v>
      </c>
      <c r="U368" s="434">
        <f t="shared" si="131"/>
        <v>49461</v>
      </c>
      <c r="V368" s="150">
        <v>109.14</v>
      </c>
      <c r="W368" s="150">
        <v>97.4</v>
      </c>
      <c r="X368" s="357">
        <f t="shared" si="127"/>
        <v>104.09180000000001</v>
      </c>
      <c r="Y368" s="343">
        <v>416</v>
      </c>
      <c r="Z368" s="343">
        <v>304</v>
      </c>
      <c r="AA368" s="343">
        <f t="shared" si="124"/>
        <v>0.57777777777777772</v>
      </c>
      <c r="AB368" s="343">
        <f t="shared" si="125"/>
        <v>0.42222222222222222</v>
      </c>
      <c r="AF368" s="4">
        <f t="shared" si="128"/>
        <v>2035</v>
      </c>
      <c r="AG368" s="432">
        <f t="shared" si="130"/>
        <v>49461</v>
      </c>
      <c r="AH368" s="149">
        <f t="shared" si="126"/>
        <v>12.849467101685697</v>
      </c>
      <c r="AI368" s="150">
        <v>12.849467101685697</v>
      </c>
      <c r="AK368" s="4">
        <f t="shared" si="119"/>
        <v>2034</v>
      </c>
      <c r="AL368" s="432">
        <v>49064</v>
      </c>
      <c r="AM368" s="4">
        <f t="shared" si="120"/>
        <v>8.620000000000001</v>
      </c>
      <c r="AN368" s="4">
        <v>8.73</v>
      </c>
      <c r="AO368" s="4">
        <v>8.51</v>
      </c>
      <c r="AQ368" s="4">
        <f t="shared" si="121"/>
        <v>2038</v>
      </c>
      <c r="AR368" s="356">
        <v>50465</v>
      </c>
      <c r="AS368" s="4">
        <f t="shared" si="122"/>
        <v>15.990000000000002</v>
      </c>
      <c r="AT368" s="4">
        <v>16.010000000000002</v>
      </c>
      <c r="AU368" s="4">
        <v>15.97</v>
      </c>
      <c r="AV368" s="515"/>
      <c r="BA368" s="629"/>
      <c r="BB368" s="629"/>
      <c r="BC368" s="629"/>
      <c r="BD368" s="629"/>
      <c r="BE368" s="629"/>
    </row>
    <row r="369" spans="20:57">
      <c r="T369" s="4">
        <f t="shared" si="123"/>
        <v>2035</v>
      </c>
      <c r="U369" s="434">
        <f t="shared" si="131"/>
        <v>49491</v>
      </c>
      <c r="V369" s="150">
        <v>103.94</v>
      </c>
      <c r="W369" s="150">
        <v>99.63</v>
      </c>
      <c r="X369" s="357">
        <f t="shared" si="127"/>
        <v>102.08669999999999</v>
      </c>
      <c r="Y369" s="343">
        <v>400</v>
      </c>
      <c r="Z369" s="343">
        <v>344</v>
      </c>
      <c r="AA369" s="343">
        <f t="shared" si="124"/>
        <v>0.5376344086021505</v>
      </c>
      <c r="AB369" s="343">
        <f t="shared" si="125"/>
        <v>0.46236559139784944</v>
      </c>
      <c r="AF369" s="4">
        <f t="shared" si="128"/>
        <v>2035</v>
      </c>
      <c r="AG369" s="432">
        <f t="shared" si="130"/>
        <v>49491</v>
      </c>
      <c r="AH369" s="149">
        <f t="shared" si="126"/>
        <v>13.049983686786298</v>
      </c>
      <c r="AI369" s="150">
        <v>13.049983686786298</v>
      </c>
      <c r="AK369" s="4">
        <f t="shared" si="119"/>
        <v>2034</v>
      </c>
      <c r="AL369" s="432">
        <v>49095</v>
      </c>
      <c r="AM369" s="4">
        <f t="shared" si="120"/>
        <v>8.620000000000001</v>
      </c>
      <c r="AN369" s="4">
        <v>8.73</v>
      </c>
      <c r="AO369" s="4">
        <v>8.51</v>
      </c>
      <c r="AQ369" s="4">
        <f t="shared" si="121"/>
        <v>2038</v>
      </c>
      <c r="AR369" s="356">
        <v>50496</v>
      </c>
      <c r="AS369" s="4">
        <f t="shared" si="122"/>
        <v>14.945</v>
      </c>
      <c r="AT369" s="4">
        <v>15.1</v>
      </c>
      <c r="AU369" s="4">
        <v>14.79</v>
      </c>
      <c r="AV369" s="515"/>
      <c r="BA369" s="629"/>
      <c r="BB369" s="629"/>
      <c r="BC369" s="629"/>
      <c r="BD369" s="629"/>
      <c r="BE369" s="629"/>
    </row>
    <row r="370" spans="20:57">
      <c r="T370" s="4">
        <f t="shared" si="123"/>
        <v>2035</v>
      </c>
      <c r="U370" s="434">
        <f t="shared" si="131"/>
        <v>49522</v>
      </c>
      <c r="V370" s="150">
        <v>104.46</v>
      </c>
      <c r="W370" s="150">
        <v>100.2</v>
      </c>
      <c r="X370" s="357">
        <f t="shared" si="127"/>
        <v>102.62819999999999</v>
      </c>
      <c r="Y370" s="343">
        <v>432</v>
      </c>
      <c r="Z370" s="343">
        <v>312</v>
      </c>
      <c r="AA370" s="343">
        <f t="shared" si="124"/>
        <v>0.58064516129032262</v>
      </c>
      <c r="AB370" s="343">
        <f t="shared" si="125"/>
        <v>0.41935483870967744</v>
      </c>
      <c r="AF370" s="4">
        <f t="shared" si="128"/>
        <v>2035</v>
      </c>
      <c r="AG370" s="432">
        <f t="shared" si="130"/>
        <v>49522</v>
      </c>
      <c r="AH370" s="149">
        <f t="shared" si="126"/>
        <v>13.049983686786298</v>
      </c>
      <c r="AI370" s="150">
        <v>13.049983686786298</v>
      </c>
      <c r="AK370" s="4">
        <f t="shared" si="119"/>
        <v>2034</v>
      </c>
      <c r="AL370" s="432">
        <v>49125</v>
      </c>
      <c r="AM370" s="4">
        <f t="shared" si="120"/>
        <v>8.75</v>
      </c>
      <c r="AN370" s="4">
        <v>8.86</v>
      </c>
      <c r="AO370" s="4">
        <v>8.64</v>
      </c>
      <c r="AQ370" s="4">
        <f t="shared" si="121"/>
        <v>2038</v>
      </c>
      <c r="AR370" s="356">
        <v>50526</v>
      </c>
      <c r="AS370" s="4">
        <f t="shared" si="122"/>
        <v>14.945</v>
      </c>
      <c r="AT370" s="4">
        <v>15.1</v>
      </c>
      <c r="AU370" s="4">
        <v>14.79</v>
      </c>
      <c r="AV370" s="515"/>
      <c r="BA370" s="629"/>
      <c r="BB370" s="629"/>
      <c r="BC370" s="629"/>
      <c r="BD370" s="629"/>
      <c r="BE370" s="629"/>
    </row>
    <row r="371" spans="20:57">
      <c r="T371" s="4">
        <f t="shared" si="123"/>
        <v>2035</v>
      </c>
      <c r="U371" s="434">
        <f t="shared" si="131"/>
        <v>49553</v>
      </c>
      <c r="V371" s="150">
        <v>103.54</v>
      </c>
      <c r="W371" s="150">
        <v>97.09</v>
      </c>
      <c r="X371" s="357">
        <f t="shared" si="127"/>
        <v>100.76650000000001</v>
      </c>
      <c r="Y371" s="343">
        <v>384</v>
      </c>
      <c r="Z371" s="343">
        <v>336</v>
      </c>
      <c r="AA371" s="343">
        <f t="shared" si="124"/>
        <v>0.53333333333333333</v>
      </c>
      <c r="AB371" s="343">
        <f t="shared" si="125"/>
        <v>0.46666666666666667</v>
      </c>
      <c r="AF371" s="4">
        <f t="shared" si="128"/>
        <v>2035</v>
      </c>
      <c r="AG371" s="432">
        <f t="shared" si="130"/>
        <v>49553</v>
      </c>
      <c r="AH371" s="149">
        <f t="shared" si="126"/>
        <v>13.049983686786298</v>
      </c>
      <c r="AI371" s="150">
        <v>13.049983686786298</v>
      </c>
      <c r="AK371" s="4">
        <f t="shared" si="119"/>
        <v>2034</v>
      </c>
      <c r="AL371" s="432">
        <v>49156</v>
      </c>
      <c r="AM371" s="4">
        <f t="shared" si="120"/>
        <v>8.8849999999999998</v>
      </c>
      <c r="AN371" s="4">
        <v>8.99</v>
      </c>
      <c r="AO371" s="4">
        <v>8.7799999999999994</v>
      </c>
      <c r="AQ371" s="4">
        <f t="shared" si="121"/>
        <v>2038</v>
      </c>
      <c r="AR371" s="356">
        <v>50557</v>
      </c>
      <c r="AS371" s="4">
        <f t="shared" si="122"/>
        <v>15.18</v>
      </c>
      <c r="AT371" s="4">
        <v>15.33</v>
      </c>
      <c r="AU371" s="4">
        <v>15.03</v>
      </c>
      <c r="AV371" s="515"/>
      <c r="BA371" s="629"/>
      <c r="BB371" s="629"/>
      <c r="BC371" s="629"/>
      <c r="BD371" s="629"/>
      <c r="BE371" s="629"/>
    </row>
    <row r="372" spans="20:57">
      <c r="T372" s="4">
        <f t="shared" si="123"/>
        <v>2035</v>
      </c>
      <c r="U372" s="434">
        <f t="shared" si="131"/>
        <v>49583</v>
      </c>
      <c r="V372" s="150">
        <v>102.75</v>
      </c>
      <c r="W372" s="150">
        <v>89.71</v>
      </c>
      <c r="X372" s="357">
        <f t="shared" si="127"/>
        <v>97.142799999999994</v>
      </c>
      <c r="Y372" s="343">
        <v>432</v>
      </c>
      <c r="Z372" s="343">
        <v>312</v>
      </c>
      <c r="AA372" s="343">
        <f t="shared" si="124"/>
        <v>0.58064516129032262</v>
      </c>
      <c r="AB372" s="343">
        <f t="shared" si="125"/>
        <v>0.41935483870967744</v>
      </c>
      <c r="AF372" s="4">
        <f t="shared" si="128"/>
        <v>2035</v>
      </c>
      <c r="AG372" s="432">
        <f t="shared" si="130"/>
        <v>49583</v>
      </c>
      <c r="AH372" s="149">
        <f t="shared" si="126"/>
        <v>13.508792822185971</v>
      </c>
      <c r="AI372" s="150">
        <v>13.508792822185971</v>
      </c>
      <c r="AQ372" s="4">
        <f t="shared" si="121"/>
        <v>2038</v>
      </c>
      <c r="AR372" s="356">
        <v>50587</v>
      </c>
      <c r="AS372" s="4">
        <f t="shared" si="122"/>
        <v>15.41</v>
      </c>
      <c r="AT372" s="4">
        <v>15.56</v>
      </c>
      <c r="AU372" s="4">
        <v>15.26</v>
      </c>
      <c r="AV372" s="515"/>
      <c r="BA372" s="629"/>
      <c r="BB372" s="629"/>
      <c r="BC372" s="629"/>
      <c r="BD372" s="629"/>
      <c r="BE372" s="629"/>
    </row>
    <row r="373" spans="20:57">
      <c r="T373" s="4">
        <f t="shared" si="123"/>
        <v>2035</v>
      </c>
      <c r="U373" s="434">
        <f t="shared" si="131"/>
        <v>49614</v>
      </c>
      <c r="V373" s="150">
        <v>116.05</v>
      </c>
      <c r="W373" s="150">
        <v>101.76</v>
      </c>
      <c r="X373" s="357">
        <f t="shared" si="127"/>
        <v>109.9053</v>
      </c>
      <c r="Y373" s="343">
        <v>400</v>
      </c>
      <c r="Z373" s="343">
        <v>320</v>
      </c>
      <c r="AA373" s="343">
        <f t="shared" si="124"/>
        <v>0.55555555555555558</v>
      </c>
      <c r="AB373" s="343">
        <f t="shared" si="125"/>
        <v>0.44444444444444442</v>
      </c>
      <c r="AF373" s="4">
        <f t="shared" si="128"/>
        <v>2035</v>
      </c>
      <c r="AG373" s="432">
        <f t="shared" si="130"/>
        <v>49614</v>
      </c>
      <c r="AH373" s="149">
        <f t="shared" si="126"/>
        <v>13.705910821098422</v>
      </c>
      <c r="AI373" s="150">
        <v>13.705910821098422</v>
      </c>
      <c r="AV373" s="515"/>
      <c r="BA373" s="629"/>
      <c r="BB373" s="629"/>
      <c r="BC373" s="629"/>
      <c r="BD373" s="629"/>
      <c r="BE373" s="629"/>
    </row>
    <row r="374" spans="20:57">
      <c r="T374" s="4">
        <f t="shared" si="123"/>
        <v>2035</v>
      </c>
      <c r="U374" s="434">
        <f t="shared" si="131"/>
        <v>49644</v>
      </c>
      <c r="V374" s="150">
        <v>121.48</v>
      </c>
      <c r="W374" s="150">
        <v>111.4</v>
      </c>
      <c r="X374" s="357">
        <f t="shared" si="127"/>
        <v>117.1456</v>
      </c>
      <c r="Y374" s="343">
        <v>400</v>
      </c>
      <c r="Z374" s="343">
        <v>344</v>
      </c>
      <c r="AA374" s="343">
        <f t="shared" si="124"/>
        <v>0.5376344086021505</v>
      </c>
      <c r="AB374" s="343">
        <f t="shared" si="125"/>
        <v>0.46236559139784944</v>
      </c>
      <c r="AF374" s="4">
        <f t="shared" si="128"/>
        <v>2035</v>
      </c>
      <c r="AG374" s="432">
        <f t="shared" si="130"/>
        <v>49644</v>
      </c>
      <c r="AH374" s="149">
        <f t="shared" si="126"/>
        <v>14.361837955410548</v>
      </c>
      <c r="AI374" s="150">
        <v>14.361837955410548</v>
      </c>
      <c r="AV374" s="515"/>
      <c r="BA374" s="629"/>
      <c r="BB374" s="629"/>
      <c r="BC374" s="629"/>
      <c r="BD374" s="629"/>
      <c r="BE374" s="629"/>
    </row>
    <row r="375" spans="20:57">
      <c r="T375" s="4">
        <f t="shared" si="123"/>
        <v>2036</v>
      </c>
      <c r="U375" s="434">
        <f t="shared" si="131"/>
        <v>49675</v>
      </c>
      <c r="V375" s="150">
        <v>127.41</v>
      </c>
      <c r="W375" s="150">
        <v>114.99</v>
      </c>
      <c r="X375" s="357">
        <f t="shared" si="127"/>
        <v>122.06939999999997</v>
      </c>
      <c r="Y375" s="343">
        <v>416</v>
      </c>
      <c r="Z375" s="343">
        <v>328</v>
      </c>
      <c r="AA375" s="343">
        <f t="shared" si="124"/>
        <v>0.55913978494623651</v>
      </c>
      <c r="AB375" s="343">
        <f t="shared" si="125"/>
        <v>0.44086021505376344</v>
      </c>
      <c r="AF375" s="4">
        <f t="shared" si="128"/>
        <v>2036</v>
      </c>
      <c r="AG375" s="432">
        <f t="shared" si="130"/>
        <v>49675</v>
      </c>
      <c r="AH375" s="149">
        <f t="shared" si="126"/>
        <v>15.60232191408374</v>
      </c>
      <c r="AI375" s="150">
        <v>15.60232191408374</v>
      </c>
    </row>
    <row r="376" spans="20:57">
      <c r="T376" s="4">
        <f t="shared" si="123"/>
        <v>2036</v>
      </c>
      <c r="U376" s="434">
        <f t="shared" si="131"/>
        <v>49706</v>
      </c>
      <c r="V376" s="150">
        <v>119.92</v>
      </c>
      <c r="W376" s="150">
        <v>104.3</v>
      </c>
      <c r="X376" s="357">
        <f t="shared" si="127"/>
        <v>113.20339999999999</v>
      </c>
      <c r="Y376" s="343">
        <v>384</v>
      </c>
      <c r="Z376" s="343">
        <v>288</v>
      </c>
      <c r="AA376" s="343">
        <f t="shared" si="124"/>
        <v>0.5714285714285714</v>
      </c>
      <c r="AB376" s="343">
        <f t="shared" si="125"/>
        <v>0.42857142857142855</v>
      </c>
      <c r="AF376" s="4">
        <f t="shared" si="128"/>
        <v>2036</v>
      </c>
      <c r="AG376" s="432">
        <f t="shared" si="130"/>
        <v>49706</v>
      </c>
      <c r="AH376" s="149">
        <f t="shared" si="126"/>
        <v>14.660913539967373</v>
      </c>
      <c r="AI376" s="150">
        <v>14.660913539967373</v>
      </c>
    </row>
    <row r="377" spans="20:57">
      <c r="T377" s="4">
        <f t="shared" si="123"/>
        <v>2036</v>
      </c>
      <c r="U377" s="434">
        <f t="shared" si="131"/>
        <v>49735</v>
      </c>
      <c r="V377" s="150">
        <v>101.63</v>
      </c>
      <c r="W377" s="150">
        <v>90.88</v>
      </c>
      <c r="X377" s="357">
        <f t="shared" si="127"/>
        <v>97.007499999999993</v>
      </c>
      <c r="Y377" s="343">
        <v>428</v>
      </c>
      <c r="Z377" s="343">
        <v>316</v>
      </c>
      <c r="AA377" s="343">
        <f t="shared" si="124"/>
        <v>0.57526881720430112</v>
      </c>
      <c r="AB377" s="343">
        <f t="shared" si="125"/>
        <v>0.42473118279569894</v>
      </c>
      <c r="AF377" s="4">
        <f t="shared" si="128"/>
        <v>2036</v>
      </c>
      <c r="AG377" s="432">
        <f t="shared" si="130"/>
        <v>49735</v>
      </c>
      <c r="AH377" s="149">
        <f t="shared" si="126"/>
        <v>13.790875475802062</v>
      </c>
      <c r="AI377" s="150">
        <v>13.790875475802062</v>
      </c>
    </row>
    <row r="378" spans="20:57">
      <c r="T378" s="4">
        <f t="shared" si="123"/>
        <v>2036</v>
      </c>
      <c r="U378" s="434">
        <f t="shared" si="131"/>
        <v>49766</v>
      </c>
      <c r="V378" s="150">
        <v>101.09</v>
      </c>
      <c r="W378" s="150">
        <v>96.31</v>
      </c>
      <c r="X378" s="357">
        <f t="shared" si="127"/>
        <v>99.034599999999998</v>
      </c>
      <c r="Y378" s="343">
        <v>416</v>
      </c>
      <c r="Z378" s="343">
        <v>304</v>
      </c>
      <c r="AA378" s="343">
        <f t="shared" si="124"/>
        <v>0.57777777777777772</v>
      </c>
      <c r="AB378" s="343">
        <f t="shared" si="125"/>
        <v>0.42222222222222222</v>
      </c>
      <c r="AF378" s="4">
        <f t="shared" si="128"/>
        <v>2036</v>
      </c>
      <c r="AG378" s="432">
        <f t="shared" si="130"/>
        <v>49766</v>
      </c>
      <c r="AH378" s="149">
        <f t="shared" si="126"/>
        <v>13.049983686786298</v>
      </c>
      <c r="AI378" s="150">
        <v>13.049983686786298</v>
      </c>
    </row>
    <row r="379" spans="20:57">
      <c r="T379" s="4">
        <f t="shared" si="123"/>
        <v>2036</v>
      </c>
      <c r="U379" s="434">
        <f t="shared" si="131"/>
        <v>49796</v>
      </c>
      <c r="V379" s="150">
        <v>102.94</v>
      </c>
      <c r="W379" s="150">
        <v>96.83</v>
      </c>
      <c r="X379" s="357">
        <f t="shared" si="127"/>
        <v>100.31269999999999</v>
      </c>
      <c r="Y379" s="343">
        <v>416</v>
      </c>
      <c r="Z379" s="343">
        <v>328</v>
      </c>
      <c r="AA379" s="343">
        <f t="shared" si="124"/>
        <v>0.55913978494623651</v>
      </c>
      <c r="AB379" s="343">
        <f t="shared" si="125"/>
        <v>0.44086021505376344</v>
      </c>
      <c r="AF379" s="4">
        <f t="shared" si="128"/>
        <v>2036</v>
      </c>
      <c r="AG379" s="432">
        <f t="shared" si="130"/>
        <v>49796</v>
      </c>
      <c r="AH379" s="149">
        <f t="shared" si="126"/>
        <v>12.917438825448613</v>
      </c>
      <c r="AI379" s="150">
        <v>12.917438825448613</v>
      </c>
    </row>
    <row r="380" spans="20:57">
      <c r="T380" s="4">
        <f t="shared" si="123"/>
        <v>2036</v>
      </c>
      <c r="U380" s="434">
        <f t="shared" si="131"/>
        <v>49827</v>
      </c>
      <c r="V380" s="150">
        <v>111.43</v>
      </c>
      <c r="W380" s="150">
        <v>99.44</v>
      </c>
      <c r="X380" s="357">
        <f t="shared" si="127"/>
        <v>106.2743</v>
      </c>
      <c r="Y380" s="343">
        <v>416</v>
      </c>
      <c r="Z380" s="343">
        <v>304</v>
      </c>
      <c r="AA380" s="343">
        <f t="shared" si="124"/>
        <v>0.57777777777777772</v>
      </c>
      <c r="AB380" s="343">
        <f t="shared" si="125"/>
        <v>0.42222222222222222</v>
      </c>
      <c r="AF380" s="4">
        <f t="shared" si="128"/>
        <v>2036</v>
      </c>
      <c r="AG380" s="432">
        <f t="shared" si="130"/>
        <v>49827</v>
      </c>
      <c r="AH380" s="149">
        <f t="shared" si="126"/>
        <v>13.117955410549211</v>
      </c>
      <c r="AI380" s="150">
        <v>13.117955410549211</v>
      </c>
    </row>
    <row r="381" spans="20:57">
      <c r="T381" s="4">
        <f t="shared" si="123"/>
        <v>2036</v>
      </c>
      <c r="U381" s="434">
        <f t="shared" si="131"/>
        <v>49857</v>
      </c>
      <c r="V381" s="150">
        <v>106.13</v>
      </c>
      <c r="W381" s="150">
        <v>101.72</v>
      </c>
      <c r="X381" s="357">
        <f t="shared" si="127"/>
        <v>104.23369999999998</v>
      </c>
      <c r="Y381" s="343">
        <v>416</v>
      </c>
      <c r="Z381" s="343">
        <v>328</v>
      </c>
      <c r="AA381" s="343">
        <f t="shared" si="124"/>
        <v>0.55913978494623651</v>
      </c>
      <c r="AB381" s="343">
        <f t="shared" si="125"/>
        <v>0.44086021505376344</v>
      </c>
      <c r="AF381" s="4">
        <f t="shared" si="128"/>
        <v>2036</v>
      </c>
      <c r="AG381" s="432">
        <f t="shared" si="130"/>
        <v>49857</v>
      </c>
      <c r="AH381" s="149">
        <f t="shared" si="126"/>
        <v>13.318471995649809</v>
      </c>
      <c r="AI381" s="150">
        <v>13.318471995649809</v>
      </c>
    </row>
    <row r="382" spans="20:57">
      <c r="T382" s="4">
        <f t="shared" si="123"/>
        <v>2036</v>
      </c>
      <c r="U382" s="434">
        <f t="shared" si="131"/>
        <v>49888</v>
      </c>
      <c r="V382" s="150">
        <v>106.65</v>
      </c>
      <c r="W382" s="150">
        <v>102.31</v>
      </c>
      <c r="X382" s="357">
        <f t="shared" si="127"/>
        <v>104.7838</v>
      </c>
      <c r="Y382" s="343">
        <v>428</v>
      </c>
      <c r="Z382" s="343">
        <v>316</v>
      </c>
      <c r="AA382" s="343">
        <f t="shared" si="124"/>
        <v>0.57526881720430112</v>
      </c>
      <c r="AB382" s="343">
        <f t="shared" si="125"/>
        <v>0.42473118279569894</v>
      </c>
      <c r="AF382" s="4">
        <f t="shared" si="128"/>
        <v>2036</v>
      </c>
      <c r="AG382" s="432">
        <f t="shared" si="130"/>
        <v>49888</v>
      </c>
      <c r="AH382" s="149">
        <f t="shared" si="126"/>
        <v>13.318471995649809</v>
      </c>
      <c r="AI382" s="150">
        <v>13.318471995649809</v>
      </c>
    </row>
    <row r="383" spans="20:57">
      <c r="T383" s="4">
        <f t="shared" si="123"/>
        <v>2036</v>
      </c>
      <c r="U383" s="434">
        <f t="shared" si="131"/>
        <v>49919</v>
      </c>
      <c r="V383" s="150">
        <v>105.71433999999999</v>
      </c>
      <c r="W383" s="150">
        <v>99.128889999999998</v>
      </c>
      <c r="X383" s="357">
        <f t="shared" si="127"/>
        <v>102.88259649999999</v>
      </c>
      <c r="Y383" s="343">
        <v>400</v>
      </c>
      <c r="Z383" s="343">
        <v>320</v>
      </c>
      <c r="AA383" s="343">
        <f t="shared" si="124"/>
        <v>0.55555555555555558</v>
      </c>
      <c r="AB383" s="343">
        <f t="shared" si="125"/>
        <v>0.44444444444444442</v>
      </c>
      <c r="AF383" s="4">
        <f t="shared" si="128"/>
        <v>2036</v>
      </c>
      <c r="AG383" s="432">
        <f t="shared" si="130"/>
        <v>49919</v>
      </c>
      <c r="AH383" s="149">
        <f t="shared" si="126"/>
        <v>13.323403344208808</v>
      </c>
      <c r="AI383" s="150">
        <v>13.323403344208808</v>
      </c>
    </row>
    <row r="384" spans="20:57">
      <c r="T384" s="4">
        <f t="shared" ref="T384:T434" si="132">+YEAR(U384)</f>
        <v>2036</v>
      </c>
      <c r="U384" s="434">
        <f t="shared" si="131"/>
        <v>49949</v>
      </c>
      <c r="Y384" s="343">
        <v>432</v>
      </c>
      <c r="Z384" s="343">
        <v>312</v>
      </c>
      <c r="AA384" s="343">
        <f t="shared" ref="AA384:AA447" si="133">Y384/(Y384+Z384)</f>
        <v>0.58064516129032262</v>
      </c>
      <c r="AB384" s="343">
        <f t="shared" ref="AB384:AB447" si="134">Z384/(Y384+Z384)</f>
        <v>0.41935483870967744</v>
      </c>
    </row>
    <row r="385" spans="20:28">
      <c r="T385" s="4">
        <f t="shared" si="132"/>
        <v>2036</v>
      </c>
      <c r="U385" s="434">
        <f t="shared" si="131"/>
        <v>49980</v>
      </c>
      <c r="Y385" s="343">
        <v>400</v>
      </c>
      <c r="Z385" s="343">
        <v>320</v>
      </c>
      <c r="AA385" s="343">
        <f t="shared" si="133"/>
        <v>0.55555555555555558</v>
      </c>
      <c r="AB385" s="343">
        <f t="shared" si="134"/>
        <v>0.44444444444444442</v>
      </c>
    </row>
    <row r="386" spans="20:28">
      <c r="T386" s="4">
        <f t="shared" si="132"/>
        <v>2036</v>
      </c>
      <c r="U386" s="434">
        <f t="shared" si="131"/>
        <v>50010</v>
      </c>
      <c r="Y386" s="343">
        <v>416</v>
      </c>
      <c r="Z386" s="343">
        <v>328</v>
      </c>
      <c r="AA386" s="343">
        <f t="shared" si="133"/>
        <v>0.55913978494623651</v>
      </c>
      <c r="AB386" s="343">
        <f t="shared" si="134"/>
        <v>0.44086021505376344</v>
      </c>
    </row>
    <row r="387" spans="20:28">
      <c r="T387" s="4">
        <f t="shared" si="132"/>
        <v>2037</v>
      </c>
      <c r="U387" s="434">
        <f t="shared" si="131"/>
        <v>50041</v>
      </c>
      <c r="Y387" s="343">
        <v>416</v>
      </c>
      <c r="Z387" s="343">
        <v>328</v>
      </c>
      <c r="AA387" s="343">
        <f t="shared" si="133"/>
        <v>0.55913978494623651</v>
      </c>
      <c r="AB387" s="343">
        <f t="shared" si="134"/>
        <v>0.44086021505376344</v>
      </c>
    </row>
    <row r="388" spans="20:28">
      <c r="T388" s="4">
        <f t="shared" si="132"/>
        <v>2037</v>
      </c>
      <c r="U388" s="434">
        <f t="shared" si="131"/>
        <v>50072</v>
      </c>
      <c r="Y388" s="343">
        <v>384</v>
      </c>
      <c r="Z388" s="343">
        <v>288</v>
      </c>
      <c r="AA388" s="343">
        <f t="shared" si="133"/>
        <v>0.5714285714285714</v>
      </c>
      <c r="AB388" s="343">
        <f t="shared" si="134"/>
        <v>0.42857142857142855</v>
      </c>
    </row>
    <row r="389" spans="20:28">
      <c r="T389" s="4">
        <f t="shared" si="132"/>
        <v>2037</v>
      </c>
      <c r="U389" s="434">
        <f t="shared" si="131"/>
        <v>50100</v>
      </c>
      <c r="Y389" s="343">
        <v>432</v>
      </c>
      <c r="Z389" s="343">
        <v>312</v>
      </c>
      <c r="AA389" s="343">
        <f t="shared" si="133"/>
        <v>0.58064516129032262</v>
      </c>
      <c r="AB389" s="343">
        <f t="shared" si="134"/>
        <v>0.41935483870967744</v>
      </c>
    </row>
    <row r="390" spans="20:28">
      <c r="T390" s="4">
        <f t="shared" si="132"/>
        <v>2037</v>
      </c>
      <c r="U390" s="434">
        <f t="shared" si="131"/>
        <v>50131</v>
      </c>
      <c r="Y390" s="343">
        <v>416</v>
      </c>
      <c r="Z390" s="343">
        <v>304</v>
      </c>
      <c r="AA390" s="343">
        <f t="shared" si="133"/>
        <v>0.57777777777777772</v>
      </c>
      <c r="AB390" s="343">
        <f t="shared" si="134"/>
        <v>0.42222222222222222</v>
      </c>
    </row>
    <row r="391" spans="20:28">
      <c r="T391" s="4">
        <f t="shared" si="132"/>
        <v>2037</v>
      </c>
      <c r="U391" s="434">
        <f t="shared" si="131"/>
        <v>50161</v>
      </c>
      <c r="Y391" s="343">
        <v>416</v>
      </c>
      <c r="Z391" s="343">
        <v>328</v>
      </c>
      <c r="AA391" s="343">
        <f t="shared" si="133"/>
        <v>0.55913978494623651</v>
      </c>
      <c r="AB391" s="343">
        <f t="shared" si="134"/>
        <v>0.44086021505376344</v>
      </c>
    </row>
    <row r="392" spans="20:28">
      <c r="T392" s="4">
        <f t="shared" si="132"/>
        <v>2037</v>
      </c>
      <c r="U392" s="434">
        <f t="shared" si="131"/>
        <v>50192</v>
      </c>
      <c r="Y392" s="343">
        <v>416</v>
      </c>
      <c r="Z392" s="343">
        <v>304</v>
      </c>
      <c r="AA392" s="343">
        <f t="shared" si="133"/>
        <v>0.57777777777777772</v>
      </c>
      <c r="AB392" s="343">
        <f t="shared" si="134"/>
        <v>0.42222222222222222</v>
      </c>
    </row>
    <row r="393" spans="20:28">
      <c r="T393" s="4">
        <f t="shared" si="132"/>
        <v>2037</v>
      </c>
      <c r="U393" s="434">
        <f t="shared" si="131"/>
        <v>50222</v>
      </c>
      <c r="Y393" s="343">
        <v>416</v>
      </c>
      <c r="Z393" s="343">
        <v>328</v>
      </c>
      <c r="AA393" s="343">
        <f t="shared" si="133"/>
        <v>0.55913978494623651</v>
      </c>
      <c r="AB393" s="343">
        <f t="shared" si="134"/>
        <v>0.44086021505376344</v>
      </c>
    </row>
    <row r="394" spans="20:28">
      <c r="T394" s="4">
        <f t="shared" si="132"/>
        <v>2037</v>
      </c>
      <c r="U394" s="434">
        <f t="shared" si="131"/>
        <v>50253</v>
      </c>
      <c r="Y394" s="343">
        <v>424</v>
      </c>
      <c r="Z394" s="343">
        <v>320</v>
      </c>
      <c r="AA394" s="343">
        <f t="shared" si="133"/>
        <v>0.56989247311827962</v>
      </c>
      <c r="AB394" s="343">
        <f t="shared" si="134"/>
        <v>0.43010752688172044</v>
      </c>
    </row>
    <row r="395" spans="20:28">
      <c r="T395" s="4">
        <f t="shared" si="132"/>
        <v>2037</v>
      </c>
      <c r="U395" s="434">
        <f t="shared" si="131"/>
        <v>50284</v>
      </c>
      <c r="Y395" s="343">
        <v>400</v>
      </c>
      <c r="Z395" s="343">
        <v>320</v>
      </c>
      <c r="AA395" s="343">
        <f t="shared" si="133"/>
        <v>0.55555555555555558</v>
      </c>
      <c r="AB395" s="343">
        <f t="shared" si="134"/>
        <v>0.44444444444444442</v>
      </c>
    </row>
    <row r="396" spans="20:28">
      <c r="T396" s="4">
        <f t="shared" si="132"/>
        <v>2037</v>
      </c>
      <c r="U396" s="434">
        <f t="shared" si="131"/>
        <v>50314</v>
      </c>
      <c r="Y396" s="343">
        <v>428</v>
      </c>
      <c r="Z396" s="343">
        <v>316</v>
      </c>
      <c r="AA396" s="343">
        <f t="shared" si="133"/>
        <v>0.57526881720430112</v>
      </c>
      <c r="AB396" s="343">
        <f t="shared" si="134"/>
        <v>0.42473118279569894</v>
      </c>
    </row>
    <row r="397" spans="20:28">
      <c r="T397" s="4">
        <f t="shared" si="132"/>
        <v>2037</v>
      </c>
      <c r="U397" s="434">
        <f t="shared" si="131"/>
        <v>50345</v>
      </c>
      <c r="Y397" s="343">
        <v>400</v>
      </c>
      <c r="Z397" s="343">
        <v>320</v>
      </c>
      <c r="AA397" s="343">
        <f t="shared" si="133"/>
        <v>0.55555555555555558</v>
      </c>
      <c r="AB397" s="343">
        <f t="shared" si="134"/>
        <v>0.44444444444444442</v>
      </c>
    </row>
    <row r="398" spans="20:28">
      <c r="T398" s="4">
        <f t="shared" si="132"/>
        <v>2037</v>
      </c>
      <c r="U398" s="434">
        <f t="shared" si="131"/>
        <v>50375</v>
      </c>
      <c r="Y398" s="343">
        <v>416</v>
      </c>
      <c r="Z398" s="343">
        <v>328</v>
      </c>
      <c r="AA398" s="343">
        <f t="shared" si="133"/>
        <v>0.55913978494623651</v>
      </c>
      <c r="AB398" s="343">
        <f t="shared" si="134"/>
        <v>0.44086021505376344</v>
      </c>
    </row>
    <row r="399" spans="20:28">
      <c r="T399" s="4">
        <f t="shared" si="132"/>
        <v>2038</v>
      </c>
      <c r="U399" s="434">
        <f t="shared" si="131"/>
        <v>50406</v>
      </c>
      <c r="Y399" s="343">
        <v>416</v>
      </c>
      <c r="Z399" s="343">
        <v>328</v>
      </c>
      <c r="AA399" s="343">
        <f t="shared" si="133"/>
        <v>0.55913978494623651</v>
      </c>
      <c r="AB399" s="343">
        <f t="shared" si="134"/>
        <v>0.44086021505376344</v>
      </c>
    </row>
    <row r="400" spans="20:28">
      <c r="T400" s="4">
        <f t="shared" si="132"/>
        <v>2038</v>
      </c>
      <c r="U400" s="434">
        <f t="shared" si="131"/>
        <v>50437</v>
      </c>
      <c r="Y400" s="343">
        <v>384</v>
      </c>
      <c r="Z400" s="343">
        <v>288</v>
      </c>
      <c r="AA400" s="343">
        <f t="shared" si="133"/>
        <v>0.5714285714285714</v>
      </c>
      <c r="AB400" s="343">
        <f t="shared" si="134"/>
        <v>0.42857142857142855</v>
      </c>
    </row>
    <row r="401" spans="20:28">
      <c r="T401" s="4">
        <f t="shared" si="132"/>
        <v>2038</v>
      </c>
      <c r="U401" s="434">
        <f t="shared" si="131"/>
        <v>50465</v>
      </c>
      <c r="Y401" s="343">
        <v>430</v>
      </c>
      <c r="Z401" s="343">
        <v>314</v>
      </c>
      <c r="AA401" s="343">
        <f t="shared" si="133"/>
        <v>0.57795698924731187</v>
      </c>
      <c r="AB401" s="343">
        <f t="shared" si="134"/>
        <v>0.42204301075268819</v>
      </c>
    </row>
    <row r="402" spans="20:28">
      <c r="T402" s="4">
        <f t="shared" si="132"/>
        <v>2038</v>
      </c>
      <c r="U402" s="434">
        <f t="shared" si="131"/>
        <v>50496</v>
      </c>
      <c r="Y402" s="343">
        <v>416</v>
      </c>
      <c r="Z402" s="343">
        <v>304</v>
      </c>
      <c r="AA402" s="343">
        <f t="shared" si="133"/>
        <v>0.57777777777777772</v>
      </c>
      <c r="AB402" s="343">
        <f t="shared" si="134"/>
        <v>0.42222222222222222</v>
      </c>
    </row>
    <row r="403" spans="20:28">
      <c r="T403" s="4">
        <f t="shared" si="132"/>
        <v>2038</v>
      </c>
      <c r="U403" s="434">
        <f t="shared" si="131"/>
        <v>50526</v>
      </c>
      <c r="Y403" s="343">
        <v>416</v>
      </c>
      <c r="Z403" s="343">
        <v>328</v>
      </c>
      <c r="AA403" s="343">
        <f t="shared" si="133"/>
        <v>0.55913978494623651</v>
      </c>
      <c r="AB403" s="343">
        <f t="shared" si="134"/>
        <v>0.44086021505376344</v>
      </c>
    </row>
    <row r="404" spans="20:28">
      <c r="T404" s="4">
        <f t="shared" si="132"/>
        <v>2038</v>
      </c>
      <c r="U404" s="434">
        <f t="shared" si="131"/>
        <v>50557</v>
      </c>
      <c r="Y404" s="343">
        <v>416</v>
      </c>
      <c r="Z404" s="343">
        <v>304</v>
      </c>
      <c r="AA404" s="343">
        <f t="shared" si="133"/>
        <v>0.57777777777777772</v>
      </c>
      <c r="AB404" s="343">
        <f t="shared" si="134"/>
        <v>0.42222222222222222</v>
      </c>
    </row>
    <row r="405" spans="20:28">
      <c r="T405" s="4">
        <f t="shared" si="132"/>
        <v>2038</v>
      </c>
      <c r="U405" s="434">
        <f t="shared" si="131"/>
        <v>50587</v>
      </c>
      <c r="Y405" s="343">
        <v>416</v>
      </c>
      <c r="Z405" s="343">
        <v>328</v>
      </c>
      <c r="AA405" s="343">
        <f t="shared" si="133"/>
        <v>0.55913978494623651</v>
      </c>
      <c r="AB405" s="343">
        <f t="shared" si="134"/>
        <v>0.44086021505376344</v>
      </c>
    </row>
    <row r="406" spans="20:28">
      <c r="T406" s="4">
        <f t="shared" si="132"/>
        <v>2038</v>
      </c>
      <c r="U406" s="434">
        <f t="shared" si="131"/>
        <v>50618</v>
      </c>
      <c r="Y406" s="343">
        <v>426</v>
      </c>
      <c r="Z406" s="343">
        <v>318</v>
      </c>
      <c r="AA406" s="343">
        <f t="shared" si="133"/>
        <v>0.57258064516129037</v>
      </c>
      <c r="AB406" s="343">
        <f t="shared" si="134"/>
        <v>0.42741935483870969</v>
      </c>
    </row>
    <row r="407" spans="20:28">
      <c r="T407" s="4">
        <f t="shared" si="132"/>
        <v>2038</v>
      </c>
      <c r="U407" s="434">
        <f t="shared" si="131"/>
        <v>50649</v>
      </c>
      <c r="Y407" s="343">
        <v>400</v>
      </c>
      <c r="Z407" s="343">
        <v>320</v>
      </c>
      <c r="AA407" s="343">
        <f t="shared" si="133"/>
        <v>0.55555555555555558</v>
      </c>
      <c r="AB407" s="343">
        <f t="shared" si="134"/>
        <v>0.44444444444444442</v>
      </c>
    </row>
    <row r="408" spans="20:28">
      <c r="T408" s="4">
        <f t="shared" si="132"/>
        <v>2038</v>
      </c>
      <c r="U408" s="434">
        <f t="shared" si="131"/>
        <v>50679</v>
      </c>
      <c r="Y408" s="343">
        <v>432</v>
      </c>
      <c r="Z408" s="343">
        <v>312</v>
      </c>
      <c r="AA408" s="343">
        <f t="shared" si="133"/>
        <v>0.58064516129032262</v>
      </c>
      <c r="AB408" s="343">
        <f t="shared" si="134"/>
        <v>0.41935483870967744</v>
      </c>
    </row>
    <row r="409" spans="20:28">
      <c r="T409" s="4">
        <f t="shared" si="132"/>
        <v>2038</v>
      </c>
      <c r="U409" s="434">
        <f t="shared" si="131"/>
        <v>50710</v>
      </c>
      <c r="Y409" s="343">
        <v>400</v>
      </c>
      <c r="Z409" s="343">
        <v>320</v>
      </c>
      <c r="AA409" s="343">
        <f t="shared" si="133"/>
        <v>0.55555555555555558</v>
      </c>
      <c r="AB409" s="343">
        <f t="shared" si="134"/>
        <v>0.44444444444444442</v>
      </c>
    </row>
    <row r="410" spans="20:28">
      <c r="T410" s="4">
        <f t="shared" si="132"/>
        <v>2038</v>
      </c>
      <c r="U410" s="434">
        <f t="shared" si="131"/>
        <v>50740</v>
      </c>
      <c r="Y410" s="343">
        <v>416</v>
      </c>
      <c r="Z410" s="343">
        <v>328</v>
      </c>
      <c r="AA410" s="343">
        <f t="shared" si="133"/>
        <v>0.55913978494623651</v>
      </c>
      <c r="AB410" s="343">
        <f t="shared" si="134"/>
        <v>0.44086021505376344</v>
      </c>
    </row>
    <row r="411" spans="20:28">
      <c r="T411" s="4">
        <f t="shared" si="132"/>
        <v>2039</v>
      </c>
      <c r="U411" s="434">
        <f t="shared" si="131"/>
        <v>50771</v>
      </c>
      <c r="Y411" s="343">
        <v>416</v>
      </c>
      <c r="Z411" s="343">
        <v>328</v>
      </c>
      <c r="AA411" s="343">
        <f t="shared" si="133"/>
        <v>0.55913978494623651</v>
      </c>
      <c r="AB411" s="343">
        <f t="shared" si="134"/>
        <v>0.44086021505376344</v>
      </c>
    </row>
    <row r="412" spans="20:28">
      <c r="T412" s="4">
        <f t="shared" si="132"/>
        <v>2039</v>
      </c>
      <c r="U412" s="434">
        <f t="shared" si="131"/>
        <v>50802</v>
      </c>
      <c r="Y412" s="343">
        <v>384</v>
      </c>
      <c r="Z412" s="343">
        <v>288</v>
      </c>
      <c r="AA412" s="343">
        <f t="shared" si="133"/>
        <v>0.5714285714285714</v>
      </c>
      <c r="AB412" s="343">
        <f t="shared" si="134"/>
        <v>0.42857142857142855</v>
      </c>
    </row>
    <row r="413" spans="20:28">
      <c r="T413" s="4">
        <f t="shared" si="132"/>
        <v>2039</v>
      </c>
      <c r="U413" s="434">
        <f t="shared" si="131"/>
        <v>50830</v>
      </c>
      <c r="Y413" s="343">
        <v>432</v>
      </c>
      <c r="Z413" s="343">
        <v>312</v>
      </c>
      <c r="AA413" s="343">
        <f t="shared" si="133"/>
        <v>0.58064516129032262</v>
      </c>
      <c r="AB413" s="343">
        <f t="shared" si="134"/>
        <v>0.41935483870967744</v>
      </c>
    </row>
    <row r="414" spans="20:28">
      <c r="T414" s="4">
        <f t="shared" si="132"/>
        <v>2039</v>
      </c>
      <c r="U414" s="434">
        <f t="shared" si="131"/>
        <v>50861</v>
      </c>
      <c r="Y414" s="343">
        <v>416</v>
      </c>
      <c r="Z414" s="343">
        <v>304</v>
      </c>
      <c r="AA414" s="343">
        <f t="shared" si="133"/>
        <v>0.57777777777777772</v>
      </c>
      <c r="AB414" s="343">
        <f t="shared" si="134"/>
        <v>0.42222222222222222</v>
      </c>
    </row>
    <row r="415" spans="20:28">
      <c r="T415" s="4">
        <f t="shared" si="132"/>
        <v>2039</v>
      </c>
      <c r="U415" s="434">
        <f t="shared" si="131"/>
        <v>50891</v>
      </c>
      <c r="Y415" s="343">
        <v>416</v>
      </c>
      <c r="Z415" s="343">
        <v>328</v>
      </c>
      <c r="AA415" s="343">
        <f t="shared" si="133"/>
        <v>0.55913978494623651</v>
      </c>
      <c r="AB415" s="343">
        <f t="shared" si="134"/>
        <v>0.44086021505376344</v>
      </c>
    </row>
    <row r="416" spans="20:28">
      <c r="T416" s="4">
        <f t="shared" si="132"/>
        <v>2039</v>
      </c>
      <c r="U416" s="434">
        <f t="shared" si="131"/>
        <v>50922</v>
      </c>
      <c r="Y416" s="343">
        <v>416</v>
      </c>
      <c r="Z416" s="343">
        <v>304</v>
      </c>
      <c r="AA416" s="343">
        <f t="shared" si="133"/>
        <v>0.57777777777777772</v>
      </c>
      <c r="AB416" s="343">
        <f t="shared" si="134"/>
        <v>0.42222222222222222</v>
      </c>
    </row>
    <row r="417" spans="20:28">
      <c r="T417" s="4">
        <f t="shared" si="132"/>
        <v>2039</v>
      </c>
      <c r="U417" s="434">
        <f t="shared" si="131"/>
        <v>50952</v>
      </c>
      <c r="Y417" s="343">
        <v>416</v>
      </c>
      <c r="Z417" s="343">
        <v>328</v>
      </c>
      <c r="AA417" s="343">
        <f t="shared" si="133"/>
        <v>0.55913978494623651</v>
      </c>
      <c r="AB417" s="343">
        <f t="shared" si="134"/>
        <v>0.44086021505376344</v>
      </c>
    </row>
    <row r="418" spans="20:28">
      <c r="T418" s="4">
        <f t="shared" si="132"/>
        <v>2039</v>
      </c>
      <c r="U418" s="434">
        <f t="shared" si="131"/>
        <v>50983</v>
      </c>
      <c r="Y418" s="343">
        <v>424</v>
      </c>
      <c r="Z418" s="343">
        <v>320</v>
      </c>
      <c r="AA418" s="343">
        <f t="shared" si="133"/>
        <v>0.56989247311827962</v>
      </c>
      <c r="AB418" s="343">
        <f t="shared" si="134"/>
        <v>0.43010752688172044</v>
      </c>
    </row>
    <row r="419" spans="20:28">
      <c r="T419" s="4">
        <f t="shared" si="132"/>
        <v>2039</v>
      </c>
      <c r="U419" s="434">
        <f t="shared" si="131"/>
        <v>51014</v>
      </c>
      <c r="Y419" s="343">
        <v>400</v>
      </c>
      <c r="Z419" s="343">
        <v>320</v>
      </c>
      <c r="AA419" s="343">
        <f t="shared" si="133"/>
        <v>0.55555555555555558</v>
      </c>
      <c r="AB419" s="343">
        <f t="shared" si="134"/>
        <v>0.44444444444444442</v>
      </c>
    </row>
    <row r="420" spans="20:28">
      <c r="T420" s="4">
        <f t="shared" si="132"/>
        <v>2039</v>
      </c>
      <c r="U420" s="434">
        <f t="shared" si="131"/>
        <v>51044</v>
      </c>
      <c r="Y420" s="343">
        <v>430</v>
      </c>
      <c r="Z420" s="343">
        <v>314</v>
      </c>
      <c r="AA420" s="343">
        <f t="shared" si="133"/>
        <v>0.57795698924731187</v>
      </c>
      <c r="AB420" s="343">
        <f t="shared" si="134"/>
        <v>0.42204301075268819</v>
      </c>
    </row>
    <row r="421" spans="20:28">
      <c r="T421" s="4">
        <f t="shared" si="132"/>
        <v>2039</v>
      </c>
      <c r="U421" s="434">
        <f t="shared" si="131"/>
        <v>51075</v>
      </c>
      <c r="Y421" s="343">
        <v>400</v>
      </c>
      <c r="Z421" s="343">
        <v>320</v>
      </c>
      <c r="AA421" s="343">
        <f t="shared" si="133"/>
        <v>0.55555555555555558</v>
      </c>
      <c r="AB421" s="343">
        <f t="shared" si="134"/>
        <v>0.44444444444444442</v>
      </c>
    </row>
    <row r="422" spans="20:28">
      <c r="T422" s="4">
        <f t="shared" si="132"/>
        <v>2039</v>
      </c>
      <c r="U422" s="434">
        <f t="shared" si="131"/>
        <v>51105</v>
      </c>
      <c r="Y422" s="343">
        <v>416</v>
      </c>
      <c r="Z422" s="343">
        <v>328</v>
      </c>
      <c r="AA422" s="343">
        <f t="shared" si="133"/>
        <v>0.55913978494623651</v>
      </c>
      <c r="AB422" s="343">
        <f t="shared" si="134"/>
        <v>0.44086021505376344</v>
      </c>
    </row>
    <row r="423" spans="20:28">
      <c r="T423" s="4">
        <f t="shared" si="132"/>
        <v>2040</v>
      </c>
      <c r="U423" s="434">
        <f t="shared" si="131"/>
        <v>51136</v>
      </c>
      <c r="Y423" s="343">
        <v>416</v>
      </c>
      <c r="Z423" s="343">
        <v>328</v>
      </c>
      <c r="AA423" s="343">
        <f t="shared" si="133"/>
        <v>0.55913978494623651</v>
      </c>
      <c r="AB423" s="343">
        <f t="shared" si="134"/>
        <v>0.44086021505376344</v>
      </c>
    </row>
    <row r="424" spans="20:28">
      <c r="T424" s="4">
        <f t="shared" si="132"/>
        <v>2040</v>
      </c>
      <c r="U424" s="434">
        <f t="shared" ref="U424:U487" si="135">EOMONTH(U423,0)+1</f>
        <v>51167</v>
      </c>
      <c r="Y424" s="343">
        <v>384</v>
      </c>
      <c r="Z424" s="343">
        <v>288</v>
      </c>
      <c r="AA424" s="343">
        <f t="shared" si="133"/>
        <v>0.5714285714285714</v>
      </c>
      <c r="AB424" s="343">
        <f t="shared" si="134"/>
        <v>0.42857142857142855</v>
      </c>
    </row>
    <row r="425" spans="20:28">
      <c r="T425" s="4">
        <f t="shared" si="132"/>
        <v>2040</v>
      </c>
      <c r="U425" s="434">
        <f t="shared" si="135"/>
        <v>51196</v>
      </c>
      <c r="Y425" s="343">
        <v>431</v>
      </c>
      <c r="Z425" s="343">
        <v>313</v>
      </c>
      <c r="AA425" s="343">
        <f t="shared" si="133"/>
        <v>0.57930107526881724</v>
      </c>
      <c r="AB425" s="343">
        <f t="shared" si="134"/>
        <v>0.42069892473118281</v>
      </c>
    </row>
    <row r="426" spans="20:28">
      <c r="T426" s="4">
        <f t="shared" si="132"/>
        <v>2040</v>
      </c>
      <c r="U426" s="434">
        <f t="shared" si="135"/>
        <v>51227</v>
      </c>
      <c r="Y426" s="343">
        <v>416</v>
      </c>
      <c r="Z426" s="343">
        <v>304</v>
      </c>
      <c r="AA426" s="343">
        <f t="shared" si="133"/>
        <v>0.57777777777777772</v>
      </c>
      <c r="AB426" s="343">
        <f t="shared" si="134"/>
        <v>0.42222222222222222</v>
      </c>
    </row>
    <row r="427" spans="20:28">
      <c r="T427" s="4">
        <f t="shared" si="132"/>
        <v>2040</v>
      </c>
      <c r="U427" s="434">
        <f t="shared" si="135"/>
        <v>51257</v>
      </c>
      <c r="Y427" s="343">
        <v>416</v>
      </c>
      <c r="Z427" s="343">
        <v>328</v>
      </c>
      <c r="AA427" s="343">
        <f t="shared" si="133"/>
        <v>0.55913978494623651</v>
      </c>
      <c r="AB427" s="343">
        <f t="shared" si="134"/>
        <v>0.44086021505376344</v>
      </c>
    </row>
    <row r="428" spans="20:28">
      <c r="T428" s="4">
        <f t="shared" si="132"/>
        <v>2040</v>
      </c>
      <c r="U428" s="434">
        <f t="shared" si="135"/>
        <v>51288</v>
      </c>
      <c r="Y428" s="343">
        <v>416</v>
      </c>
      <c r="Z428" s="343">
        <v>304</v>
      </c>
      <c r="AA428" s="343">
        <f t="shared" si="133"/>
        <v>0.57777777777777772</v>
      </c>
      <c r="AB428" s="343">
        <f t="shared" si="134"/>
        <v>0.42222222222222222</v>
      </c>
    </row>
    <row r="429" spans="20:28">
      <c r="T429" s="4">
        <f t="shared" si="132"/>
        <v>2040</v>
      </c>
      <c r="U429" s="434">
        <f t="shared" si="135"/>
        <v>51318</v>
      </c>
      <c r="Y429" s="343">
        <v>416</v>
      </c>
      <c r="Z429" s="343">
        <v>328</v>
      </c>
      <c r="AA429" s="343">
        <f t="shared" si="133"/>
        <v>0.55913978494623651</v>
      </c>
      <c r="AB429" s="343">
        <f t="shared" si="134"/>
        <v>0.44086021505376344</v>
      </c>
    </row>
    <row r="430" spans="20:28">
      <c r="T430" s="4">
        <f t="shared" si="132"/>
        <v>2040</v>
      </c>
      <c r="U430" s="434">
        <f t="shared" si="135"/>
        <v>51349</v>
      </c>
      <c r="Y430" s="343">
        <v>425</v>
      </c>
      <c r="Z430" s="343">
        <v>319</v>
      </c>
      <c r="AA430" s="343">
        <f t="shared" si="133"/>
        <v>0.57123655913978499</v>
      </c>
      <c r="AB430" s="343">
        <f t="shared" si="134"/>
        <v>0.42876344086021506</v>
      </c>
    </row>
    <row r="431" spans="20:28">
      <c r="T431" s="4">
        <f t="shared" si="132"/>
        <v>2040</v>
      </c>
      <c r="U431" s="434">
        <f t="shared" si="135"/>
        <v>51380</v>
      </c>
      <c r="Y431" s="343">
        <v>400</v>
      </c>
      <c r="Z431" s="343">
        <v>320</v>
      </c>
      <c r="AA431" s="343">
        <f t="shared" si="133"/>
        <v>0.55555555555555558</v>
      </c>
      <c r="AB431" s="343">
        <f t="shared" si="134"/>
        <v>0.44444444444444442</v>
      </c>
    </row>
    <row r="432" spans="20:28">
      <c r="T432" s="4">
        <f t="shared" si="132"/>
        <v>2040</v>
      </c>
      <c r="U432" s="434">
        <f t="shared" si="135"/>
        <v>51410</v>
      </c>
      <c r="Y432" s="343">
        <v>432</v>
      </c>
      <c r="Z432" s="343">
        <v>312</v>
      </c>
      <c r="AA432" s="343">
        <f t="shared" si="133"/>
        <v>0.58064516129032262</v>
      </c>
      <c r="AB432" s="343">
        <f t="shared" si="134"/>
        <v>0.41935483870967744</v>
      </c>
    </row>
    <row r="433" spans="20:28">
      <c r="T433" s="4">
        <f t="shared" si="132"/>
        <v>2040</v>
      </c>
      <c r="U433" s="434">
        <f t="shared" si="135"/>
        <v>51441</v>
      </c>
      <c r="Y433" s="343">
        <v>400</v>
      </c>
      <c r="Z433" s="343">
        <v>320</v>
      </c>
      <c r="AA433" s="343">
        <f t="shared" si="133"/>
        <v>0.55555555555555558</v>
      </c>
      <c r="AB433" s="343">
        <f t="shared" si="134"/>
        <v>0.44444444444444442</v>
      </c>
    </row>
    <row r="434" spans="20:28">
      <c r="T434" s="4">
        <f t="shared" si="132"/>
        <v>2040</v>
      </c>
      <c r="U434" s="434">
        <f t="shared" si="135"/>
        <v>51471</v>
      </c>
      <c r="Y434" s="343">
        <v>416</v>
      </c>
      <c r="Z434" s="343">
        <v>328</v>
      </c>
      <c r="AA434" s="343">
        <f t="shared" si="133"/>
        <v>0.55913978494623651</v>
      </c>
      <c r="AB434" s="343">
        <f t="shared" si="134"/>
        <v>0.44086021505376344</v>
      </c>
    </row>
    <row r="435" spans="20:28">
      <c r="T435" s="4">
        <f t="shared" ref="T435:T498" si="136">+YEAR(U435)</f>
        <v>2041</v>
      </c>
      <c r="U435" s="434">
        <f t="shared" si="135"/>
        <v>51502</v>
      </c>
      <c r="Y435" s="343">
        <v>416</v>
      </c>
      <c r="Z435" s="343">
        <v>328</v>
      </c>
      <c r="AA435" s="343">
        <f t="shared" si="133"/>
        <v>0.55913978494623651</v>
      </c>
      <c r="AB435" s="343">
        <f t="shared" si="134"/>
        <v>0.44086021505376344</v>
      </c>
    </row>
    <row r="436" spans="20:28">
      <c r="T436" s="4">
        <f t="shared" si="136"/>
        <v>2041</v>
      </c>
      <c r="U436" s="434">
        <f t="shared" si="135"/>
        <v>51533</v>
      </c>
      <c r="Y436" s="343">
        <v>384</v>
      </c>
      <c r="Z436" s="343">
        <v>288</v>
      </c>
      <c r="AA436" s="343">
        <f t="shared" si="133"/>
        <v>0.5714285714285714</v>
      </c>
      <c r="AB436" s="343">
        <f t="shared" si="134"/>
        <v>0.42857142857142855</v>
      </c>
    </row>
    <row r="437" spans="20:28">
      <c r="T437" s="4">
        <f t="shared" si="136"/>
        <v>2041</v>
      </c>
      <c r="U437" s="434">
        <f t="shared" si="135"/>
        <v>51561</v>
      </c>
      <c r="Y437" s="343">
        <v>432</v>
      </c>
      <c r="Z437" s="343">
        <v>312</v>
      </c>
      <c r="AA437" s="343">
        <f t="shared" si="133"/>
        <v>0.58064516129032262</v>
      </c>
      <c r="AB437" s="343">
        <f t="shared" si="134"/>
        <v>0.41935483870967744</v>
      </c>
    </row>
    <row r="438" spans="20:28">
      <c r="T438" s="4">
        <f t="shared" si="136"/>
        <v>2041</v>
      </c>
      <c r="U438" s="434">
        <f t="shared" si="135"/>
        <v>51592</v>
      </c>
      <c r="Y438" s="343">
        <v>416</v>
      </c>
      <c r="Z438" s="343">
        <v>304</v>
      </c>
      <c r="AA438" s="343">
        <f t="shared" si="133"/>
        <v>0.57777777777777772</v>
      </c>
      <c r="AB438" s="343">
        <f t="shared" si="134"/>
        <v>0.42222222222222222</v>
      </c>
    </row>
    <row r="439" spans="20:28">
      <c r="T439" s="4">
        <f t="shared" si="136"/>
        <v>2041</v>
      </c>
      <c r="U439" s="434">
        <f t="shared" si="135"/>
        <v>51622</v>
      </c>
      <c r="Y439" s="343">
        <v>416</v>
      </c>
      <c r="Z439" s="343">
        <v>328</v>
      </c>
      <c r="AA439" s="343">
        <f t="shared" si="133"/>
        <v>0.55913978494623651</v>
      </c>
      <c r="AB439" s="343">
        <f t="shared" si="134"/>
        <v>0.44086021505376344</v>
      </c>
    </row>
    <row r="440" spans="20:28">
      <c r="T440" s="4">
        <f t="shared" si="136"/>
        <v>2041</v>
      </c>
      <c r="U440" s="434">
        <f t="shared" si="135"/>
        <v>51653</v>
      </c>
      <c r="Y440" s="343">
        <v>416</v>
      </c>
      <c r="Z440" s="343">
        <v>304</v>
      </c>
      <c r="AA440" s="343">
        <f t="shared" si="133"/>
        <v>0.57777777777777772</v>
      </c>
      <c r="AB440" s="343">
        <f t="shared" si="134"/>
        <v>0.42222222222222222</v>
      </c>
    </row>
    <row r="441" spans="20:28">
      <c r="T441" s="4">
        <f t="shared" si="136"/>
        <v>2041</v>
      </c>
      <c r="U441" s="434">
        <f t="shared" si="135"/>
        <v>51683</v>
      </c>
      <c r="Y441" s="343">
        <v>416</v>
      </c>
      <c r="Z441" s="343">
        <v>328</v>
      </c>
      <c r="AA441" s="343">
        <f t="shared" si="133"/>
        <v>0.55913978494623651</v>
      </c>
      <c r="AB441" s="343">
        <f t="shared" si="134"/>
        <v>0.44086021505376344</v>
      </c>
    </row>
    <row r="442" spans="20:28">
      <c r="T442" s="4">
        <f t="shared" si="136"/>
        <v>2041</v>
      </c>
      <c r="U442" s="434">
        <f t="shared" si="135"/>
        <v>51714</v>
      </c>
      <c r="Y442" s="343">
        <v>424</v>
      </c>
      <c r="Z442" s="343">
        <v>320</v>
      </c>
      <c r="AA442" s="343">
        <f t="shared" si="133"/>
        <v>0.56989247311827962</v>
      </c>
      <c r="AB442" s="343">
        <f t="shared" si="134"/>
        <v>0.43010752688172044</v>
      </c>
    </row>
    <row r="443" spans="20:28">
      <c r="T443" s="4">
        <f t="shared" si="136"/>
        <v>2041</v>
      </c>
      <c r="U443" s="434">
        <f t="shared" si="135"/>
        <v>51745</v>
      </c>
      <c r="Y443" s="343">
        <v>400</v>
      </c>
      <c r="Z443" s="343">
        <v>320</v>
      </c>
      <c r="AA443" s="343">
        <f t="shared" si="133"/>
        <v>0.55555555555555558</v>
      </c>
      <c r="AB443" s="343">
        <f t="shared" si="134"/>
        <v>0.44444444444444442</v>
      </c>
    </row>
    <row r="444" spans="20:28">
      <c r="T444" s="4">
        <f t="shared" si="136"/>
        <v>2041</v>
      </c>
      <c r="U444" s="434">
        <f t="shared" si="135"/>
        <v>51775</v>
      </c>
      <c r="Y444" s="343">
        <v>431</v>
      </c>
      <c r="Z444" s="343">
        <v>313</v>
      </c>
      <c r="AA444" s="343">
        <f t="shared" si="133"/>
        <v>0.57930107526881724</v>
      </c>
      <c r="AB444" s="343">
        <f t="shared" si="134"/>
        <v>0.42069892473118281</v>
      </c>
    </row>
    <row r="445" spans="20:28">
      <c r="T445" s="4">
        <f t="shared" si="136"/>
        <v>2041</v>
      </c>
      <c r="U445" s="434">
        <f t="shared" si="135"/>
        <v>51806</v>
      </c>
      <c r="Y445" s="343">
        <v>400</v>
      </c>
      <c r="Z445" s="343">
        <v>320</v>
      </c>
      <c r="AA445" s="343">
        <f t="shared" si="133"/>
        <v>0.55555555555555558</v>
      </c>
      <c r="AB445" s="343">
        <f t="shared" si="134"/>
        <v>0.44444444444444442</v>
      </c>
    </row>
    <row r="446" spans="20:28">
      <c r="T446" s="4">
        <f t="shared" si="136"/>
        <v>2041</v>
      </c>
      <c r="U446" s="434">
        <f t="shared" si="135"/>
        <v>51836</v>
      </c>
      <c r="Y446" s="343">
        <v>416</v>
      </c>
      <c r="Z446" s="343">
        <v>328</v>
      </c>
      <c r="AA446" s="343">
        <f t="shared" si="133"/>
        <v>0.55913978494623651</v>
      </c>
      <c r="AB446" s="343">
        <f t="shared" si="134"/>
        <v>0.44086021505376344</v>
      </c>
    </row>
    <row r="447" spans="20:28">
      <c r="T447" s="4">
        <f t="shared" si="136"/>
        <v>2042</v>
      </c>
      <c r="U447" s="434">
        <f t="shared" si="135"/>
        <v>51867</v>
      </c>
      <c r="Y447" s="343">
        <v>416</v>
      </c>
      <c r="Z447" s="343">
        <v>328</v>
      </c>
      <c r="AA447" s="343">
        <f t="shared" si="133"/>
        <v>0.55913978494623651</v>
      </c>
      <c r="AB447" s="343">
        <f t="shared" si="134"/>
        <v>0.44086021505376344</v>
      </c>
    </row>
    <row r="448" spans="20:28">
      <c r="T448" s="4">
        <f t="shared" si="136"/>
        <v>2042</v>
      </c>
      <c r="U448" s="434">
        <f t="shared" si="135"/>
        <v>51898</v>
      </c>
      <c r="Y448" s="343">
        <v>384</v>
      </c>
      <c r="Z448" s="343">
        <v>288</v>
      </c>
      <c r="AA448" s="343">
        <f t="shared" ref="AA448:AA511" si="137">Y448/(Y448+Z448)</f>
        <v>0.5714285714285714</v>
      </c>
      <c r="AB448" s="343">
        <f t="shared" ref="AB448:AB511" si="138">Z448/(Y448+Z448)</f>
        <v>0.42857142857142855</v>
      </c>
    </row>
    <row r="449" spans="20:28">
      <c r="T449" s="4">
        <f t="shared" si="136"/>
        <v>2042</v>
      </c>
      <c r="U449" s="434">
        <f t="shared" si="135"/>
        <v>51926</v>
      </c>
      <c r="Y449" s="343">
        <v>431.5</v>
      </c>
      <c r="Z449" s="343">
        <v>312.5</v>
      </c>
      <c r="AA449" s="343">
        <f t="shared" si="137"/>
        <v>0.57997311827956988</v>
      </c>
      <c r="AB449" s="343">
        <f t="shared" si="138"/>
        <v>0.42002688172043012</v>
      </c>
    </row>
    <row r="450" spans="20:28">
      <c r="T450" s="4">
        <f t="shared" si="136"/>
        <v>2042</v>
      </c>
      <c r="U450" s="434">
        <f t="shared" si="135"/>
        <v>51957</v>
      </c>
      <c r="Y450" s="343">
        <v>416</v>
      </c>
      <c r="Z450" s="343">
        <v>304</v>
      </c>
      <c r="AA450" s="343">
        <f t="shared" si="137"/>
        <v>0.57777777777777772</v>
      </c>
      <c r="AB450" s="343">
        <f t="shared" si="138"/>
        <v>0.42222222222222222</v>
      </c>
    </row>
    <row r="451" spans="20:28">
      <c r="T451" s="4">
        <f t="shared" si="136"/>
        <v>2042</v>
      </c>
      <c r="U451" s="434">
        <f t="shared" si="135"/>
        <v>51987</v>
      </c>
      <c r="Y451" s="343">
        <v>416</v>
      </c>
      <c r="Z451" s="343">
        <v>328</v>
      </c>
      <c r="AA451" s="343">
        <f t="shared" si="137"/>
        <v>0.55913978494623651</v>
      </c>
      <c r="AB451" s="343">
        <f t="shared" si="138"/>
        <v>0.44086021505376344</v>
      </c>
    </row>
    <row r="452" spans="20:28">
      <c r="T452" s="4">
        <f t="shared" si="136"/>
        <v>2042</v>
      </c>
      <c r="U452" s="434">
        <f t="shared" si="135"/>
        <v>52018</v>
      </c>
      <c r="Y452" s="343">
        <v>416</v>
      </c>
      <c r="Z452" s="343">
        <v>304</v>
      </c>
      <c r="AA452" s="343">
        <f t="shared" si="137"/>
        <v>0.57777777777777772</v>
      </c>
      <c r="AB452" s="343">
        <f t="shared" si="138"/>
        <v>0.42222222222222222</v>
      </c>
    </row>
    <row r="453" spans="20:28">
      <c r="T453" s="4">
        <f t="shared" si="136"/>
        <v>2042</v>
      </c>
      <c r="U453" s="434">
        <f t="shared" si="135"/>
        <v>52048</v>
      </c>
      <c r="Y453" s="343">
        <v>416</v>
      </c>
      <c r="Z453" s="343">
        <v>328</v>
      </c>
      <c r="AA453" s="343">
        <f t="shared" si="137"/>
        <v>0.55913978494623651</v>
      </c>
      <c r="AB453" s="343">
        <f t="shared" si="138"/>
        <v>0.44086021505376344</v>
      </c>
    </row>
    <row r="454" spans="20:28">
      <c r="T454" s="4">
        <f t="shared" si="136"/>
        <v>2042</v>
      </c>
      <c r="U454" s="434">
        <f t="shared" si="135"/>
        <v>52079</v>
      </c>
      <c r="Y454" s="343">
        <v>424.5</v>
      </c>
      <c r="Z454" s="343">
        <v>319.5</v>
      </c>
      <c r="AA454" s="343">
        <f t="shared" si="137"/>
        <v>0.57056451612903225</v>
      </c>
      <c r="AB454" s="343">
        <f t="shared" si="138"/>
        <v>0.42943548387096775</v>
      </c>
    </row>
    <row r="455" spans="20:28">
      <c r="T455" s="4">
        <f t="shared" si="136"/>
        <v>2042</v>
      </c>
      <c r="U455" s="434">
        <f t="shared" si="135"/>
        <v>52110</v>
      </c>
      <c r="Y455" s="343">
        <v>400</v>
      </c>
      <c r="Z455" s="343">
        <v>320</v>
      </c>
      <c r="AA455" s="343">
        <f t="shared" si="137"/>
        <v>0.55555555555555558</v>
      </c>
      <c r="AB455" s="343">
        <f t="shared" si="138"/>
        <v>0.44444444444444442</v>
      </c>
    </row>
    <row r="456" spans="20:28">
      <c r="T456" s="4">
        <f t="shared" si="136"/>
        <v>2042</v>
      </c>
      <c r="U456" s="434">
        <f t="shared" si="135"/>
        <v>52140</v>
      </c>
      <c r="Y456" s="343">
        <v>431</v>
      </c>
      <c r="Z456" s="343">
        <v>313</v>
      </c>
      <c r="AA456" s="343">
        <f t="shared" si="137"/>
        <v>0.57930107526881724</v>
      </c>
      <c r="AB456" s="343">
        <f t="shared" si="138"/>
        <v>0.42069892473118281</v>
      </c>
    </row>
    <row r="457" spans="20:28">
      <c r="T457" s="4">
        <f t="shared" si="136"/>
        <v>2042</v>
      </c>
      <c r="U457" s="434">
        <f t="shared" si="135"/>
        <v>52171</v>
      </c>
      <c r="Y457" s="343">
        <v>400</v>
      </c>
      <c r="Z457" s="343">
        <v>320</v>
      </c>
      <c r="AA457" s="343">
        <f t="shared" si="137"/>
        <v>0.55555555555555558</v>
      </c>
      <c r="AB457" s="343">
        <f t="shared" si="138"/>
        <v>0.44444444444444442</v>
      </c>
    </row>
    <row r="458" spans="20:28">
      <c r="T458" s="4">
        <f t="shared" si="136"/>
        <v>2042</v>
      </c>
      <c r="U458" s="434">
        <f t="shared" si="135"/>
        <v>52201</v>
      </c>
      <c r="Y458" s="343">
        <v>416</v>
      </c>
      <c r="Z458" s="343">
        <v>328</v>
      </c>
      <c r="AA458" s="343">
        <f t="shared" si="137"/>
        <v>0.55913978494623651</v>
      </c>
      <c r="AB458" s="343">
        <f t="shared" si="138"/>
        <v>0.44086021505376344</v>
      </c>
    </row>
    <row r="459" spans="20:28">
      <c r="T459" s="4">
        <f t="shared" si="136"/>
        <v>2043</v>
      </c>
      <c r="U459" s="434">
        <f t="shared" si="135"/>
        <v>52232</v>
      </c>
      <c r="Y459" s="343">
        <v>416</v>
      </c>
      <c r="Z459" s="343">
        <v>328</v>
      </c>
      <c r="AA459" s="343">
        <f t="shared" si="137"/>
        <v>0.55913978494623651</v>
      </c>
      <c r="AB459" s="343">
        <f t="shared" si="138"/>
        <v>0.44086021505376344</v>
      </c>
    </row>
    <row r="460" spans="20:28">
      <c r="T460" s="4">
        <f t="shared" si="136"/>
        <v>2043</v>
      </c>
      <c r="U460" s="434">
        <f t="shared" si="135"/>
        <v>52263</v>
      </c>
      <c r="Y460" s="343">
        <v>384</v>
      </c>
      <c r="Z460" s="343">
        <v>288</v>
      </c>
      <c r="AA460" s="343">
        <f t="shared" si="137"/>
        <v>0.5714285714285714</v>
      </c>
      <c r="AB460" s="343">
        <f t="shared" si="138"/>
        <v>0.42857142857142855</v>
      </c>
    </row>
    <row r="461" spans="20:28">
      <c r="T461" s="4">
        <f t="shared" si="136"/>
        <v>2043</v>
      </c>
      <c r="U461" s="434">
        <f t="shared" si="135"/>
        <v>52291</v>
      </c>
      <c r="Y461" s="343">
        <v>432</v>
      </c>
      <c r="Z461" s="343">
        <v>312</v>
      </c>
      <c r="AA461" s="343">
        <f t="shared" si="137"/>
        <v>0.58064516129032262</v>
      </c>
      <c r="AB461" s="343">
        <f t="shared" si="138"/>
        <v>0.41935483870967744</v>
      </c>
    </row>
    <row r="462" spans="20:28">
      <c r="T462" s="4">
        <f t="shared" si="136"/>
        <v>2043</v>
      </c>
      <c r="U462" s="434">
        <f t="shared" si="135"/>
        <v>52322</v>
      </c>
      <c r="Y462" s="343">
        <v>416</v>
      </c>
      <c r="Z462" s="343">
        <v>304</v>
      </c>
      <c r="AA462" s="343">
        <f t="shared" si="137"/>
        <v>0.57777777777777772</v>
      </c>
      <c r="AB462" s="343">
        <f t="shared" si="138"/>
        <v>0.42222222222222222</v>
      </c>
    </row>
    <row r="463" spans="20:28">
      <c r="T463" s="4">
        <f t="shared" si="136"/>
        <v>2043</v>
      </c>
      <c r="U463" s="434">
        <f t="shared" si="135"/>
        <v>52352</v>
      </c>
      <c r="Y463" s="343">
        <v>416</v>
      </c>
      <c r="Z463" s="343">
        <v>328</v>
      </c>
      <c r="AA463" s="343">
        <f t="shared" si="137"/>
        <v>0.55913978494623651</v>
      </c>
      <c r="AB463" s="343">
        <f t="shared" si="138"/>
        <v>0.44086021505376344</v>
      </c>
    </row>
    <row r="464" spans="20:28">
      <c r="T464" s="4">
        <f t="shared" si="136"/>
        <v>2043</v>
      </c>
      <c r="U464" s="434">
        <f t="shared" si="135"/>
        <v>52383</v>
      </c>
      <c r="Y464" s="343">
        <v>416</v>
      </c>
      <c r="Z464" s="343">
        <v>304</v>
      </c>
      <c r="AA464" s="343">
        <f t="shared" si="137"/>
        <v>0.57777777777777772</v>
      </c>
      <c r="AB464" s="343">
        <f t="shared" si="138"/>
        <v>0.42222222222222222</v>
      </c>
    </row>
    <row r="465" spans="20:28">
      <c r="T465" s="4">
        <f t="shared" si="136"/>
        <v>2043</v>
      </c>
      <c r="U465" s="434">
        <f t="shared" si="135"/>
        <v>52413</v>
      </c>
      <c r="Y465" s="343">
        <v>416</v>
      </c>
      <c r="Z465" s="343">
        <v>328</v>
      </c>
      <c r="AA465" s="343">
        <f t="shared" si="137"/>
        <v>0.55913978494623651</v>
      </c>
      <c r="AB465" s="343">
        <f t="shared" si="138"/>
        <v>0.44086021505376344</v>
      </c>
    </row>
    <row r="466" spans="20:28">
      <c r="T466" s="4">
        <f t="shared" si="136"/>
        <v>2043</v>
      </c>
      <c r="U466" s="434">
        <f t="shared" si="135"/>
        <v>52444</v>
      </c>
      <c r="Y466" s="343">
        <v>424</v>
      </c>
      <c r="Z466" s="343">
        <v>320</v>
      </c>
      <c r="AA466" s="343">
        <f t="shared" si="137"/>
        <v>0.56989247311827962</v>
      </c>
      <c r="AB466" s="343">
        <f t="shared" si="138"/>
        <v>0.43010752688172044</v>
      </c>
    </row>
    <row r="467" spans="20:28">
      <c r="T467" s="4">
        <f t="shared" si="136"/>
        <v>2043</v>
      </c>
      <c r="U467" s="434">
        <f t="shared" si="135"/>
        <v>52475</v>
      </c>
      <c r="Y467" s="343">
        <v>400</v>
      </c>
      <c r="Z467" s="343">
        <v>320</v>
      </c>
      <c r="AA467" s="343">
        <f t="shared" si="137"/>
        <v>0.55555555555555558</v>
      </c>
      <c r="AB467" s="343">
        <f t="shared" si="138"/>
        <v>0.44444444444444442</v>
      </c>
    </row>
    <row r="468" spans="20:28">
      <c r="T468" s="4">
        <f t="shared" si="136"/>
        <v>2043</v>
      </c>
      <c r="U468" s="434">
        <f t="shared" si="135"/>
        <v>52505</v>
      </c>
      <c r="Y468" s="343">
        <v>431.5</v>
      </c>
      <c r="Z468" s="343">
        <v>312.5</v>
      </c>
      <c r="AA468" s="343">
        <f t="shared" si="137"/>
        <v>0.57997311827956988</v>
      </c>
      <c r="AB468" s="343">
        <f t="shared" si="138"/>
        <v>0.42002688172043012</v>
      </c>
    </row>
    <row r="469" spans="20:28">
      <c r="T469" s="4">
        <f t="shared" si="136"/>
        <v>2043</v>
      </c>
      <c r="U469" s="434">
        <f t="shared" si="135"/>
        <v>52536</v>
      </c>
      <c r="Y469" s="343">
        <v>400</v>
      </c>
      <c r="Z469" s="343">
        <v>320</v>
      </c>
      <c r="AA469" s="343">
        <f t="shared" si="137"/>
        <v>0.55555555555555558</v>
      </c>
      <c r="AB469" s="343">
        <f t="shared" si="138"/>
        <v>0.44444444444444442</v>
      </c>
    </row>
    <row r="470" spans="20:28">
      <c r="T470" s="4">
        <f t="shared" si="136"/>
        <v>2043</v>
      </c>
      <c r="U470" s="434">
        <f t="shared" si="135"/>
        <v>52566</v>
      </c>
      <c r="Y470" s="343">
        <v>416</v>
      </c>
      <c r="Z470" s="343">
        <v>328</v>
      </c>
      <c r="AA470" s="343">
        <f t="shared" si="137"/>
        <v>0.55913978494623651</v>
      </c>
      <c r="AB470" s="343">
        <f t="shared" si="138"/>
        <v>0.44086021505376344</v>
      </c>
    </row>
    <row r="471" spans="20:28">
      <c r="T471" s="4">
        <f t="shared" si="136"/>
        <v>2044</v>
      </c>
      <c r="U471" s="434">
        <f t="shared" si="135"/>
        <v>52597</v>
      </c>
      <c r="Y471" s="343">
        <v>416</v>
      </c>
      <c r="Z471" s="343">
        <v>328</v>
      </c>
      <c r="AA471" s="343">
        <f t="shared" si="137"/>
        <v>0.55913978494623651</v>
      </c>
      <c r="AB471" s="343">
        <f t="shared" si="138"/>
        <v>0.44086021505376344</v>
      </c>
    </row>
    <row r="472" spans="20:28">
      <c r="T472" s="4">
        <f t="shared" si="136"/>
        <v>2044</v>
      </c>
      <c r="U472" s="434">
        <f t="shared" si="135"/>
        <v>52628</v>
      </c>
      <c r="Y472" s="343">
        <v>384</v>
      </c>
      <c r="Z472" s="343">
        <v>288</v>
      </c>
      <c r="AA472" s="343">
        <f t="shared" si="137"/>
        <v>0.5714285714285714</v>
      </c>
      <c r="AB472" s="343">
        <f t="shared" si="138"/>
        <v>0.42857142857142855</v>
      </c>
    </row>
    <row r="473" spans="20:28">
      <c r="T473" s="4">
        <f t="shared" si="136"/>
        <v>2044</v>
      </c>
      <c r="U473" s="434">
        <f t="shared" si="135"/>
        <v>52657</v>
      </c>
      <c r="Y473" s="343">
        <v>431.75</v>
      </c>
      <c r="Z473" s="343">
        <v>312.25</v>
      </c>
      <c r="AA473" s="343">
        <f t="shared" si="137"/>
        <v>0.58030913978494625</v>
      </c>
      <c r="AB473" s="343">
        <f t="shared" si="138"/>
        <v>0.41969086021505375</v>
      </c>
    </row>
    <row r="474" spans="20:28">
      <c r="T474" s="4">
        <f t="shared" si="136"/>
        <v>2044</v>
      </c>
      <c r="U474" s="434">
        <f t="shared" si="135"/>
        <v>52688</v>
      </c>
      <c r="Y474" s="343">
        <v>416</v>
      </c>
      <c r="Z474" s="343">
        <v>304</v>
      </c>
      <c r="AA474" s="343">
        <f t="shared" si="137"/>
        <v>0.57777777777777772</v>
      </c>
      <c r="AB474" s="343">
        <f t="shared" si="138"/>
        <v>0.42222222222222222</v>
      </c>
    </row>
    <row r="475" spans="20:28">
      <c r="T475" s="4">
        <f t="shared" si="136"/>
        <v>2044</v>
      </c>
      <c r="U475" s="434">
        <f t="shared" si="135"/>
        <v>52718</v>
      </c>
      <c r="Y475" s="343">
        <v>416</v>
      </c>
      <c r="Z475" s="343">
        <v>328</v>
      </c>
      <c r="AA475" s="343">
        <f t="shared" si="137"/>
        <v>0.55913978494623651</v>
      </c>
      <c r="AB475" s="343">
        <f t="shared" si="138"/>
        <v>0.44086021505376344</v>
      </c>
    </row>
    <row r="476" spans="20:28">
      <c r="T476" s="4">
        <f t="shared" si="136"/>
        <v>2044</v>
      </c>
      <c r="U476" s="434">
        <f t="shared" si="135"/>
        <v>52749</v>
      </c>
      <c r="Y476" s="343">
        <v>416</v>
      </c>
      <c r="Z476" s="343">
        <v>304</v>
      </c>
      <c r="AA476" s="343">
        <f t="shared" si="137"/>
        <v>0.57777777777777772</v>
      </c>
      <c r="AB476" s="343">
        <f t="shared" si="138"/>
        <v>0.42222222222222222</v>
      </c>
    </row>
    <row r="477" spans="20:28">
      <c r="T477" s="4">
        <f t="shared" si="136"/>
        <v>2044</v>
      </c>
      <c r="U477" s="434">
        <f t="shared" si="135"/>
        <v>52779</v>
      </c>
      <c r="Y477" s="343">
        <v>416</v>
      </c>
      <c r="Z477" s="343">
        <v>328</v>
      </c>
      <c r="AA477" s="343">
        <f t="shared" si="137"/>
        <v>0.55913978494623651</v>
      </c>
      <c r="AB477" s="343">
        <f t="shared" si="138"/>
        <v>0.44086021505376344</v>
      </c>
    </row>
    <row r="478" spans="20:28">
      <c r="T478" s="4">
        <f t="shared" si="136"/>
        <v>2044</v>
      </c>
      <c r="U478" s="434">
        <f t="shared" si="135"/>
        <v>52810</v>
      </c>
      <c r="Y478" s="343">
        <v>424.25</v>
      </c>
      <c r="Z478" s="343">
        <v>319.75</v>
      </c>
      <c r="AA478" s="343">
        <f t="shared" si="137"/>
        <v>0.57022849462365588</v>
      </c>
      <c r="AB478" s="343">
        <f t="shared" si="138"/>
        <v>0.42977150537634407</v>
      </c>
    </row>
    <row r="479" spans="20:28">
      <c r="T479" s="4">
        <f t="shared" si="136"/>
        <v>2044</v>
      </c>
      <c r="U479" s="434">
        <f t="shared" si="135"/>
        <v>52841</v>
      </c>
      <c r="Y479" s="343">
        <v>400</v>
      </c>
      <c r="Z479" s="343">
        <v>320</v>
      </c>
      <c r="AA479" s="343">
        <f t="shared" si="137"/>
        <v>0.55555555555555558</v>
      </c>
      <c r="AB479" s="343">
        <f t="shared" si="138"/>
        <v>0.44444444444444442</v>
      </c>
    </row>
    <row r="480" spans="20:28">
      <c r="T480" s="4">
        <f t="shared" si="136"/>
        <v>2044</v>
      </c>
      <c r="U480" s="434">
        <f t="shared" si="135"/>
        <v>52871</v>
      </c>
      <c r="Y480" s="343">
        <v>431</v>
      </c>
      <c r="Z480" s="343">
        <v>313</v>
      </c>
      <c r="AA480" s="343">
        <f t="shared" si="137"/>
        <v>0.57930107526881724</v>
      </c>
      <c r="AB480" s="343">
        <f t="shared" si="138"/>
        <v>0.42069892473118281</v>
      </c>
    </row>
    <row r="481" spans="20:28">
      <c r="T481" s="4">
        <f t="shared" si="136"/>
        <v>2044</v>
      </c>
      <c r="U481" s="434">
        <f t="shared" si="135"/>
        <v>52902</v>
      </c>
      <c r="Y481" s="343">
        <v>400</v>
      </c>
      <c r="Z481" s="343">
        <v>320</v>
      </c>
      <c r="AA481" s="343">
        <f t="shared" si="137"/>
        <v>0.55555555555555558</v>
      </c>
      <c r="AB481" s="343">
        <f t="shared" si="138"/>
        <v>0.44444444444444442</v>
      </c>
    </row>
    <row r="482" spans="20:28">
      <c r="T482" s="4">
        <f t="shared" si="136"/>
        <v>2044</v>
      </c>
      <c r="U482" s="434">
        <f t="shared" si="135"/>
        <v>52932</v>
      </c>
      <c r="Y482" s="343">
        <v>416</v>
      </c>
      <c r="Z482" s="343">
        <v>328</v>
      </c>
      <c r="AA482" s="343">
        <f t="shared" si="137"/>
        <v>0.55913978494623651</v>
      </c>
      <c r="AB482" s="343">
        <f t="shared" si="138"/>
        <v>0.44086021505376344</v>
      </c>
    </row>
    <row r="483" spans="20:28">
      <c r="T483" s="4">
        <f t="shared" si="136"/>
        <v>2045</v>
      </c>
      <c r="U483" s="434">
        <f t="shared" si="135"/>
        <v>52963</v>
      </c>
      <c r="Y483" s="343">
        <v>416</v>
      </c>
      <c r="Z483" s="343">
        <v>328</v>
      </c>
      <c r="AA483" s="343">
        <f t="shared" si="137"/>
        <v>0.55913978494623651</v>
      </c>
      <c r="AB483" s="343">
        <f t="shared" si="138"/>
        <v>0.44086021505376344</v>
      </c>
    </row>
    <row r="484" spans="20:28">
      <c r="T484" s="4">
        <f t="shared" si="136"/>
        <v>2045</v>
      </c>
      <c r="U484" s="434">
        <f t="shared" si="135"/>
        <v>52994</v>
      </c>
      <c r="Y484" s="343">
        <v>384</v>
      </c>
      <c r="Z484" s="343">
        <v>288</v>
      </c>
      <c r="AA484" s="343">
        <f t="shared" si="137"/>
        <v>0.5714285714285714</v>
      </c>
      <c r="AB484" s="343">
        <f t="shared" si="138"/>
        <v>0.42857142857142855</v>
      </c>
    </row>
    <row r="485" spans="20:28">
      <c r="T485" s="4">
        <f t="shared" si="136"/>
        <v>2045</v>
      </c>
      <c r="U485" s="434">
        <f t="shared" si="135"/>
        <v>53022</v>
      </c>
      <c r="Y485" s="343">
        <v>431.75</v>
      </c>
      <c r="Z485" s="343">
        <v>312.25</v>
      </c>
      <c r="AA485" s="343">
        <f t="shared" si="137"/>
        <v>0.58030913978494625</v>
      </c>
      <c r="AB485" s="343">
        <f t="shared" si="138"/>
        <v>0.41969086021505375</v>
      </c>
    </row>
    <row r="486" spans="20:28">
      <c r="T486" s="4">
        <f t="shared" si="136"/>
        <v>2045</v>
      </c>
      <c r="U486" s="434">
        <f t="shared" si="135"/>
        <v>53053</v>
      </c>
      <c r="Y486" s="343">
        <v>416</v>
      </c>
      <c r="Z486" s="343">
        <v>304</v>
      </c>
      <c r="AA486" s="343">
        <f t="shared" si="137"/>
        <v>0.57777777777777772</v>
      </c>
      <c r="AB486" s="343">
        <f t="shared" si="138"/>
        <v>0.42222222222222222</v>
      </c>
    </row>
    <row r="487" spans="20:28">
      <c r="T487" s="4">
        <f t="shared" si="136"/>
        <v>2045</v>
      </c>
      <c r="U487" s="434">
        <f t="shared" si="135"/>
        <v>53083</v>
      </c>
      <c r="Y487" s="343">
        <v>416</v>
      </c>
      <c r="Z487" s="343">
        <v>328</v>
      </c>
      <c r="AA487" s="343">
        <f t="shared" si="137"/>
        <v>0.55913978494623651</v>
      </c>
      <c r="AB487" s="343">
        <f t="shared" si="138"/>
        <v>0.44086021505376344</v>
      </c>
    </row>
    <row r="488" spans="20:28">
      <c r="T488" s="4">
        <f t="shared" si="136"/>
        <v>2045</v>
      </c>
      <c r="U488" s="434">
        <f t="shared" ref="U488:U551" si="139">EOMONTH(U487,0)+1</f>
        <v>53114</v>
      </c>
      <c r="Y488" s="343">
        <v>416</v>
      </c>
      <c r="Z488" s="343">
        <v>304</v>
      </c>
      <c r="AA488" s="343">
        <f t="shared" si="137"/>
        <v>0.57777777777777772</v>
      </c>
      <c r="AB488" s="343">
        <f t="shared" si="138"/>
        <v>0.42222222222222222</v>
      </c>
    </row>
    <row r="489" spans="20:28">
      <c r="T489" s="4">
        <f t="shared" si="136"/>
        <v>2045</v>
      </c>
      <c r="U489" s="434">
        <f t="shared" si="139"/>
        <v>53144</v>
      </c>
      <c r="Y489" s="343">
        <v>416</v>
      </c>
      <c r="Z489" s="343">
        <v>328</v>
      </c>
      <c r="AA489" s="343">
        <f t="shared" si="137"/>
        <v>0.55913978494623651</v>
      </c>
      <c r="AB489" s="343">
        <f t="shared" si="138"/>
        <v>0.44086021505376344</v>
      </c>
    </row>
    <row r="490" spans="20:28">
      <c r="T490" s="4">
        <f t="shared" si="136"/>
        <v>2045</v>
      </c>
      <c r="U490" s="434">
        <f t="shared" si="139"/>
        <v>53175</v>
      </c>
      <c r="Y490" s="343">
        <v>424</v>
      </c>
      <c r="Z490" s="343">
        <v>320</v>
      </c>
      <c r="AA490" s="343">
        <f t="shared" si="137"/>
        <v>0.56989247311827962</v>
      </c>
      <c r="AB490" s="343">
        <f t="shared" si="138"/>
        <v>0.43010752688172044</v>
      </c>
    </row>
    <row r="491" spans="20:28">
      <c r="T491" s="4">
        <f t="shared" si="136"/>
        <v>2045</v>
      </c>
      <c r="U491" s="434">
        <f t="shared" si="139"/>
        <v>53206</v>
      </c>
      <c r="Y491" s="343">
        <v>400</v>
      </c>
      <c r="Z491" s="343">
        <v>320</v>
      </c>
      <c r="AA491" s="343">
        <f t="shared" si="137"/>
        <v>0.55555555555555558</v>
      </c>
      <c r="AB491" s="343">
        <f t="shared" si="138"/>
        <v>0.44444444444444442</v>
      </c>
    </row>
    <row r="492" spans="20:28">
      <c r="T492" s="4">
        <f t="shared" si="136"/>
        <v>2045</v>
      </c>
      <c r="U492" s="434">
        <f t="shared" si="139"/>
        <v>53236</v>
      </c>
      <c r="Y492" s="343">
        <v>431.25</v>
      </c>
      <c r="Z492" s="343">
        <v>312.75</v>
      </c>
      <c r="AA492" s="343">
        <f t="shared" si="137"/>
        <v>0.57963709677419351</v>
      </c>
      <c r="AB492" s="343">
        <f t="shared" si="138"/>
        <v>0.42036290322580644</v>
      </c>
    </row>
    <row r="493" spans="20:28">
      <c r="T493" s="4">
        <f t="shared" si="136"/>
        <v>2045</v>
      </c>
      <c r="U493" s="434">
        <f t="shared" si="139"/>
        <v>53267</v>
      </c>
      <c r="Y493" s="343">
        <v>400</v>
      </c>
      <c r="Z493" s="343">
        <v>320</v>
      </c>
      <c r="AA493" s="343">
        <f t="shared" si="137"/>
        <v>0.55555555555555558</v>
      </c>
      <c r="AB493" s="343">
        <f t="shared" si="138"/>
        <v>0.44444444444444442</v>
      </c>
    </row>
    <row r="494" spans="20:28">
      <c r="T494" s="4">
        <f t="shared" si="136"/>
        <v>2045</v>
      </c>
      <c r="U494" s="434">
        <f t="shared" si="139"/>
        <v>53297</v>
      </c>
      <c r="Y494" s="343">
        <v>416</v>
      </c>
      <c r="Z494" s="343">
        <v>328</v>
      </c>
      <c r="AA494" s="343">
        <f t="shared" si="137"/>
        <v>0.55913978494623651</v>
      </c>
      <c r="AB494" s="343">
        <f t="shared" si="138"/>
        <v>0.44086021505376344</v>
      </c>
    </row>
    <row r="495" spans="20:28">
      <c r="T495" s="4">
        <f t="shared" si="136"/>
        <v>2046</v>
      </c>
      <c r="U495" s="434">
        <f t="shared" si="139"/>
        <v>53328</v>
      </c>
      <c r="Y495" s="343">
        <v>416</v>
      </c>
      <c r="Z495" s="343">
        <v>328</v>
      </c>
      <c r="AA495" s="343">
        <f t="shared" si="137"/>
        <v>0.55913978494623651</v>
      </c>
      <c r="AB495" s="343">
        <f t="shared" si="138"/>
        <v>0.44086021505376344</v>
      </c>
    </row>
    <row r="496" spans="20:28">
      <c r="T496" s="4">
        <f t="shared" si="136"/>
        <v>2046</v>
      </c>
      <c r="U496" s="434">
        <f t="shared" si="139"/>
        <v>53359</v>
      </c>
      <c r="Y496" s="343">
        <v>384</v>
      </c>
      <c r="Z496" s="343">
        <v>288</v>
      </c>
      <c r="AA496" s="343">
        <f t="shared" si="137"/>
        <v>0.5714285714285714</v>
      </c>
      <c r="AB496" s="343">
        <f t="shared" si="138"/>
        <v>0.42857142857142855</v>
      </c>
    </row>
    <row r="497" spans="20:28">
      <c r="T497" s="4">
        <f t="shared" si="136"/>
        <v>2046</v>
      </c>
      <c r="U497" s="434">
        <f t="shared" si="139"/>
        <v>53387</v>
      </c>
      <c r="Y497" s="343">
        <v>431.875</v>
      </c>
      <c r="Z497" s="343">
        <v>312.125</v>
      </c>
      <c r="AA497" s="343">
        <f t="shared" si="137"/>
        <v>0.58047715053763438</v>
      </c>
      <c r="AB497" s="343">
        <f t="shared" si="138"/>
        <v>0.41952284946236557</v>
      </c>
    </row>
    <row r="498" spans="20:28">
      <c r="T498" s="4">
        <f t="shared" si="136"/>
        <v>2046</v>
      </c>
      <c r="U498" s="434">
        <f t="shared" si="139"/>
        <v>53418</v>
      </c>
      <c r="Y498" s="343">
        <v>416</v>
      </c>
      <c r="Z498" s="343">
        <v>304</v>
      </c>
      <c r="AA498" s="343">
        <f t="shared" si="137"/>
        <v>0.57777777777777772</v>
      </c>
      <c r="AB498" s="343">
        <f t="shared" si="138"/>
        <v>0.42222222222222222</v>
      </c>
    </row>
    <row r="499" spans="20:28">
      <c r="T499" s="4">
        <f t="shared" ref="T499:T554" si="140">+YEAR(U499)</f>
        <v>2046</v>
      </c>
      <c r="U499" s="434">
        <f t="shared" si="139"/>
        <v>53448</v>
      </c>
      <c r="Y499" s="343">
        <v>416</v>
      </c>
      <c r="Z499" s="343">
        <v>328</v>
      </c>
      <c r="AA499" s="343">
        <f t="shared" si="137"/>
        <v>0.55913978494623651</v>
      </c>
      <c r="AB499" s="343">
        <f t="shared" si="138"/>
        <v>0.44086021505376344</v>
      </c>
    </row>
    <row r="500" spans="20:28">
      <c r="T500" s="4">
        <f t="shared" si="140"/>
        <v>2046</v>
      </c>
      <c r="U500" s="434">
        <f t="shared" si="139"/>
        <v>53479</v>
      </c>
      <c r="Y500" s="343">
        <v>416</v>
      </c>
      <c r="Z500" s="343">
        <v>304</v>
      </c>
      <c r="AA500" s="343">
        <f t="shared" si="137"/>
        <v>0.57777777777777772</v>
      </c>
      <c r="AB500" s="343">
        <f t="shared" si="138"/>
        <v>0.42222222222222222</v>
      </c>
    </row>
    <row r="501" spans="20:28">
      <c r="T501" s="4">
        <f t="shared" si="140"/>
        <v>2046</v>
      </c>
      <c r="U501" s="434">
        <f t="shared" si="139"/>
        <v>53509</v>
      </c>
      <c r="Y501" s="343">
        <v>416</v>
      </c>
      <c r="Z501" s="343">
        <v>328</v>
      </c>
      <c r="AA501" s="343">
        <f t="shared" si="137"/>
        <v>0.55913978494623651</v>
      </c>
      <c r="AB501" s="343">
        <f t="shared" si="138"/>
        <v>0.44086021505376344</v>
      </c>
    </row>
    <row r="502" spans="20:28">
      <c r="T502" s="4">
        <f t="shared" si="140"/>
        <v>2046</v>
      </c>
      <c r="U502" s="434">
        <f t="shared" si="139"/>
        <v>53540</v>
      </c>
      <c r="Y502" s="343">
        <v>424</v>
      </c>
      <c r="Z502" s="343">
        <v>320</v>
      </c>
      <c r="AA502" s="343">
        <f t="shared" si="137"/>
        <v>0.56989247311827962</v>
      </c>
      <c r="AB502" s="343">
        <f t="shared" si="138"/>
        <v>0.43010752688172044</v>
      </c>
    </row>
    <row r="503" spans="20:28">
      <c r="T503" s="4">
        <f t="shared" si="140"/>
        <v>2046</v>
      </c>
      <c r="U503" s="434">
        <f t="shared" si="139"/>
        <v>53571</v>
      </c>
      <c r="Y503" s="343">
        <v>400</v>
      </c>
      <c r="Z503" s="343">
        <v>320</v>
      </c>
      <c r="AA503" s="343">
        <f t="shared" si="137"/>
        <v>0.55555555555555558</v>
      </c>
      <c r="AB503" s="343">
        <f t="shared" si="138"/>
        <v>0.44444444444444442</v>
      </c>
    </row>
    <row r="504" spans="20:28">
      <c r="T504" s="4">
        <f t="shared" si="140"/>
        <v>2046</v>
      </c>
      <c r="U504" s="434">
        <f t="shared" si="139"/>
        <v>53601</v>
      </c>
      <c r="Y504" s="343">
        <v>431</v>
      </c>
      <c r="Z504" s="343">
        <v>313</v>
      </c>
      <c r="AA504" s="343">
        <f t="shared" si="137"/>
        <v>0.57930107526881724</v>
      </c>
      <c r="AB504" s="343">
        <f t="shared" si="138"/>
        <v>0.42069892473118281</v>
      </c>
    </row>
    <row r="505" spans="20:28">
      <c r="T505" s="4">
        <f t="shared" si="140"/>
        <v>2046</v>
      </c>
      <c r="U505" s="434">
        <f t="shared" si="139"/>
        <v>53632</v>
      </c>
      <c r="Y505" s="343">
        <v>400</v>
      </c>
      <c r="Z505" s="343">
        <v>320</v>
      </c>
      <c r="AA505" s="343">
        <f t="shared" si="137"/>
        <v>0.55555555555555558</v>
      </c>
      <c r="AB505" s="343">
        <f t="shared" si="138"/>
        <v>0.44444444444444442</v>
      </c>
    </row>
    <row r="506" spans="20:28">
      <c r="T506" s="4">
        <f t="shared" si="140"/>
        <v>2046</v>
      </c>
      <c r="U506" s="434">
        <f t="shared" si="139"/>
        <v>53662</v>
      </c>
      <c r="Y506" s="343">
        <v>416</v>
      </c>
      <c r="Z506" s="343">
        <v>328</v>
      </c>
      <c r="AA506" s="343">
        <f t="shared" si="137"/>
        <v>0.55913978494623651</v>
      </c>
      <c r="AB506" s="343">
        <f t="shared" si="138"/>
        <v>0.44086021505376344</v>
      </c>
    </row>
    <row r="507" spans="20:28">
      <c r="T507" s="4">
        <f t="shared" si="140"/>
        <v>2047</v>
      </c>
      <c r="U507" s="434">
        <f t="shared" si="139"/>
        <v>53693</v>
      </c>
      <c r="Y507" s="343">
        <v>416</v>
      </c>
      <c r="Z507" s="343">
        <v>328</v>
      </c>
      <c r="AA507" s="343">
        <f t="shared" si="137"/>
        <v>0.55913978494623651</v>
      </c>
      <c r="AB507" s="343">
        <f t="shared" si="138"/>
        <v>0.44086021505376344</v>
      </c>
    </row>
    <row r="508" spans="20:28">
      <c r="T508" s="4">
        <f t="shared" si="140"/>
        <v>2047</v>
      </c>
      <c r="U508" s="434">
        <f t="shared" si="139"/>
        <v>53724</v>
      </c>
      <c r="Y508" s="343">
        <v>384</v>
      </c>
      <c r="Z508" s="343">
        <v>288</v>
      </c>
      <c r="AA508" s="343">
        <f t="shared" si="137"/>
        <v>0.5714285714285714</v>
      </c>
      <c r="AB508" s="343">
        <f t="shared" si="138"/>
        <v>0.42857142857142855</v>
      </c>
    </row>
    <row r="509" spans="20:28">
      <c r="T509" s="4">
        <f t="shared" si="140"/>
        <v>2047</v>
      </c>
      <c r="U509" s="434">
        <f t="shared" si="139"/>
        <v>53752</v>
      </c>
      <c r="Y509" s="343">
        <v>431.875</v>
      </c>
      <c r="Z509" s="343">
        <v>312.125</v>
      </c>
      <c r="AA509" s="343">
        <f t="shared" si="137"/>
        <v>0.58047715053763438</v>
      </c>
      <c r="AB509" s="343">
        <f t="shared" si="138"/>
        <v>0.41952284946236557</v>
      </c>
    </row>
    <row r="510" spans="20:28">
      <c r="T510" s="4">
        <f t="shared" si="140"/>
        <v>2047</v>
      </c>
      <c r="U510" s="434">
        <f t="shared" si="139"/>
        <v>53783</v>
      </c>
      <c r="Y510" s="343">
        <v>416</v>
      </c>
      <c r="Z510" s="343">
        <v>304</v>
      </c>
      <c r="AA510" s="343">
        <f t="shared" si="137"/>
        <v>0.57777777777777772</v>
      </c>
      <c r="AB510" s="343">
        <f t="shared" si="138"/>
        <v>0.42222222222222222</v>
      </c>
    </row>
    <row r="511" spans="20:28">
      <c r="T511" s="4">
        <f t="shared" si="140"/>
        <v>2047</v>
      </c>
      <c r="U511" s="434">
        <f t="shared" si="139"/>
        <v>53813</v>
      </c>
      <c r="Y511" s="343">
        <v>416</v>
      </c>
      <c r="Z511" s="343">
        <v>328</v>
      </c>
      <c r="AA511" s="343">
        <f t="shared" si="137"/>
        <v>0.55913978494623651</v>
      </c>
      <c r="AB511" s="343">
        <f t="shared" si="138"/>
        <v>0.44086021505376344</v>
      </c>
    </row>
    <row r="512" spans="20:28">
      <c r="T512" s="4">
        <f t="shared" si="140"/>
        <v>2047</v>
      </c>
      <c r="U512" s="434">
        <f t="shared" si="139"/>
        <v>53844</v>
      </c>
      <c r="Y512" s="343">
        <v>416</v>
      </c>
      <c r="Z512" s="343">
        <v>304</v>
      </c>
      <c r="AA512" s="343">
        <f t="shared" ref="AA512:AA554" si="141">Y512/(Y512+Z512)</f>
        <v>0.57777777777777772</v>
      </c>
      <c r="AB512" s="343">
        <f t="shared" ref="AB512:AB554" si="142">Z512/(Y512+Z512)</f>
        <v>0.42222222222222222</v>
      </c>
    </row>
    <row r="513" spans="20:28">
      <c r="T513" s="4">
        <f t="shared" si="140"/>
        <v>2047</v>
      </c>
      <c r="U513" s="434">
        <f t="shared" si="139"/>
        <v>53874</v>
      </c>
      <c r="Y513" s="343">
        <v>416</v>
      </c>
      <c r="Z513" s="343">
        <v>328</v>
      </c>
      <c r="AA513" s="343">
        <f t="shared" si="141"/>
        <v>0.55913978494623651</v>
      </c>
      <c r="AB513" s="343">
        <f t="shared" si="142"/>
        <v>0.44086021505376344</v>
      </c>
    </row>
    <row r="514" spans="20:28">
      <c r="T514" s="4">
        <f t="shared" si="140"/>
        <v>2047</v>
      </c>
      <c r="U514" s="434">
        <f t="shared" si="139"/>
        <v>53905</v>
      </c>
      <c r="Y514" s="343">
        <v>424.125</v>
      </c>
      <c r="Z514" s="343">
        <v>319.875</v>
      </c>
      <c r="AA514" s="343">
        <f t="shared" si="141"/>
        <v>0.57006048387096775</v>
      </c>
      <c r="AB514" s="343">
        <f t="shared" si="142"/>
        <v>0.42993951612903225</v>
      </c>
    </row>
    <row r="515" spans="20:28">
      <c r="T515" s="4">
        <f t="shared" si="140"/>
        <v>2047</v>
      </c>
      <c r="U515" s="434">
        <f t="shared" si="139"/>
        <v>53936</v>
      </c>
      <c r="Y515" s="343">
        <v>400</v>
      </c>
      <c r="Z515" s="343">
        <v>320</v>
      </c>
      <c r="AA515" s="343">
        <f t="shared" si="141"/>
        <v>0.55555555555555558</v>
      </c>
      <c r="AB515" s="343">
        <f t="shared" si="142"/>
        <v>0.44444444444444442</v>
      </c>
    </row>
    <row r="516" spans="20:28">
      <c r="T516" s="4">
        <f t="shared" si="140"/>
        <v>2047</v>
      </c>
      <c r="U516" s="434">
        <f t="shared" si="139"/>
        <v>53966</v>
      </c>
      <c r="Y516" s="343">
        <v>431</v>
      </c>
      <c r="Z516" s="343">
        <v>313</v>
      </c>
      <c r="AA516" s="343">
        <f t="shared" si="141"/>
        <v>0.57930107526881724</v>
      </c>
      <c r="AB516" s="343">
        <f t="shared" si="142"/>
        <v>0.42069892473118281</v>
      </c>
    </row>
    <row r="517" spans="20:28">
      <c r="T517" s="4">
        <f t="shared" si="140"/>
        <v>2047</v>
      </c>
      <c r="U517" s="434">
        <f t="shared" si="139"/>
        <v>53997</v>
      </c>
      <c r="Y517" s="343">
        <v>400</v>
      </c>
      <c r="Z517" s="343">
        <v>320</v>
      </c>
      <c r="AA517" s="343">
        <f t="shared" si="141"/>
        <v>0.55555555555555558</v>
      </c>
      <c r="AB517" s="343">
        <f t="shared" si="142"/>
        <v>0.44444444444444442</v>
      </c>
    </row>
    <row r="518" spans="20:28">
      <c r="T518" s="4">
        <f t="shared" si="140"/>
        <v>2047</v>
      </c>
      <c r="U518" s="434">
        <f t="shared" si="139"/>
        <v>54027</v>
      </c>
      <c r="Y518" s="343">
        <v>416</v>
      </c>
      <c r="Z518" s="343">
        <v>328</v>
      </c>
      <c r="AA518" s="343">
        <f t="shared" si="141"/>
        <v>0.55913978494623651</v>
      </c>
      <c r="AB518" s="343">
        <f t="shared" si="142"/>
        <v>0.44086021505376344</v>
      </c>
    </row>
    <row r="519" spans="20:28">
      <c r="T519" s="4">
        <f t="shared" si="140"/>
        <v>2048</v>
      </c>
      <c r="U519" s="434">
        <f t="shared" si="139"/>
        <v>54058</v>
      </c>
      <c r="Y519" s="343">
        <v>416</v>
      </c>
      <c r="Z519" s="343">
        <v>328</v>
      </c>
      <c r="AA519" s="343">
        <f t="shared" si="141"/>
        <v>0.55913978494623651</v>
      </c>
      <c r="AB519" s="343">
        <f t="shared" si="142"/>
        <v>0.44086021505376344</v>
      </c>
    </row>
    <row r="520" spans="20:28">
      <c r="T520" s="4">
        <f t="shared" si="140"/>
        <v>2048</v>
      </c>
      <c r="U520" s="434">
        <f t="shared" si="139"/>
        <v>54089</v>
      </c>
      <c r="Y520" s="343">
        <v>384</v>
      </c>
      <c r="Z520" s="343">
        <v>288</v>
      </c>
      <c r="AA520" s="343">
        <f t="shared" si="141"/>
        <v>0.5714285714285714</v>
      </c>
      <c r="AB520" s="343">
        <f t="shared" si="142"/>
        <v>0.42857142857142855</v>
      </c>
    </row>
    <row r="521" spans="20:28">
      <c r="T521" s="4">
        <f t="shared" si="140"/>
        <v>2048</v>
      </c>
      <c r="U521" s="434">
        <f t="shared" si="139"/>
        <v>54118</v>
      </c>
      <c r="Y521" s="343">
        <v>431.75</v>
      </c>
      <c r="Z521" s="343">
        <v>312.25</v>
      </c>
      <c r="AA521" s="343">
        <f t="shared" si="141"/>
        <v>0.58030913978494625</v>
      </c>
      <c r="AB521" s="343">
        <f t="shared" si="142"/>
        <v>0.41969086021505375</v>
      </c>
    </row>
    <row r="522" spans="20:28">
      <c r="T522" s="4">
        <f t="shared" si="140"/>
        <v>2048</v>
      </c>
      <c r="U522" s="434">
        <f t="shared" si="139"/>
        <v>54149</v>
      </c>
      <c r="Y522" s="343">
        <v>416</v>
      </c>
      <c r="Z522" s="343">
        <v>304</v>
      </c>
      <c r="AA522" s="343">
        <f t="shared" si="141"/>
        <v>0.57777777777777772</v>
      </c>
      <c r="AB522" s="343">
        <f t="shared" si="142"/>
        <v>0.42222222222222222</v>
      </c>
    </row>
    <row r="523" spans="20:28">
      <c r="T523" s="4">
        <f t="shared" si="140"/>
        <v>2048</v>
      </c>
      <c r="U523" s="434">
        <f t="shared" si="139"/>
        <v>54179</v>
      </c>
      <c r="Y523" s="343">
        <v>416</v>
      </c>
      <c r="Z523" s="343">
        <v>328</v>
      </c>
      <c r="AA523" s="343">
        <f t="shared" si="141"/>
        <v>0.55913978494623651</v>
      </c>
      <c r="AB523" s="343">
        <f t="shared" si="142"/>
        <v>0.44086021505376344</v>
      </c>
    </row>
    <row r="524" spans="20:28">
      <c r="T524" s="4">
        <f t="shared" si="140"/>
        <v>2048</v>
      </c>
      <c r="U524" s="434">
        <f t="shared" si="139"/>
        <v>54210</v>
      </c>
      <c r="Y524" s="343">
        <v>416</v>
      </c>
      <c r="Z524" s="343">
        <v>304</v>
      </c>
      <c r="AA524" s="343">
        <f t="shared" si="141"/>
        <v>0.57777777777777772</v>
      </c>
      <c r="AB524" s="343">
        <f t="shared" si="142"/>
        <v>0.42222222222222222</v>
      </c>
    </row>
    <row r="525" spans="20:28">
      <c r="T525" s="4">
        <f t="shared" si="140"/>
        <v>2048</v>
      </c>
      <c r="U525" s="434">
        <f t="shared" si="139"/>
        <v>54240</v>
      </c>
      <c r="Y525" s="343">
        <v>416</v>
      </c>
      <c r="Z525" s="343">
        <v>328</v>
      </c>
      <c r="AA525" s="343">
        <f t="shared" si="141"/>
        <v>0.55913978494623651</v>
      </c>
      <c r="AB525" s="343">
        <f t="shared" si="142"/>
        <v>0.44086021505376344</v>
      </c>
    </row>
    <row r="526" spans="20:28">
      <c r="T526" s="4">
        <f t="shared" si="140"/>
        <v>2048</v>
      </c>
      <c r="U526" s="434">
        <f t="shared" si="139"/>
        <v>54271</v>
      </c>
      <c r="Y526" s="343">
        <v>424</v>
      </c>
      <c r="Z526" s="343">
        <v>320</v>
      </c>
      <c r="AA526" s="343">
        <f t="shared" si="141"/>
        <v>0.56989247311827962</v>
      </c>
      <c r="AB526" s="343">
        <f t="shared" si="142"/>
        <v>0.43010752688172044</v>
      </c>
    </row>
    <row r="527" spans="20:28">
      <c r="T527" s="4">
        <f t="shared" si="140"/>
        <v>2048</v>
      </c>
      <c r="U527" s="434">
        <f t="shared" si="139"/>
        <v>54302</v>
      </c>
      <c r="Y527" s="343">
        <v>400</v>
      </c>
      <c r="Z527" s="343">
        <v>320</v>
      </c>
      <c r="AA527" s="343">
        <f t="shared" si="141"/>
        <v>0.55555555555555558</v>
      </c>
      <c r="AB527" s="343">
        <f t="shared" si="142"/>
        <v>0.44444444444444442</v>
      </c>
    </row>
    <row r="528" spans="20:28">
      <c r="T528" s="4">
        <f t="shared" si="140"/>
        <v>2048</v>
      </c>
      <c r="U528" s="434">
        <f t="shared" si="139"/>
        <v>54332</v>
      </c>
      <c r="Y528" s="343">
        <v>431.125</v>
      </c>
      <c r="Z528" s="343">
        <v>312.875</v>
      </c>
      <c r="AA528" s="343">
        <f t="shared" si="141"/>
        <v>0.57946908602150538</v>
      </c>
      <c r="AB528" s="343">
        <f t="shared" si="142"/>
        <v>0.42053091397849462</v>
      </c>
    </row>
    <row r="529" spans="20:28">
      <c r="T529" s="4">
        <f t="shared" si="140"/>
        <v>2048</v>
      </c>
      <c r="U529" s="434">
        <f t="shared" si="139"/>
        <v>54363</v>
      </c>
      <c r="Y529" s="343">
        <v>400</v>
      </c>
      <c r="Z529" s="343">
        <v>320</v>
      </c>
      <c r="AA529" s="343">
        <f t="shared" si="141"/>
        <v>0.55555555555555558</v>
      </c>
      <c r="AB529" s="343">
        <f t="shared" si="142"/>
        <v>0.44444444444444442</v>
      </c>
    </row>
    <row r="530" spans="20:28">
      <c r="T530" s="4">
        <f t="shared" si="140"/>
        <v>2048</v>
      </c>
      <c r="U530" s="434">
        <f t="shared" si="139"/>
        <v>54393</v>
      </c>
      <c r="Y530" s="343">
        <v>416</v>
      </c>
      <c r="Z530" s="343">
        <v>328</v>
      </c>
      <c r="AA530" s="343">
        <f t="shared" si="141"/>
        <v>0.55913978494623651</v>
      </c>
      <c r="AB530" s="343">
        <f t="shared" si="142"/>
        <v>0.44086021505376344</v>
      </c>
    </row>
    <row r="531" spans="20:28">
      <c r="T531" s="4">
        <f t="shared" si="140"/>
        <v>2049</v>
      </c>
      <c r="U531" s="434">
        <f t="shared" si="139"/>
        <v>54424</v>
      </c>
      <c r="Y531" s="343">
        <v>416</v>
      </c>
      <c r="Z531" s="343">
        <v>328</v>
      </c>
      <c r="AA531" s="343">
        <f t="shared" si="141"/>
        <v>0.55913978494623651</v>
      </c>
      <c r="AB531" s="343">
        <f t="shared" si="142"/>
        <v>0.44086021505376344</v>
      </c>
    </row>
    <row r="532" spans="20:28">
      <c r="T532" s="4">
        <f t="shared" si="140"/>
        <v>2049</v>
      </c>
      <c r="U532" s="434">
        <f t="shared" si="139"/>
        <v>54455</v>
      </c>
      <c r="Y532" s="343">
        <v>384</v>
      </c>
      <c r="Z532" s="343">
        <v>288</v>
      </c>
      <c r="AA532" s="343">
        <f t="shared" si="141"/>
        <v>0.5714285714285714</v>
      </c>
      <c r="AB532" s="343">
        <f t="shared" si="142"/>
        <v>0.42857142857142855</v>
      </c>
    </row>
    <row r="533" spans="20:28">
      <c r="T533" s="4">
        <f t="shared" si="140"/>
        <v>2049</v>
      </c>
      <c r="U533" s="434">
        <f t="shared" si="139"/>
        <v>54483</v>
      </c>
      <c r="Y533" s="343">
        <v>431.875</v>
      </c>
      <c r="Z533" s="343">
        <v>312.125</v>
      </c>
      <c r="AA533" s="343">
        <f t="shared" si="141"/>
        <v>0.58047715053763438</v>
      </c>
      <c r="AB533" s="343">
        <f t="shared" si="142"/>
        <v>0.41952284946236557</v>
      </c>
    </row>
    <row r="534" spans="20:28">
      <c r="T534" s="4">
        <f t="shared" si="140"/>
        <v>2049</v>
      </c>
      <c r="U534" s="434">
        <f t="shared" si="139"/>
        <v>54514</v>
      </c>
      <c r="Y534" s="343">
        <v>416</v>
      </c>
      <c r="Z534" s="343">
        <v>304</v>
      </c>
      <c r="AA534" s="343">
        <f t="shared" si="141"/>
        <v>0.57777777777777772</v>
      </c>
      <c r="AB534" s="343">
        <f t="shared" si="142"/>
        <v>0.42222222222222222</v>
      </c>
    </row>
    <row r="535" spans="20:28">
      <c r="T535" s="4">
        <f t="shared" si="140"/>
        <v>2049</v>
      </c>
      <c r="U535" s="434">
        <f t="shared" si="139"/>
        <v>54544</v>
      </c>
      <c r="Y535" s="343">
        <v>416</v>
      </c>
      <c r="Z535" s="343">
        <v>328</v>
      </c>
      <c r="AA535" s="343">
        <f t="shared" si="141"/>
        <v>0.55913978494623651</v>
      </c>
      <c r="AB535" s="343">
        <f t="shared" si="142"/>
        <v>0.44086021505376344</v>
      </c>
    </row>
    <row r="536" spans="20:28">
      <c r="T536" s="4">
        <f t="shared" si="140"/>
        <v>2049</v>
      </c>
      <c r="U536" s="434">
        <f t="shared" si="139"/>
        <v>54575</v>
      </c>
      <c r="Y536" s="343">
        <v>416</v>
      </c>
      <c r="Z536" s="343">
        <v>304</v>
      </c>
      <c r="AA536" s="343">
        <f t="shared" si="141"/>
        <v>0.57777777777777772</v>
      </c>
      <c r="AB536" s="343">
        <f t="shared" si="142"/>
        <v>0.42222222222222222</v>
      </c>
    </row>
    <row r="537" spans="20:28">
      <c r="T537" s="4">
        <f t="shared" si="140"/>
        <v>2049</v>
      </c>
      <c r="U537" s="434">
        <f t="shared" si="139"/>
        <v>54605</v>
      </c>
      <c r="Y537" s="343">
        <v>416</v>
      </c>
      <c r="Z537" s="343">
        <v>328</v>
      </c>
      <c r="AA537" s="343">
        <f t="shared" si="141"/>
        <v>0.55913978494623651</v>
      </c>
      <c r="AB537" s="343">
        <f t="shared" si="142"/>
        <v>0.44086021505376344</v>
      </c>
    </row>
    <row r="538" spans="20:28">
      <c r="T538" s="4">
        <f t="shared" si="140"/>
        <v>2049</v>
      </c>
      <c r="U538" s="434">
        <f t="shared" si="139"/>
        <v>54636</v>
      </c>
      <c r="Y538" s="343">
        <v>424</v>
      </c>
      <c r="Z538" s="343">
        <v>320</v>
      </c>
      <c r="AA538" s="343">
        <f t="shared" si="141"/>
        <v>0.56989247311827962</v>
      </c>
      <c r="AB538" s="343">
        <f t="shared" si="142"/>
        <v>0.43010752688172044</v>
      </c>
    </row>
    <row r="539" spans="20:28">
      <c r="T539" s="4">
        <f t="shared" si="140"/>
        <v>2049</v>
      </c>
      <c r="U539" s="434">
        <f t="shared" si="139"/>
        <v>54667</v>
      </c>
      <c r="Y539" s="343">
        <v>400</v>
      </c>
      <c r="Z539" s="343">
        <v>320</v>
      </c>
      <c r="AA539" s="343">
        <f t="shared" si="141"/>
        <v>0.55555555555555558</v>
      </c>
      <c r="AB539" s="343">
        <f t="shared" si="142"/>
        <v>0.44444444444444442</v>
      </c>
    </row>
    <row r="540" spans="20:28">
      <c r="T540" s="4">
        <f t="shared" si="140"/>
        <v>2049</v>
      </c>
      <c r="U540" s="434">
        <f t="shared" si="139"/>
        <v>54697</v>
      </c>
      <c r="Y540" s="343">
        <v>431</v>
      </c>
      <c r="Z540" s="343">
        <v>313</v>
      </c>
      <c r="AA540" s="343">
        <f t="shared" si="141"/>
        <v>0.57930107526881724</v>
      </c>
      <c r="AB540" s="343">
        <f t="shared" si="142"/>
        <v>0.42069892473118281</v>
      </c>
    </row>
    <row r="541" spans="20:28">
      <c r="T541" s="4">
        <f t="shared" si="140"/>
        <v>2049</v>
      </c>
      <c r="U541" s="434">
        <f t="shared" si="139"/>
        <v>54728</v>
      </c>
      <c r="Y541" s="343">
        <v>400</v>
      </c>
      <c r="Z541" s="343">
        <v>320</v>
      </c>
      <c r="AA541" s="343">
        <f t="shared" si="141"/>
        <v>0.55555555555555558</v>
      </c>
      <c r="AB541" s="343">
        <f t="shared" si="142"/>
        <v>0.44444444444444442</v>
      </c>
    </row>
    <row r="542" spans="20:28">
      <c r="T542" s="4">
        <f t="shared" si="140"/>
        <v>2049</v>
      </c>
      <c r="U542" s="434">
        <f t="shared" si="139"/>
        <v>54758</v>
      </c>
      <c r="Y542" s="343">
        <v>416</v>
      </c>
      <c r="Z542" s="343">
        <v>328</v>
      </c>
      <c r="AA542" s="343">
        <f t="shared" si="141"/>
        <v>0.55913978494623651</v>
      </c>
      <c r="AB542" s="343">
        <f t="shared" si="142"/>
        <v>0.44086021505376344</v>
      </c>
    </row>
    <row r="543" spans="20:28">
      <c r="T543" s="4">
        <f t="shared" si="140"/>
        <v>2050</v>
      </c>
      <c r="U543" s="434">
        <f t="shared" si="139"/>
        <v>54789</v>
      </c>
      <c r="Y543" s="343">
        <v>416</v>
      </c>
      <c r="Z543" s="343">
        <v>328</v>
      </c>
      <c r="AA543" s="343">
        <f t="shared" si="141"/>
        <v>0.55913978494623651</v>
      </c>
      <c r="AB543" s="343">
        <f t="shared" si="142"/>
        <v>0.44086021505376344</v>
      </c>
    </row>
    <row r="544" spans="20:28">
      <c r="T544" s="4">
        <f t="shared" si="140"/>
        <v>2050</v>
      </c>
      <c r="U544" s="434">
        <f t="shared" si="139"/>
        <v>54820</v>
      </c>
      <c r="Y544" s="343">
        <v>384</v>
      </c>
      <c r="Z544" s="343">
        <v>288</v>
      </c>
      <c r="AA544" s="343">
        <f t="shared" si="141"/>
        <v>0.5714285714285714</v>
      </c>
      <c r="AB544" s="343">
        <f t="shared" si="142"/>
        <v>0.42857142857142855</v>
      </c>
    </row>
    <row r="545" spans="20:28">
      <c r="T545" s="4">
        <f t="shared" si="140"/>
        <v>2050</v>
      </c>
      <c r="U545" s="434">
        <f t="shared" si="139"/>
        <v>54848</v>
      </c>
      <c r="Y545" s="343">
        <v>431.75</v>
      </c>
      <c r="Z545" s="343">
        <v>312.25</v>
      </c>
      <c r="AA545" s="343">
        <f t="shared" si="141"/>
        <v>0.58030913978494625</v>
      </c>
      <c r="AB545" s="343">
        <f t="shared" si="142"/>
        <v>0.41969086021505375</v>
      </c>
    </row>
    <row r="546" spans="20:28">
      <c r="T546" s="4">
        <f t="shared" si="140"/>
        <v>2050</v>
      </c>
      <c r="U546" s="434">
        <f t="shared" si="139"/>
        <v>54879</v>
      </c>
      <c r="Y546" s="343">
        <v>416</v>
      </c>
      <c r="Z546" s="343">
        <v>304</v>
      </c>
      <c r="AA546" s="343">
        <f t="shared" si="141"/>
        <v>0.57777777777777772</v>
      </c>
      <c r="AB546" s="343">
        <f t="shared" si="142"/>
        <v>0.42222222222222222</v>
      </c>
    </row>
    <row r="547" spans="20:28">
      <c r="T547" s="4">
        <f t="shared" si="140"/>
        <v>2050</v>
      </c>
      <c r="U547" s="434">
        <f t="shared" si="139"/>
        <v>54909</v>
      </c>
      <c r="Y547" s="343">
        <v>416</v>
      </c>
      <c r="Z547" s="343">
        <v>328</v>
      </c>
      <c r="AA547" s="343">
        <f t="shared" si="141"/>
        <v>0.55913978494623651</v>
      </c>
      <c r="AB547" s="343">
        <f t="shared" si="142"/>
        <v>0.44086021505376344</v>
      </c>
    </row>
    <row r="548" spans="20:28">
      <c r="T548" s="4">
        <f t="shared" si="140"/>
        <v>2050</v>
      </c>
      <c r="U548" s="434">
        <f t="shared" si="139"/>
        <v>54940</v>
      </c>
      <c r="Y548" s="343">
        <v>416</v>
      </c>
      <c r="Z548" s="343">
        <v>304</v>
      </c>
      <c r="AA548" s="343">
        <f t="shared" si="141"/>
        <v>0.57777777777777772</v>
      </c>
      <c r="AB548" s="343">
        <f t="shared" si="142"/>
        <v>0.42222222222222222</v>
      </c>
    </row>
    <row r="549" spans="20:28">
      <c r="T549" s="4">
        <f t="shared" si="140"/>
        <v>2050</v>
      </c>
      <c r="U549" s="434">
        <f t="shared" si="139"/>
        <v>54970</v>
      </c>
      <c r="Y549" s="343">
        <v>416</v>
      </c>
      <c r="Z549" s="343">
        <v>328</v>
      </c>
      <c r="AA549" s="343">
        <f t="shared" si="141"/>
        <v>0.55913978494623651</v>
      </c>
      <c r="AB549" s="343">
        <f t="shared" si="142"/>
        <v>0.44086021505376344</v>
      </c>
    </row>
    <row r="550" spans="20:28">
      <c r="T550" s="4">
        <f t="shared" si="140"/>
        <v>2050</v>
      </c>
      <c r="U550" s="434">
        <f t="shared" si="139"/>
        <v>55001</v>
      </c>
      <c r="Y550" s="343">
        <v>424.0625</v>
      </c>
      <c r="Z550" s="343">
        <v>319.9375</v>
      </c>
      <c r="AA550" s="343">
        <f t="shared" si="141"/>
        <v>0.56997647849462363</v>
      </c>
      <c r="AB550" s="343">
        <f t="shared" si="142"/>
        <v>0.43002352150537637</v>
      </c>
    </row>
    <row r="551" spans="20:28">
      <c r="T551" s="4">
        <f t="shared" si="140"/>
        <v>2050</v>
      </c>
      <c r="U551" s="434">
        <f t="shared" si="139"/>
        <v>55032</v>
      </c>
      <c r="Y551" s="343">
        <v>400</v>
      </c>
      <c r="Z551" s="343">
        <v>320</v>
      </c>
      <c r="AA551" s="343">
        <f t="shared" si="141"/>
        <v>0.55555555555555558</v>
      </c>
      <c r="AB551" s="343">
        <f t="shared" si="142"/>
        <v>0.44444444444444442</v>
      </c>
    </row>
    <row r="552" spans="20:28">
      <c r="T552" s="4">
        <f t="shared" si="140"/>
        <v>2050</v>
      </c>
      <c r="U552" s="434">
        <f t="shared" ref="U552:U554" si="143">EOMONTH(U551,0)+1</f>
        <v>55062</v>
      </c>
      <c r="Y552" s="343">
        <v>431.0625</v>
      </c>
      <c r="Z552" s="343">
        <v>312.9375</v>
      </c>
      <c r="AA552" s="343">
        <f t="shared" si="141"/>
        <v>0.57938508064516125</v>
      </c>
      <c r="AB552" s="343">
        <f t="shared" si="142"/>
        <v>0.42061491935483869</v>
      </c>
    </row>
    <row r="553" spans="20:28">
      <c r="T553" s="4">
        <f t="shared" si="140"/>
        <v>2050</v>
      </c>
      <c r="U553" s="434">
        <f t="shared" si="143"/>
        <v>55093</v>
      </c>
      <c r="Y553" s="343">
        <v>400</v>
      </c>
      <c r="Z553" s="343">
        <v>320</v>
      </c>
      <c r="AA553" s="343">
        <f t="shared" si="141"/>
        <v>0.55555555555555558</v>
      </c>
      <c r="AB553" s="343">
        <f t="shared" si="142"/>
        <v>0.44444444444444442</v>
      </c>
    </row>
    <row r="554" spans="20:28">
      <c r="T554" s="4">
        <f t="shared" si="140"/>
        <v>2050</v>
      </c>
      <c r="U554" s="434">
        <f t="shared" si="143"/>
        <v>55123</v>
      </c>
      <c r="Y554" s="343">
        <v>416</v>
      </c>
      <c r="Z554" s="343">
        <v>328</v>
      </c>
      <c r="AA554" s="343">
        <f t="shared" si="141"/>
        <v>0.55913978494623651</v>
      </c>
      <c r="AB554" s="343">
        <f t="shared" si="142"/>
        <v>0.44086021505376344</v>
      </c>
    </row>
    <row r="555" spans="20:28">
      <c r="U555" s="434"/>
      <c r="AA555" s="343"/>
      <c r="AB555" s="343"/>
    </row>
    <row r="556" spans="20:28">
      <c r="U556" s="434"/>
      <c r="AA556" s="343"/>
      <c r="AB556" s="343"/>
    </row>
    <row r="557" spans="20:28">
      <c r="U557" s="434"/>
      <c r="AA557" s="343"/>
      <c r="AB557" s="343"/>
    </row>
    <row r="558" spans="20:28">
      <c r="U558" s="434"/>
      <c r="AA558" s="343"/>
      <c r="AB558" s="343"/>
    </row>
    <row r="559" spans="20:28">
      <c r="U559" s="434"/>
      <c r="AA559" s="343"/>
      <c r="AB559" s="343"/>
    </row>
    <row r="560" spans="20:28">
      <c r="U560" s="434"/>
      <c r="AA560" s="343"/>
      <c r="AB560" s="343"/>
    </row>
    <row r="561" spans="21:28">
      <c r="U561" s="434"/>
      <c r="AA561" s="343"/>
      <c r="AB561" s="343"/>
    </row>
    <row r="562" spans="21:28">
      <c r="U562" s="434"/>
      <c r="AA562" s="343"/>
      <c r="AB562" s="343"/>
    </row>
    <row r="563" spans="21:28">
      <c r="U563" s="434"/>
      <c r="AA563" s="343"/>
      <c r="AB563" s="343"/>
    </row>
    <row r="564" spans="21:28">
      <c r="U564" s="434"/>
      <c r="AA564" s="343"/>
      <c r="AB564" s="343"/>
    </row>
    <row r="565" spans="21:28">
      <c r="U565" s="434"/>
      <c r="AA565" s="343"/>
      <c r="AB565" s="343"/>
    </row>
    <row r="566" spans="21:28">
      <c r="U566" s="434"/>
      <c r="AA566" s="343"/>
      <c r="AB566" s="343"/>
    </row>
    <row r="567" spans="21:28">
      <c r="U567" s="434"/>
    </row>
    <row r="568" spans="21:28">
      <c r="U568" s="434"/>
    </row>
    <row r="569" spans="21:28">
      <c r="U569" s="434"/>
    </row>
    <row r="570" spans="21:28">
      <c r="U570" s="434"/>
    </row>
    <row r="571" spans="21:28">
      <c r="U571" s="434"/>
    </row>
    <row r="572" spans="21:28">
      <c r="U572" s="434"/>
    </row>
    <row r="573" spans="21:28">
      <c r="U573" s="434"/>
    </row>
    <row r="574" spans="21:28">
      <c r="U574" s="434"/>
    </row>
    <row r="575" spans="21:28">
      <c r="U575" s="434"/>
    </row>
    <row r="576" spans="21:28">
      <c r="U576" s="434"/>
    </row>
    <row r="577" spans="21:21">
      <c r="U577" s="434"/>
    </row>
    <row r="578" spans="21:21">
      <c r="U578" s="434"/>
    </row>
    <row r="579" spans="21:21">
      <c r="U579" s="434"/>
    </row>
    <row r="580" spans="21:21">
      <c r="U580" s="434"/>
    </row>
    <row r="581" spans="21:21">
      <c r="U581" s="434"/>
    </row>
    <row r="582" spans="21:21">
      <c r="U582" s="434"/>
    </row>
    <row r="583" spans="21:21">
      <c r="U583" s="434"/>
    </row>
    <row r="584" spans="21:21">
      <c r="U584" s="434"/>
    </row>
    <row r="585" spans="21:21">
      <c r="U585" s="434"/>
    </row>
    <row r="586" spans="21:21">
      <c r="U586" s="434"/>
    </row>
    <row r="587" spans="21:21">
      <c r="U587" s="434"/>
    </row>
    <row r="588" spans="21:21">
      <c r="U588" s="434"/>
    </row>
    <row r="589" spans="21:21">
      <c r="U589" s="434"/>
    </row>
    <row r="590" spans="21:21">
      <c r="U590" s="434"/>
    </row>
    <row r="591" spans="21:21">
      <c r="U591" s="434"/>
    </row>
    <row r="592" spans="21:21">
      <c r="U592" s="434"/>
    </row>
    <row r="593" spans="21:21">
      <c r="U593" s="434"/>
    </row>
    <row r="594" spans="21:21">
      <c r="U594" s="434"/>
    </row>
    <row r="595" spans="21:21">
      <c r="U595" s="434"/>
    </row>
    <row r="596" spans="21:21">
      <c r="U596" s="434"/>
    </row>
    <row r="597" spans="21:21">
      <c r="U597" s="434"/>
    </row>
    <row r="598" spans="21:21">
      <c r="U598" s="434"/>
    </row>
    <row r="599" spans="21:21">
      <c r="U599" s="434"/>
    </row>
    <row r="600" spans="21:21">
      <c r="U600" s="434"/>
    </row>
    <row r="601" spans="21:21">
      <c r="U601" s="434"/>
    </row>
    <row r="602" spans="21:21">
      <c r="U602" s="434"/>
    </row>
    <row r="603" spans="21:21">
      <c r="U603" s="434"/>
    </row>
    <row r="604" spans="21:21">
      <c r="U604" s="434"/>
    </row>
    <row r="605" spans="21:21">
      <c r="U605" s="434"/>
    </row>
    <row r="606" spans="21:21">
      <c r="U606" s="434"/>
    </row>
    <row r="607" spans="21:21">
      <c r="U607" s="434"/>
    </row>
    <row r="608" spans="21:21">
      <c r="U608" s="434"/>
    </row>
    <row r="609" spans="21:21">
      <c r="U609" s="434"/>
    </row>
    <row r="610" spans="21:21">
      <c r="U610" s="434"/>
    </row>
    <row r="611" spans="21:21">
      <c r="U611" s="434"/>
    </row>
    <row r="612" spans="21:21">
      <c r="U612" s="434"/>
    </row>
    <row r="613" spans="21:21">
      <c r="U613" s="434"/>
    </row>
    <row r="614" spans="21:21">
      <c r="U614" s="434"/>
    </row>
    <row r="615" spans="21:21">
      <c r="U615" s="434"/>
    </row>
    <row r="616" spans="21:21">
      <c r="U616" s="434"/>
    </row>
    <row r="617" spans="21:21">
      <c r="U617" s="434"/>
    </row>
    <row r="618" spans="21:21">
      <c r="U618" s="434"/>
    </row>
    <row r="619" spans="21:21">
      <c r="U619" s="434"/>
    </row>
    <row r="620" spans="21:21">
      <c r="U620" s="434"/>
    </row>
    <row r="621" spans="21:21">
      <c r="U621" s="434"/>
    </row>
    <row r="622" spans="21:21">
      <c r="U622" s="434"/>
    </row>
    <row r="623" spans="21:21">
      <c r="U623" s="434"/>
    </row>
    <row r="624" spans="21:21">
      <c r="U624" s="434"/>
    </row>
    <row r="625" spans="21:21">
      <c r="U625" s="434"/>
    </row>
    <row r="626" spans="21:21">
      <c r="U626" s="434"/>
    </row>
    <row r="627" spans="21:21">
      <c r="U627" s="434"/>
    </row>
    <row r="628" spans="21:21">
      <c r="U628" s="434"/>
    </row>
    <row r="629" spans="21:21">
      <c r="U629" s="434"/>
    </row>
    <row r="630" spans="21:21">
      <c r="U630" s="434"/>
    </row>
    <row r="631" spans="21:21">
      <c r="U631" s="434"/>
    </row>
    <row r="632" spans="21:21">
      <c r="U632" s="434"/>
    </row>
    <row r="633" spans="21:21">
      <c r="U633" s="434"/>
    </row>
    <row r="634" spans="21:21">
      <c r="U634" s="434"/>
    </row>
    <row r="635" spans="21:21">
      <c r="U635" s="434"/>
    </row>
    <row r="636" spans="21:21">
      <c r="U636" s="434"/>
    </row>
    <row r="637" spans="21:21">
      <c r="U637" s="434"/>
    </row>
    <row r="638" spans="21:21">
      <c r="U638" s="434"/>
    </row>
    <row r="639" spans="21:21">
      <c r="U639" s="434"/>
    </row>
    <row r="640" spans="21:21">
      <c r="U640" s="434"/>
    </row>
    <row r="641" spans="21:21">
      <c r="U641" s="434"/>
    </row>
    <row r="642" spans="21:21">
      <c r="U642" s="434"/>
    </row>
    <row r="643" spans="21:21">
      <c r="U643" s="434"/>
    </row>
    <row r="644" spans="21:21">
      <c r="U644" s="434"/>
    </row>
    <row r="645" spans="21:21">
      <c r="U645" s="434"/>
    </row>
    <row r="646" spans="21:21">
      <c r="U646" s="434"/>
    </row>
    <row r="647" spans="21:21">
      <c r="U647" s="434"/>
    </row>
    <row r="648" spans="21:21">
      <c r="U648" s="434"/>
    </row>
    <row r="649" spans="21:21">
      <c r="U649" s="434"/>
    </row>
    <row r="650" spans="21:21">
      <c r="U650" s="434"/>
    </row>
    <row r="651" spans="21:21">
      <c r="U651" s="434"/>
    </row>
    <row r="652" spans="21:21">
      <c r="U652" s="434"/>
    </row>
    <row r="653" spans="21:21">
      <c r="U653" s="434"/>
    </row>
    <row r="654" spans="21:21">
      <c r="U654" s="434"/>
    </row>
    <row r="655" spans="21:21">
      <c r="U655" s="434"/>
    </row>
    <row r="656" spans="21:21">
      <c r="U656" s="434"/>
    </row>
    <row r="657" spans="21:21">
      <c r="U657" s="434"/>
    </row>
    <row r="658" spans="21:21">
      <c r="U658" s="434"/>
    </row>
    <row r="659" spans="21:21">
      <c r="U659" s="434"/>
    </row>
    <row r="660" spans="21:21">
      <c r="U660" s="434"/>
    </row>
    <row r="661" spans="21:21">
      <c r="U661" s="434"/>
    </row>
    <row r="662" spans="21:21">
      <c r="U662" s="434"/>
    </row>
    <row r="663" spans="21:21">
      <c r="U663" s="434"/>
    </row>
    <row r="664" spans="21:21">
      <c r="U664" s="434"/>
    </row>
    <row r="665" spans="21:21">
      <c r="U665" s="434"/>
    </row>
    <row r="666" spans="21:21">
      <c r="U666" s="434"/>
    </row>
    <row r="667" spans="21:21">
      <c r="U667" s="434"/>
    </row>
    <row r="668" spans="21:21">
      <c r="U668" s="434"/>
    </row>
    <row r="669" spans="21:21">
      <c r="U669" s="434"/>
    </row>
    <row r="670" spans="21:21">
      <c r="U670" s="434"/>
    </row>
    <row r="671" spans="21:21">
      <c r="U671" s="434"/>
    </row>
    <row r="672" spans="21:21">
      <c r="U672" s="434"/>
    </row>
    <row r="673" spans="21:21">
      <c r="U673" s="434"/>
    </row>
    <row r="674" spans="21:21">
      <c r="U674" s="434"/>
    </row>
    <row r="675" spans="21:21">
      <c r="U675" s="434"/>
    </row>
    <row r="676" spans="21:21">
      <c r="U676" s="434"/>
    </row>
    <row r="677" spans="21:21">
      <c r="U677" s="434"/>
    </row>
    <row r="678" spans="21:21">
      <c r="U678" s="434"/>
    </row>
    <row r="679" spans="21:21">
      <c r="U679" s="434"/>
    </row>
    <row r="680" spans="21:21">
      <c r="U680" s="434"/>
    </row>
    <row r="681" spans="21:21">
      <c r="U681" s="434"/>
    </row>
    <row r="682" spans="21:21">
      <c r="U682" s="434"/>
    </row>
  </sheetData>
  <pageMargins left="0.25" right="0.25" top="0.25" bottom="0.75" header="0.3" footer="0.3"/>
  <pageSetup scale="80" orientation="landscape" r:id="rId1"/>
  <colBreaks count="1" manualBreakCount="1"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BH80"/>
  <sheetViews>
    <sheetView topLeftCell="A34" workbookViewId="0">
      <selection activeCell="AV51" sqref="AV51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13" style="171" bestFit="1" customWidth="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tr">
        <f>'Workpaper Index'!$C$4</f>
        <v xml:space="preserve">WASHINGTON JUNE, 1 2020 RENEWABLES REPORT 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154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15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N10" s="314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94</v>
      </c>
      <c r="H11" s="313"/>
      <c r="AB11" s="157" t="s">
        <v>111</v>
      </c>
      <c r="AC11" s="158"/>
      <c r="AD11" s="158"/>
      <c r="AE11" s="158"/>
      <c r="AF11" s="169">
        <f>+G11*(G12/AJ16)</f>
        <v>62.60880648141876</v>
      </c>
      <c r="AG11" s="162"/>
      <c r="AH11" s="158" t="s">
        <v>112</v>
      </c>
      <c r="AI11" s="159"/>
      <c r="AJ11" s="164">
        <v>7.9126910299003335</v>
      </c>
      <c r="AK11" s="290"/>
      <c r="AN11" s="314"/>
      <c r="AZ11" s="157" t="s">
        <v>111</v>
      </c>
      <c r="BA11" s="158"/>
      <c r="BB11" s="158"/>
      <c r="BC11" s="158"/>
      <c r="BD11" s="169">
        <f>(AF11*AF13-G11*G19)</f>
        <v>58.222139814752097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0.32430715621392298</v>
      </c>
      <c r="H12" s="313"/>
      <c r="AB12" s="157" t="s">
        <v>40</v>
      </c>
      <c r="AC12" s="158"/>
      <c r="AD12" s="158"/>
      <c r="AE12" s="158"/>
      <c r="AF12" s="166">
        <f>+AD54/8760/AF11</f>
        <v>0.48695976743468433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2008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118</v>
      </c>
      <c r="B15" s="310"/>
      <c r="C15" s="311" t="s">
        <v>119</v>
      </c>
      <c r="D15" s="311"/>
      <c r="E15" s="311"/>
      <c r="F15" s="311"/>
      <c r="G15" s="316">
        <v>192.46011054334076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118</v>
      </c>
      <c r="B16" s="310"/>
      <c r="C16" s="311" t="s">
        <v>121</v>
      </c>
      <c r="D16" s="311"/>
      <c r="E16" s="311"/>
      <c r="F16" s="311"/>
      <c r="G16" s="316">
        <v>14.384830645825609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118</v>
      </c>
      <c r="B17" s="310"/>
      <c r="C17" s="311" t="s">
        <v>123</v>
      </c>
      <c r="D17" s="311"/>
      <c r="E17" s="311"/>
      <c r="F17" s="311"/>
      <c r="G17" s="316">
        <v>5.3332720597611454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7.3164524549999999E-2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 ht="12.75">
      <c r="B20" s="283"/>
      <c r="C20" s="283"/>
      <c r="D20" s="283"/>
      <c r="E20" s="283"/>
      <c r="F20" s="283"/>
      <c r="G20" s="283"/>
      <c r="H20" s="283"/>
      <c r="AH20" s="261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2008</v>
      </c>
      <c r="D28" s="7"/>
      <c r="E28" s="330">
        <v>1.7000000000000001E-2</v>
      </c>
      <c r="F28" s="7"/>
      <c r="G28" s="23">
        <v>267537.77831756306</v>
      </c>
      <c r="H28" s="7"/>
      <c r="I28" s="331">
        <f>$G$15*(1+$E28)</f>
        <v>195.73193242257753</v>
      </c>
      <c r="J28" s="331"/>
      <c r="K28" s="331">
        <f>$G$16*(1+$E28)</f>
        <v>14.629372766804643</v>
      </c>
      <c r="L28" s="332"/>
      <c r="M28" s="331">
        <f>$G$17*(1+$E28)</f>
        <v>5.4239376847770844</v>
      </c>
      <c r="N28" s="7"/>
      <c r="O28" s="333">
        <v>5.1866999999999992</v>
      </c>
      <c r="P28" s="7"/>
      <c r="Q28" s="39">
        <v>-31.822979238320347</v>
      </c>
      <c r="R28" s="7"/>
      <c r="S28" s="23">
        <f>(I28*$G$11*1000+(K28+M28+O28+Q28)*G28)/1000</f>
        <v>16637.608803784373</v>
      </c>
      <c r="T28" s="7"/>
      <c r="U28" s="23">
        <f t="shared" ref="U28:U52" si="0">AX28</f>
        <v>18275.792486144186</v>
      </c>
      <c r="V28" s="7"/>
      <c r="W28" s="23">
        <f>S28-U28</f>
        <v>-1638.1836823598132</v>
      </c>
      <c r="X28" s="7"/>
      <c r="Y28" s="334">
        <f>+W28*1000/G28</f>
        <v>-6.123186387588655</v>
      </c>
      <c r="Z28" s="290"/>
      <c r="AB28" s="182">
        <f>$C$28</f>
        <v>2008</v>
      </c>
      <c r="AC28" s="152"/>
      <c r="AD28" s="187">
        <f t="shared" ref="AD28:AD52" si="1">G28</f>
        <v>267537.77831756306</v>
      </c>
      <c r="AE28" s="4"/>
      <c r="AF28" s="188">
        <v>58.163412158772744</v>
      </c>
      <c r="AG28" s="335"/>
      <c r="AH28" s="188">
        <v>8.2001037061794015</v>
      </c>
      <c r="AI28" s="335"/>
      <c r="AJ28" s="188">
        <v>2.3050946065283835</v>
      </c>
      <c r="AK28" s="336"/>
      <c r="AL28" s="189">
        <f>((AF28+AH28)*$AF$11*1000+AJ28*AD28)/1000</f>
        <v>4771.6404120577536</v>
      </c>
      <c r="AM28" s="4"/>
      <c r="AN28" s="190">
        <f>INDEX('(2.2)_Forward_Price_Curve'!$I:$I,MATCH($AB28,'(2.2)_Forward_Price_Curve'!$C:$C,0),1)</f>
        <v>7.9707205782722266</v>
      </c>
      <c r="AO28" s="335"/>
      <c r="AP28" s="190">
        <f>AN28*$AF$14/1000</f>
        <v>57.915425742323464</v>
      </c>
      <c r="AQ28" s="335"/>
      <c r="AR28" s="188">
        <v>2.3860545125109165</v>
      </c>
      <c r="AS28" s="188"/>
      <c r="AT28" s="189">
        <f t="shared" ref="AT28:AT52" si="2">AL28-BF28</f>
        <v>2142.8684295054004</v>
      </c>
      <c r="AU28" s="336"/>
      <c r="AV28" s="189">
        <f t="shared" ref="AV28:AV52" si="3">(AP28+AR28)*AD28/1000</f>
        <v>16132.924056638787</v>
      </c>
      <c r="AW28" s="337"/>
      <c r="AX28" s="191">
        <f>AT28+AV28</f>
        <v>18275.792486144186</v>
      </c>
      <c r="AZ28" s="182">
        <f>$C$28</f>
        <v>2008</v>
      </c>
      <c r="BA28" s="152"/>
      <c r="BB28" s="188">
        <v>39.191870478599988</v>
      </c>
      <c r="BC28" s="4"/>
      <c r="BD28" s="188">
        <v>5.9588572499999986</v>
      </c>
      <c r="BE28" s="335"/>
      <c r="BF28" s="189">
        <f>(BB28+BD28)*$BD$11</f>
        <v>2628.7719825523532</v>
      </c>
      <c r="BG28" s="335"/>
      <c r="BH28" s="192"/>
    </row>
    <row r="29" spans="1:60" ht="12">
      <c r="B29" s="3"/>
      <c r="C29" s="7">
        <f>+IF(C28&gt;$G$13+$G$14,XX,C28+1)</f>
        <v>2009</v>
      </c>
      <c r="D29" s="7"/>
      <c r="E29" s="330">
        <v>1.7000000000000001E-2</v>
      </c>
      <c r="F29" s="7"/>
      <c r="G29" s="23">
        <v>266887.27898453025</v>
      </c>
      <c r="H29" s="7"/>
      <c r="I29" s="39">
        <f>I28*(1+$E29)</f>
        <v>199.05937527376133</v>
      </c>
      <c r="J29" s="7"/>
      <c r="K29" s="39">
        <f>K28*(1+$E29)</f>
        <v>14.878072103840321</v>
      </c>
      <c r="L29" s="7"/>
      <c r="M29" s="39">
        <f>M28*(1+$E29)</f>
        <v>5.5161446254182946</v>
      </c>
      <c r="N29" s="7"/>
      <c r="O29" s="333">
        <v>5.2748738999999985</v>
      </c>
      <c r="P29" s="7"/>
      <c r="Q29" s="39">
        <v>-32.441830107908217</v>
      </c>
      <c r="R29" s="7"/>
      <c r="S29" s="23">
        <f t="shared" ref="S29:S52" si="4">(I29*$G$11*1000+(K29+M29+O29+Q29)*G29)/1000</f>
        <v>16904.023265005671</v>
      </c>
      <c r="T29" s="7"/>
      <c r="U29" s="23">
        <f t="shared" si="0"/>
        <v>17904.357904662171</v>
      </c>
      <c r="V29" s="7"/>
      <c r="W29" s="23">
        <f t="shared" ref="W29:W52" si="5">S29-U29</f>
        <v>-1000.3346396564993</v>
      </c>
      <c r="X29" s="7"/>
      <c r="Y29" s="334">
        <f t="shared" ref="Y29:Y52" si="6">+W29*1000/G29</f>
        <v>-3.7481540651268075</v>
      </c>
      <c r="Z29" s="290"/>
      <c r="AB29" s="182">
        <f>+IF(AB28&gt;$G$13+$G$14,XX,AB28+1)</f>
        <v>2009</v>
      </c>
      <c r="AC29" s="152"/>
      <c r="AD29" s="187">
        <f t="shared" si="1"/>
        <v>266887.27898453025</v>
      </c>
      <c r="AE29" s="4"/>
      <c r="AF29" s="190">
        <f>AF28*(1+$E29)</f>
        <v>59.152190165471872</v>
      </c>
      <c r="AG29" s="4"/>
      <c r="AH29" s="190">
        <f>AH28*(1+$E29)</f>
        <v>8.3395054691844503</v>
      </c>
      <c r="AI29" s="4"/>
      <c r="AJ29" s="190">
        <f>AJ28*(1+$E29)</f>
        <v>2.3442812148393659</v>
      </c>
      <c r="AK29" s="4"/>
      <c r="AL29" s="189">
        <f t="shared" ref="AL29:AL52" si="7">((AF29+AH29)*$AF$11*1000+AJ29*AD29)/1000</f>
        <v>4851.2333456960405</v>
      </c>
      <c r="AM29" s="4"/>
      <c r="AN29" s="190">
        <f>INDEX('(2.2)_Forward_Price_Curve'!$I:$I,MATCH($AB29,'(2.2)_Forward_Price_Curve'!$C:$C,0),1)</f>
        <v>7.7758276535043622</v>
      </c>
      <c r="AO29" s="4"/>
      <c r="AP29" s="190">
        <f t="shared" ref="AP29:AP52" si="8">AN29*$AF$14/1000</f>
        <v>56.499329593768707</v>
      </c>
      <c r="AQ29" s="4"/>
      <c r="AR29" s="190">
        <f>AR28*(1+$E29)</f>
        <v>2.4266174392236017</v>
      </c>
      <c r="AS29" s="190"/>
      <c r="AT29" s="189">
        <f t="shared" si="2"/>
        <v>2177.7722394402981</v>
      </c>
      <c r="AU29" s="4"/>
      <c r="AV29" s="189">
        <f t="shared" si="3"/>
        <v>15726.585665221872</v>
      </c>
      <c r="AW29" s="337"/>
      <c r="AX29" s="191">
        <f t="shared" ref="AX29:AX52" si="9">AT29+AV29</f>
        <v>17904.357904662171</v>
      </c>
      <c r="AZ29" s="182">
        <f>+IF(AZ28&gt;$G$13+$G$14,XX,AZ28+1)</f>
        <v>2009</v>
      </c>
      <c r="BA29" s="152"/>
      <c r="BB29" s="190">
        <f>BB28*(1+$E29)</f>
        <v>39.858132276736185</v>
      </c>
      <c r="BC29" s="4"/>
      <c r="BD29" s="190">
        <f>BD28*(1+$E29)</f>
        <v>6.0601578232499982</v>
      </c>
      <c r="BE29" s="4"/>
      <c r="BF29" s="189">
        <f t="shared" ref="BF29:BF51" si="10">(BB29+BD29)*$BD$11</f>
        <v>2673.4611062557424</v>
      </c>
      <c r="BG29" s="4"/>
      <c r="BH29" s="193"/>
    </row>
    <row r="30" spans="1:60" ht="12">
      <c r="B30" s="3"/>
      <c r="C30" s="7">
        <f>+IF(C29&gt;$G$13+$G$14,XX,C29+1)</f>
        <v>2010</v>
      </c>
      <c r="D30" s="7"/>
      <c r="E30" s="330">
        <v>1.9E-2</v>
      </c>
      <c r="F30" s="7"/>
      <c r="G30" s="23">
        <v>266887.27898453025</v>
      </c>
      <c r="H30" s="7"/>
      <c r="I30" s="39">
        <f t="shared" ref="I30:I52" si="11">I29*(1+$E30)</f>
        <v>202.84150340396278</v>
      </c>
      <c r="J30" s="7"/>
      <c r="K30" s="39">
        <f t="shared" ref="K30:K52" si="12">K29*(1+$E30)</f>
        <v>15.160755473813285</v>
      </c>
      <c r="L30" s="7"/>
      <c r="M30" s="39">
        <f t="shared" ref="M30:M52" si="13">M29*(1+$E30)</f>
        <v>5.6209513733012413</v>
      </c>
      <c r="N30" s="7"/>
      <c r="O30" s="333">
        <v>5.3750965040999983</v>
      </c>
      <c r="P30" s="7"/>
      <c r="Q30" s="39">
        <v>-33.072715564073334</v>
      </c>
      <c r="R30" s="7"/>
      <c r="S30" s="23">
        <f t="shared" si="4"/>
        <v>17221.332327786735</v>
      </c>
      <c r="T30" s="7"/>
      <c r="U30" s="23">
        <f t="shared" si="0"/>
        <v>17379.415844316856</v>
      </c>
      <c r="V30" s="7"/>
      <c r="W30" s="23">
        <f t="shared" si="5"/>
        <v>-158.08351653012141</v>
      </c>
      <c r="X30" s="7"/>
      <c r="Y30" s="334">
        <f t="shared" si="6"/>
        <v>-0.59232316029301835</v>
      </c>
      <c r="Z30" s="290"/>
      <c r="AB30" s="182">
        <f>+IF(AB29&gt;$G$13+$G$14,XX,AB29+1)</f>
        <v>2010</v>
      </c>
      <c r="AC30" s="152"/>
      <c r="AD30" s="187">
        <f t="shared" si="1"/>
        <v>266887.27898453025</v>
      </c>
      <c r="AE30" s="4"/>
      <c r="AF30" s="190">
        <f t="shared" ref="AF30:AF52" si="14">AF29*(1+$E30)</f>
        <v>60.276081778615833</v>
      </c>
      <c r="AG30" s="4"/>
      <c r="AH30" s="190">
        <f t="shared" ref="AH30:AH52" si="15">AH29*(1+$E30)</f>
        <v>8.4979560730989547</v>
      </c>
      <c r="AI30" s="4"/>
      <c r="AJ30" s="190">
        <f t="shared" ref="AJ30:AJ52" si="16">AJ29*(1+$E30)</f>
        <v>2.3888225579213138</v>
      </c>
      <c r="AK30" s="4"/>
      <c r="AL30" s="189">
        <f t="shared" si="7"/>
        <v>4943.4067792642645</v>
      </c>
      <c r="AM30" s="4"/>
      <c r="AN30" s="190">
        <f>INDEX('(2.2)_Forward_Price_Curve'!$I:$I,MATCH($AB30,'(2.2)_Forward_Price_Curve'!$C:$C,0),1)</f>
        <v>7.4774457529777205</v>
      </c>
      <c r="AO30" s="4"/>
      <c r="AP30" s="190">
        <f t="shared" si="8"/>
        <v>54.331280339864243</v>
      </c>
      <c r="AQ30" s="4"/>
      <c r="AR30" s="190">
        <f t="shared" ref="AR30:AR52" si="17">AR29*(1+$E30)</f>
        <v>2.4727231705688499</v>
      </c>
      <c r="AS30" s="190"/>
      <c r="AT30" s="189">
        <f t="shared" si="2"/>
        <v>2219.149911989663</v>
      </c>
      <c r="AU30" s="4"/>
      <c r="AV30" s="189">
        <f t="shared" si="3"/>
        <v>15160.265932327193</v>
      </c>
      <c r="AW30" s="337"/>
      <c r="AX30" s="191">
        <f t="shared" si="9"/>
        <v>17379.415844316856</v>
      </c>
      <c r="AZ30" s="182">
        <f>+IF(AZ29&gt;$G$13+$G$14,XX,AZ29+1)</f>
        <v>2010</v>
      </c>
      <c r="BA30" s="152"/>
      <c r="BB30" s="190">
        <f t="shared" ref="BB30:BB52" si="18">BB29*(1+$E30)</f>
        <v>40.61543678999417</v>
      </c>
      <c r="BC30" s="4"/>
      <c r="BD30" s="190">
        <f t="shared" ref="BD30:BD52" si="19">BD29*(1+$E30)</f>
        <v>6.1753008218917476</v>
      </c>
      <c r="BE30" s="4"/>
      <c r="BF30" s="189">
        <f t="shared" si="10"/>
        <v>2724.2568672746015</v>
      </c>
      <c r="BG30" s="4"/>
      <c r="BH30" s="193"/>
    </row>
    <row r="31" spans="1:60" ht="12">
      <c r="B31" s="3"/>
      <c r="C31" s="7">
        <f>+IF(C30&gt;$G$13+$G$14,XX,C30+1)</f>
        <v>2011</v>
      </c>
      <c r="D31" s="7"/>
      <c r="E31" s="330">
        <v>1.9E-2</v>
      </c>
      <c r="F31" s="7"/>
      <c r="G31" s="23">
        <v>266887.27898453025</v>
      </c>
      <c r="H31" s="7"/>
      <c r="I31" s="39">
        <f t="shared" si="11"/>
        <v>206.69549196863804</v>
      </c>
      <c r="J31" s="7"/>
      <c r="K31" s="39">
        <f t="shared" si="12"/>
        <v>15.448809827815737</v>
      </c>
      <c r="L31" s="7"/>
      <c r="M31" s="39">
        <f t="shared" si="13"/>
        <v>5.727749449393964</v>
      </c>
      <c r="N31" s="7"/>
      <c r="O31" s="333">
        <v>5.4772233376778976</v>
      </c>
      <c r="P31" s="7"/>
      <c r="Q31" s="39">
        <v>-33.715869639409341</v>
      </c>
      <c r="R31" s="7"/>
      <c r="S31" s="23">
        <f t="shared" si="4"/>
        <v>17544.59505512541</v>
      </c>
      <c r="T31" s="7"/>
      <c r="U31" s="23">
        <f t="shared" si="0"/>
        <v>16667.54520753082</v>
      </c>
      <c r="V31" s="7"/>
      <c r="W31" s="23">
        <f t="shared" si="5"/>
        <v>877.04984759458966</v>
      </c>
      <c r="X31" s="7"/>
      <c r="Y31" s="334">
        <f t="shared" si="6"/>
        <v>3.2862182526332648</v>
      </c>
      <c r="Z31" s="290"/>
      <c r="AB31" s="182">
        <f>+IF(AB30&gt;$G$13+$G$14,XX,AB30+1)</f>
        <v>2011</v>
      </c>
      <c r="AC31" s="152"/>
      <c r="AD31" s="187">
        <f t="shared" si="1"/>
        <v>266887.27898453025</v>
      </c>
      <c r="AE31" s="4"/>
      <c r="AF31" s="190">
        <f t="shared" si="14"/>
        <v>61.421327332409525</v>
      </c>
      <c r="AG31" s="4"/>
      <c r="AH31" s="190">
        <f t="shared" si="15"/>
        <v>8.6594172384878334</v>
      </c>
      <c r="AI31" s="4"/>
      <c r="AJ31" s="190">
        <f t="shared" si="16"/>
        <v>2.4342101865218186</v>
      </c>
      <c r="AK31" s="4"/>
      <c r="AL31" s="189">
        <f t="shared" si="7"/>
        <v>5037.3315080702851</v>
      </c>
      <c r="AM31" s="4"/>
      <c r="AN31" s="190">
        <f>INDEX('(2.2)_Forward_Price_Curve'!$I:$I,MATCH($AB31,'(2.2)_Forward_Price_Curve'!$C:$C,0),1)</f>
        <v>7.0821436233211914</v>
      </c>
      <c r="AO31" s="4"/>
      <c r="AP31" s="190">
        <f t="shared" si="8"/>
        <v>51.459006633731178</v>
      </c>
      <c r="AQ31" s="4"/>
      <c r="AR31" s="190">
        <f t="shared" si="17"/>
        <v>2.5197049108096579</v>
      </c>
      <c r="AS31" s="190"/>
      <c r="AT31" s="189">
        <f t="shared" si="2"/>
        <v>2261.3137603174664</v>
      </c>
      <c r="AU31" s="4"/>
      <c r="AV31" s="189">
        <f t="shared" si="3"/>
        <v>14406.231447213353</v>
      </c>
      <c r="AW31" s="337"/>
      <c r="AX31" s="191">
        <f t="shared" si="9"/>
        <v>16667.54520753082</v>
      </c>
      <c r="AZ31" s="182">
        <f>+IF(AZ30&gt;$G$13+$G$14,XX,AZ30+1)</f>
        <v>2011</v>
      </c>
      <c r="BA31" s="152"/>
      <c r="BB31" s="190">
        <f t="shared" si="18"/>
        <v>41.387130089004053</v>
      </c>
      <c r="BC31" s="4"/>
      <c r="BD31" s="190">
        <f t="shared" si="19"/>
        <v>6.29263153750769</v>
      </c>
      <c r="BE31" s="4"/>
      <c r="BF31" s="189">
        <f t="shared" si="10"/>
        <v>2776.0177477528187</v>
      </c>
      <c r="BG31" s="4"/>
      <c r="BH31" s="193"/>
    </row>
    <row r="32" spans="1:60" ht="12">
      <c r="B32" s="3"/>
      <c r="C32" s="7">
        <f>+IF(C31&gt;$G$13+$G$14,XX,C31+1)</f>
        <v>2012</v>
      </c>
      <c r="D32" s="7"/>
      <c r="E32" s="330">
        <v>0.02</v>
      </c>
      <c r="F32" s="7"/>
      <c r="G32" s="23">
        <v>267537.77831756306</v>
      </c>
      <c r="H32" s="7"/>
      <c r="I32" s="39">
        <f t="shared" si="11"/>
        <v>210.8294018080108</v>
      </c>
      <c r="J32" s="7"/>
      <c r="K32" s="39">
        <f t="shared" si="12"/>
        <v>15.757786024372052</v>
      </c>
      <c r="L32" s="7"/>
      <c r="M32" s="39">
        <f t="shared" si="13"/>
        <v>5.8423044383818432</v>
      </c>
      <c r="N32" s="7"/>
      <c r="O32" s="333">
        <v>5.5867678044314557</v>
      </c>
      <c r="P32" s="7"/>
      <c r="Q32" s="39">
        <v>-34.371530917663719</v>
      </c>
      <c r="R32" s="7"/>
      <c r="S32" s="23">
        <f t="shared" si="4"/>
        <v>17895.792411105074</v>
      </c>
      <c r="T32" s="7"/>
      <c r="U32" s="23">
        <f t="shared" si="0"/>
        <v>16024.92093536946</v>
      </c>
      <c r="V32" s="7"/>
      <c r="W32" s="23">
        <f t="shared" si="5"/>
        <v>1870.8714757356138</v>
      </c>
      <c r="X32" s="7"/>
      <c r="Y32" s="334">
        <f t="shared" si="6"/>
        <v>6.992924466595964</v>
      </c>
      <c r="Z32" s="290"/>
      <c r="AB32" s="182">
        <f>+IF(AB31&gt;$G$13+$G$14,XX,AB31+1)</f>
        <v>2012</v>
      </c>
      <c r="AC32" s="152"/>
      <c r="AD32" s="187">
        <f t="shared" si="1"/>
        <v>267537.77831756306</v>
      </c>
      <c r="AE32" s="4"/>
      <c r="AF32" s="190">
        <f t="shared" si="14"/>
        <v>62.64975387905772</v>
      </c>
      <c r="AG32" s="4"/>
      <c r="AH32" s="190">
        <f t="shared" si="15"/>
        <v>8.8326055832575907</v>
      </c>
      <c r="AI32" s="4"/>
      <c r="AJ32" s="190">
        <f t="shared" si="16"/>
        <v>2.4828943902522549</v>
      </c>
      <c r="AK32" s="4"/>
      <c r="AL32" s="189">
        <f t="shared" si="7"/>
        <v>5139.6932593765414</v>
      </c>
      <c r="AM32" s="4"/>
      <c r="AN32" s="190">
        <f>INDEX('(2.2)_Forward_Price_Curve'!$I:$I,MATCH($AB32,'(2.2)_Forward_Price_Curve'!$C:$C,0),1)</f>
        <v>6.7024699037828679</v>
      </c>
      <c r="AO32" s="4"/>
      <c r="AP32" s="190">
        <f t="shared" si="8"/>
        <v>48.700289288881038</v>
      </c>
      <c r="AQ32" s="4"/>
      <c r="AR32" s="190">
        <f t="shared" si="17"/>
        <v>2.5700990090258511</v>
      </c>
      <c r="AS32" s="190"/>
      <c r="AT32" s="189">
        <f t="shared" si="2"/>
        <v>2308.1551566686667</v>
      </c>
      <c r="AU32" s="4"/>
      <c r="AV32" s="189">
        <f t="shared" si="3"/>
        <v>13716.765778700794</v>
      </c>
      <c r="AW32" s="337"/>
      <c r="AX32" s="191">
        <f t="shared" si="9"/>
        <v>16024.92093536946</v>
      </c>
      <c r="AZ32" s="182">
        <f>+IF(AZ31&gt;$G$13+$G$14,XX,AZ31+1)</f>
        <v>2012</v>
      </c>
      <c r="BA32" s="152"/>
      <c r="BB32" s="190">
        <f t="shared" si="18"/>
        <v>42.214872690784134</v>
      </c>
      <c r="BC32" s="4"/>
      <c r="BD32" s="190">
        <f t="shared" si="19"/>
        <v>6.4184841682578435</v>
      </c>
      <c r="BE32" s="4"/>
      <c r="BF32" s="189">
        <f t="shared" si="10"/>
        <v>2831.5381027078747</v>
      </c>
      <c r="BG32" s="4"/>
      <c r="BH32" s="193"/>
    </row>
    <row r="33" spans="2:60" ht="12">
      <c r="B33" s="3"/>
      <c r="C33" s="7">
        <f>+IF(C32&gt;$G$13+$G$14,XX,C32+1)</f>
        <v>2013</v>
      </c>
      <c r="D33" s="7"/>
      <c r="E33" s="330">
        <v>1.9E-2</v>
      </c>
      <c r="F33" s="7"/>
      <c r="G33" s="23">
        <v>266887.27898453025</v>
      </c>
      <c r="H33" s="7"/>
      <c r="I33" s="39">
        <f t="shared" si="11"/>
        <v>214.83516044236299</v>
      </c>
      <c r="J33" s="7"/>
      <c r="K33" s="39">
        <f t="shared" si="12"/>
        <v>16.057183958835118</v>
      </c>
      <c r="L33" s="7"/>
      <c r="M33" s="39">
        <f t="shared" si="13"/>
        <v>5.9533082227110974</v>
      </c>
      <c r="N33" s="7"/>
      <c r="O33" s="333">
        <v>5.6929163927156532</v>
      </c>
      <c r="P33" s="7"/>
      <c r="Q33" s="39">
        <v>-35.039942622242556</v>
      </c>
      <c r="R33" s="7"/>
      <c r="S33" s="23">
        <f t="shared" si="4"/>
        <v>18236.477472339189</v>
      </c>
      <c r="T33" s="7"/>
      <c r="U33" s="23">
        <f t="shared" si="0"/>
        <v>16041.042138788463</v>
      </c>
      <c r="V33" s="7"/>
      <c r="W33" s="23">
        <f t="shared" si="5"/>
        <v>2195.4353335507258</v>
      </c>
      <c r="X33" s="7"/>
      <c r="Y33" s="334">
        <f t="shared" si="6"/>
        <v>8.2260770985565816</v>
      </c>
      <c r="Z33" s="290"/>
      <c r="AB33" s="182">
        <f>+IF(AB32&gt;$G$13+$G$14,XX,AB32+1)</f>
        <v>2013</v>
      </c>
      <c r="AC33" s="152"/>
      <c r="AD33" s="187">
        <f t="shared" si="1"/>
        <v>266887.27898453025</v>
      </c>
      <c r="AE33" s="4"/>
      <c r="AF33" s="190">
        <f t="shared" si="14"/>
        <v>63.840099202759809</v>
      </c>
      <c r="AG33" s="4"/>
      <c r="AH33" s="190">
        <f t="shared" si="15"/>
        <v>9.0004250893394833</v>
      </c>
      <c r="AI33" s="4"/>
      <c r="AJ33" s="190">
        <f t="shared" si="16"/>
        <v>2.5300693836670476</v>
      </c>
      <c r="AK33" s="4"/>
      <c r="AL33" s="189">
        <f t="shared" si="7"/>
        <v>5235.7016228580924</v>
      </c>
      <c r="AM33" s="4"/>
      <c r="AN33" s="190">
        <f>INDEX('(2.2)_Forward_Price_Curve'!$I:$I,MATCH($AB33,'(2.2)_Forward_Price_Curve'!$C:$C,0),1)</f>
        <v>6.6994948806584134</v>
      </c>
      <c r="AO33" s="4"/>
      <c r="AP33" s="190">
        <f t="shared" si="8"/>
        <v>48.678672707399592</v>
      </c>
      <c r="AQ33" s="4"/>
      <c r="AR33" s="190">
        <f t="shared" si="17"/>
        <v>2.6189308901973418</v>
      </c>
      <c r="AS33" s="190"/>
      <c r="AT33" s="189">
        <f t="shared" si="2"/>
        <v>2350.3642961987684</v>
      </c>
      <c r="AU33" s="4"/>
      <c r="AV33" s="189">
        <f t="shared" si="3"/>
        <v>13690.677842589696</v>
      </c>
      <c r="AW33" s="337"/>
      <c r="AX33" s="191">
        <f t="shared" si="9"/>
        <v>16041.042138788463</v>
      </c>
      <c r="AZ33" s="182">
        <f>+IF(AZ32&gt;$G$13+$G$14,XX,AZ32+1)</f>
        <v>2013</v>
      </c>
      <c r="BA33" s="152"/>
      <c r="BB33" s="190">
        <f t="shared" si="18"/>
        <v>43.016955271909026</v>
      </c>
      <c r="BC33" s="4"/>
      <c r="BD33" s="190">
        <f t="shared" si="19"/>
        <v>6.5404353674547417</v>
      </c>
      <c r="BE33" s="4"/>
      <c r="BF33" s="189">
        <f t="shared" si="10"/>
        <v>2885.3373266593239</v>
      </c>
      <c r="BG33" s="4"/>
      <c r="BH33" s="193"/>
    </row>
    <row r="34" spans="2:60" ht="12">
      <c r="B34" s="3"/>
      <c r="C34" s="7">
        <f>+IF(C33&gt;$G$13+$G$14,XX,C33+1)</f>
        <v>2014</v>
      </c>
      <c r="D34" s="7"/>
      <c r="E34" s="330">
        <v>1.7999999999999999E-2</v>
      </c>
      <c r="F34" s="7"/>
      <c r="G34" s="23">
        <v>266887.27898453025</v>
      </c>
      <c r="H34" s="7"/>
      <c r="I34" s="39">
        <f t="shared" si="11"/>
        <v>218.70219333032551</v>
      </c>
      <c r="J34" s="7"/>
      <c r="K34" s="39">
        <f t="shared" si="12"/>
        <v>16.34621327009415</v>
      </c>
      <c r="L34" s="7"/>
      <c r="M34" s="39">
        <f t="shared" si="13"/>
        <v>6.0604677707198968</v>
      </c>
      <c r="N34" s="7"/>
      <c r="O34" s="333">
        <v>5.7953888877845348</v>
      </c>
      <c r="P34" s="7"/>
      <c r="Q34" s="39">
        <v>-35.721352706436427</v>
      </c>
      <c r="R34" s="7"/>
      <c r="S34" s="23">
        <f t="shared" si="4"/>
        <v>18551.205252558215</v>
      </c>
      <c r="T34" s="7"/>
      <c r="U34" s="23">
        <f t="shared" si="0"/>
        <v>16511.916790422696</v>
      </c>
      <c r="V34" s="7"/>
      <c r="W34" s="23">
        <f t="shared" si="5"/>
        <v>2039.2884621355188</v>
      </c>
      <c r="X34" s="7"/>
      <c r="Y34" s="334">
        <f t="shared" si="6"/>
        <v>7.6410103542391896</v>
      </c>
      <c r="Z34" s="290"/>
      <c r="AB34" s="182">
        <f>+IF(AB33&gt;$G$13+$G$14,XX,AB33+1)</f>
        <v>2014</v>
      </c>
      <c r="AC34" s="152"/>
      <c r="AD34" s="187">
        <f t="shared" si="1"/>
        <v>266887.27898453025</v>
      </c>
      <c r="AE34" s="4"/>
      <c r="AF34" s="190">
        <f t="shared" si="14"/>
        <v>64.989220988409485</v>
      </c>
      <c r="AG34" s="4"/>
      <c r="AH34" s="190">
        <f t="shared" si="15"/>
        <v>9.1624327409475939</v>
      </c>
      <c r="AI34" s="4"/>
      <c r="AJ34" s="190">
        <f t="shared" si="16"/>
        <v>2.5756106325730546</v>
      </c>
      <c r="AK34" s="4"/>
      <c r="AL34" s="189">
        <f t="shared" si="7"/>
        <v>5329.9442520695384</v>
      </c>
      <c r="AM34" s="4"/>
      <c r="AN34" s="190">
        <f>INDEX('(2.2)_Forward_Price_Curve'!$I:$I,MATCH($AB34,'(2.2)_Forward_Price_Curve'!$C:$C,0),1)</f>
        <v>6.9140085811973453</v>
      </c>
      <c r="AO34" s="4"/>
      <c r="AP34" s="190">
        <f t="shared" si="8"/>
        <v>50.2373338312307</v>
      </c>
      <c r="AQ34" s="4"/>
      <c r="AR34" s="190">
        <f t="shared" si="17"/>
        <v>2.6660716462208942</v>
      </c>
      <c r="AS34" s="190"/>
      <c r="AT34" s="189">
        <f t="shared" si="2"/>
        <v>2392.6708535303464</v>
      </c>
      <c r="AU34" s="4"/>
      <c r="AV34" s="189">
        <f t="shared" si="3"/>
        <v>14119.24593689235</v>
      </c>
      <c r="AW34" s="337"/>
      <c r="AX34" s="191">
        <f t="shared" si="9"/>
        <v>16511.916790422696</v>
      </c>
      <c r="AZ34" s="182">
        <f>+IF(AZ33&gt;$G$13+$G$14,XX,AZ33+1)</f>
        <v>2014</v>
      </c>
      <c r="BA34" s="152"/>
      <c r="BB34" s="190">
        <f t="shared" si="18"/>
        <v>43.791260466803386</v>
      </c>
      <c r="BC34" s="4"/>
      <c r="BD34" s="190">
        <f t="shared" si="19"/>
        <v>6.6581632040689271</v>
      </c>
      <c r="BE34" s="4"/>
      <c r="BF34" s="189">
        <f t="shared" si="10"/>
        <v>2937.2733985391919</v>
      </c>
      <c r="BG34" s="4"/>
      <c r="BH34" s="193"/>
    </row>
    <row r="35" spans="2:60" ht="12">
      <c r="B35" s="3"/>
      <c r="C35" s="7">
        <f>+IF(C34&gt;$G$13+$G$14,XX,C34+1)</f>
        <v>2015</v>
      </c>
      <c r="D35" s="7"/>
      <c r="E35" s="330">
        <v>1.7999999999999999E-2</v>
      </c>
      <c r="F35" s="7"/>
      <c r="G35" s="23">
        <v>266887.27898453025</v>
      </c>
      <c r="H35" s="7"/>
      <c r="I35" s="39">
        <f t="shared" si="11"/>
        <v>222.63883281027137</v>
      </c>
      <c r="J35" s="7"/>
      <c r="K35" s="39">
        <f t="shared" si="12"/>
        <v>16.640445108955845</v>
      </c>
      <c r="L35" s="7"/>
      <c r="M35" s="39">
        <f t="shared" si="13"/>
        <v>6.1695561905928553</v>
      </c>
      <c r="N35" s="7"/>
      <c r="O35" s="333">
        <v>5.8997058877646564</v>
      </c>
      <c r="P35" s="7"/>
      <c r="Q35" s="39">
        <v>-36.416013945400927</v>
      </c>
      <c r="R35" s="7"/>
      <c r="S35" s="23">
        <f t="shared" si="4"/>
        <v>18871.335042479419</v>
      </c>
      <c r="T35" s="7"/>
      <c r="U35" s="23">
        <f t="shared" si="0"/>
        <v>17348.11582122137</v>
      </c>
      <c r="V35" s="7"/>
      <c r="W35" s="23">
        <f t="shared" si="5"/>
        <v>1523.2192212580485</v>
      </c>
      <c r="X35" s="7"/>
      <c r="Y35" s="334">
        <f t="shared" si="6"/>
        <v>5.7073504104567672</v>
      </c>
      <c r="Z35" s="290"/>
      <c r="AB35" s="182">
        <f>+IF(AB34&gt;$G$13+$G$14,XX,AB34+1)</f>
        <v>2015</v>
      </c>
      <c r="AC35" s="152"/>
      <c r="AD35" s="187">
        <f t="shared" si="1"/>
        <v>266887.27898453025</v>
      </c>
      <c r="AE35" s="4"/>
      <c r="AF35" s="190">
        <f t="shared" si="14"/>
        <v>66.159026966200855</v>
      </c>
      <c r="AG35" s="4"/>
      <c r="AH35" s="190">
        <f t="shared" si="15"/>
        <v>9.3273565302846499</v>
      </c>
      <c r="AI35" s="4"/>
      <c r="AJ35" s="190">
        <f t="shared" si="16"/>
        <v>2.6219716239593698</v>
      </c>
      <c r="AK35" s="4"/>
      <c r="AL35" s="189">
        <f t="shared" si="7"/>
        <v>5425.8832486067895</v>
      </c>
      <c r="AM35" s="4"/>
      <c r="AN35" s="190">
        <f>INDEX('(2.2)_Forward_Price_Curve'!$I:$I,MATCH($AB35,'(2.2)_Forward_Price_Curve'!$C:$C,0),1)</f>
        <v>7.3164011858738007</v>
      </c>
      <c r="AO35" s="4"/>
      <c r="AP35" s="190">
        <f t="shared" si="8"/>
        <v>53.161127080102943</v>
      </c>
      <c r="AQ35" s="4"/>
      <c r="AR35" s="190">
        <f t="shared" si="17"/>
        <v>2.7140609358528702</v>
      </c>
      <c r="AS35" s="190"/>
      <c r="AT35" s="189">
        <f t="shared" si="2"/>
        <v>2435.7389288938921</v>
      </c>
      <c r="AU35" s="4"/>
      <c r="AV35" s="189">
        <f t="shared" si="3"/>
        <v>14912.37689232748</v>
      </c>
      <c r="AW35" s="337"/>
      <c r="AX35" s="191">
        <f t="shared" si="9"/>
        <v>17348.11582122137</v>
      </c>
      <c r="AZ35" s="182">
        <f>+IF(AZ34&gt;$G$13+$G$14,XX,AZ34+1)</f>
        <v>2015</v>
      </c>
      <c r="BA35" s="152"/>
      <c r="BB35" s="190">
        <f t="shared" si="18"/>
        <v>44.579503155205849</v>
      </c>
      <c r="BC35" s="4"/>
      <c r="BD35" s="190">
        <f t="shared" si="19"/>
        <v>6.7780101417421683</v>
      </c>
      <c r="BE35" s="4"/>
      <c r="BF35" s="189">
        <f t="shared" si="10"/>
        <v>2990.1443197128974</v>
      </c>
      <c r="BG35" s="4"/>
      <c r="BH35" s="193"/>
    </row>
    <row r="36" spans="2:60" ht="12">
      <c r="B36" s="3"/>
      <c r="C36" s="7">
        <f>+IF(C35&gt;$G$13+$G$14,XX,C35+1)</f>
        <v>2016</v>
      </c>
      <c r="D36" s="7"/>
      <c r="E36" s="330">
        <v>1.7999999999999999E-2</v>
      </c>
      <c r="F36" s="7"/>
      <c r="G36" s="23">
        <v>267537.77831756306</v>
      </c>
      <c r="H36" s="7"/>
      <c r="I36" s="39">
        <f t="shared" si="11"/>
        <v>226.64633180085625</v>
      </c>
      <c r="J36" s="7"/>
      <c r="K36" s="39">
        <f t="shared" si="12"/>
        <v>16.939973120917049</v>
      </c>
      <c r="L36" s="7"/>
      <c r="M36" s="39">
        <f t="shared" si="13"/>
        <v>6.2806082020235268</v>
      </c>
      <c r="N36" s="7"/>
      <c r="O36" s="333">
        <v>6.0059005937444203</v>
      </c>
      <c r="P36" s="7"/>
      <c r="Q36" s="39">
        <v>-37.124184029925821</v>
      </c>
      <c r="R36" s="7"/>
      <c r="S36" s="23">
        <f t="shared" si="4"/>
        <v>19191.821512090111</v>
      </c>
      <c r="T36" s="7"/>
      <c r="U36" s="23">
        <f t="shared" si="0"/>
        <v>18618.768586414961</v>
      </c>
      <c r="V36" s="7"/>
      <c r="W36" s="23">
        <f t="shared" si="5"/>
        <v>573.05292567515062</v>
      </c>
      <c r="X36" s="7"/>
      <c r="Y36" s="334">
        <f t="shared" si="6"/>
        <v>2.1419514256223882</v>
      </c>
      <c r="Z36" s="290"/>
      <c r="AB36" s="182">
        <f>+IF(AB35&gt;$G$13+$G$14,XX,AB35+1)</f>
        <v>2016</v>
      </c>
      <c r="AC36" s="152"/>
      <c r="AD36" s="187">
        <f t="shared" si="1"/>
        <v>267537.77831756306</v>
      </c>
      <c r="AE36" s="4"/>
      <c r="AF36" s="190">
        <f t="shared" si="14"/>
        <v>67.349889451592475</v>
      </c>
      <c r="AG36" s="4"/>
      <c r="AH36" s="190">
        <f t="shared" si="15"/>
        <v>9.4952489478297739</v>
      </c>
      <c r="AI36" s="4"/>
      <c r="AJ36" s="190">
        <f t="shared" si="16"/>
        <v>2.6691671131906385</v>
      </c>
      <c r="AK36" s="4"/>
      <c r="AL36" s="189">
        <f t="shared" si="7"/>
        <v>5525.2854385085966</v>
      </c>
      <c r="AM36" s="4"/>
      <c r="AN36" s="190">
        <f>INDEX('(2.2)_Forward_Price_Curve'!$I:$I,MATCH($AB36,'(2.2)_Forward_Price_Curve'!$C:$C,0),1)</f>
        <v>7.9211828417083421</v>
      </c>
      <c r="AO36" s="4"/>
      <c r="AP36" s="190">
        <f t="shared" si="8"/>
        <v>57.555483491778489</v>
      </c>
      <c r="AQ36" s="4"/>
      <c r="AR36" s="190">
        <f t="shared" si="17"/>
        <v>2.7629140326982218</v>
      </c>
      <c r="AS36" s="190"/>
      <c r="AT36" s="189">
        <f t="shared" si="2"/>
        <v>2481.3185210408669</v>
      </c>
      <c r="AU36" s="4"/>
      <c r="AV36" s="189">
        <f t="shared" si="3"/>
        <v>16137.450065374094</v>
      </c>
      <c r="AW36" s="337"/>
      <c r="AX36" s="191">
        <f t="shared" si="9"/>
        <v>18618.768586414961</v>
      </c>
      <c r="AZ36" s="182">
        <f>+IF(AZ35&gt;$G$13+$G$14,XX,AZ35+1)</f>
        <v>2016</v>
      </c>
      <c r="BA36" s="152"/>
      <c r="BB36" s="190">
        <f t="shared" si="18"/>
        <v>45.381934211999557</v>
      </c>
      <c r="BC36" s="4"/>
      <c r="BD36" s="190">
        <f t="shared" si="19"/>
        <v>6.9000143242935277</v>
      </c>
      <c r="BE36" s="4"/>
      <c r="BF36" s="189">
        <f t="shared" si="10"/>
        <v>3043.9669174677297</v>
      </c>
      <c r="BG36" s="4"/>
      <c r="BH36" s="193"/>
    </row>
    <row r="37" spans="2:60" ht="12">
      <c r="B37" s="3"/>
      <c r="C37" s="7">
        <f>+IF(C36&gt;$G$13+$G$14,XX,C36+1)</f>
        <v>2017</v>
      </c>
      <c r="D37" s="7"/>
      <c r="E37" s="330">
        <v>1.7999999999999999E-2</v>
      </c>
      <c r="F37" s="7"/>
      <c r="G37" s="23">
        <v>266887.27898453025</v>
      </c>
      <c r="H37" s="7"/>
      <c r="I37" s="39">
        <f t="shared" si="11"/>
        <v>230.72596577327167</v>
      </c>
      <c r="J37" s="7"/>
      <c r="K37" s="39">
        <f t="shared" si="12"/>
        <v>17.244892637093557</v>
      </c>
      <c r="L37" s="7"/>
      <c r="M37" s="39">
        <f t="shared" si="13"/>
        <v>6.3936591496599506</v>
      </c>
      <c r="N37" s="7"/>
      <c r="O37" s="333">
        <v>6.1140068044318197</v>
      </c>
      <c r="P37" s="7"/>
      <c r="Q37" s="39">
        <v>-37.846125662027781</v>
      </c>
      <c r="R37" s="7"/>
      <c r="S37" s="23">
        <f t="shared" si="4"/>
        <v>19528.170689871593</v>
      </c>
      <c r="T37" s="7"/>
      <c r="U37" s="23">
        <f t="shared" si="0"/>
        <v>19848.814759941983</v>
      </c>
      <c r="V37" s="7"/>
      <c r="W37" s="23">
        <f t="shared" si="5"/>
        <v>-320.64407007038972</v>
      </c>
      <c r="X37" s="7"/>
      <c r="Y37" s="334">
        <f t="shared" si="6"/>
        <v>-1.2014213314714615</v>
      </c>
      <c r="Z37" s="290"/>
      <c r="AB37" s="182">
        <f>+IF(AB36&gt;$G$13+$G$14,XX,AB36+1)</f>
        <v>2017</v>
      </c>
      <c r="AC37" s="152"/>
      <c r="AD37" s="187">
        <f t="shared" si="1"/>
        <v>266887.27898453025</v>
      </c>
      <c r="AE37" s="4"/>
      <c r="AF37" s="190">
        <f t="shared" si="14"/>
        <v>68.562187461721138</v>
      </c>
      <c r="AG37" s="4"/>
      <c r="AH37" s="190">
        <f t="shared" si="15"/>
        <v>9.6661634288907106</v>
      </c>
      <c r="AI37" s="4"/>
      <c r="AJ37" s="190">
        <f t="shared" si="16"/>
        <v>2.7172121212280702</v>
      </c>
      <c r="AK37" s="4"/>
      <c r="AL37" s="189">
        <f t="shared" si="7"/>
        <v>5622.9730317291842</v>
      </c>
      <c r="AM37" s="4"/>
      <c r="AN37" s="190">
        <f>INDEX('(2.2)_Forward_Price_Curve'!$I:$I,MATCH($AB37,'(2.2)_Forward_Price_Curve'!$C:$C,0),1)</f>
        <v>8.5467545643478058</v>
      </c>
      <c r="AO37" s="4"/>
      <c r="AP37" s="190">
        <f t="shared" si="8"/>
        <v>62.100900972324112</v>
      </c>
      <c r="AQ37" s="4"/>
      <c r="AR37" s="190">
        <f t="shared" si="17"/>
        <v>2.8126464852867898</v>
      </c>
      <c r="AS37" s="190"/>
      <c r="AT37" s="189">
        <f t="shared" si="2"/>
        <v>2524.2147097470352</v>
      </c>
      <c r="AU37" s="4"/>
      <c r="AV37" s="189">
        <f t="shared" si="3"/>
        <v>17324.600050194946</v>
      </c>
      <c r="AW37" s="337"/>
      <c r="AX37" s="191">
        <f t="shared" si="9"/>
        <v>19848.814759941983</v>
      </c>
      <c r="AZ37" s="182">
        <f>+IF(AZ36&gt;$G$13+$G$14,XX,AZ36+1)</f>
        <v>2017</v>
      </c>
      <c r="BA37" s="152"/>
      <c r="BB37" s="190">
        <f t="shared" si="18"/>
        <v>46.19880902781555</v>
      </c>
      <c r="BC37" s="4"/>
      <c r="BD37" s="190">
        <f t="shared" si="19"/>
        <v>7.0242145821308108</v>
      </c>
      <c r="BE37" s="4"/>
      <c r="BF37" s="189">
        <f t="shared" si="10"/>
        <v>3098.758321982149</v>
      </c>
      <c r="BG37" s="4"/>
      <c r="BH37" s="193"/>
    </row>
    <row r="38" spans="2:60" ht="12">
      <c r="B38" s="3"/>
      <c r="C38" s="7">
        <f>+IF(C37&gt;$G$13+$G$14,XX,C37+1)</f>
        <v>2018</v>
      </c>
      <c r="D38" s="7"/>
      <c r="E38" s="330">
        <v>1.7999999999999999E-2</v>
      </c>
      <c r="F38" s="7"/>
      <c r="G38" s="23">
        <v>266887.27898453025</v>
      </c>
      <c r="H38" s="7"/>
      <c r="I38" s="39">
        <f t="shared" si="11"/>
        <v>234.87903315719055</v>
      </c>
      <c r="J38" s="7"/>
      <c r="K38" s="39">
        <f t="shared" si="12"/>
        <v>17.55530070456124</v>
      </c>
      <c r="L38" s="7"/>
      <c r="M38" s="39">
        <f t="shared" si="13"/>
        <v>6.5087450143538295</v>
      </c>
      <c r="N38" s="7"/>
      <c r="O38" s="333">
        <v>6.2240589269115922</v>
      </c>
      <c r="P38" s="7"/>
      <c r="Q38" s="39">
        <v>0</v>
      </c>
      <c r="R38" s="7"/>
      <c r="S38" s="23">
        <f t="shared" si="4"/>
        <v>30162.138951299297</v>
      </c>
      <c r="T38" s="7"/>
      <c r="U38" s="23">
        <f t="shared" si="0"/>
        <v>20994.483925722547</v>
      </c>
      <c r="V38" s="7"/>
      <c r="W38" s="23">
        <f t="shared" si="5"/>
        <v>9167.6550255767506</v>
      </c>
      <c r="X38" s="7"/>
      <c r="Y38" s="334">
        <f t="shared" si="6"/>
        <v>34.350288483057078</v>
      </c>
      <c r="Z38" s="290"/>
      <c r="AB38" s="182">
        <f>+IF(AB37&gt;$G$13+$G$14,XX,AB37+1)</f>
        <v>2018</v>
      </c>
      <c r="AC38" s="152"/>
      <c r="AD38" s="187">
        <f t="shared" si="1"/>
        <v>266887.27898453025</v>
      </c>
      <c r="AE38" s="4"/>
      <c r="AF38" s="190">
        <f t="shared" si="14"/>
        <v>69.796306836032116</v>
      </c>
      <c r="AG38" s="4"/>
      <c r="AH38" s="190">
        <f t="shared" si="15"/>
        <v>9.8401543706107439</v>
      </c>
      <c r="AI38" s="4"/>
      <c r="AJ38" s="190">
        <f t="shared" si="16"/>
        <v>2.7661219394101755</v>
      </c>
      <c r="AK38" s="4"/>
      <c r="AL38" s="189">
        <f t="shared" si="7"/>
        <v>5724.1865463003087</v>
      </c>
      <c r="AM38" s="4"/>
      <c r="AN38" s="190">
        <f>INDEX('(2.2)_Forward_Price_Curve'!$I:$I,MATCH($AB38,'(2.2)_Forward_Price_Curve'!$C:$C,0),1)</f>
        <v>9.1071488375904099</v>
      </c>
      <c r="AO38" s="4"/>
      <c r="AP38" s="190">
        <f t="shared" si="8"/>
        <v>66.172737715275218</v>
      </c>
      <c r="AQ38" s="4"/>
      <c r="AR38" s="190">
        <f t="shared" si="17"/>
        <v>2.8632741220219522</v>
      </c>
      <c r="AS38" s="190"/>
      <c r="AT38" s="189">
        <f t="shared" si="2"/>
        <v>2569.6505745224813</v>
      </c>
      <c r="AU38" s="4"/>
      <c r="AV38" s="189">
        <f t="shared" si="3"/>
        <v>18424.833351200064</v>
      </c>
      <c r="AW38" s="337"/>
      <c r="AX38" s="191">
        <f t="shared" si="9"/>
        <v>20994.483925722547</v>
      </c>
      <c r="AZ38" s="182">
        <f>+IF(AZ37&gt;$G$13+$G$14,XX,AZ37+1)</f>
        <v>2018</v>
      </c>
      <c r="BA38" s="152"/>
      <c r="BB38" s="190">
        <f t="shared" si="18"/>
        <v>47.030387590316231</v>
      </c>
      <c r="BC38" s="4"/>
      <c r="BD38" s="190">
        <f t="shared" si="19"/>
        <v>7.1506504446091652</v>
      </c>
      <c r="BE38" s="4"/>
      <c r="BF38" s="189">
        <f t="shared" si="10"/>
        <v>3154.5359717778274</v>
      </c>
      <c r="BG38" s="4"/>
      <c r="BH38" s="193"/>
    </row>
    <row r="39" spans="2:60" ht="12">
      <c r="B39" s="3"/>
      <c r="C39" s="7">
        <f>+IF(C38&gt;$G$13+$G$14,XX,C38+1)</f>
        <v>2019</v>
      </c>
      <c r="D39" s="7"/>
      <c r="E39" s="330">
        <v>1.7999999999999999E-2</v>
      </c>
      <c r="F39" s="7"/>
      <c r="G39" s="23">
        <v>266887.27898453025</v>
      </c>
      <c r="H39" s="7"/>
      <c r="I39" s="39">
        <f t="shared" si="11"/>
        <v>239.10685575401999</v>
      </c>
      <c r="J39" s="7"/>
      <c r="K39" s="39">
        <f t="shared" si="12"/>
        <v>17.871296117243343</v>
      </c>
      <c r="L39" s="7"/>
      <c r="M39" s="39">
        <f t="shared" si="13"/>
        <v>6.6259024246121987</v>
      </c>
      <c r="N39" s="7"/>
      <c r="O39" s="333">
        <v>6.3360919875960011</v>
      </c>
      <c r="P39" s="7"/>
      <c r="Q39" s="39">
        <v>0</v>
      </c>
      <c r="R39" s="7"/>
      <c r="S39" s="23">
        <f t="shared" si="4"/>
        <v>30705.057452422687</v>
      </c>
      <c r="T39" s="7"/>
      <c r="U39" s="23">
        <f t="shared" si="0"/>
        <v>22260.313835812209</v>
      </c>
      <c r="V39" s="7"/>
      <c r="W39" s="23">
        <f t="shared" si="5"/>
        <v>8444.7436166104781</v>
      </c>
      <c r="X39" s="7"/>
      <c r="Y39" s="334">
        <f t="shared" si="6"/>
        <v>31.641611577522834</v>
      </c>
      <c r="Z39" s="290"/>
      <c r="AB39" s="182">
        <f>+IF(AB38&gt;$G$13+$G$14,XX,AB38+1)</f>
        <v>2019</v>
      </c>
      <c r="AC39" s="152"/>
      <c r="AD39" s="187">
        <f t="shared" si="1"/>
        <v>266887.27898453025</v>
      </c>
      <c r="AE39" s="4"/>
      <c r="AF39" s="190">
        <f t="shared" si="14"/>
        <v>71.052640359080698</v>
      </c>
      <c r="AG39" s="4"/>
      <c r="AH39" s="190">
        <f t="shared" si="15"/>
        <v>10.017277149281737</v>
      </c>
      <c r="AI39" s="4"/>
      <c r="AJ39" s="190">
        <f t="shared" si="16"/>
        <v>2.8159121343195586</v>
      </c>
      <c r="AK39" s="4"/>
      <c r="AL39" s="189">
        <f t="shared" si="7"/>
        <v>5827.2219041337148</v>
      </c>
      <c r="AM39" s="4"/>
      <c r="AN39" s="190">
        <f>INDEX('(2.2)_Forward_Price_Curve'!$I:$I,MATCH($AB39,'(2.2)_Forward_Price_Curve'!$C:$C,0),1)</f>
        <v>9.7289597532905745</v>
      </c>
      <c r="AO39" s="4"/>
      <c r="AP39" s="190">
        <f t="shared" si="8"/>
        <v>70.69082909237946</v>
      </c>
      <c r="AQ39" s="4"/>
      <c r="AR39" s="190">
        <f t="shared" si="17"/>
        <v>2.9148130562183474</v>
      </c>
      <c r="AS39" s="190"/>
      <c r="AT39" s="189">
        <f t="shared" si="2"/>
        <v>2615.904284863886</v>
      </c>
      <c r="AU39" s="4"/>
      <c r="AV39" s="189">
        <f t="shared" si="3"/>
        <v>19644.409550948323</v>
      </c>
      <c r="AW39" s="337"/>
      <c r="AX39" s="191">
        <f t="shared" si="9"/>
        <v>22260.313835812209</v>
      </c>
      <c r="AZ39" s="182">
        <f>+IF(AZ38&gt;$G$13+$G$14,XX,AZ38+1)</f>
        <v>2019</v>
      </c>
      <c r="BA39" s="152"/>
      <c r="BB39" s="190">
        <f t="shared" si="18"/>
        <v>47.876934566941927</v>
      </c>
      <c r="BC39" s="4"/>
      <c r="BD39" s="190">
        <f t="shared" si="19"/>
        <v>7.2793621526121299</v>
      </c>
      <c r="BE39" s="4"/>
      <c r="BF39" s="189">
        <f t="shared" si="10"/>
        <v>3211.3176192698288</v>
      </c>
      <c r="BG39" s="4"/>
      <c r="BH39" s="193"/>
    </row>
    <row r="40" spans="2:60" ht="12">
      <c r="B40" s="3"/>
      <c r="C40" s="7">
        <f>+IF(C39&gt;$G$13+$G$14,XX,C39+1)</f>
        <v>2020</v>
      </c>
      <c r="D40" s="7"/>
      <c r="E40" s="330">
        <v>1.7999999999999999E-2</v>
      </c>
      <c r="F40" s="7"/>
      <c r="G40" s="23">
        <v>267537.77831756306</v>
      </c>
      <c r="H40" s="7"/>
      <c r="I40" s="39">
        <f t="shared" si="11"/>
        <v>243.41077915759234</v>
      </c>
      <c r="J40" s="7"/>
      <c r="K40" s="39">
        <f t="shared" si="12"/>
        <v>18.192979447353725</v>
      </c>
      <c r="L40" s="7"/>
      <c r="M40" s="39">
        <f t="shared" si="13"/>
        <v>6.7451686682552188</v>
      </c>
      <c r="N40" s="7"/>
      <c r="O40" s="333">
        <v>6.4501416433727297</v>
      </c>
      <c r="P40" s="7"/>
      <c r="Q40" s="39">
        <v>0</v>
      </c>
      <c r="R40" s="7"/>
      <c r="S40" s="23">
        <f t="shared" si="4"/>
        <v>31278.166548119552</v>
      </c>
      <c r="T40" s="7"/>
      <c r="U40" s="23">
        <f t="shared" si="0"/>
        <v>23106.669411936524</v>
      </c>
      <c r="V40" s="7"/>
      <c r="W40" s="23">
        <f t="shared" si="5"/>
        <v>8171.4971361830285</v>
      </c>
      <c r="X40" s="7"/>
      <c r="Y40" s="334">
        <f t="shared" si="6"/>
        <v>30.543339290511682</v>
      </c>
      <c r="Z40" s="290"/>
      <c r="AB40" s="182">
        <f>+IF(AB39&gt;$G$13+$G$14,XX,AB39+1)</f>
        <v>2020</v>
      </c>
      <c r="AC40" s="152"/>
      <c r="AD40" s="187">
        <f t="shared" si="1"/>
        <v>267537.77831756306</v>
      </c>
      <c r="AE40" s="4"/>
      <c r="AF40" s="190">
        <f t="shared" si="14"/>
        <v>72.331587885544153</v>
      </c>
      <c r="AG40" s="4"/>
      <c r="AH40" s="190">
        <f t="shared" si="15"/>
        <v>10.197588137968809</v>
      </c>
      <c r="AI40" s="4"/>
      <c r="AJ40" s="190">
        <f t="shared" si="16"/>
        <v>2.8665985527373108</v>
      </c>
      <c r="AK40" s="4"/>
      <c r="AL40" s="189">
        <f t="shared" si="7"/>
        <v>5933.9766188547501</v>
      </c>
      <c r="AM40" s="4"/>
      <c r="AN40" s="190">
        <f>INDEX('(2.2)_Forward_Price_Curve'!$I:$I,MATCH($AB40,'(2.2)_Forward_Price_Curve'!$C:$C,0),1)</f>
        <v>10.107309478601163</v>
      </c>
      <c r="AO40" s="4"/>
      <c r="AP40" s="190">
        <f t="shared" si="8"/>
        <v>73.43992626692922</v>
      </c>
      <c r="AQ40" s="4"/>
      <c r="AR40" s="190">
        <f t="shared" si="17"/>
        <v>2.9672796912302779</v>
      </c>
      <c r="AS40" s="190"/>
      <c r="AT40" s="189">
        <f t="shared" si="2"/>
        <v>2664.8552824380645</v>
      </c>
      <c r="AU40" s="4"/>
      <c r="AV40" s="189">
        <f t="shared" si="3"/>
        <v>20441.81412949846</v>
      </c>
      <c r="AW40" s="337"/>
      <c r="AX40" s="191">
        <f t="shared" si="9"/>
        <v>23106.669411936524</v>
      </c>
      <c r="AZ40" s="182">
        <f>+IF(AZ39&gt;$G$13+$G$14,XX,AZ39+1)</f>
        <v>2020</v>
      </c>
      <c r="BA40" s="152"/>
      <c r="BB40" s="190">
        <f t="shared" si="18"/>
        <v>48.73871938914688</v>
      </c>
      <c r="BC40" s="4"/>
      <c r="BD40" s="190">
        <f t="shared" si="19"/>
        <v>7.4103906713591483</v>
      </c>
      <c r="BE40" s="4"/>
      <c r="BF40" s="189">
        <f t="shared" si="10"/>
        <v>3269.1213364166856</v>
      </c>
      <c r="BG40" s="4"/>
      <c r="BH40" s="193"/>
    </row>
    <row r="41" spans="2:60" ht="12">
      <c r="B41" s="3"/>
      <c r="C41" s="7">
        <f>+IF(C40&gt;$G$13+$G$14,XX,C40+1)</f>
        <v>2021</v>
      </c>
      <c r="D41" s="7"/>
      <c r="E41" s="330">
        <v>1.7999999999999999E-2</v>
      </c>
      <c r="F41" s="7"/>
      <c r="G41" s="23">
        <v>266887.27898453025</v>
      </c>
      <c r="H41" s="7"/>
      <c r="I41" s="39">
        <f t="shared" si="11"/>
        <v>247.792173182429</v>
      </c>
      <c r="J41" s="7"/>
      <c r="K41" s="39">
        <f t="shared" si="12"/>
        <v>18.520453077406092</v>
      </c>
      <c r="L41" s="7"/>
      <c r="M41" s="39">
        <f t="shared" si="13"/>
        <v>6.8665817042838126</v>
      </c>
      <c r="N41" s="7"/>
      <c r="O41" s="333">
        <v>6.5662441929534392</v>
      </c>
      <c r="P41" s="7"/>
      <c r="Q41" s="39">
        <v>0</v>
      </c>
      <c r="R41" s="7"/>
      <c r="S41" s="23">
        <f t="shared" si="4"/>
        <v>31820.387959324493</v>
      </c>
      <c r="T41" s="7"/>
      <c r="U41" s="23">
        <f t="shared" si="0"/>
        <v>23464.245841334294</v>
      </c>
      <c r="V41" s="7"/>
      <c r="W41" s="23">
        <f t="shared" si="5"/>
        <v>8356.142117990199</v>
      </c>
      <c r="X41" s="7"/>
      <c r="Y41" s="334">
        <f t="shared" si="6"/>
        <v>31.309630604291755</v>
      </c>
      <c r="Z41" s="290"/>
      <c r="AB41" s="182">
        <f>+IF(AB40&gt;$G$13+$G$14,XX,AB40+1)</f>
        <v>2021</v>
      </c>
      <c r="AC41" s="152"/>
      <c r="AD41" s="187">
        <f t="shared" si="1"/>
        <v>266887.27898453025</v>
      </c>
      <c r="AE41" s="4"/>
      <c r="AF41" s="190">
        <f t="shared" si="14"/>
        <v>73.633556467483942</v>
      </c>
      <c r="AG41" s="4"/>
      <c r="AH41" s="190">
        <f t="shared" si="15"/>
        <v>10.381144724452248</v>
      </c>
      <c r="AI41" s="4"/>
      <c r="AJ41" s="190">
        <f t="shared" si="16"/>
        <v>2.9181973266865824</v>
      </c>
      <c r="AK41" s="4"/>
      <c r="AL41" s="189">
        <f t="shared" si="7"/>
        <v>6038.8899125794669</v>
      </c>
      <c r="AM41" s="4"/>
      <c r="AN41" s="190">
        <f>INDEX('(2.2)_Forward_Price_Curve'!$I:$I,MATCH($AB41,'(2.2)_Forward_Price_Curve'!$C:$C,0),1)</f>
        <v>10.286225465001079</v>
      </c>
      <c r="AO41" s="4"/>
      <c r="AP41" s="190">
        <f t="shared" si="8"/>
        <v>74.739933640504091</v>
      </c>
      <c r="AQ41" s="4"/>
      <c r="AR41" s="190">
        <f t="shared" si="17"/>
        <v>3.0206907256724231</v>
      </c>
      <c r="AS41" s="190"/>
      <c r="AT41" s="189">
        <f t="shared" si="2"/>
        <v>2710.9243921072812</v>
      </c>
      <c r="AU41" s="4"/>
      <c r="AV41" s="189">
        <f t="shared" si="3"/>
        <v>20753.321449227013</v>
      </c>
      <c r="AW41" s="337"/>
      <c r="AX41" s="191">
        <f t="shared" si="9"/>
        <v>23464.245841334294</v>
      </c>
      <c r="AZ41" s="182">
        <f>+IF(AZ40&gt;$G$13+$G$14,XX,AZ40+1)</f>
        <v>2021</v>
      </c>
      <c r="BA41" s="152"/>
      <c r="BB41" s="190">
        <f t="shared" si="18"/>
        <v>49.616016338151525</v>
      </c>
      <c r="BC41" s="4"/>
      <c r="BD41" s="190">
        <f t="shared" si="19"/>
        <v>7.5437777034436131</v>
      </c>
      <c r="BE41" s="4"/>
      <c r="BF41" s="189">
        <f t="shared" si="10"/>
        <v>3327.9655204721857</v>
      </c>
      <c r="BG41" s="4"/>
      <c r="BH41" s="193"/>
    </row>
    <row r="42" spans="2:60" ht="12">
      <c r="B42" s="3"/>
      <c r="C42" s="7">
        <f>+IF(C41&gt;$G$13+$G$14,XX,C41+1)</f>
        <v>2022</v>
      </c>
      <c r="D42" s="7"/>
      <c r="E42" s="330">
        <v>1.9E-2</v>
      </c>
      <c r="F42" s="7"/>
      <c r="G42" s="23">
        <v>266887.27898453025</v>
      </c>
      <c r="H42" s="7"/>
      <c r="I42" s="39">
        <f t="shared" si="11"/>
        <v>252.50022447289513</v>
      </c>
      <c r="J42" s="7"/>
      <c r="K42" s="39">
        <f t="shared" si="12"/>
        <v>18.872341685876805</v>
      </c>
      <c r="L42" s="7"/>
      <c r="M42" s="39">
        <f t="shared" si="13"/>
        <v>6.9970467566652044</v>
      </c>
      <c r="N42" s="7"/>
      <c r="O42" s="333">
        <v>6.6910028326195539</v>
      </c>
      <c r="P42" s="7"/>
      <c r="Q42" s="39">
        <v>0</v>
      </c>
      <c r="R42" s="7"/>
      <c r="S42" s="23">
        <f t="shared" si="4"/>
        <v>32424.975330551646</v>
      </c>
      <c r="T42" s="7"/>
      <c r="U42" s="23">
        <f t="shared" si="0"/>
        <v>23910.507039736975</v>
      </c>
      <c r="V42" s="7"/>
      <c r="W42" s="23">
        <f t="shared" si="5"/>
        <v>8514.4682908146715</v>
      </c>
      <c r="X42" s="7"/>
      <c r="Y42" s="334">
        <f t="shared" si="6"/>
        <v>31.90286297350351</v>
      </c>
      <c r="Z42" s="290"/>
      <c r="AB42" s="182">
        <f>+IF(AB41&gt;$G$13+$G$14,XX,AB41+1)</f>
        <v>2022</v>
      </c>
      <c r="AC42" s="152"/>
      <c r="AD42" s="187">
        <f t="shared" si="1"/>
        <v>266887.27898453025</v>
      </c>
      <c r="AE42" s="4"/>
      <c r="AF42" s="190">
        <f t="shared" si="14"/>
        <v>75.032594040366135</v>
      </c>
      <c r="AG42" s="4"/>
      <c r="AH42" s="190">
        <f t="shared" si="15"/>
        <v>10.57838647421684</v>
      </c>
      <c r="AI42" s="4"/>
      <c r="AJ42" s="190">
        <f t="shared" si="16"/>
        <v>2.973643075893627</v>
      </c>
      <c r="AK42" s="4"/>
      <c r="AL42" s="189">
        <f t="shared" si="7"/>
        <v>6153.6288209184759</v>
      </c>
      <c r="AM42" s="4"/>
      <c r="AN42" s="190">
        <f>INDEX('(2.2)_Forward_Price_Curve'!$I:$I,MATCH($AB42,'(2.2)_Forward_Price_Curve'!$C:$C,0),1)</f>
        <v>10.481890917487915</v>
      </c>
      <c r="AO42" s="4"/>
      <c r="AP42" s="190">
        <f t="shared" si="8"/>
        <v>76.16164299194341</v>
      </c>
      <c r="AQ42" s="4"/>
      <c r="AR42" s="190">
        <f t="shared" si="17"/>
        <v>3.078083849460199</v>
      </c>
      <c r="AS42" s="190"/>
      <c r="AT42" s="189">
        <f t="shared" si="2"/>
        <v>2762.4319555573188</v>
      </c>
      <c r="AU42" s="4"/>
      <c r="AV42" s="189">
        <f t="shared" si="3"/>
        <v>21148.075084179654</v>
      </c>
      <c r="AW42" s="337"/>
      <c r="AX42" s="191">
        <f t="shared" si="9"/>
        <v>23910.507039736975</v>
      </c>
      <c r="AZ42" s="182">
        <f>+IF(AZ41&gt;$G$13+$G$14,XX,AZ41+1)</f>
        <v>2022</v>
      </c>
      <c r="BA42" s="152"/>
      <c r="BB42" s="190">
        <f t="shared" si="18"/>
        <v>50.558720648576397</v>
      </c>
      <c r="BC42" s="4"/>
      <c r="BD42" s="190">
        <f t="shared" si="19"/>
        <v>7.6871094798090409</v>
      </c>
      <c r="BE42" s="4"/>
      <c r="BF42" s="189">
        <f t="shared" si="10"/>
        <v>3391.1968653611571</v>
      </c>
      <c r="BG42" s="4"/>
      <c r="BH42" s="193"/>
    </row>
    <row r="43" spans="2:60" ht="12">
      <c r="B43" s="3"/>
      <c r="C43" s="7">
        <f>+IF(C42&gt;$G$13+$G$14,XX,C42+1)</f>
        <v>2023</v>
      </c>
      <c r="D43" s="7"/>
      <c r="E43" s="330">
        <v>1.9E-2</v>
      </c>
      <c r="F43" s="7"/>
      <c r="G43" s="23">
        <v>266887.27898453025</v>
      </c>
      <c r="H43" s="7"/>
      <c r="I43" s="39">
        <f t="shared" si="11"/>
        <v>257.29772873788011</v>
      </c>
      <c r="J43" s="7"/>
      <c r="K43" s="39">
        <f t="shared" si="12"/>
        <v>19.230916177908462</v>
      </c>
      <c r="L43" s="7"/>
      <c r="M43" s="39">
        <f t="shared" si="13"/>
        <v>7.1299906450418424</v>
      </c>
      <c r="N43" s="7"/>
      <c r="O43" s="333">
        <v>6.8181318864393248</v>
      </c>
      <c r="P43" s="7"/>
      <c r="Q43" s="39">
        <v>0</v>
      </c>
      <c r="R43" s="7"/>
      <c r="S43" s="23">
        <f t="shared" si="4"/>
        <v>33041.049861832129</v>
      </c>
      <c r="T43" s="7"/>
      <c r="U43" s="23">
        <f t="shared" si="0"/>
        <v>24361.883916807677</v>
      </c>
      <c r="V43" s="7"/>
      <c r="W43" s="23">
        <f t="shared" si="5"/>
        <v>8679.1659450244515</v>
      </c>
      <c r="X43" s="7"/>
      <c r="Y43" s="334">
        <f t="shared" si="6"/>
        <v>32.51996864761594</v>
      </c>
      <c r="Z43" s="290"/>
      <c r="AB43" s="182">
        <f>+IF(AB42&gt;$G$13+$G$14,XX,AB42+1)</f>
        <v>2023</v>
      </c>
      <c r="AC43" s="152"/>
      <c r="AD43" s="187">
        <f t="shared" si="1"/>
        <v>266887.27898453025</v>
      </c>
      <c r="AE43" s="4"/>
      <c r="AF43" s="190">
        <f t="shared" si="14"/>
        <v>76.45821332713308</v>
      </c>
      <c r="AG43" s="4"/>
      <c r="AH43" s="190">
        <f t="shared" si="15"/>
        <v>10.77937581722696</v>
      </c>
      <c r="AI43" s="4"/>
      <c r="AJ43" s="190">
        <f t="shared" si="16"/>
        <v>3.0301422943356058</v>
      </c>
      <c r="AK43" s="4"/>
      <c r="AL43" s="189">
        <f t="shared" si="7"/>
        <v>6270.5477685159267</v>
      </c>
      <c r="AM43" s="4"/>
      <c r="AN43" s="190">
        <f>INDEX('(2.2)_Forward_Price_Curve'!$I:$I,MATCH($AB43,'(2.2)_Forward_Price_Curve'!$C:$C,0),1)</f>
        <v>10.679539654517416</v>
      </c>
      <c r="AO43" s="4"/>
      <c r="AP43" s="190">
        <f t="shared" si="8"/>
        <v>77.597762931174486</v>
      </c>
      <c r="AQ43" s="4"/>
      <c r="AR43" s="190">
        <f t="shared" si="17"/>
        <v>3.1365674425999424</v>
      </c>
      <c r="AS43" s="190"/>
      <c r="AT43" s="189">
        <f t="shared" si="2"/>
        <v>2814.9181627129078</v>
      </c>
      <c r="AU43" s="4"/>
      <c r="AV43" s="189">
        <f t="shared" si="3"/>
        <v>21546.96575409477</v>
      </c>
      <c r="AW43" s="337"/>
      <c r="AX43" s="191">
        <f t="shared" si="9"/>
        <v>24361.883916807677</v>
      </c>
      <c r="AZ43" s="182">
        <f>+IF(AZ42&gt;$G$13+$G$14,XX,AZ42+1)</f>
        <v>2023</v>
      </c>
      <c r="BA43" s="152"/>
      <c r="BB43" s="190">
        <f t="shared" si="18"/>
        <v>51.519336340899343</v>
      </c>
      <c r="BC43" s="4"/>
      <c r="BD43" s="190">
        <f t="shared" si="19"/>
        <v>7.8331645599254118</v>
      </c>
      <c r="BE43" s="4"/>
      <c r="BF43" s="189">
        <f t="shared" si="10"/>
        <v>3455.6296058030189</v>
      </c>
      <c r="BG43" s="4"/>
      <c r="BH43" s="193"/>
    </row>
    <row r="44" spans="2:60" ht="12">
      <c r="B44" s="3"/>
      <c r="C44" s="7">
        <f>+IF(C43&gt;$G$13+$G$14,XX,C43+1)</f>
        <v>2024</v>
      </c>
      <c r="D44" s="7"/>
      <c r="E44" s="330">
        <v>1.9E-2</v>
      </c>
      <c r="F44" s="7"/>
      <c r="G44" s="23">
        <v>267537.77831756306</v>
      </c>
      <c r="H44" s="7"/>
      <c r="I44" s="39">
        <f t="shared" si="11"/>
        <v>262.18638558389978</v>
      </c>
      <c r="J44" s="7"/>
      <c r="K44" s="39">
        <f t="shared" si="12"/>
        <v>19.59630358528872</v>
      </c>
      <c r="L44" s="7"/>
      <c r="M44" s="39">
        <f t="shared" si="13"/>
        <v>7.2654604672976371</v>
      </c>
      <c r="N44" s="7"/>
      <c r="O44" s="333">
        <v>6.9476763922816716</v>
      </c>
      <c r="P44" s="7"/>
      <c r="Q44" s="39">
        <v>0</v>
      </c>
      <c r="R44" s="7"/>
      <c r="S44" s="23">
        <f t="shared" si="4"/>
        <v>33690.822827666525</v>
      </c>
      <c r="T44" s="7"/>
      <c r="U44" s="23">
        <f t="shared" si="0"/>
        <v>24882.496649241781</v>
      </c>
      <c r="V44" s="7"/>
      <c r="W44" s="23">
        <f t="shared" si="5"/>
        <v>8808.3261784247443</v>
      </c>
      <c r="X44" s="7"/>
      <c r="Y44" s="334">
        <f t="shared" si="6"/>
        <v>32.923672439147644</v>
      </c>
      <c r="Z44" s="290"/>
      <c r="AB44" s="182">
        <f>+IF(AB43&gt;$G$13+$G$14,XX,AB43+1)</f>
        <v>2024</v>
      </c>
      <c r="AC44" s="152"/>
      <c r="AD44" s="187">
        <f t="shared" si="1"/>
        <v>267537.77831756306</v>
      </c>
      <c r="AE44" s="4"/>
      <c r="AF44" s="190">
        <f t="shared" si="14"/>
        <v>77.910919380348602</v>
      </c>
      <c r="AG44" s="4"/>
      <c r="AH44" s="190">
        <f t="shared" si="15"/>
        <v>10.98418395775427</v>
      </c>
      <c r="AI44" s="4"/>
      <c r="AJ44" s="190">
        <f t="shared" si="16"/>
        <v>3.0877149979279821</v>
      </c>
      <c r="AK44" s="4"/>
      <c r="AL44" s="189">
        <f t="shared" si="7"/>
        <v>6391.6967326644763</v>
      </c>
      <c r="AM44" s="4"/>
      <c r="AN44" s="190">
        <f>INDEX('(2.2)_Forward_Price_Curve'!$I:$I,MATCH($AB44,'(2.2)_Forward_Price_Curve'!$C:$C,0),1)</f>
        <v>10.883589278444866</v>
      </c>
      <c r="AO44" s="4"/>
      <c r="AP44" s="190">
        <f t="shared" si="8"/>
        <v>79.080391851141073</v>
      </c>
      <c r="AQ44" s="4"/>
      <c r="AR44" s="190">
        <f t="shared" si="17"/>
        <v>3.196162224009341</v>
      </c>
      <c r="AS44" s="190"/>
      <c r="AT44" s="189">
        <f t="shared" si="2"/>
        <v>2870.4101643512004</v>
      </c>
      <c r="AU44" s="4"/>
      <c r="AV44" s="189">
        <f t="shared" si="3"/>
        <v>22012.08648489058</v>
      </c>
      <c r="AW44" s="337"/>
      <c r="AX44" s="191">
        <f t="shared" si="9"/>
        <v>24882.496649241781</v>
      </c>
      <c r="AZ44" s="182">
        <f>+IF(AZ43&gt;$G$13+$G$14,XX,AZ43+1)</f>
        <v>2024</v>
      </c>
      <c r="BA44" s="152"/>
      <c r="BB44" s="190">
        <f t="shared" si="18"/>
        <v>52.498203731376428</v>
      </c>
      <c r="BC44" s="4"/>
      <c r="BD44" s="190">
        <f t="shared" si="19"/>
        <v>7.9819946865639944</v>
      </c>
      <c r="BE44" s="4"/>
      <c r="BF44" s="189">
        <f t="shared" si="10"/>
        <v>3521.2865683132759</v>
      </c>
      <c r="BG44" s="4"/>
      <c r="BH44" s="193"/>
    </row>
    <row r="45" spans="2:60" ht="12">
      <c r="B45" s="3"/>
      <c r="C45" s="7">
        <f>+IF(C44&gt;$G$13+$G$14,XX,C44+1)</f>
        <v>2025</v>
      </c>
      <c r="D45" s="7"/>
      <c r="E45" s="330">
        <v>1.9E-2</v>
      </c>
      <c r="F45" s="7"/>
      <c r="G45" s="23">
        <v>266887.27898453025</v>
      </c>
      <c r="H45" s="7"/>
      <c r="I45" s="39">
        <f t="shared" si="11"/>
        <v>267.16792690999387</v>
      </c>
      <c r="J45" s="7"/>
      <c r="K45" s="39">
        <f t="shared" si="12"/>
        <v>19.968633353409203</v>
      </c>
      <c r="L45" s="7"/>
      <c r="M45" s="39">
        <f t="shared" si="13"/>
        <v>7.4035042161762918</v>
      </c>
      <c r="N45" s="7"/>
      <c r="O45" s="333">
        <v>7.0796822437350224</v>
      </c>
      <c r="P45" s="7"/>
      <c r="Q45" s="39">
        <v>0</v>
      </c>
      <c r="R45" s="7"/>
      <c r="S45" s="23">
        <f t="shared" si="4"/>
        <v>34308.53757558186</v>
      </c>
      <c r="T45" s="7"/>
      <c r="U45" s="23">
        <f t="shared" si="0"/>
        <v>25298.192179807567</v>
      </c>
      <c r="V45" s="7"/>
      <c r="W45" s="23">
        <f t="shared" si="5"/>
        <v>9010.3453957742931</v>
      </c>
      <c r="X45" s="7"/>
      <c r="Y45" s="334">
        <f t="shared" si="6"/>
        <v>33.760864999101607</v>
      </c>
      <c r="Z45" s="290"/>
      <c r="AB45" s="182">
        <f>+IF(AB44&gt;$G$13+$G$14,XX,AB44+1)</f>
        <v>2025</v>
      </c>
      <c r="AC45" s="152"/>
      <c r="AD45" s="187">
        <f t="shared" si="1"/>
        <v>266887.27898453025</v>
      </c>
      <c r="AE45" s="4"/>
      <c r="AF45" s="190">
        <f t="shared" si="14"/>
        <v>79.391226848575215</v>
      </c>
      <c r="AG45" s="4"/>
      <c r="AH45" s="190">
        <f t="shared" si="15"/>
        <v>11.1928834529516</v>
      </c>
      <c r="AI45" s="4"/>
      <c r="AJ45" s="190">
        <f t="shared" si="16"/>
        <v>3.1463815828886132</v>
      </c>
      <c r="AK45" s="4"/>
      <c r="AL45" s="189">
        <f t="shared" si="7"/>
        <v>6511.0922514639642</v>
      </c>
      <c r="AM45" s="4"/>
      <c r="AN45" s="190">
        <f>INDEX('(2.2)_Forward_Price_Curve'!$I:$I,MATCH($AB45,'(2.2)_Forward_Price_Curve'!$C:$C,0),1)</f>
        <v>11.090126110825569</v>
      </c>
      <c r="AO45" s="4"/>
      <c r="AP45" s="190">
        <f t="shared" si="8"/>
        <v>80.581092880782762</v>
      </c>
      <c r="AQ45" s="4"/>
      <c r="AR45" s="190">
        <f t="shared" si="17"/>
        <v>3.2568893062655184</v>
      </c>
      <c r="AS45" s="190"/>
      <c r="AT45" s="189">
        <f t="shared" si="2"/>
        <v>2922.9012383527365</v>
      </c>
      <c r="AU45" s="4"/>
      <c r="AV45" s="189">
        <f t="shared" si="3"/>
        <v>22375.29094145483</v>
      </c>
      <c r="AW45" s="337"/>
      <c r="AX45" s="191">
        <f t="shared" si="9"/>
        <v>25298.192179807567</v>
      </c>
      <c r="AZ45" s="182">
        <f>+IF(AZ44&gt;$G$13+$G$14,XX,AZ44+1)</f>
        <v>2025</v>
      </c>
      <c r="BA45" s="152"/>
      <c r="BB45" s="190">
        <f t="shared" si="18"/>
        <v>53.495669602272578</v>
      </c>
      <c r="BC45" s="4"/>
      <c r="BD45" s="190">
        <f t="shared" si="19"/>
        <v>8.1336525856087096</v>
      </c>
      <c r="BE45" s="4"/>
      <c r="BF45" s="189">
        <f t="shared" si="10"/>
        <v>3588.1910131112277</v>
      </c>
      <c r="BG45" s="4"/>
      <c r="BH45" s="193"/>
    </row>
    <row r="46" spans="2:60" ht="12">
      <c r="B46" s="3"/>
      <c r="C46" s="7">
        <f>+IF(C45&gt;$G$13+$G$14,XX,C45+1)</f>
        <v>2026</v>
      </c>
      <c r="D46" s="7"/>
      <c r="E46" s="330">
        <v>1.9E-2</v>
      </c>
      <c r="F46" s="7"/>
      <c r="G46" s="23">
        <v>266887.27898453025</v>
      </c>
      <c r="H46" s="7"/>
      <c r="I46" s="39">
        <f t="shared" si="11"/>
        <v>272.24411752128373</v>
      </c>
      <c r="J46" s="7"/>
      <c r="K46" s="39">
        <f t="shared" si="12"/>
        <v>20.348037387123977</v>
      </c>
      <c r="L46" s="7"/>
      <c r="M46" s="39">
        <f t="shared" si="13"/>
        <v>7.5441707962836411</v>
      </c>
      <c r="N46" s="7"/>
      <c r="O46" s="333">
        <v>7.2141962063659868</v>
      </c>
      <c r="P46" s="7"/>
      <c r="Q46" s="39">
        <v>0</v>
      </c>
      <c r="R46" s="7"/>
      <c r="S46" s="23">
        <f t="shared" si="4"/>
        <v>34960.39978951792</v>
      </c>
      <c r="T46" s="7"/>
      <c r="U46" s="23">
        <f t="shared" si="0"/>
        <v>25775.517304768113</v>
      </c>
      <c r="V46" s="7"/>
      <c r="W46" s="23">
        <f t="shared" si="5"/>
        <v>9184.8824847498072</v>
      </c>
      <c r="X46" s="7"/>
      <c r="Y46" s="334">
        <f t="shared" si="6"/>
        <v>34.414838053342351</v>
      </c>
      <c r="Z46" s="290"/>
      <c r="AB46" s="182">
        <f>+IF(AB45&gt;$G$13+$G$14,XX,AB45+1)</f>
        <v>2026</v>
      </c>
      <c r="AC46" s="152"/>
      <c r="AD46" s="187">
        <f t="shared" si="1"/>
        <v>266887.27898453025</v>
      </c>
      <c r="AE46" s="4"/>
      <c r="AF46" s="190">
        <f t="shared" si="14"/>
        <v>80.89966015869814</v>
      </c>
      <c r="AG46" s="4"/>
      <c r="AH46" s="190">
        <f t="shared" si="15"/>
        <v>11.40554823855768</v>
      </c>
      <c r="AI46" s="4"/>
      <c r="AJ46" s="190">
        <f t="shared" si="16"/>
        <v>3.2061628329634968</v>
      </c>
      <c r="AK46" s="4"/>
      <c r="AL46" s="189">
        <f t="shared" si="7"/>
        <v>6634.8030042417804</v>
      </c>
      <c r="AM46" s="4"/>
      <c r="AN46" s="190">
        <f>INDEX('(2.2)_Forward_Price_Curve'!$I:$I,MATCH($AB46,'(2.2)_Forward_Price_Curve'!$C:$C,0),1)</f>
        <v>11.299115883408938</v>
      </c>
      <c r="AO46" s="4"/>
      <c r="AP46" s="190">
        <f t="shared" si="8"/>
        <v>82.099617026259821</v>
      </c>
      <c r="AQ46" s="4"/>
      <c r="AR46" s="190">
        <f t="shared" si="17"/>
        <v>3.3187702030845632</v>
      </c>
      <c r="AS46" s="190"/>
      <c r="AT46" s="189">
        <f t="shared" si="2"/>
        <v>2978.4363618814396</v>
      </c>
      <c r="AU46" s="4"/>
      <c r="AV46" s="189">
        <f t="shared" si="3"/>
        <v>22797.080942886674</v>
      </c>
      <c r="AW46" s="337"/>
      <c r="AX46" s="191">
        <f t="shared" si="9"/>
        <v>25775.517304768113</v>
      </c>
      <c r="AZ46" s="182">
        <f>+IF(AZ45&gt;$G$13+$G$14,XX,AZ45+1)</f>
        <v>2026</v>
      </c>
      <c r="BA46" s="152"/>
      <c r="BB46" s="190">
        <f t="shared" si="18"/>
        <v>54.51208732471575</v>
      </c>
      <c r="BC46" s="4"/>
      <c r="BD46" s="190">
        <f t="shared" si="19"/>
        <v>8.2881919847352741</v>
      </c>
      <c r="BE46" s="4"/>
      <c r="BF46" s="189">
        <f t="shared" si="10"/>
        <v>3656.3666423603408</v>
      </c>
      <c r="BG46" s="4"/>
      <c r="BH46" s="193"/>
    </row>
    <row r="47" spans="2:60" ht="12">
      <c r="B47" s="3"/>
      <c r="C47" s="7">
        <f>+IF(C46&gt;$G$13+$G$14,XX,C46+1)</f>
        <v>2027</v>
      </c>
      <c r="D47" s="7"/>
      <c r="E47" s="330">
        <v>1.9E-2</v>
      </c>
      <c r="F47" s="7"/>
      <c r="G47" s="23">
        <v>266887.27898453025</v>
      </c>
      <c r="H47" s="7"/>
      <c r="I47" s="39">
        <f t="shared" si="11"/>
        <v>277.4167557541881</v>
      </c>
      <c r="J47" s="7"/>
      <c r="K47" s="39">
        <f t="shared" si="12"/>
        <v>20.734650097479332</v>
      </c>
      <c r="L47" s="7"/>
      <c r="M47" s="39">
        <f t="shared" si="13"/>
        <v>7.68751004141303</v>
      </c>
      <c r="N47" s="7"/>
      <c r="O47" s="333">
        <v>7.35126593428694</v>
      </c>
      <c r="P47" s="7"/>
      <c r="Q47" s="39">
        <v>0</v>
      </c>
      <c r="R47" s="7"/>
      <c r="S47" s="23">
        <f t="shared" si="4"/>
        <v>35624.647385518751</v>
      </c>
      <c r="T47" s="7"/>
      <c r="U47" s="23">
        <f t="shared" si="0"/>
        <v>26262.968716117601</v>
      </c>
      <c r="V47" s="7"/>
      <c r="W47" s="23">
        <f t="shared" si="5"/>
        <v>9361.6786694011498</v>
      </c>
      <c r="X47" s="7"/>
      <c r="Y47" s="334">
        <f t="shared" si="6"/>
        <v>35.077275713631096</v>
      </c>
      <c r="Z47" s="290"/>
      <c r="AB47" s="182">
        <f>+IF(AB46&gt;$G$13+$G$14,XX,AB46+1)</f>
        <v>2027</v>
      </c>
      <c r="AC47" s="152"/>
      <c r="AD47" s="187">
        <f t="shared" si="1"/>
        <v>266887.27898453025</v>
      </c>
      <c r="AE47" s="4"/>
      <c r="AF47" s="190">
        <f t="shared" si="14"/>
        <v>82.4367537017134</v>
      </c>
      <c r="AG47" s="4"/>
      <c r="AH47" s="190">
        <f t="shared" si="15"/>
        <v>11.622253655090274</v>
      </c>
      <c r="AI47" s="4"/>
      <c r="AJ47" s="190">
        <f t="shared" si="16"/>
        <v>3.267079926789803</v>
      </c>
      <c r="AK47" s="4"/>
      <c r="AL47" s="189">
        <f t="shared" si="7"/>
        <v>6760.8642613223737</v>
      </c>
      <c r="AM47" s="4"/>
      <c r="AN47" s="190">
        <f>INDEX('(2.2)_Forward_Price_Curve'!$I:$I,MATCH($AB47,'(2.2)_Forward_Price_Curve'!$C:$C,0),1)</f>
        <v>11.51262158558478</v>
      </c>
      <c r="AO47" s="4"/>
      <c r="AP47" s="190">
        <f t="shared" si="8"/>
        <v>83.650954012483467</v>
      </c>
      <c r="AQ47" s="4"/>
      <c r="AR47" s="190">
        <f t="shared" si="17"/>
        <v>3.3818268369431697</v>
      </c>
      <c r="AS47" s="190"/>
      <c r="AT47" s="189">
        <f t="shared" si="2"/>
        <v>3035.0266527571866</v>
      </c>
      <c r="AU47" s="4"/>
      <c r="AV47" s="189">
        <f t="shared" si="3"/>
        <v>23227.942063360413</v>
      </c>
      <c r="AW47" s="337"/>
      <c r="AX47" s="191">
        <f t="shared" si="9"/>
        <v>26262.968716117601</v>
      </c>
      <c r="AZ47" s="182">
        <f>+IF(AZ46&gt;$G$13+$G$14,XX,AZ46+1)</f>
        <v>2027</v>
      </c>
      <c r="BA47" s="152"/>
      <c r="BB47" s="190">
        <f t="shared" si="18"/>
        <v>55.547816983885347</v>
      </c>
      <c r="BC47" s="4"/>
      <c r="BD47" s="190">
        <f t="shared" si="19"/>
        <v>8.4456676324452431</v>
      </c>
      <c r="BE47" s="4"/>
      <c r="BF47" s="189">
        <f t="shared" si="10"/>
        <v>3725.8376085651871</v>
      </c>
      <c r="BG47" s="4"/>
      <c r="BH47" s="193"/>
    </row>
    <row r="48" spans="2:60" ht="12">
      <c r="B48" s="3"/>
      <c r="C48" s="7">
        <f>+IF(C47&gt;$G$13+$G$14,XX,C47+1)</f>
        <v>2028</v>
      </c>
      <c r="D48" s="7"/>
      <c r="E48" s="330">
        <v>1.9E-2</v>
      </c>
      <c r="F48" s="7"/>
      <c r="G48" s="23">
        <v>267537.77831756306</v>
      </c>
      <c r="H48" s="7"/>
      <c r="I48" s="39">
        <f t="shared" si="11"/>
        <v>282.68767411351763</v>
      </c>
      <c r="J48" s="7"/>
      <c r="K48" s="39">
        <f t="shared" si="12"/>
        <v>21.128608449331438</v>
      </c>
      <c r="L48" s="7"/>
      <c r="M48" s="39">
        <f t="shared" si="13"/>
        <v>7.8335727321998769</v>
      </c>
      <c r="N48" s="7"/>
      <c r="O48" s="333">
        <v>7.4909399870383915</v>
      </c>
      <c r="P48" s="7"/>
      <c r="Q48" s="39">
        <v>0</v>
      </c>
      <c r="R48" s="7"/>
      <c r="S48" s="23">
        <f t="shared" si="4"/>
        <v>36325.228416850725</v>
      </c>
      <c r="T48" s="7"/>
      <c r="U48" s="23">
        <f t="shared" si="0"/>
        <v>26825.464950934798</v>
      </c>
      <c r="V48" s="7"/>
      <c r="W48" s="23">
        <f t="shared" si="5"/>
        <v>9499.7634659159266</v>
      </c>
      <c r="X48" s="7"/>
      <c r="Y48" s="334">
        <f t="shared" si="6"/>
        <v>35.508119734177725</v>
      </c>
      <c r="Z48" s="290"/>
      <c r="AB48" s="182">
        <f>+IF(AB47&gt;$G$13+$G$14,XX,AB47+1)</f>
        <v>2028</v>
      </c>
      <c r="AC48" s="152"/>
      <c r="AD48" s="187">
        <f t="shared" si="1"/>
        <v>267537.77831756306</v>
      </c>
      <c r="AE48" s="4"/>
      <c r="AF48" s="190">
        <f t="shared" si="14"/>
        <v>84.003052022045949</v>
      </c>
      <c r="AG48" s="4"/>
      <c r="AH48" s="190">
        <f t="shared" si="15"/>
        <v>11.843076474536989</v>
      </c>
      <c r="AI48" s="4"/>
      <c r="AJ48" s="190">
        <f t="shared" si="16"/>
        <v>3.3291544453988089</v>
      </c>
      <c r="AK48" s="4"/>
      <c r="AL48" s="189">
        <f t="shared" si="7"/>
        <v>6891.4862950337938</v>
      </c>
      <c r="AM48" s="4"/>
      <c r="AN48" s="190">
        <f>INDEX('(2.2)_Forward_Price_Curve'!$I:$I,MATCH($AB48,'(2.2)_Forward_Price_Curve'!$C:$C,0),1)</f>
        <v>11.7332358254813</v>
      </c>
      <c r="AO48" s="4"/>
      <c r="AP48" s="190">
        <f t="shared" si="8"/>
        <v>85.253941785415222</v>
      </c>
      <c r="AQ48" s="4"/>
      <c r="AR48" s="190">
        <f t="shared" si="17"/>
        <v>3.4460815468450896</v>
      </c>
      <c r="AS48" s="190"/>
      <c r="AT48" s="189">
        <f t="shared" si="2"/>
        <v>3094.857771905868</v>
      </c>
      <c r="AU48" s="4"/>
      <c r="AV48" s="189">
        <f t="shared" si="3"/>
        <v>23730.607179028932</v>
      </c>
      <c r="AW48" s="337"/>
      <c r="AX48" s="191">
        <f t="shared" si="9"/>
        <v>26825.464950934798</v>
      </c>
      <c r="AZ48" s="182">
        <f>+IF(AZ47&gt;$G$13+$G$14,XX,AZ47+1)</f>
        <v>2028</v>
      </c>
      <c r="BA48" s="152"/>
      <c r="BB48" s="190">
        <f t="shared" si="18"/>
        <v>56.603225506579165</v>
      </c>
      <c r="BC48" s="4"/>
      <c r="BD48" s="190">
        <f t="shared" si="19"/>
        <v>8.6061353174617015</v>
      </c>
      <c r="BE48" s="4"/>
      <c r="BF48" s="189">
        <f t="shared" si="10"/>
        <v>3796.6285231279257</v>
      </c>
      <c r="BG48" s="4"/>
      <c r="BH48" s="193"/>
    </row>
    <row r="49" spans="2:60" ht="12">
      <c r="B49" s="3"/>
      <c r="C49" s="7">
        <f>+IF(C48&gt;$G$13+$G$14,XX,C48+1)</f>
        <v>2029</v>
      </c>
      <c r="D49" s="7"/>
      <c r="E49" s="330">
        <v>1.9E-2</v>
      </c>
      <c r="F49" s="7"/>
      <c r="G49" s="23">
        <v>266887.27898453025</v>
      </c>
      <c r="H49" s="7"/>
      <c r="I49" s="39">
        <f t="shared" si="11"/>
        <v>288.05873992167443</v>
      </c>
      <c r="J49" s="7"/>
      <c r="K49" s="39">
        <f t="shared" si="12"/>
        <v>21.530052009868733</v>
      </c>
      <c r="L49" s="7"/>
      <c r="M49" s="39">
        <f t="shared" si="13"/>
        <v>7.9824106141116742</v>
      </c>
      <c r="N49" s="7"/>
      <c r="O49" s="333">
        <v>7.63326784679212</v>
      </c>
      <c r="P49" s="7"/>
      <c r="Q49" s="39">
        <v>0</v>
      </c>
      <c r="R49" s="7"/>
      <c r="S49" s="23">
        <f t="shared" si="4"/>
        <v>36991.244483874631</v>
      </c>
      <c r="T49" s="7"/>
      <c r="U49" s="23">
        <f t="shared" si="0"/>
        <v>27267.885467777029</v>
      </c>
      <c r="V49" s="7"/>
      <c r="W49" s="23">
        <f t="shared" si="5"/>
        <v>9723.3590160976019</v>
      </c>
      <c r="X49" s="7"/>
      <c r="Y49" s="334">
        <f t="shared" si="6"/>
        <v>36.432455878353061</v>
      </c>
      <c r="Z49" s="290"/>
      <c r="AB49" s="182">
        <f>+IF(AB48&gt;$G$13+$G$14,XX,AB48+1)</f>
        <v>2029</v>
      </c>
      <c r="AC49" s="152"/>
      <c r="AD49" s="187">
        <f t="shared" si="1"/>
        <v>266887.27898453025</v>
      </c>
      <c r="AE49" s="4"/>
      <c r="AF49" s="190">
        <f t="shared" si="14"/>
        <v>85.599110010464813</v>
      </c>
      <c r="AG49" s="4"/>
      <c r="AH49" s="190">
        <f t="shared" si="15"/>
        <v>12.06809492755319</v>
      </c>
      <c r="AI49" s="4"/>
      <c r="AJ49" s="190">
        <f t="shared" si="16"/>
        <v>3.392408379861386</v>
      </c>
      <c r="AK49" s="4"/>
      <c r="AL49" s="189">
        <f t="shared" si="7"/>
        <v>7020.2177752509606</v>
      </c>
      <c r="AM49" s="4"/>
      <c r="AN49" s="190">
        <f>INDEX('(2.2)_Forward_Price_Curve'!$I:$I,MATCH($AB49,'(2.2)_Forward_Price_Curve'!$C:$C,0),1)</f>
        <v>11.952938687642925</v>
      </c>
      <c r="AO49" s="4"/>
      <c r="AP49" s="190">
        <f t="shared" si="8"/>
        <v>86.850307468284981</v>
      </c>
      <c r="AQ49" s="4"/>
      <c r="AR49" s="190">
        <f t="shared" si="17"/>
        <v>3.5115570962351459</v>
      </c>
      <c r="AS49" s="190"/>
      <c r="AT49" s="189">
        <f t="shared" si="2"/>
        <v>3151.4533101836046</v>
      </c>
      <c r="AU49" s="4"/>
      <c r="AV49" s="189">
        <f t="shared" si="3"/>
        <v>24116.432157593423</v>
      </c>
      <c r="AW49" s="337"/>
      <c r="AX49" s="191">
        <f t="shared" si="9"/>
        <v>27267.885467777029</v>
      </c>
      <c r="AZ49" s="182">
        <f>+IF(AZ48&gt;$G$13+$G$14,XX,AZ48+1)</f>
        <v>2029</v>
      </c>
      <c r="BA49" s="152"/>
      <c r="BB49" s="190">
        <f t="shared" si="18"/>
        <v>57.678686791204164</v>
      </c>
      <c r="BC49" s="4"/>
      <c r="BD49" s="190">
        <f t="shared" si="19"/>
        <v>8.7696518884934722</v>
      </c>
      <c r="BE49" s="4"/>
      <c r="BF49" s="189">
        <f t="shared" si="10"/>
        <v>3868.764465067356</v>
      </c>
      <c r="BG49" s="4"/>
      <c r="BH49" s="193"/>
    </row>
    <row r="50" spans="2:60" ht="12">
      <c r="B50" s="3"/>
      <c r="C50" s="7">
        <f>+IF(C49&gt;$G$13+$G$14,XX,C49+1)</f>
        <v>2030</v>
      </c>
      <c r="D50" s="7"/>
      <c r="E50" s="330">
        <v>0.02</v>
      </c>
      <c r="F50" s="7"/>
      <c r="G50" s="23">
        <v>266887.27898453025</v>
      </c>
      <c r="H50" s="7"/>
      <c r="I50" s="39">
        <f t="shared" si="11"/>
        <v>293.81991472010793</v>
      </c>
      <c r="J50" s="7"/>
      <c r="K50" s="39">
        <f t="shared" si="12"/>
        <v>21.960653050066107</v>
      </c>
      <c r="L50" s="7"/>
      <c r="M50" s="39">
        <f t="shared" si="13"/>
        <v>8.1420588263939084</v>
      </c>
      <c r="N50" s="7"/>
      <c r="O50" s="333">
        <v>7.7859332037279625</v>
      </c>
      <c r="P50" s="7"/>
      <c r="Q50" s="39">
        <v>0</v>
      </c>
      <c r="R50" s="7"/>
      <c r="S50" s="23">
        <f t="shared" si="4"/>
        <v>37731.06937355212</v>
      </c>
      <c r="T50" s="7"/>
      <c r="U50" s="23">
        <f t="shared" si="0"/>
        <v>27814.753797380334</v>
      </c>
      <c r="V50" s="7"/>
      <c r="W50" s="23">
        <f t="shared" si="5"/>
        <v>9916.3155761717862</v>
      </c>
      <c r="X50" s="7"/>
      <c r="Y50" s="334">
        <f t="shared" si="6"/>
        <v>37.155444852605996</v>
      </c>
      <c r="Z50" s="290"/>
      <c r="AB50" s="182">
        <f>+IF(AB49&gt;$G$13+$G$14,XX,AB49+1)</f>
        <v>2030</v>
      </c>
      <c r="AC50" s="152"/>
      <c r="AD50" s="187">
        <f t="shared" si="1"/>
        <v>266887.27898453025</v>
      </c>
      <c r="AE50" s="4"/>
      <c r="AF50" s="190">
        <f t="shared" si="14"/>
        <v>87.311092210674104</v>
      </c>
      <c r="AG50" s="4"/>
      <c r="AH50" s="190">
        <f t="shared" si="15"/>
        <v>12.309456826104254</v>
      </c>
      <c r="AI50" s="4"/>
      <c r="AJ50" s="190">
        <f t="shared" si="16"/>
        <v>3.4602565474586138</v>
      </c>
      <c r="AK50" s="4"/>
      <c r="AL50" s="189">
        <f t="shared" si="7"/>
        <v>7160.622130755979</v>
      </c>
      <c r="AM50" s="4"/>
      <c r="AN50" s="190">
        <f>INDEX('(2.2)_Forward_Price_Curve'!$I:$I,MATCH($AB50,'(2.2)_Forward_Price_Curve'!$C:$C,0),1)</f>
        <v>12.192776449380618</v>
      </c>
      <c r="AO50" s="4"/>
      <c r="AP50" s="190">
        <f t="shared" si="8"/>
        <v>88.592973760964796</v>
      </c>
      <c r="AQ50" s="4"/>
      <c r="AR50" s="190">
        <f t="shared" si="17"/>
        <v>3.5817882381598487</v>
      </c>
      <c r="AS50" s="190"/>
      <c r="AT50" s="189">
        <f t="shared" si="2"/>
        <v>3214.4823763872764</v>
      </c>
      <c r="AU50" s="4"/>
      <c r="AV50" s="189">
        <f t="shared" si="3"/>
        <v>24600.271420993056</v>
      </c>
      <c r="AW50" s="337"/>
      <c r="AX50" s="191">
        <f t="shared" si="9"/>
        <v>27814.753797380334</v>
      </c>
      <c r="AZ50" s="182">
        <f>+IF(AZ49&gt;$G$13+$G$14,XX,AZ49+1)</f>
        <v>2030</v>
      </c>
      <c r="BA50" s="152"/>
      <c r="BB50" s="190">
        <f t="shared" si="18"/>
        <v>58.832260527028247</v>
      </c>
      <c r="BC50" s="4"/>
      <c r="BD50" s="190">
        <f t="shared" si="19"/>
        <v>8.9450449262633427</v>
      </c>
      <c r="BE50" s="4"/>
      <c r="BF50" s="189">
        <f t="shared" si="10"/>
        <v>3946.1397543687026</v>
      </c>
      <c r="BG50" s="4"/>
      <c r="BH50" s="193"/>
    </row>
    <row r="51" spans="2:60" ht="12">
      <c r="B51" s="3"/>
      <c r="C51" s="7">
        <f>+IF(C50&gt;$G$13+$G$14,XX,C50+1)</f>
        <v>2031</v>
      </c>
      <c r="D51" s="7"/>
      <c r="E51" s="330">
        <v>0.02</v>
      </c>
      <c r="F51" s="7"/>
      <c r="G51" s="23">
        <v>266887.27898453025</v>
      </c>
      <c r="H51" s="7"/>
      <c r="I51" s="39">
        <f t="shared" si="11"/>
        <v>299.69631301451011</v>
      </c>
      <c r="J51" s="7"/>
      <c r="K51" s="39">
        <f t="shared" si="12"/>
        <v>22.399866111067428</v>
      </c>
      <c r="L51" s="7"/>
      <c r="M51" s="39">
        <f t="shared" si="13"/>
        <v>8.3049000029217872</v>
      </c>
      <c r="N51" s="7"/>
      <c r="O51" s="333">
        <v>7.9416518678025216</v>
      </c>
      <c r="P51" s="7"/>
      <c r="Q51" s="39">
        <v>0</v>
      </c>
      <c r="R51" s="7"/>
      <c r="S51" s="23">
        <f t="shared" si="4"/>
        <v>38485.690761023165</v>
      </c>
      <c r="T51" s="7"/>
      <c r="U51" s="23">
        <f t="shared" si="0"/>
        <v>28366.579952687447</v>
      </c>
      <c r="V51" s="7"/>
      <c r="W51" s="23">
        <f t="shared" si="5"/>
        <v>10119.110808335718</v>
      </c>
      <c r="X51" s="7"/>
      <c r="Y51" s="334">
        <f t="shared" si="6"/>
        <v>37.915298349316444</v>
      </c>
      <c r="Z51" s="290"/>
      <c r="AB51" s="182">
        <f>+IF(AB50&gt;$G$13+$G$14,XX,AB50+1)</f>
        <v>2031</v>
      </c>
      <c r="AC51" s="152"/>
      <c r="AD51" s="187">
        <f t="shared" si="1"/>
        <v>266887.27898453025</v>
      </c>
      <c r="AE51" s="4"/>
      <c r="AF51" s="190">
        <f t="shared" si="14"/>
        <v>89.057314054887584</v>
      </c>
      <c r="AG51" s="4"/>
      <c r="AH51" s="190">
        <f t="shared" si="15"/>
        <v>12.55564596262634</v>
      </c>
      <c r="AI51" s="4"/>
      <c r="AJ51" s="190">
        <f t="shared" si="16"/>
        <v>3.5294616784077859</v>
      </c>
      <c r="AK51" s="4"/>
      <c r="AL51" s="189">
        <f t="shared" si="7"/>
        <v>7303.8345733710976</v>
      </c>
      <c r="AM51" s="4"/>
      <c r="AN51" s="190">
        <f>INDEX('(2.2)_Forward_Price_Curve'!$I:$I,MATCH($AB51,'(2.2)_Forward_Price_Curve'!$C:$C,0),1)</f>
        <v>12.434327471004936</v>
      </c>
      <c r="AO51" s="4"/>
      <c r="AP51" s="190">
        <f t="shared" si="8"/>
        <v>90.348088636525773</v>
      </c>
      <c r="AQ51" s="4"/>
      <c r="AR51" s="190">
        <f t="shared" si="17"/>
        <v>3.6534240029230456</v>
      </c>
      <c r="AS51" s="190"/>
      <c r="AT51" s="189">
        <f t="shared" si="2"/>
        <v>3278.7720239150212</v>
      </c>
      <c r="AU51" s="4"/>
      <c r="AV51" s="189">
        <f t="shared" si="3"/>
        <v>25087.807928772425</v>
      </c>
      <c r="AW51" s="337"/>
      <c r="AX51" s="191">
        <f t="shared" si="9"/>
        <v>28366.579952687447</v>
      </c>
      <c r="AZ51" s="182">
        <f>+IF(AZ50&gt;$G$13+$G$14,XX,AZ50+1)</f>
        <v>2031</v>
      </c>
      <c r="BA51" s="152"/>
      <c r="BB51" s="190">
        <f t="shared" si="18"/>
        <v>60.00890573756881</v>
      </c>
      <c r="BC51" s="4"/>
      <c r="BD51" s="190">
        <f t="shared" si="19"/>
        <v>9.1239458247886098</v>
      </c>
      <c r="BE51" s="4"/>
      <c r="BF51" s="189">
        <f t="shared" si="10"/>
        <v>4025.0625494560763</v>
      </c>
      <c r="BG51" s="4"/>
      <c r="BH51" s="193"/>
    </row>
    <row r="52" spans="2:60" ht="12">
      <c r="B52" s="3"/>
      <c r="C52" s="7">
        <f>+IF(C51&gt;$G$13+$G$14,XX,C51+1)</f>
        <v>2032</v>
      </c>
      <c r="D52" s="7"/>
      <c r="E52" s="330">
        <v>2.1000000000000001E-2</v>
      </c>
      <c r="F52" s="7"/>
      <c r="G52" s="23">
        <f>G48</f>
        <v>267537.77831756306</v>
      </c>
      <c r="H52" s="7"/>
      <c r="I52" s="39">
        <f t="shared" si="11"/>
        <v>305.98993558781478</v>
      </c>
      <c r="J52" s="7"/>
      <c r="K52" s="39">
        <f t="shared" si="12"/>
        <v>22.870263299399841</v>
      </c>
      <c r="L52" s="7"/>
      <c r="M52" s="39">
        <f t="shared" si="13"/>
        <v>8.4793029029831448</v>
      </c>
      <c r="N52" s="7"/>
      <c r="O52" s="333">
        <v>8.1084265570263732</v>
      </c>
      <c r="P52" s="7"/>
      <c r="Q52" s="39">
        <v>0</v>
      </c>
      <c r="R52" s="7"/>
      <c r="S52" s="23">
        <f t="shared" si="4"/>
        <v>39319.557664977459</v>
      </c>
      <c r="T52" s="7"/>
      <c r="U52" s="23">
        <f t="shared" si="0"/>
        <v>29032.29921096074</v>
      </c>
      <c r="V52" s="7"/>
      <c r="W52" s="23">
        <f t="shared" si="5"/>
        <v>10287.258454016719</v>
      </c>
      <c r="X52" s="7"/>
      <c r="Y52" s="334">
        <f t="shared" si="6"/>
        <v>38.451610530330065</v>
      </c>
      <c r="Z52" s="290"/>
      <c r="AB52" s="182">
        <f>+IF(AB51&gt;$G$13+$G$14,XX,AB51+1)</f>
        <v>2032</v>
      </c>
      <c r="AC52" s="152"/>
      <c r="AD52" s="187">
        <f t="shared" si="1"/>
        <v>267537.77831756306</v>
      </c>
      <c r="AE52" s="4"/>
      <c r="AF52" s="190">
        <f t="shared" si="14"/>
        <v>90.927517650040215</v>
      </c>
      <c r="AG52" s="4"/>
      <c r="AH52" s="190">
        <f t="shared" si="15"/>
        <v>12.819314527841492</v>
      </c>
      <c r="AI52" s="4"/>
      <c r="AJ52" s="190">
        <f t="shared" si="16"/>
        <v>3.6035803736543492</v>
      </c>
      <c r="AK52" s="4"/>
      <c r="AL52" s="189">
        <f t="shared" si="7"/>
        <v>7459.5592260414824</v>
      </c>
      <c r="AM52" s="4"/>
      <c r="AN52" s="190">
        <f>INDEX('(2.2)_Forward_Price_Curve'!$I:$I,MATCH($AB52,'(2.2)_Forward_Price_Curve'!$C:$C,0),1)</f>
        <v>12.698146444521699</v>
      </c>
      <c r="AO52" s="4"/>
      <c r="AP52" s="190">
        <f t="shared" si="8"/>
        <v>92.265002925526986</v>
      </c>
      <c r="AQ52" s="4"/>
      <c r="AR52" s="190">
        <f t="shared" si="17"/>
        <v>3.7301459069844292</v>
      </c>
      <c r="AS52" s="190"/>
      <c r="AT52" s="189">
        <f t="shared" si="2"/>
        <v>3349.9703630468284</v>
      </c>
      <c r="AU52" s="4"/>
      <c r="AV52" s="189">
        <f t="shared" si="3"/>
        <v>25682.328847913912</v>
      </c>
      <c r="AW52" s="337"/>
      <c r="AX52" s="191">
        <f t="shared" si="9"/>
        <v>29032.29921096074</v>
      </c>
      <c r="AZ52" s="182">
        <f>+IF(AZ51&gt;$G$13+$G$14,XX,AZ51+1)</f>
        <v>2032</v>
      </c>
      <c r="BA52" s="152"/>
      <c r="BB52" s="190">
        <f t="shared" si="18"/>
        <v>61.269092758057752</v>
      </c>
      <c r="BC52" s="4"/>
      <c r="BD52" s="190">
        <f t="shared" si="19"/>
        <v>9.3155486871091693</v>
      </c>
      <c r="BE52" s="4"/>
      <c r="BF52" s="189">
        <f>(BB52+BD52)*$BD$11</f>
        <v>4109.5888629946539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7.32%</v>
      </c>
      <c r="E54" s="210"/>
      <c r="F54" s="4"/>
      <c r="G54" s="23">
        <f>+-PMT($G$18,$G$14,NPV($G$18,G28:G52))</f>
        <v>267074.61582954036</v>
      </c>
      <c r="H54" s="7"/>
      <c r="I54" s="39">
        <f>+-PMT($G$18,$G$14,NPV($G$18,I28:I52))</f>
        <v>230.51627801606662</v>
      </c>
      <c r="J54" s="39"/>
      <c r="K54" s="39">
        <f>+-PMT($G$18,$G$14,NPV($G$18,K28:K52))</f>
        <v>17.229220179734043</v>
      </c>
      <c r="L54" s="7"/>
      <c r="M54" s="39">
        <f>+-PMT($G$18,$G$14,NPV($G$18,M28:M52))</f>
        <v>6.3878484813941006</v>
      </c>
      <c r="N54" s="7"/>
      <c r="O54" s="39">
        <f>+-PMT($G$18,$G$14,NPV($G$18,O28:O52))</f>
        <v>6.1084502890649341</v>
      </c>
      <c r="P54" s="7"/>
      <c r="Q54" s="39">
        <f>+-PMT($G$18,$G$14,NPV($G$18,Q28:Q52))</f>
        <v>-21.001367225957868</v>
      </c>
      <c r="R54" s="7"/>
      <c r="S54" s="23">
        <f>+-PMT($G$18,$G$14,NPV($G$18,S28:S52))</f>
        <v>23998.180081300361</v>
      </c>
      <c r="T54" s="7"/>
      <c r="U54" s="23">
        <f>+-PMT($G$18,$G$14,NPV($G$18,U28:U52))</f>
        <v>20223.968248878362</v>
      </c>
      <c r="V54" s="4"/>
      <c r="W54" s="355">
        <f>+-PMT($G$18,$G$14,NPV($G$18,W28:W52))</f>
        <v>3774.2118324219955</v>
      </c>
      <c r="X54" s="4"/>
      <c r="Y54" s="334">
        <f>+W54/G54*1000</f>
        <v>14.131675601963146</v>
      </c>
      <c r="Z54" s="290"/>
      <c r="AB54" s="3"/>
      <c r="AC54" s="4"/>
      <c r="AD54" s="187">
        <f>+-PMT($G$18,$G$14,NPV($G$18,AD28:AD52))</f>
        <v>267074.61582954036</v>
      </c>
      <c r="AE54" s="4"/>
      <c r="AF54" s="190">
        <f>+-PMT($G$18,$G$14,NPV($G$18,AF28:AF52))</f>
        <v>68.499876957267318</v>
      </c>
      <c r="AG54" s="4"/>
      <c r="AH54" s="190">
        <f>+-PMT($G$18,$G$14,NPV($G$18,AH28:AH52))</f>
        <v>9.6573786520087967</v>
      </c>
      <c r="AI54" s="4"/>
      <c r="AJ54" s="190">
        <f>+-PMT($G$18,$G$14,NPV($G$18,AJ28:AJ52))</f>
        <v>2.7147426717508885</v>
      </c>
      <c r="AK54" s="4"/>
      <c r="AL54" s="189">
        <f>+-PMT($G$18,$G$14,NPV($G$18,AL28:AL52))</f>
        <v>5618.3653628096599</v>
      </c>
      <c r="AM54" s="4"/>
      <c r="AN54" s="190">
        <f>+-PMT($G$18,$G$14,NPV($G$18,AN28:AN52))</f>
        <v>8.735091274734982</v>
      </c>
      <c r="AO54" s="4"/>
      <c r="AP54" s="190">
        <f>+-PMT($G$18,$G$14,NPV($G$18,AP28:AP52))</f>
        <v>63.469359527340494</v>
      </c>
      <c r="AQ54" s="4"/>
      <c r="AR54" s="190">
        <f>+-PMT($G$18,$G$14,NPV($G$18,AR28:AR52))</f>
        <v>2.8100903034052487</v>
      </c>
      <c r="AS54" s="190"/>
      <c r="AT54" s="189">
        <f>+-PMT($G$18,$G$14,NPV($G$18,AT28:AT52))</f>
        <v>2522.4232461058341</v>
      </c>
      <c r="AU54" s="4"/>
      <c r="AV54" s="189">
        <f>+-PMT($G$18,$G$14,NPV($G$18,AV28:AV52))</f>
        <v>17701.545002772535</v>
      </c>
      <c r="AW54" s="337"/>
      <c r="AX54" s="191">
        <f>+-PMT($G$18,$G$14,NPV($G$18,AX28:AX52))</f>
        <v>20223.968248878362</v>
      </c>
      <c r="AZ54" s="3"/>
      <c r="BA54" s="4"/>
      <c r="BB54" s="190">
        <f>+-PMT($G$18,$G$14,NPV($G$18,BB28:BB52))</f>
        <v>46.156822749339604</v>
      </c>
      <c r="BC54" s="4"/>
      <c r="BD54" s="190">
        <f>+-PMT($G$18,$G$14,NPV($G$18,BD28:BD52))</f>
        <v>7.01783085415759</v>
      </c>
      <c r="BE54" s="4"/>
      <c r="BF54" s="189">
        <f>+-PMT($G$18,$G$14,NPV($G$18,BF28:BF52))</f>
        <v>3095.9421167038249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  <pageSetUpPr fitToPage="1"/>
  </sheetPr>
  <dimension ref="A1:BL97"/>
  <sheetViews>
    <sheetView topLeftCell="A43" zoomScale="85" zoomScaleNormal="85" workbookViewId="0">
      <selection activeCell="Y71" sqref="Y71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13" style="171" bestFit="1" customWidth="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63" width="9.33203125" style="171"/>
    <col min="64" max="64" width="2" style="171" customWidth="1"/>
    <col min="65" max="16384" width="9.33203125" style="171"/>
  </cols>
  <sheetData>
    <row r="1" spans="1:64" s="283" customFormat="1">
      <c r="A1" s="283" t="s">
        <v>0</v>
      </c>
    </row>
    <row r="2" spans="1:64" s="283" customFormat="1">
      <c r="A2" s="283" t="str">
        <f>'Workpaper Index'!$C$4</f>
        <v xml:space="preserve">WASHINGTON JUNE, 1 2020 RENEWABLES REPORT </v>
      </c>
    </row>
    <row r="3" spans="1:64" s="283" customFormat="1">
      <c r="A3" s="283" t="s">
        <v>1</v>
      </c>
    </row>
    <row r="4" spans="1:64" s="283" customFormat="1"/>
    <row r="5" spans="1:64" s="283" customFormat="1">
      <c r="A5" s="504" t="s">
        <v>269</v>
      </c>
      <c r="B5" s="503"/>
      <c r="C5" s="503"/>
      <c r="D5" s="503"/>
      <c r="E5" s="503"/>
      <c r="F5" s="503"/>
      <c r="G5" s="503"/>
    </row>
    <row r="8" spans="1:64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N8" s="512" t="s">
        <v>108</v>
      </c>
      <c r="AO8" s="513"/>
      <c r="AP8" s="513"/>
      <c r="AQ8" s="513"/>
      <c r="AR8" s="513"/>
      <c r="AS8" s="513"/>
      <c r="AT8" s="513"/>
      <c r="AU8" s="513"/>
      <c r="AV8" s="513"/>
      <c r="AW8" s="514"/>
      <c r="AZ8" s="303" t="s">
        <v>109</v>
      </c>
      <c r="BA8" s="304"/>
      <c r="BB8" s="304"/>
      <c r="BC8" s="304"/>
      <c r="BD8" s="304"/>
      <c r="BE8" s="305"/>
      <c r="BG8" s="512" t="s">
        <v>109</v>
      </c>
      <c r="BH8" s="513"/>
      <c r="BI8" s="513"/>
      <c r="BJ8" s="513"/>
      <c r="BK8" s="513"/>
      <c r="BL8" s="514"/>
    </row>
    <row r="9" spans="1:64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N9" s="151"/>
      <c r="AO9" s="152"/>
      <c r="AP9" s="152"/>
      <c r="AQ9" s="152"/>
      <c r="AR9" s="153"/>
      <c r="AS9" s="152"/>
      <c r="AT9" s="152"/>
      <c r="AU9" s="152"/>
      <c r="AV9" s="154"/>
      <c r="AW9" s="155"/>
      <c r="AZ9" s="151"/>
      <c r="BA9" s="152"/>
      <c r="BB9" s="152"/>
      <c r="BC9" s="152"/>
      <c r="BD9" s="153"/>
      <c r="BE9" s="156"/>
      <c r="BG9" s="151"/>
      <c r="BH9" s="152"/>
      <c r="BI9" s="152"/>
      <c r="BJ9" s="152"/>
      <c r="BK9" s="153"/>
      <c r="BL9" s="156"/>
    </row>
    <row r="10" spans="1:64" ht="12">
      <c r="B10" s="310"/>
      <c r="C10" s="311" t="s">
        <v>110</v>
      </c>
      <c r="D10" s="311"/>
      <c r="E10" s="311"/>
      <c r="F10" s="311"/>
      <c r="G10" s="312" t="s">
        <v>15</v>
      </c>
      <c r="H10" s="313"/>
      <c r="I10" s="492" t="s">
        <v>268</v>
      </c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N10" s="551" t="s">
        <v>298</v>
      </c>
      <c r="AO10" s="552"/>
      <c r="AP10" s="552"/>
      <c r="AQ10" s="552"/>
      <c r="AR10" s="553"/>
      <c r="AS10" s="554"/>
      <c r="AT10" s="555"/>
      <c r="AU10" s="556"/>
      <c r="AV10" s="557"/>
      <c r="AW10" s="558"/>
      <c r="AZ10" s="157"/>
      <c r="BA10" s="158"/>
      <c r="BB10" s="158"/>
      <c r="BC10" s="158"/>
      <c r="BD10" s="159"/>
      <c r="BE10" s="163"/>
      <c r="BG10" s="617" t="s">
        <v>298</v>
      </c>
      <c r="BH10" s="618"/>
      <c r="BI10" s="618"/>
      <c r="BJ10" s="618"/>
      <c r="BK10" s="495"/>
      <c r="BL10" s="524"/>
    </row>
    <row r="11" spans="1:64" ht="12">
      <c r="B11" s="310"/>
      <c r="C11" s="311" t="s">
        <v>39</v>
      </c>
      <c r="D11" s="311"/>
      <c r="E11" s="311"/>
      <c r="F11" s="311"/>
      <c r="G11" s="312">
        <v>94</v>
      </c>
      <c r="H11" s="313"/>
      <c r="I11" s="493">
        <f>'[8]Data for NPC'!$M$3</f>
        <v>94</v>
      </c>
      <c r="AB11" s="157" t="s">
        <v>111</v>
      </c>
      <c r="AC11" s="158"/>
      <c r="AD11" s="158"/>
      <c r="AE11" s="158"/>
      <c r="AF11" s="169">
        <f>+G11*(G12/AJ16)</f>
        <v>62.60880648141876</v>
      </c>
      <c r="AG11" s="162"/>
      <c r="AH11" s="158" t="s">
        <v>112</v>
      </c>
      <c r="AI11" s="159"/>
      <c r="AJ11" s="164">
        <v>7.9126910299003335</v>
      </c>
      <c r="AK11" s="290"/>
      <c r="AN11" s="157" t="s">
        <v>111</v>
      </c>
      <c r="AO11" s="158"/>
      <c r="AP11" s="158"/>
      <c r="AQ11" s="158"/>
      <c r="AR11" s="516">
        <f>+I11*(I12/AV16)</f>
        <v>46.417982388274211</v>
      </c>
      <c r="AS11" s="162"/>
      <c r="AT11" s="158" t="s">
        <v>112</v>
      </c>
      <c r="AU11" s="159"/>
      <c r="AV11" s="517">
        <f>'(2.1)_Resources'!L29</f>
        <v>19.215270973980179</v>
      </c>
      <c r="AW11" s="290"/>
      <c r="AZ11" s="157" t="s">
        <v>111</v>
      </c>
      <c r="BA11" s="158"/>
      <c r="BB11" s="158"/>
      <c r="BC11" s="158"/>
      <c r="BD11" s="169">
        <f>(AF11*AF13-G11*G19)</f>
        <v>58.222139814752097</v>
      </c>
      <c r="BE11" s="165"/>
      <c r="BG11" s="157" t="s">
        <v>111</v>
      </c>
      <c r="BH11" s="158"/>
      <c r="BI11" s="158"/>
      <c r="BJ11" s="158"/>
      <c r="BK11" s="516">
        <f>(AR11*AR13-I11*I19)</f>
        <v>35.325982388274213</v>
      </c>
      <c r="BL11" s="165"/>
    </row>
    <row r="12" spans="1:64" ht="12">
      <c r="B12" s="310"/>
      <c r="C12" s="311" t="s">
        <v>40</v>
      </c>
      <c r="D12" s="311"/>
      <c r="E12" s="311"/>
      <c r="F12" s="311"/>
      <c r="G12" s="315">
        <v>0.32430715621392298</v>
      </c>
      <c r="H12" s="313"/>
      <c r="I12" s="494">
        <f>'[8]Data for NPC'!$M$6</f>
        <v>0.34452577526753925</v>
      </c>
      <c r="AB12" s="157" t="s">
        <v>40</v>
      </c>
      <c r="AC12" s="158"/>
      <c r="AD12" s="158"/>
      <c r="AE12" s="158"/>
      <c r="AF12" s="166">
        <f>+AD71/8760/AF11</f>
        <v>0.49623977684548609</v>
      </c>
      <c r="AG12" s="162"/>
      <c r="AH12" s="152" t="s">
        <v>113</v>
      </c>
      <c r="AI12" s="153"/>
      <c r="AJ12" s="152">
        <v>2006</v>
      </c>
      <c r="AK12" s="290"/>
      <c r="AN12" s="157" t="s">
        <v>40</v>
      </c>
      <c r="AO12" s="158"/>
      <c r="AP12" s="158"/>
      <c r="AQ12" s="158"/>
      <c r="AR12" s="518">
        <f>+AD71/8760/AR11</f>
        <v>0.66933068949480878</v>
      </c>
      <c r="AS12" s="162"/>
      <c r="AT12" s="152" t="s">
        <v>113</v>
      </c>
      <c r="AU12" s="153"/>
      <c r="AV12" s="519">
        <v>2018</v>
      </c>
      <c r="AW12" s="290"/>
      <c r="AZ12" s="157"/>
      <c r="BA12" s="158"/>
      <c r="BB12" s="158"/>
      <c r="BC12" s="158"/>
      <c r="BD12" s="166"/>
      <c r="BE12" s="167"/>
      <c r="BG12" s="157"/>
      <c r="BH12" s="158"/>
      <c r="BI12" s="158"/>
      <c r="BJ12" s="158"/>
      <c r="BK12" s="518"/>
      <c r="BL12" s="167"/>
    </row>
    <row r="13" spans="1:64" ht="12">
      <c r="B13" s="310"/>
      <c r="C13" s="311" t="s">
        <v>41</v>
      </c>
      <c r="D13" s="311"/>
      <c r="E13" s="311"/>
      <c r="F13" s="311"/>
      <c r="G13" s="312">
        <v>2008</v>
      </c>
      <c r="H13" s="313"/>
      <c r="I13" s="495">
        <v>2019</v>
      </c>
      <c r="K13" s="171" t="s">
        <v>275</v>
      </c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N13" s="157" t="s">
        <v>114</v>
      </c>
      <c r="AO13" s="158"/>
      <c r="AP13" s="158"/>
      <c r="AQ13" s="158"/>
      <c r="AR13" s="520">
        <v>1</v>
      </c>
      <c r="AS13" s="162"/>
      <c r="AT13" s="152" t="s">
        <v>115</v>
      </c>
      <c r="AU13" s="153"/>
      <c r="AV13" s="517">
        <f>'(2.1)_Resources'!O29</f>
        <v>2.2102879231948753</v>
      </c>
      <c r="AW13" s="290"/>
      <c r="AZ13" s="157" t="s">
        <v>114</v>
      </c>
      <c r="BA13" s="158"/>
      <c r="BB13" s="158"/>
      <c r="BC13" s="158"/>
      <c r="BD13" s="168">
        <v>1</v>
      </c>
      <c r="BE13" s="167"/>
      <c r="BG13" s="157" t="s">
        <v>114</v>
      </c>
      <c r="BH13" s="158"/>
      <c r="BI13" s="158"/>
      <c r="BJ13" s="158"/>
      <c r="BK13" s="520">
        <v>1</v>
      </c>
      <c r="BL13" s="167"/>
    </row>
    <row r="14" spans="1:64" ht="12">
      <c r="B14" s="310"/>
      <c r="C14" s="311" t="s">
        <v>42</v>
      </c>
      <c r="D14" s="311"/>
      <c r="E14" s="311"/>
      <c r="F14" s="311"/>
      <c r="G14" s="312">
        <v>25</v>
      </c>
      <c r="H14" s="313"/>
      <c r="I14" s="496">
        <v>30</v>
      </c>
      <c r="K14" s="511">
        <v>42</v>
      </c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N14" s="157" t="s">
        <v>116</v>
      </c>
      <c r="AO14" s="158"/>
      <c r="AP14" s="158"/>
      <c r="AQ14" s="158"/>
      <c r="AR14" s="516">
        <f>'(2.1)_Resources'!H29</f>
        <v>6500.8988201101647</v>
      </c>
      <c r="AS14" s="162"/>
      <c r="AT14" s="152"/>
      <c r="AU14" s="153"/>
      <c r="AV14" s="517"/>
      <c r="AW14" s="290"/>
      <c r="AZ14" s="157" t="s">
        <v>117</v>
      </c>
      <c r="BA14" s="158"/>
      <c r="BB14" s="158"/>
      <c r="BC14" s="158"/>
      <c r="BD14" s="170">
        <v>454</v>
      </c>
      <c r="BE14" s="167"/>
      <c r="BG14" s="157" t="s">
        <v>300</v>
      </c>
      <c r="BH14" s="158"/>
      <c r="BI14" s="158"/>
      <c r="BJ14" s="158"/>
      <c r="BK14" s="521">
        <f>'(2.1)_Resources'!J30</f>
        <v>843</v>
      </c>
      <c r="BL14" s="167"/>
    </row>
    <row r="15" spans="1:64" ht="12">
      <c r="A15" s="171" t="s">
        <v>118</v>
      </c>
      <c r="B15" s="310"/>
      <c r="C15" s="311" t="s">
        <v>119</v>
      </c>
      <c r="D15" s="311"/>
      <c r="E15" s="311"/>
      <c r="F15" s="311"/>
      <c r="G15" s="316">
        <v>192.46011054334076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N15" s="157" t="s">
        <v>299</v>
      </c>
      <c r="AO15" s="158"/>
      <c r="AP15" s="158"/>
      <c r="AQ15" s="158"/>
      <c r="AR15" s="521">
        <f>'(2.1)_Resources'!J29</f>
        <v>1350.7921550317262</v>
      </c>
      <c r="AS15" s="162"/>
      <c r="AT15" s="152" t="s">
        <v>158</v>
      </c>
      <c r="AU15" s="153"/>
      <c r="AV15" s="517"/>
      <c r="AW15" s="290"/>
      <c r="AZ15" s="157" t="s">
        <v>120</v>
      </c>
      <c r="BA15" s="158"/>
      <c r="BB15" s="158"/>
      <c r="BC15" s="158"/>
      <c r="BD15" s="172">
        <v>8.3299999999999999E-2</v>
      </c>
      <c r="BE15" s="167"/>
      <c r="BG15" s="157" t="s">
        <v>120</v>
      </c>
      <c r="BH15" s="158"/>
      <c r="BI15" s="158"/>
      <c r="BJ15" s="158"/>
      <c r="BK15" s="522">
        <f>'(2.1)_Resources'!K30</f>
        <v>6.9599999999999995E-2</v>
      </c>
      <c r="BL15" s="167"/>
    </row>
    <row r="16" spans="1:64" ht="12">
      <c r="A16" s="171" t="s">
        <v>118</v>
      </c>
      <c r="B16" s="310"/>
      <c r="C16" s="311" t="s">
        <v>121</v>
      </c>
      <c r="D16" s="311"/>
      <c r="E16" s="311"/>
      <c r="F16" s="311"/>
      <c r="G16" s="316">
        <v>14.384830645825609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N16" s="157" t="s">
        <v>120</v>
      </c>
      <c r="AO16" s="158"/>
      <c r="AP16" s="158"/>
      <c r="AQ16" s="158"/>
      <c r="AR16" s="522">
        <f>'(2.1)_Resources'!K30</f>
        <v>6.9599999999999995E-2</v>
      </c>
      <c r="AS16" s="162"/>
      <c r="AT16" s="152" t="s">
        <v>122</v>
      </c>
      <c r="AU16" s="159"/>
      <c r="AV16" s="523">
        <f>'(2.1)_Resources'!D29</f>
        <v>0.6976913086021953</v>
      </c>
      <c r="AW16" s="290"/>
      <c r="AZ16" s="157" t="s">
        <v>112</v>
      </c>
      <c r="BA16" s="159"/>
      <c r="BB16" s="164">
        <v>5.75</v>
      </c>
      <c r="BC16" s="4"/>
      <c r="BD16" s="4"/>
      <c r="BE16" s="165"/>
      <c r="BG16" s="157" t="s">
        <v>112</v>
      </c>
      <c r="BH16" s="159"/>
      <c r="BI16" s="517">
        <f>'(2.1)_Resources'!N30</f>
        <v>16.150000000000002</v>
      </c>
      <c r="BJ16" s="4"/>
      <c r="BK16" s="4"/>
      <c r="BL16" s="165"/>
    </row>
    <row r="17" spans="1:64" ht="12">
      <c r="A17" s="171" t="s">
        <v>118</v>
      </c>
      <c r="B17" s="310"/>
      <c r="C17" s="311" t="s">
        <v>123</v>
      </c>
      <c r="D17" s="311"/>
      <c r="E17" s="311"/>
      <c r="F17" s="311"/>
      <c r="G17" s="316">
        <v>5.3332720597611454</v>
      </c>
      <c r="H17" s="313"/>
      <c r="I17" s="316">
        <v>0</v>
      </c>
      <c r="AB17" s="3"/>
      <c r="AG17" s="162"/>
      <c r="AH17" s="4"/>
      <c r="AI17" s="162"/>
      <c r="AJ17" s="158"/>
      <c r="AK17" s="165"/>
      <c r="AN17" s="3"/>
      <c r="AS17" s="162"/>
      <c r="AT17" s="4"/>
      <c r="AU17" s="162"/>
      <c r="AV17" s="158"/>
      <c r="AW17" s="165"/>
      <c r="AZ17" s="151" t="s">
        <v>113</v>
      </c>
      <c r="BA17" s="153"/>
      <c r="BB17" s="152">
        <v>2006</v>
      </c>
      <c r="BC17" s="4"/>
      <c r="BD17" s="4"/>
      <c r="BE17" s="163"/>
      <c r="BG17" s="151" t="s">
        <v>113</v>
      </c>
      <c r="BH17" s="153"/>
      <c r="BI17" s="519">
        <v>2018</v>
      </c>
      <c r="BJ17" s="4"/>
      <c r="BK17" s="4"/>
      <c r="BL17" s="163"/>
    </row>
    <row r="18" spans="1:64" ht="12">
      <c r="B18" s="310"/>
      <c r="C18" s="311" t="s">
        <v>124</v>
      </c>
      <c r="D18" s="311"/>
      <c r="E18" s="311"/>
      <c r="F18" s="311"/>
      <c r="G18" s="315">
        <v>7.3164524549999999E-2</v>
      </c>
      <c r="H18" s="313"/>
      <c r="I18" s="497">
        <v>6.9199999999999998E-2</v>
      </c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N18" s="174"/>
      <c r="AO18" s="175"/>
      <c r="AP18" s="175"/>
      <c r="AQ18" s="175"/>
      <c r="AR18" s="175"/>
      <c r="AS18" s="175"/>
      <c r="AT18" s="175"/>
      <c r="AU18" s="175"/>
      <c r="AV18" s="175"/>
      <c r="AW18" s="176"/>
      <c r="AZ18" s="174"/>
      <c r="BA18" s="175"/>
      <c r="BB18" s="175"/>
      <c r="BC18" s="175"/>
      <c r="BD18" s="175"/>
      <c r="BE18" s="177"/>
      <c r="BG18" s="174"/>
      <c r="BH18" s="175"/>
      <c r="BI18" s="175"/>
      <c r="BJ18" s="175"/>
      <c r="BK18" s="175"/>
      <c r="BL18" s="177"/>
    </row>
    <row r="19" spans="1:64" ht="12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494">
        <f>Wind_CC_West</f>
        <v>0.11799999999999999</v>
      </c>
    </row>
    <row r="20" spans="1:64" ht="12.75">
      <c r="B20" s="283"/>
      <c r="C20" s="283"/>
      <c r="D20" s="283"/>
      <c r="E20" s="283"/>
      <c r="F20" s="283"/>
      <c r="G20" s="171" t="s">
        <v>125</v>
      </c>
      <c r="H20" s="283"/>
      <c r="AH20" s="261"/>
    </row>
    <row r="23" spans="1:64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4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4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4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4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4" ht="12">
      <c r="B28" s="3"/>
      <c r="C28" s="7">
        <f>+G13</f>
        <v>2008</v>
      </c>
      <c r="D28" s="7"/>
      <c r="E28" s="330">
        <v>1.7000000000000001E-2</v>
      </c>
      <c r="F28" s="7"/>
      <c r="G28" s="23">
        <v>267537.77831756306</v>
      </c>
      <c r="H28" s="7"/>
      <c r="I28" s="331">
        <f>$G$15*(1+$E28)</f>
        <v>195.73193242257753</v>
      </c>
      <c r="J28" s="331"/>
      <c r="K28" s="331">
        <f>$G$16*(1+$E28)</f>
        <v>14.629372766804643</v>
      </c>
      <c r="L28" s="332"/>
      <c r="M28" s="331">
        <f>$G$17*(1+$E28)</f>
        <v>5.4239376847770844</v>
      </c>
      <c r="N28" s="7"/>
      <c r="O28" s="333">
        <v>5.1866999999999992</v>
      </c>
      <c r="P28" s="7"/>
      <c r="Q28" s="39">
        <v>-31.822979238320347</v>
      </c>
      <c r="R28" s="7"/>
      <c r="S28" s="23">
        <f>(I28*$G$11*1000+(K28+M28+O28+Q28)*G28)/1000</f>
        <v>16637.608803784373</v>
      </c>
      <c r="T28" s="7"/>
      <c r="U28" s="23">
        <f t="shared" ref="U28:U69" si="0">AX28</f>
        <v>18275.792486144186</v>
      </c>
      <c r="V28" s="7"/>
      <c r="W28" s="23">
        <f>S28-U28</f>
        <v>-1638.1836823598132</v>
      </c>
      <c r="X28" s="7"/>
      <c r="Y28" s="334">
        <f>+W28*1000/G28</f>
        <v>-6.123186387588655</v>
      </c>
      <c r="Z28" s="290"/>
      <c r="AB28" s="182">
        <f>$C$28</f>
        <v>2008</v>
      </c>
      <c r="AC28" s="152"/>
      <c r="AD28" s="187">
        <f>G28</f>
        <v>267537.77831756306</v>
      </c>
      <c r="AE28" s="4"/>
      <c r="AF28" s="188">
        <v>58.163412158772744</v>
      </c>
      <c r="AG28" s="335"/>
      <c r="AH28" s="188">
        <v>8.2001037061794015</v>
      </c>
      <c r="AI28" s="335"/>
      <c r="AJ28" s="188">
        <v>2.3050946065283835</v>
      </c>
      <c r="AK28" s="336"/>
      <c r="AL28" s="189">
        <f>((AF28+AH28)*$AF$11*1000+AJ28*AD28)/1000</f>
        <v>4771.6404120577536</v>
      </c>
      <c r="AM28" s="4"/>
      <c r="AN28" s="190">
        <v>7.9707205782722266</v>
      </c>
      <c r="AO28" s="335"/>
      <c r="AP28" s="190">
        <f>AN28*$AF$14/1000</f>
        <v>57.915425742323464</v>
      </c>
      <c r="AQ28" s="335"/>
      <c r="AR28" s="188">
        <v>2.3860545125109165</v>
      </c>
      <c r="AS28" s="188"/>
      <c r="AT28" s="189">
        <f t="shared" ref="AT28:AT69" si="1">AL28-BF28</f>
        <v>2142.8684295054004</v>
      </c>
      <c r="AU28" s="336"/>
      <c r="AV28" s="189">
        <f t="shared" ref="AV28:AV69" si="2">(AP28+AR28)*AD28/1000</f>
        <v>16132.924056638787</v>
      </c>
      <c r="AW28" s="337"/>
      <c r="AX28" s="191">
        <f>AT28+AV28</f>
        <v>18275.792486144186</v>
      </c>
      <c r="AZ28" s="182">
        <f>$C$28</f>
        <v>2008</v>
      </c>
      <c r="BA28" s="152"/>
      <c r="BB28" s="188">
        <v>39.191870478599988</v>
      </c>
      <c r="BC28" s="4"/>
      <c r="BD28" s="188">
        <v>5.9588572499999986</v>
      </c>
      <c r="BE28" s="335"/>
      <c r="BF28" s="189">
        <f>(BB28+BD28)*$BD$11</f>
        <v>2628.7719825523532</v>
      </c>
      <c r="BG28" s="335"/>
      <c r="BH28" s="192"/>
    </row>
    <row r="29" spans="1:64" ht="12">
      <c r="B29" s="3"/>
      <c r="C29" s="7">
        <f>+IF(C28&gt;$G$13+$G$14,XX,C28+1)</f>
        <v>2009</v>
      </c>
      <c r="D29" s="7"/>
      <c r="E29" s="330">
        <v>1.7000000000000001E-2</v>
      </c>
      <c r="F29" s="7"/>
      <c r="G29" s="23">
        <v>266887.27898453025</v>
      </c>
      <c r="H29" s="7"/>
      <c r="I29" s="39">
        <f>I28*(1+$E29)</f>
        <v>199.05937527376133</v>
      </c>
      <c r="J29" s="7"/>
      <c r="K29" s="39">
        <f>K28*(1+$E29)</f>
        <v>14.878072103840321</v>
      </c>
      <c r="L29" s="7"/>
      <c r="M29" s="39">
        <f>M28*(1+$E29)</f>
        <v>5.5161446254182946</v>
      </c>
      <c r="N29" s="7"/>
      <c r="O29" s="333">
        <v>5.2748738999999985</v>
      </c>
      <c r="P29" s="7"/>
      <c r="Q29" s="39">
        <v>-32.441830107908217</v>
      </c>
      <c r="R29" s="7"/>
      <c r="S29" s="23">
        <f>(I29*$G$11*1000+(K29+M29+O29+Q29)*G29)/1000</f>
        <v>16904.023265005671</v>
      </c>
      <c r="T29" s="7"/>
      <c r="U29" s="23">
        <f t="shared" si="0"/>
        <v>17904.357904662171</v>
      </c>
      <c r="V29" s="7"/>
      <c r="W29" s="23">
        <f t="shared" ref="W29:W69" si="3">S29-U29</f>
        <v>-1000.3346396564993</v>
      </c>
      <c r="X29" s="7"/>
      <c r="Y29" s="334">
        <f t="shared" ref="Y29:Y69" si="4">+W29*1000/G29</f>
        <v>-3.7481540651268075</v>
      </c>
      <c r="Z29" s="290"/>
      <c r="AB29" s="182">
        <f>+IF(AB28&gt;$G$13+$G$14,XX,AB28+1)</f>
        <v>2009</v>
      </c>
      <c r="AC29" s="152"/>
      <c r="AD29" s="187">
        <f t="shared" ref="AD29:AD69" si="5">G29</f>
        <v>266887.27898453025</v>
      </c>
      <c r="AE29" s="4"/>
      <c r="AF29" s="190">
        <f>AF28*(1+$E29)</f>
        <v>59.152190165471872</v>
      </c>
      <c r="AG29" s="4"/>
      <c r="AH29" s="190">
        <f>AH28*(1+$E29)</f>
        <v>8.3395054691844503</v>
      </c>
      <c r="AI29" s="4"/>
      <c r="AJ29" s="190">
        <f>AJ28*(1+$E29)</f>
        <v>2.3442812148393659</v>
      </c>
      <c r="AK29" s="4"/>
      <c r="AL29" s="189">
        <f t="shared" ref="AL29:AL38" si="6">((AF29+AH29)*$AF$11*1000+AJ29*AD29)/1000</f>
        <v>4851.2333456960405</v>
      </c>
      <c r="AM29" s="4"/>
      <c r="AN29" s="190">
        <v>7.7758276535043622</v>
      </c>
      <c r="AO29" s="4"/>
      <c r="AP29" s="190">
        <f t="shared" ref="AP29:AP38" si="7">AN29*$AF$14/1000</f>
        <v>56.499329593768707</v>
      </c>
      <c r="AQ29" s="4"/>
      <c r="AR29" s="190">
        <f>AR28*(1+$E29)</f>
        <v>2.4266174392236017</v>
      </c>
      <c r="AS29" s="190"/>
      <c r="AT29" s="189">
        <f t="shared" si="1"/>
        <v>2177.7722394402981</v>
      </c>
      <c r="AU29" s="4"/>
      <c r="AV29" s="189">
        <f t="shared" si="2"/>
        <v>15726.585665221872</v>
      </c>
      <c r="AW29" s="337"/>
      <c r="AX29" s="191">
        <f t="shared" ref="AX29:AX69" si="8">AT29+AV29</f>
        <v>17904.357904662171</v>
      </c>
      <c r="AZ29" s="182">
        <f>+IF(AZ28&gt;$G$13+$G$14,XX,AZ28+1)</f>
        <v>2009</v>
      </c>
      <c r="BA29" s="152"/>
      <c r="BB29" s="190">
        <f>BB28*(1+$E29)</f>
        <v>39.858132276736185</v>
      </c>
      <c r="BC29" s="4"/>
      <c r="BD29" s="190">
        <f>BD28*(1+$E29)</f>
        <v>6.0601578232499982</v>
      </c>
      <c r="BE29" s="4"/>
      <c r="BF29" s="189">
        <f t="shared" ref="BF29:BF38" si="9">(BB29+BD29)*$BD$11</f>
        <v>2673.4611062557424</v>
      </c>
      <c r="BG29" s="4"/>
      <c r="BH29" s="193"/>
    </row>
    <row r="30" spans="1:64" ht="12">
      <c r="B30" s="3"/>
      <c r="C30" s="7">
        <f>+IF(C29&gt;$G$13+$G$14,XX,C29+1)</f>
        <v>2010</v>
      </c>
      <c r="D30" s="7"/>
      <c r="E30" s="330">
        <v>1.9E-2</v>
      </c>
      <c r="F30" s="7"/>
      <c r="G30" s="23">
        <v>266887.27898453025</v>
      </c>
      <c r="H30" s="7"/>
      <c r="I30" s="39">
        <f t="shared" ref="I30:I38" si="10">I29*(1+$E30)</f>
        <v>202.84150340396278</v>
      </c>
      <c r="J30" s="7"/>
      <c r="K30" s="39">
        <f>K29*(1+$E30)</f>
        <v>15.160755473813285</v>
      </c>
      <c r="L30" s="7"/>
      <c r="M30" s="39">
        <f t="shared" ref="M30:M69" si="11">M29*(1+$E30)</f>
        <v>5.6209513733012413</v>
      </c>
      <c r="N30" s="7"/>
      <c r="O30" s="333">
        <v>5.3750965040999983</v>
      </c>
      <c r="P30" s="7"/>
      <c r="Q30" s="39">
        <v>-33.072715564073334</v>
      </c>
      <c r="R30" s="7"/>
      <c r="S30" s="23">
        <f t="shared" ref="S30:S38" si="12">(I30*$G$11*1000+(K30+M30+O30+Q30)*G30)/1000</f>
        <v>17221.332327786735</v>
      </c>
      <c r="T30" s="7"/>
      <c r="U30" s="23">
        <f t="shared" si="0"/>
        <v>17379.415844316856</v>
      </c>
      <c r="V30" s="7"/>
      <c r="W30" s="23">
        <f t="shared" si="3"/>
        <v>-158.08351653012141</v>
      </c>
      <c r="X30" s="7"/>
      <c r="Y30" s="334">
        <f t="shared" si="4"/>
        <v>-0.59232316029301835</v>
      </c>
      <c r="Z30" s="290"/>
      <c r="AB30" s="182">
        <f>+IF(AB29&gt;$G$13+$G$14,XX,AB29+1)</f>
        <v>2010</v>
      </c>
      <c r="AC30" s="152"/>
      <c r="AD30" s="187">
        <f t="shared" si="5"/>
        <v>266887.27898453025</v>
      </c>
      <c r="AE30" s="4"/>
      <c r="AF30" s="190">
        <f t="shared" ref="AF30:AF68" si="13">AF29*(1+$E30)</f>
        <v>60.276081778615833</v>
      </c>
      <c r="AG30" s="4"/>
      <c r="AH30" s="190">
        <f t="shared" ref="AH30:AH68" si="14">AH29*(1+$E30)</f>
        <v>8.4979560730989547</v>
      </c>
      <c r="AI30" s="4"/>
      <c r="AJ30" s="190">
        <f t="shared" ref="AJ30:AJ68" si="15">AJ29*(1+$E30)</f>
        <v>2.3888225579213138</v>
      </c>
      <c r="AK30" s="4"/>
      <c r="AL30" s="189">
        <f t="shared" si="6"/>
        <v>4943.4067792642645</v>
      </c>
      <c r="AM30" s="4"/>
      <c r="AN30" s="190">
        <v>7.4774457529777205</v>
      </c>
      <c r="AO30" s="4"/>
      <c r="AP30" s="190">
        <f t="shared" si="7"/>
        <v>54.331280339864243</v>
      </c>
      <c r="AQ30" s="4"/>
      <c r="AR30" s="190">
        <f t="shared" ref="AR30:AR68" si="16">AR29*(1+$E30)</f>
        <v>2.4727231705688499</v>
      </c>
      <c r="AS30" s="190"/>
      <c r="AT30" s="189">
        <f t="shared" si="1"/>
        <v>2219.149911989663</v>
      </c>
      <c r="AU30" s="4"/>
      <c r="AV30" s="189">
        <f t="shared" si="2"/>
        <v>15160.265932327193</v>
      </c>
      <c r="AW30" s="337"/>
      <c r="AX30" s="191">
        <f t="shared" si="8"/>
        <v>17379.415844316856</v>
      </c>
      <c r="AZ30" s="182">
        <f>+IF(AZ29&gt;$G$13+$G$14,XX,AZ29+1)</f>
        <v>2010</v>
      </c>
      <c r="BA30" s="152"/>
      <c r="BB30" s="190">
        <f t="shared" ref="BB30:BB68" si="17">BB29*(1+$E30)</f>
        <v>40.61543678999417</v>
      </c>
      <c r="BC30" s="4"/>
      <c r="BD30" s="190">
        <f t="shared" ref="BD30:BD68" si="18">BD29*(1+$E30)</f>
        <v>6.1753008218917476</v>
      </c>
      <c r="BE30" s="4"/>
      <c r="BF30" s="189">
        <f t="shared" si="9"/>
        <v>2724.2568672746015</v>
      </c>
      <c r="BG30" s="4"/>
      <c r="BH30" s="193"/>
    </row>
    <row r="31" spans="1:64" ht="12">
      <c r="B31" s="3"/>
      <c r="C31" s="7">
        <f>+IF(C30&gt;$G$13+$G$14,XX,C30+1)</f>
        <v>2011</v>
      </c>
      <c r="D31" s="7"/>
      <c r="E31" s="330">
        <v>1.9E-2</v>
      </c>
      <c r="F31" s="7"/>
      <c r="G31" s="23">
        <v>266887.27898453025</v>
      </c>
      <c r="H31" s="7"/>
      <c r="I31" s="39">
        <f t="shared" si="10"/>
        <v>206.69549196863804</v>
      </c>
      <c r="J31" s="7"/>
      <c r="K31" s="39">
        <f t="shared" ref="K31:K38" si="19">K30*(1+$E31)</f>
        <v>15.448809827815737</v>
      </c>
      <c r="L31" s="7"/>
      <c r="M31" s="39">
        <f t="shared" si="11"/>
        <v>5.727749449393964</v>
      </c>
      <c r="N31" s="7"/>
      <c r="O31" s="333">
        <v>5.4772233376778976</v>
      </c>
      <c r="P31" s="7"/>
      <c r="Q31" s="39">
        <v>-33.715869639409341</v>
      </c>
      <c r="R31" s="7"/>
      <c r="S31" s="23">
        <f>(I31*$G$11*1000+(K31+M31+O31+Q31)*G31)/1000</f>
        <v>17544.59505512541</v>
      </c>
      <c r="T31" s="7"/>
      <c r="U31" s="23">
        <f t="shared" si="0"/>
        <v>16667.54520753082</v>
      </c>
      <c r="V31" s="7"/>
      <c r="W31" s="23">
        <f t="shared" si="3"/>
        <v>877.04984759458966</v>
      </c>
      <c r="X31" s="7"/>
      <c r="Y31" s="334">
        <f t="shared" si="4"/>
        <v>3.2862182526332648</v>
      </c>
      <c r="Z31" s="290"/>
      <c r="AB31" s="182">
        <f>+IF(AB30&gt;$G$13+$G$14,XX,AB30+1)</f>
        <v>2011</v>
      </c>
      <c r="AC31" s="152"/>
      <c r="AD31" s="187">
        <f t="shared" si="5"/>
        <v>266887.27898453025</v>
      </c>
      <c r="AE31" s="4"/>
      <c r="AF31" s="190">
        <f t="shared" si="13"/>
        <v>61.421327332409525</v>
      </c>
      <c r="AG31" s="4"/>
      <c r="AH31" s="190">
        <f t="shared" si="14"/>
        <v>8.6594172384878334</v>
      </c>
      <c r="AI31" s="4"/>
      <c r="AJ31" s="190">
        <f t="shared" si="15"/>
        <v>2.4342101865218186</v>
      </c>
      <c r="AK31" s="4"/>
      <c r="AL31" s="189">
        <f t="shared" si="6"/>
        <v>5037.3315080702851</v>
      </c>
      <c r="AM31" s="4"/>
      <c r="AN31" s="190">
        <v>7.0821436233211914</v>
      </c>
      <c r="AO31" s="4"/>
      <c r="AP31" s="190">
        <f t="shared" si="7"/>
        <v>51.459006633731178</v>
      </c>
      <c r="AQ31" s="4"/>
      <c r="AR31" s="190">
        <f t="shared" si="16"/>
        <v>2.5197049108096579</v>
      </c>
      <c r="AS31" s="190"/>
      <c r="AT31" s="189">
        <f t="shared" si="1"/>
        <v>2261.3137603174664</v>
      </c>
      <c r="AU31" s="4"/>
      <c r="AV31" s="189">
        <f t="shared" si="2"/>
        <v>14406.231447213353</v>
      </c>
      <c r="AW31" s="337"/>
      <c r="AX31" s="191">
        <f t="shared" si="8"/>
        <v>16667.54520753082</v>
      </c>
      <c r="AZ31" s="182">
        <f>+IF(AZ30&gt;$G$13+$G$14,XX,AZ30+1)</f>
        <v>2011</v>
      </c>
      <c r="BA31" s="152"/>
      <c r="BB31" s="190">
        <f t="shared" si="17"/>
        <v>41.387130089004053</v>
      </c>
      <c r="BC31" s="4"/>
      <c r="BD31" s="190">
        <f t="shared" si="18"/>
        <v>6.29263153750769</v>
      </c>
      <c r="BE31" s="4"/>
      <c r="BF31" s="189">
        <f t="shared" si="9"/>
        <v>2776.0177477528187</v>
      </c>
      <c r="BG31" s="4"/>
      <c r="BH31" s="193"/>
    </row>
    <row r="32" spans="1:64" ht="12">
      <c r="B32" s="3"/>
      <c r="C32" s="7">
        <f>+IF(C31&gt;$G$13+$G$14,XX,C31+1)</f>
        <v>2012</v>
      </c>
      <c r="D32" s="7"/>
      <c r="E32" s="330">
        <v>0.02</v>
      </c>
      <c r="F32" s="7"/>
      <c r="G32" s="23">
        <v>267537.77831756306</v>
      </c>
      <c r="H32" s="7"/>
      <c r="I32" s="39">
        <f t="shared" si="10"/>
        <v>210.8294018080108</v>
      </c>
      <c r="J32" s="7"/>
      <c r="K32" s="39">
        <f t="shared" si="19"/>
        <v>15.757786024372052</v>
      </c>
      <c r="L32" s="7"/>
      <c r="M32" s="39">
        <f t="shared" si="11"/>
        <v>5.8423044383818432</v>
      </c>
      <c r="N32" s="7"/>
      <c r="O32" s="333">
        <v>5.5867678044314557</v>
      </c>
      <c r="P32" s="7"/>
      <c r="Q32" s="39">
        <v>-34.371530917663719</v>
      </c>
      <c r="R32" s="7"/>
      <c r="S32" s="23">
        <f t="shared" si="12"/>
        <v>17895.792411105074</v>
      </c>
      <c r="T32" s="7"/>
      <c r="U32" s="23">
        <f t="shared" si="0"/>
        <v>16024.92093536946</v>
      </c>
      <c r="V32" s="7"/>
      <c r="W32" s="23">
        <f t="shared" si="3"/>
        <v>1870.8714757356138</v>
      </c>
      <c r="X32" s="7"/>
      <c r="Y32" s="334">
        <f t="shared" si="4"/>
        <v>6.992924466595964</v>
      </c>
      <c r="Z32" s="290"/>
      <c r="AB32" s="182">
        <f>+IF(AB31&gt;$G$13+$G$14,XX,AB31+1)</f>
        <v>2012</v>
      </c>
      <c r="AC32" s="152"/>
      <c r="AD32" s="187">
        <f t="shared" si="5"/>
        <v>267537.77831756306</v>
      </c>
      <c r="AE32" s="4"/>
      <c r="AF32" s="190">
        <f t="shared" si="13"/>
        <v>62.64975387905772</v>
      </c>
      <c r="AG32" s="4"/>
      <c r="AH32" s="190">
        <f t="shared" si="14"/>
        <v>8.8326055832575907</v>
      </c>
      <c r="AI32" s="4"/>
      <c r="AJ32" s="190">
        <f t="shared" si="15"/>
        <v>2.4828943902522549</v>
      </c>
      <c r="AK32" s="4"/>
      <c r="AL32" s="189">
        <f t="shared" si="6"/>
        <v>5139.6932593765414</v>
      </c>
      <c r="AM32" s="4"/>
      <c r="AN32" s="190">
        <v>6.7024699037828679</v>
      </c>
      <c r="AO32" s="4"/>
      <c r="AP32" s="190">
        <f t="shared" si="7"/>
        <v>48.700289288881038</v>
      </c>
      <c r="AQ32" s="4"/>
      <c r="AR32" s="190">
        <f t="shared" si="16"/>
        <v>2.5700990090258511</v>
      </c>
      <c r="AS32" s="190"/>
      <c r="AT32" s="189">
        <f t="shared" si="1"/>
        <v>2308.1551566686667</v>
      </c>
      <c r="AU32" s="4"/>
      <c r="AV32" s="189">
        <f t="shared" si="2"/>
        <v>13716.765778700794</v>
      </c>
      <c r="AW32" s="337"/>
      <c r="AX32" s="191">
        <f t="shared" si="8"/>
        <v>16024.92093536946</v>
      </c>
      <c r="AZ32" s="182">
        <f>+IF(AZ31&gt;$G$13+$G$14,XX,AZ31+1)</f>
        <v>2012</v>
      </c>
      <c r="BA32" s="152"/>
      <c r="BB32" s="190">
        <f t="shared" si="17"/>
        <v>42.214872690784134</v>
      </c>
      <c r="BC32" s="4"/>
      <c r="BD32" s="190">
        <f t="shared" si="18"/>
        <v>6.4184841682578435</v>
      </c>
      <c r="BE32" s="4"/>
      <c r="BF32" s="189">
        <f t="shared" si="9"/>
        <v>2831.5381027078747</v>
      </c>
      <c r="BG32" s="4"/>
      <c r="BH32" s="193"/>
    </row>
    <row r="33" spans="2:60" ht="12">
      <c r="B33" s="3"/>
      <c r="C33" s="7">
        <f>+IF(C32&gt;$G$13+$G$14,XX,C32+1)</f>
        <v>2013</v>
      </c>
      <c r="D33" s="7"/>
      <c r="E33" s="330">
        <v>1.9E-2</v>
      </c>
      <c r="F33" s="7"/>
      <c r="G33" s="23">
        <v>266887.27898453025</v>
      </c>
      <c r="H33" s="7"/>
      <c r="I33" s="39">
        <f t="shared" si="10"/>
        <v>214.83516044236299</v>
      </c>
      <c r="J33" s="7"/>
      <c r="K33" s="39">
        <f t="shared" si="19"/>
        <v>16.057183958835118</v>
      </c>
      <c r="L33" s="7"/>
      <c r="M33" s="39">
        <f t="shared" si="11"/>
        <v>5.9533082227110974</v>
      </c>
      <c r="N33" s="7"/>
      <c r="O33" s="333">
        <v>5.6929163927156532</v>
      </c>
      <c r="P33" s="7"/>
      <c r="Q33" s="39">
        <v>-35.039942622242556</v>
      </c>
      <c r="R33" s="7"/>
      <c r="S33" s="23">
        <f t="shared" si="12"/>
        <v>18236.477472339189</v>
      </c>
      <c r="T33" s="7"/>
      <c r="U33" s="23">
        <f t="shared" si="0"/>
        <v>16041.042138788463</v>
      </c>
      <c r="V33" s="7"/>
      <c r="W33" s="23">
        <f t="shared" si="3"/>
        <v>2195.4353335507258</v>
      </c>
      <c r="X33" s="7"/>
      <c r="Y33" s="334">
        <f t="shared" si="4"/>
        <v>8.2260770985565816</v>
      </c>
      <c r="Z33" s="290"/>
      <c r="AB33" s="182">
        <f>+IF(AB32&gt;$G$13+$G$14,XX,AB32+1)</f>
        <v>2013</v>
      </c>
      <c r="AC33" s="152"/>
      <c r="AD33" s="187">
        <f t="shared" si="5"/>
        <v>266887.27898453025</v>
      </c>
      <c r="AE33" s="4"/>
      <c r="AF33" s="190">
        <f>AF32*(1+$E33)</f>
        <v>63.840099202759809</v>
      </c>
      <c r="AG33" s="4"/>
      <c r="AH33" s="190">
        <f t="shared" si="14"/>
        <v>9.0004250893394833</v>
      </c>
      <c r="AI33" s="4"/>
      <c r="AJ33" s="190">
        <f t="shared" si="15"/>
        <v>2.5300693836670476</v>
      </c>
      <c r="AK33" s="4"/>
      <c r="AL33" s="189">
        <f t="shared" si="6"/>
        <v>5235.7016228580924</v>
      </c>
      <c r="AM33" s="4"/>
      <c r="AN33" s="190">
        <v>6.6994948806584134</v>
      </c>
      <c r="AO33" s="4"/>
      <c r="AP33" s="190">
        <f t="shared" si="7"/>
        <v>48.678672707399592</v>
      </c>
      <c r="AQ33" s="4"/>
      <c r="AR33" s="190">
        <f t="shared" si="16"/>
        <v>2.6189308901973418</v>
      </c>
      <c r="AS33" s="190"/>
      <c r="AT33" s="189">
        <f t="shared" si="1"/>
        <v>2350.3642961987684</v>
      </c>
      <c r="AU33" s="4"/>
      <c r="AV33" s="189">
        <f t="shared" si="2"/>
        <v>13690.677842589696</v>
      </c>
      <c r="AW33" s="337"/>
      <c r="AX33" s="191">
        <f t="shared" si="8"/>
        <v>16041.042138788463</v>
      </c>
      <c r="AZ33" s="182">
        <f>+IF(AZ32&gt;$G$13+$G$14,XX,AZ32+1)</f>
        <v>2013</v>
      </c>
      <c r="BA33" s="152"/>
      <c r="BB33" s="190">
        <f t="shared" si="17"/>
        <v>43.016955271909026</v>
      </c>
      <c r="BC33" s="4"/>
      <c r="BD33" s="190">
        <f t="shared" si="18"/>
        <v>6.5404353674547417</v>
      </c>
      <c r="BE33" s="4"/>
      <c r="BF33" s="189">
        <f t="shared" si="9"/>
        <v>2885.3373266593239</v>
      </c>
      <c r="BG33" s="4"/>
      <c r="BH33" s="193"/>
    </row>
    <row r="34" spans="2:60" ht="12">
      <c r="B34" s="3"/>
      <c r="C34" s="7">
        <f>+IF(C33&gt;$G$13+$G$14,XX,C33+1)</f>
        <v>2014</v>
      </c>
      <c r="D34" s="7"/>
      <c r="E34" s="330">
        <v>1.7999999999999999E-2</v>
      </c>
      <c r="F34" s="7"/>
      <c r="G34" s="23">
        <v>266887.27898453025</v>
      </c>
      <c r="H34" s="7"/>
      <c r="I34" s="39">
        <f t="shared" si="10"/>
        <v>218.70219333032551</v>
      </c>
      <c r="J34" s="7"/>
      <c r="K34" s="39">
        <f t="shared" si="19"/>
        <v>16.34621327009415</v>
      </c>
      <c r="L34" s="7"/>
      <c r="M34" s="39">
        <f t="shared" si="11"/>
        <v>6.0604677707198968</v>
      </c>
      <c r="N34" s="7"/>
      <c r="O34" s="333">
        <v>5.7953888877845348</v>
      </c>
      <c r="P34" s="7"/>
      <c r="Q34" s="39">
        <v>-35.721352706436427</v>
      </c>
      <c r="R34" s="7"/>
      <c r="S34" s="23">
        <f t="shared" si="12"/>
        <v>18551.205252558215</v>
      </c>
      <c r="T34" s="7"/>
      <c r="U34" s="23">
        <f t="shared" si="0"/>
        <v>16511.916790422696</v>
      </c>
      <c r="V34" s="7"/>
      <c r="W34" s="23">
        <f t="shared" si="3"/>
        <v>2039.2884621355188</v>
      </c>
      <c r="X34" s="7"/>
      <c r="Y34" s="334">
        <f t="shared" si="4"/>
        <v>7.6410103542391896</v>
      </c>
      <c r="Z34" s="290"/>
      <c r="AB34" s="182">
        <f>+IF(AB33&gt;$G$13+$G$14,XX,AB33+1)</f>
        <v>2014</v>
      </c>
      <c r="AC34" s="152"/>
      <c r="AD34" s="187">
        <f t="shared" si="5"/>
        <v>266887.27898453025</v>
      </c>
      <c r="AE34" s="4"/>
      <c r="AF34" s="190">
        <f t="shared" si="13"/>
        <v>64.989220988409485</v>
      </c>
      <c r="AG34" s="4"/>
      <c r="AH34" s="190">
        <f t="shared" si="14"/>
        <v>9.1624327409475939</v>
      </c>
      <c r="AI34" s="4"/>
      <c r="AJ34" s="190">
        <f t="shared" si="15"/>
        <v>2.5756106325730546</v>
      </c>
      <c r="AK34" s="4"/>
      <c r="AL34" s="189">
        <f t="shared" si="6"/>
        <v>5329.9442520695384</v>
      </c>
      <c r="AM34" s="4"/>
      <c r="AN34" s="190">
        <v>6.9140085811973453</v>
      </c>
      <c r="AO34" s="4"/>
      <c r="AP34" s="190">
        <f t="shared" si="7"/>
        <v>50.2373338312307</v>
      </c>
      <c r="AQ34" s="4"/>
      <c r="AR34" s="190">
        <f t="shared" si="16"/>
        <v>2.6660716462208942</v>
      </c>
      <c r="AS34" s="190"/>
      <c r="AT34" s="189">
        <f t="shared" si="1"/>
        <v>2392.6708535303464</v>
      </c>
      <c r="AU34" s="4"/>
      <c r="AV34" s="189">
        <f t="shared" si="2"/>
        <v>14119.24593689235</v>
      </c>
      <c r="AW34" s="337"/>
      <c r="AX34" s="191">
        <f t="shared" si="8"/>
        <v>16511.916790422696</v>
      </c>
      <c r="AZ34" s="182">
        <f>+IF(AZ33&gt;$G$13+$G$14,XX,AZ33+1)</f>
        <v>2014</v>
      </c>
      <c r="BA34" s="152"/>
      <c r="BB34" s="190">
        <f t="shared" si="17"/>
        <v>43.791260466803386</v>
      </c>
      <c r="BC34" s="4"/>
      <c r="BD34" s="190">
        <f t="shared" si="18"/>
        <v>6.6581632040689271</v>
      </c>
      <c r="BE34" s="4"/>
      <c r="BF34" s="189">
        <f t="shared" si="9"/>
        <v>2937.2733985391919</v>
      </c>
      <c r="BG34" s="4"/>
      <c r="BH34" s="193"/>
    </row>
    <row r="35" spans="2:60" ht="12">
      <c r="B35" s="3"/>
      <c r="C35" s="7">
        <f>+IF(C34&gt;$G$13+$G$14,XX,C34+1)</f>
        <v>2015</v>
      </c>
      <c r="D35" s="7"/>
      <c r="E35" s="330">
        <v>1.7999999999999999E-2</v>
      </c>
      <c r="F35" s="7"/>
      <c r="G35" s="23">
        <v>266887.27898453025</v>
      </c>
      <c r="H35" s="7"/>
      <c r="I35" s="39">
        <f t="shared" si="10"/>
        <v>222.63883281027137</v>
      </c>
      <c r="J35" s="7"/>
      <c r="K35" s="39">
        <f t="shared" si="19"/>
        <v>16.640445108955845</v>
      </c>
      <c r="L35" s="7"/>
      <c r="M35" s="39">
        <f t="shared" si="11"/>
        <v>6.1695561905928553</v>
      </c>
      <c r="N35" s="7"/>
      <c r="O35" s="333">
        <v>5.8997058877646564</v>
      </c>
      <c r="P35" s="7"/>
      <c r="Q35" s="39">
        <v>-36.416013945400927</v>
      </c>
      <c r="R35" s="7"/>
      <c r="S35" s="23">
        <f t="shared" si="12"/>
        <v>18871.335042479419</v>
      </c>
      <c r="T35" s="7"/>
      <c r="U35" s="23">
        <f t="shared" si="0"/>
        <v>17348.11582122137</v>
      </c>
      <c r="V35" s="7"/>
      <c r="W35" s="23">
        <f t="shared" si="3"/>
        <v>1523.2192212580485</v>
      </c>
      <c r="X35" s="7"/>
      <c r="Y35" s="334">
        <f t="shared" si="4"/>
        <v>5.7073504104567672</v>
      </c>
      <c r="Z35" s="290"/>
      <c r="AB35" s="182">
        <f>+IF(AB34&gt;$G$13+$G$14,XX,AB34+1)</f>
        <v>2015</v>
      </c>
      <c r="AC35" s="152"/>
      <c r="AD35" s="187">
        <f t="shared" si="5"/>
        <v>266887.27898453025</v>
      </c>
      <c r="AE35" s="4"/>
      <c r="AF35" s="190">
        <f t="shared" si="13"/>
        <v>66.159026966200855</v>
      </c>
      <c r="AG35" s="4"/>
      <c r="AH35" s="190">
        <f t="shared" si="14"/>
        <v>9.3273565302846499</v>
      </c>
      <c r="AI35" s="4"/>
      <c r="AJ35" s="190">
        <f t="shared" si="15"/>
        <v>2.6219716239593698</v>
      </c>
      <c r="AK35" s="4"/>
      <c r="AL35" s="189">
        <f t="shared" si="6"/>
        <v>5425.8832486067895</v>
      </c>
      <c r="AM35" s="4"/>
      <c r="AN35" s="190">
        <v>7.3164011858738007</v>
      </c>
      <c r="AO35" s="4"/>
      <c r="AP35" s="190">
        <f t="shared" si="7"/>
        <v>53.161127080102943</v>
      </c>
      <c r="AQ35" s="4"/>
      <c r="AR35" s="190">
        <f t="shared" si="16"/>
        <v>2.7140609358528702</v>
      </c>
      <c r="AS35" s="190"/>
      <c r="AT35" s="189">
        <f t="shared" si="1"/>
        <v>2435.7389288938921</v>
      </c>
      <c r="AU35" s="4"/>
      <c r="AV35" s="189">
        <f t="shared" si="2"/>
        <v>14912.37689232748</v>
      </c>
      <c r="AW35" s="337"/>
      <c r="AX35" s="191">
        <f t="shared" si="8"/>
        <v>17348.11582122137</v>
      </c>
      <c r="AZ35" s="182">
        <f>+IF(AZ34&gt;$G$13+$G$14,XX,AZ34+1)</f>
        <v>2015</v>
      </c>
      <c r="BA35" s="152"/>
      <c r="BB35" s="190">
        <f t="shared" si="17"/>
        <v>44.579503155205849</v>
      </c>
      <c r="BC35" s="4"/>
      <c r="BD35" s="190">
        <f t="shared" si="18"/>
        <v>6.7780101417421683</v>
      </c>
      <c r="BE35" s="4"/>
      <c r="BF35" s="189">
        <f t="shared" si="9"/>
        <v>2990.1443197128974</v>
      </c>
      <c r="BG35" s="4"/>
      <c r="BH35" s="193"/>
    </row>
    <row r="36" spans="2:60" ht="12">
      <c r="B36" s="3"/>
      <c r="C36" s="7">
        <f>+IF(C35&gt;$G$13+$G$14,XX,C35+1)</f>
        <v>2016</v>
      </c>
      <c r="D36" s="7"/>
      <c r="E36" s="330">
        <v>1.7999999999999999E-2</v>
      </c>
      <c r="F36" s="7"/>
      <c r="G36" s="23">
        <v>267537.77831756306</v>
      </c>
      <c r="H36" s="7"/>
      <c r="I36" s="39">
        <f t="shared" si="10"/>
        <v>226.64633180085625</v>
      </c>
      <c r="J36" s="7"/>
      <c r="K36" s="39">
        <f t="shared" si="19"/>
        <v>16.939973120917049</v>
      </c>
      <c r="L36" s="7"/>
      <c r="M36" s="39">
        <f t="shared" si="11"/>
        <v>6.2806082020235268</v>
      </c>
      <c r="N36" s="7"/>
      <c r="O36" s="333">
        <v>6.0059005937444203</v>
      </c>
      <c r="P36" s="7"/>
      <c r="Q36" s="39">
        <v>-37.124184029925821</v>
      </c>
      <c r="R36" s="7"/>
      <c r="S36" s="23">
        <f t="shared" si="12"/>
        <v>19191.821512090111</v>
      </c>
      <c r="T36" s="7"/>
      <c r="U36" s="23">
        <f t="shared" si="0"/>
        <v>18618.768586414961</v>
      </c>
      <c r="V36" s="7"/>
      <c r="W36" s="23">
        <f t="shared" si="3"/>
        <v>573.05292567515062</v>
      </c>
      <c r="X36" s="7"/>
      <c r="Y36" s="334">
        <f t="shared" si="4"/>
        <v>2.1419514256223882</v>
      </c>
      <c r="Z36" s="290"/>
      <c r="AB36" s="182">
        <f>+IF(AB35&gt;$G$13+$G$14,XX,AB35+1)</f>
        <v>2016</v>
      </c>
      <c r="AC36" s="152"/>
      <c r="AD36" s="187">
        <f t="shared" si="5"/>
        <v>267537.77831756306</v>
      </c>
      <c r="AE36" s="4"/>
      <c r="AF36" s="190">
        <f t="shared" si="13"/>
        <v>67.349889451592475</v>
      </c>
      <c r="AG36" s="4"/>
      <c r="AH36" s="190">
        <f t="shared" si="14"/>
        <v>9.4952489478297739</v>
      </c>
      <c r="AI36" s="4"/>
      <c r="AJ36" s="190">
        <f t="shared" si="15"/>
        <v>2.6691671131906385</v>
      </c>
      <c r="AK36" s="4"/>
      <c r="AL36" s="189">
        <f t="shared" si="6"/>
        <v>5525.2854385085966</v>
      </c>
      <c r="AM36" s="4"/>
      <c r="AN36" s="190">
        <v>7.9211828417083421</v>
      </c>
      <c r="AO36" s="4"/>
      <c r="AP36" s="190">
        <f t="shared" si="7"/>
        <v>57.555483491778489</v>
      </c>
      <c r="AQ36" s="4"/>
      <c r="AR36" s="190">
        <f t="shared" si="16"/>
        <v>2.7629140326982218</v>
      </c>
      <c r="AS36" s="190"/>
      <c r="AT36" s="189">
        <f t="shared" si="1"/>
        <v>2481.3185210408669</v>
      </c>
      <c r="AU36" s="4"/>
      <c r="AV36" s="189">
        <f t="shared" si="2"/>
        <v>16137.450065374094</v>
      </c>
      <c r="AW36" s="337"/>
      <c r="AX36" s="191">
        <f t="shared" si="8"/>
        <v>18618.768586414961</v>
      </c>
      <c r="AZ36" s="182">
        <f>+IF(AZ35&gt;$G$13+$G$14,XX,AZ35+1)</f>
        <v>2016</v>
      </c>
      <c r="BA36" s="152"/>
      <c r="BB36" s="190">
        <f t="shared" si="17"/>
        <v>45.381934211999557</v>
      </c>
      <c r="BC36" s="4"/>
      <c r="BD36" s="190">
        <f t="shared" si="18"/>
        <v>6.9000143242935277</v>
      </c>
      <c r="BE36" s="4"/>
      <c r="BF36" s="189">
        <f t="shared" si="9"/>
        <v>3043.9669174677297</v>
      </c>
      <c r="BG36" s="4"/>
      <c r="BH36" s="193"/>
    </row>
    <row r="37" spans="2:60" ht="12">
      <c r="B37" s="3"/>
      <c r="C37" s="7">
        <f>+IF(C36&gt;$G$13+$G$14,XX,C36+1)</f>
        <v>2017</v>
      </c>
      <c r="D37" s="7"/>
      <c r="E37" s="330">
        <v>1.7999999999999999E-2</v>
      </c>
      <c r="F37" s="7"/>
      <c r="G37" s="23">
        <v>266887.27898453025</v>
      </c>
      <c r="H37" s="7"/>
      <c r="I37" s="39">
        <f t="shared" si="10"/>
        <v>230.72596577327167</v>
      </c>
      <c r="J37" s="7"/>
      <c r="K37" s="39">
        <f t="shared" si="19"/>
        <v>17.244892637093557</v>
      </c>
      <c r="L37" s="7"/>
      <c r="M37" s="39">
        <f t="shared" si="11"/>
        <v>6.3936591496599506</v>
      </c>
      <c r="N37" s="7"/>
      <c r="O37" s="333">
        <v>6.1140068044318197</v>
      </c>
      <c r="P37" s="7"/>
      <c r="Q37" s="39">
        <v>-37.846125662027781</v>
      </c>
      <c r="R37" s="7"/>
      <c r="S37" s="23">
        <f t="shared" si="12"/>
        <v>19528.170689871593</v>
      </c>
      <c r="T37" s="7"/>
      <c r="U37" s="23">
        <f t="shared" si="0"/>
        <v>19848.814759941983</v>
      </c>
      <c r="V37" s="7"/>
      <c r="W37" s="23">
        <f t="shared" si="3"/>
        <v>-320.64407007038972</v>
      </c>
      <c r="X37" s="7"/>
      <c r="Y37" s="334">
        <f t="shared" si="4"/>
        <v>-1.2014213314714615</v>
      </c>
      <c r="Z37" s="290"/>
      <c r="AB37" s="182">
        <f>+IF(AB36&gt;$G$13+$G$14,XX,AB36+1)</f>
        <v>2017</v>
      </c>
      <c r="AC37" s="152"/>
      <c r="AD37" s="187">
        <f t="shared" si="5"/>
        <v>266887.27898453025</v>
      </c>
      <c r="AE37" s="4"/>
      <c r="AF37" s="190">
        <f t="shared" si="13"/>
        <v>68.562187461721138</v>
      </c>
      <c r="AG37" s="4"/>
      <c r="AH37" s="190">
        <f t="shared" si="14"/>
        <v>9.6661634288907106</v>
      </c>
      <c r="AI37" s="4"/>
      <c r="AJ37" s="190">
        <f t="shared" si="15"/>
        <v>2.7172121212280702</v>
      </c>
      <c r="AK37" s="4"/>
      <c r="AL37" s="189">
        <f t="shared" si="6"/>
        <v>5622.9730317291842</v>
      </c>
      <c r="AM37" s="4"/>
      <c r="AN37" s="190">
        <v>8.5467545643478058</v>
      </c>
      <c r="AO37" s="4"/>
      <c r="AP37" s="190">
        <f>AN37*$AF$14/1000</f>
        <v>62.100900972324112</v>
      </c>
      <c r="AQ37" s="4"/>
      <c r="AR37" s="190">
        <f t="shared" si="16"/>
        <v>2.8126464852867898</v>
      </c>
      <c r="AS37" s="190"/>
      <c r="AT37" s="189">
        <f t="shared" si="1"/>
        <v>2524.2147097470352</v>
      </c>
      <c r="AU37" s="4"/>
      <c r="AV37" s="189">
        <f t="shared" si="2"/>
        <v>17324.600050194946</v>
      </c>
      <c r="AW37" s="337"/>
      <c r="AX37" s="191">
        <f t="shared" si="8"/>
        <v>19848.814759941983</v>
      </c>
      <c r="AZ37" s="182">
        <f>+IF(AZ36&gt;$G$13+$G$14,XX,AZ36+1)</f>
        <v>2017</v>
      </c>
      <c r="BA37" s="152"/>
      <c r="BB37" s="190">
        <f t="shared" si="17"/>
        <v>46.19880902781555</v>
      </c>
      <c r="BC37" s="4"/>
      <c r="BD37" s="190">
        <f t="shared" si="18"/>
        <v>7.0242145821308108</v>
      </c>
      <c r="BE37" s="4"/>
      <c r="BF37" s="189">
        <f t="shared" si="9"/>
        <v>3098.758321982149</v>
      </c>
      <c r="BG37" s="4"/>
      <c r="BH37" s="193"/>
    </row>
    <row r="38" spans="2:60" ht="12">
      <c r="B38" s="3"/>
      <c r="C38" s="7">
        <f>+IF(C37&gt;$G$13+$G$14,XX,C37+1)</f>
        <v>2018</v>
      </c>
      <c r="D38" s="7"/>
      <c r="E38" s="330">
        <v>1.7999999999999999E-2</v>
      </c>
      <c r="F38" s="7"/>
      <c r="G38" s="23">
        <v>266887.27898453025</v>
      </c>
      <c r="H38" s="7"/>
      <c r="I38" s="39">
        <f t="shared" si="10"/>
        <v>234.87903315719055</v>
      </c>
      <c r="J38" s="7"/>
      <c r="K38" s="39">
        <f t="shared" si="19"/>
        <v>17.55530070456124</v>
      </c>
      <c r="L38" s="7"/>
      <c r="M38" s="39">
        <f t="shared" si="11"/>
        <v>6.5087450143538295</v>
      </c>
      <c r="N38" s="7"/>
      <c r="O38" s="333">
        <v>6.2240589269115922</v>
      </c>
      <c r="P38" s="7"/>
      <c r="Q38" s="39">
        <v>0</v>
      </c>
      <c r="R38" s="7"/>
      <c r="S38" s="23">
        <f t="shared" si="12"/>
        <v>30162.138951299297</v>
      </c>
      <c r="T38" s="7"/>
      <c r="U38" s="23">
        <f t="shared" si="0"/>
        <v>20994.483925722547</v>
      </c>
      <c r="V38" s="7"/>
      <c r="W38" s="23">
        <f t="shared" si="3"/>
        <v>9167.6550255767506</v>
      </c>
      <c r="X38" s="7"/>
      <c r="Y38" s="334">
        <f t="shared" si="4"/>
        <v>34.350288483057078</v>
      </c>
      <c r="Z38" s="290"/>
      <c r="AB38" s="182">
        <f>+IF(AB37&gt;$G$13+$G$14,XX,AB37+1)</f>
        <v>2018</v>
      </c>
      <c r="AC38" s="152"/>
      <c r="AD38" s="187">
        <f t="shared" si="5"/>
        <v>266887.27898453025</v>
      </c>
      <c r="AE38" s="4"/>
      <c r="AF38" s="190">
        <f t="shared" si="13"/>
        <v>69.796306836032116</v>
      </c>
      <c r="AG38" s="4"/>
      <c r="AH38" s="190">
        <f t="shared" si="14"/>
        <v>9.8401543706107439</v>
      </c>
      <c r="AI38" s="4"/>
      <c r="AJ38" s="190">
        <f t="shared" si="15"/>
        <v>2.7661219394101755</v>
      </c>
      <c r="AK38" s="4"/>
      <c r="AL38" s="189">
        <f t="shared" si="6"/>
        <v>5724.1865463003087</v>
      </c>
      <c r="AM38" s="4"/>
      <c r="AN38" s="190">
        <v>9.1071488375904099</v>
      </c>
      <c r="AO38" s="4"/>
      <c r="AP38" s="190">
        <f t="shared" si="7"/>
        <v>66.172737715275218</v>
      </c>
      <c r="AQ38" s="4"/>
      <c r="AR38" s="190">
        <f t="shared" si="16"/>
        <v>2.8632741220219522</v>
      </c>
      <c r="AS38" s="190"/>
      <c r="AT38" s="189">
        <f t="shared" si="1"/>
        <v>2569.6505745224813</v>
      </c>
      <c r="AU38" s="4"/>
      <c r="AV38" s="189">
        <f t="shared" si="2"/>
        <v>18424.833351200064</v>
      </c>
      <c r="AW38" s="337"/>
      <c r="AX38" s="191">
        <f t="shared" si="8"/>
        <v>20994.483925722547</v>
      </c>
      <c r="AZ38" s="182">
        <f>+IF(AZ37&gt;$G$13+$G$14,XX,AZ37+1)</f>
        <v>2018</v>
      </c>
      <c r="BA38" s="152"/>
      <c r="BB38" s="190">
        <f t="shared" si="17"/>
        <v>47.030387590316231</v>
      </c>
      <c r="BC38" s="4"/>
      <c r="BD38" s="190">
        <f t="shared" si="18"/>
        <v>7.1506504446091652</v>
      </c>
      <c r="BE38" s="4"/>
      <c r="BF38" s="189">
        <f t="shared" si="9"/>
        <v>3154.5359717778274</v>
      </c>
      <c r="BG38" s="4"/>
      <c r="BH38" s="193"/>
    </row>
    <row r="39" spans="2:60" ht="12">
      <c r="B39" s="3"/>
      <c r="C39" s="498">
        <f>+IF(C38&gt;$G$13+$G$14,XX,C38+1)</f>
        <v>2019</v>
      </c>
      <c r="D39" s="7"/>
      <c r="E39" s="500">
        <f>'(2.2)_Forward_Price_Curve'!N28</f>
        <v>1.9E-2</v>
      </c>
      <c r="F39" s="7"/>
      <c r="G39" s="502">
        <v>234139.87310176031</v>
      </c>
      <c r="H39" s="7"/>
      <c r="I39" s="620">
        <f>15.703320258688+'(3.1a)_Goodnoe_Hills-orig'!I39</f>
        <v>254.81017601270798</v>
      </c>
      <c r="J39" s="7"/>
      <c r="K39" s="620">
        <f>'[8]Data for NPC'!$N$85</f>
        <v>3.2731671158029365</v>
      </c>
      <c r="L39" s="7"/>
      <c r="M39" s="39">
        <f t="shared" si="11"/>
        <v>6.6324111696265513</v>
      </c>
      <c r="N39" s="7"/>
      <c r="O39" s="620">
        <f>'[8]Data for NPC'!$M$159</f>
        <v>0.61</v>
      </c>
      <c r="P39" s="7"/>
      <c r="Q39" s="508">
        <v>-10.041812300187411</v>
      </c>
      <c r="R39" s="7"/>
      <c r="S39" s="23">
        <f>(I39*$I$11*1000+(K39+M39+O39+Q39)*G39)/1000</f>
        <v>24063.08405285906</v>
      </c>
      <c r="T39" s="7"/>
      <c r="U39" s="23">
        <f>AX39</f>
        <v>6877.9311182473775</v>
      </c>
      <c r="V39" s="7"/>
      <c r="W39" s="23">
        <f t="shared" si="3"/>
        <v>17185.15293461168</v>
      </c>
      <c r="X39" s="7"/>
      <c r="Y39" s="334">
        <f>+W39*1000/G39</f>
        <v>73.396951603978977</v>
      </c>
      <c r="Z39" s="290"/>
      <c r="AB39" s="525">
        <f>+IF(AB38&gt;$G$13+$G$14,XX,AB38+1)</f>
        <v>2019</v>
      </c>
      <c r="AC39" s="152"/>
      <c r="AD39" s="187">
        <f t="shared" si="5"/>
        <v>234139.87310176031</v>
      </c>
      <c r="AE39" s="4"/>
      <c r="AF39" s="580">
        <f>AR15*AR16*(1+E39)</f>
        <v>95.80142153602209</v>
      </c>
      <c r="AG39" s="4"/>
      <c r="AH39" s="580">
        <f>AV11*(1+E39)</f>
        <v>19.580361122485801</v>
      </c>
      <c r="AI39" s="4"/>
      <c r="AJ39" s="580">
        <f>AV13*(1+E39)</f>
        <v>2.2522833937355777</v>
      </c>
      <c r="AK39" s="4"/>
      <c r="AL39" s="580">
        <f>((AF39+AH39)*$AR$11*1000+AJ39*AD39)/1000</f>
        <v>5883.1389033687528</v>
      </c>
      <c r="AM39" s="4"/>
      <c r="AN39" s="580">
        <f>INDEX('(2.2)_Forward_Price_Curve'!$H:$H,MATCH($AB39,'(2.2)_Forward_Price_Curve'!$C:$C,0),1)</f>
        <v>1.9742583333333332</v>
      </c>
      <c r="AO39" s="4"/>
      <c r="AP39" s="580">
        <f>AN39*$AR$14/1000</f>
        <v>12.834453669759327</v>
      </c>
      <c r="AQ39" s="4"/>
      <c r="AR39" s="190">
        <f>AR38*(1+$E39)</f>
        <v>2.917676330340369</v>
      </c>
      <c r="AS39" s="190"/>
      <c r="AT39" s="189">
        <f>AL39-BF39</f>
        <v>3189.7293989416034</v>
      </c>
      <c r="AU39" s="4"/>
      <c r="AV39" s="189">
        <f>(AP39+AR39)*AD39/1000</f>
        <v>3688.2017193057741</v>
      </c>
      <c r="AW39" s="337"/>
      <c r="AX39" s="191">
        <f>AT39+AV39</f>
        <v>6877.9311182473775</v>
      </c>
      <c r="AZ39" s="525">
        <f>+IF(AZ38&gt;$G$13+$G$14,XX,AZ38+1)</f>
        <v>2019</v>
      </c>
      <c r="BA39" s="152"/>
      <c r="BB39" s="580">
        <f>BK14*BK15*(1+E39)</f>
        <v>59.787583199999986</v>
      </c>
      <c r="BC39" s="4"/>
      <c r="BD39" s="580">
        <f>BI16*(1+E39)</f>
        <v>16.456849999999999</v>
      </c>
      <c r="BE39" s="4"/>
      <c r="BF39" s="580">
        <f>(BB39+BD39)*$BK$11</f>
        <v>2693.4095044271494</v>
      </c>
      <c r="BG39" s="4"/>
      <c r="BH39" s="193"/>
    </row>
    <row r="40" spans="2:60" ht="12">
      <c r="B40" s="3"/>
      <c r="C40" s="499">
        <f>+IF(C39&gt;$I$13+$I$14,XX,C39+1)</f>
        <v>2020</v>
      </c>
      <c r="D40" s="7"/>
      <c r="E40" s="501">
        <f>'(2.2)_Forward_Price_Curve'!N29</f>
        <v>2.5000000000000001E-2</v>
      </c>
      <c r="F40" s="7"/>
      <c r="G40" s="613">
        <v>283696.30438630254</v>
      </c>
      <c r="H40" s="7"/>
      <c r="I40" s="619">
        <f>64.2077358737234+'(3.1a)_Goodnoe_Hills-orig'!I40</f>
        <v>307.61851503131572</v>
      </c>
      <c r="J40" s="7"/>
      <c r="K40" s="619">
        <f>'[8]Data for NPC'!N86</f>
        <v>3.6138935061385626</v>
      </c>
      <c r="L40" s="7"/>
      <c r="M40" s="39">
        <f t="shared" si="11"/>
        <v>6.7982214488672144</v>
      </c>
      <c r="N40" s="7"/>
      <c r="O40" s="619">
        <f>'[8]Data for NPC'!M160</f>
        <v>0.63000000000000012</v>
      </c>
      <c r="P40" s="7"/>
      <c r="Q40" s="509">
        <v>-33.150783021494966</v>
      </c>
      <c r="R40" s="7"/>
      <c r="S40" s="23">
        <f>(I40*$I$11*1000+(K40+M40+O40+Q40)*G40)/1000</f>
        <v>22643.992987577232</v>
      </c>
      <c r="T40" s="7"/>
      <c r="U40" s="23">
        <f t="shared" si="0"/>
        <v>7708.7597417504639</v>
      </c>
      <c r="V40" s="7"/>
      <c r="W40" s="23">
        <f t="shared" si="3"/>
        <v>14935.233245826768</v>
      </c>
      <c r="X40" s="7"/>
      <c r="Y40" s="334">
        <f t="shared" si="4"/>
        <v>52.64514558317903</v>
      </c>
      <c r="Z40" s="290"/>
      <c r="AB40" s="526">
        <f>+IF(AB39&gt;$I$13+$I$14,XX,AB39+1)</f>
        <v>2020</v>
      </c>
      <c r="AC40" s="152"/>
      <c r="AD40" s="187">
        <f t="shared" si="5"/>
        <v>283696.30438630254</v>
      </c>
      <c r="AE40" s="4"/>
      <c r="AF40" s="190">
        <f>AF39*(1+$E40)</f>
        <v>98.196457074422639</v>
      </c>
      <c r="AG40" s="4"/>
      <c r="AH40" s="190">
        <f t="shared" si="14"/>
        <v>20.069870150547946</v>
      </c>
      <c r="AI40" s="4"/>
      <c r="AJ40" s="190">
        <f t="shared" si="15"/>
        <v>2.3085904785789668</v>
      </c>
      <c r="AK40" s="4"/>
      <c r="AL40" s="189">
        <f t="shared" ref="AL40:AL69" si="20">((AF40+AH40)*$AR$11*1000+AJ40*AD40)/1000</f>
        <v>6144.6228813688176</v>
      </c>
      <c r="AM40" s="4"/>
      <c r="AN40" s="190">
        <f>INDEX('(2.2)_Forward_Price_Curve'!$H:$H,MATCH($AB40,'(2.2)_Forward_Price_Curve'!$C:$C,0),1)</f>
        <v>1.8849916666666668</v>
      </c>
      <c r="AO40" s="4"/>
      <c r="AP40" s="190">
        <f>AN40*$AR$14/1000</f>
        <v>12.254140101750828</v>
      </c>
      <c r="AQ40" s="4"/>
      <c r="AR40" s="190">
        <f t="shared" si="16"/>
        <v>2.990618238598878</v>
      </c>
      <c r="AS40" s="190"/>
      <c r="AT40" s="189">
        <f t="shared" si="1"/>
        <v>3383.8781393309901</v>
      </c>
      <c r="AU40" s="4"/>
      <c r="AV40" s="189">
        <f t="shared" si="2"/>
        <v>4324.8816024194739</v>
      </c>
      <c r="AW40" s="337"/>
      <c r="AX40" s="191">
        <f t="shared" si="8"/>
        <v>7708.7597417504639</v>
      </c>
      <c r="AZ40" s="526">
        <f>+IF(AZ39&gt;$I$13+$I$14,XX,AZ39+1)</f>
        <v>2020</v>
      </c>
      <c r="BA40" s="152"/>
      <c r="BB40" s="190">
        <f t="shared" si="17"/>
        <v>61.282272779999978</v>
      </c>
      <c r="BC40" s="4"/>
      <c r="BD40" s="190">
        <f t="shared" si="18"/>
        <v>16.868271249999999</v>
      </c>
      <c r="BE40" s="4"/>
      <c r="BF40" s="189">
        <f t="shared" ref="BF40:BF69" si="21">(BB40+BD40)*$BK$11</f>
        <v>2760.7447420378276</v>
      </c>
      <c r="BG40" s="4"/>
      <c r="BH40" s="193"/>
    </row>
    <row r="41" spans="2:60" ht="12">
      <c r="B41" s="3"/>
      <c r="C41" s="499">
        <f>+IF(C40&gt;$I$13+$I$14,XX,C40+1)</f>
        <v>2021</v>
      </c>
      <c r="D41" s="7"/>
      <c r="E41" s="501">
        <f>'(2.2)_Forward_Price_Curve'!N30</f>
        <v>2.4E-2</v>
      </c>
      <c r="F41" s="7"/>
      <c r="G41" s="613">
        <v>283696.30438630254</v>
      </c>
      <c r="H41" s="7"/>
      <c r="I41" s="619">
        <f>64.2077358737234+'(3.1a)_Goodnoe_Hills-orig'!I41</f>
        <v>311.99990905615238</v>
      </c>
      <c r="J41" s="7"/>
      <c r="K41" s="619">
        <f>'[8]Data for NPC'!N87</f>
        <v>3.6339910562402933</v>
      </c>
      <c r="L41" s="7"/>
      <c r="M41" s="39">
        <f t="shared" si="11"/>
        <v>6.9613787636400275</v>
      </c>
      <c r="N41" s="7"/>
      <c r="O41" s="619">
        <f>'[8]Data for NPC'!M161</f>
        <v>0.64</v>
      </c>
      <c r="P41" s="7"/>
      <c r="Q41" s="509">
        <v>-34.476814342354771</v>
      </c>
      <c r="R41" s="7"/>
      <c r="S41" s="23">
        <f t="shared" ref="S41:S69" si="22">(I41*$I$11*1000+(K41+M41+O41+Q41)*G41)/1000</f>
        <v>22734.479531653047</v>
      </c>
      <c r="T41" s="7"/>
      <c r="U41" s="23">
        <f t="shared" si="0"/>
        <v>7931.4735950479953</v>
      </c>
      <c r="V41" s="7"/>
      <c r="W41" s="23">
        <f t="shared" si="3"/>
        <v>14803.005936605052</v>
      </c>
      <c r="X41" s="7"/>
      <c r="Y41" s="334">
        <f t="shared" si="4"/>
        <v>52.179058055152346</v>
      </c>
      <c r="Z41" s="290"/>
      <c r="AB41" s="526">
        <f>+IF(AB40&gt;$I$13+$I$14,XX,AB40+1)</f>
        <v>2021</v>
      </c>
      <c r="AC41" s="152"/>
      <c r="AD41" s="187">
        <f t="shared" si="5"/>
        <v>283696.30438630254</v>
      </c>
      <c r="AE41" s="4"/>
      <c r="AF41" s="190">
        <f t="shared" si="13"/>
        <v>100.55317204420878</v>
      </c>
      <c r="AG41" s="4"/>
      <c r="AH41" s="190">
        <f t="shared" si="14"/>
        <v>20.551547034161096</v>
      </c>
      <c r="AI41" s="4"/>
      <c r="AJ41" s="190">
        <f t="shared" si="15"/>
        <v>2.3639966500648621</v>
      </c>
      <c r="AK41" s="4"/>
      <c r="AL41" s="189">
        <f t="shared" si="20"/>
        <v>6292.0938305216696</v>
      </c>
      <c r="AM41" s="4"/>
      <c r="AN41" s="190">
        <f>INDEX('(2.2)_Forward_Price_Curve'!$H:$H,MATCH($AB41,'(2.2)_Forward_Price_Curve'!$C:$C,0),1)</f>
        <v>1.9506749999999997</v>
      </c>
      <c r="AO41" s="4"/>
      <c r="AP41" s="190">
        <f t="shared" ref="AP41:AP69" si="23">AN41*$AR$14/1000</f>
        <v>12.681140805918394</v>
      </c>
      <c r="AQ41" s="4"/>
      <c r="AR41" s="190">
        <f t="shared" si="16"/>
        <v>3.0623930763252512</v>
      </c>
      <c r="AS41" s="190"/>
      <c r="AT41" s="189">
        <f t="shared" si="1"/>
        <v>3465.0912146749342</v>
      </c>
      <c r="AU41" s="4"/>
      <c r="AV41" s="189">
        <f t="shared" si="2"/>
        <v>4466.3823803730611</v>
      </c>
      <c r="AW41" s="337"/>
      <c r="AX41" s="191">
        <f t="shared" si="8"/>
        <v>7931.4735950479953</v>
      </c>
      <c r="AZ41" s="526">
        <f>+IF(AZ40&gt;$I$13+$I$14,XX,AZ40+1)</f>
        <v>2021</v>
      </c>
      <c r="BA41" s="152"/>
      <c r="BB41" s="190">
        <f t="shared" si="17"/>
        <v>62.75304732671998</v>
      </c>
      <c r="BC41" s="4"/>
      <c r="BD41" s="190">
        <f t="shared" si="18"/>
        <v>17.273109760000001</v>
      </c>
      <c r="BE41" s="4"/>
      <c r="BF41" s="189">
        <f t="shared" si="21"/>
        <v>2827.0026158467354</v>
      </c>
      <c r="BG41" s="4"/>
      <c r="BH41" s="193"/>
    </row>
    <row r="42" spans="2:60" ht="12">
      <c r="B42" s="3"/>
      <c r="C42" s="499">
        <f>+IF(C41&gt;$I$13+$I$14,XX,C41+1)</f>
        <v>2022</v>
      </c>
      <c r="D42" s="7"/>
      <c r="E42" s="501">
        <f>'(2.2)_Forward_Price_Curve'!N31</f>
        <v>2.4E-2</v>
      </c>
      <c r="F42" s="7"/>
      <c r="G42" s="613">
        <v>283696.30438630254</v>
      </c>
      <c r="H42" s="7"/>
      <c r="I42" s="619">
        <f>64.2077358737234+'(3.1a)_Goodnoe_Hills-orig'!I42</f>
        <v>316.70796034661851</v>
      </c>
      <c r="J42" s="7"/>
      <c r="K42" s="619">
        <f>'[8]Data for NPC'!N88</f>
        <v>3.4269263998040054</v>
      </c>
      <c r="L42" s="7"/>
      <c r="M42" s="39">
        <f t="shared" si="11"/>
        <v>7.1284518539673885</v>
      </c>
      <c r="N42" s="7"/>
      <c r="O42" s="619">
        <f>'[8]Data for NPC'!M162</f>
        <v>0.65</v>
      </c>
      <c r="P42" s="7"/>
      <c r="Q42" s="509">
        <v>-34.476814342354771</v>
      </c>
      <c r="R42" s="7"/>
      <c r="S42" s="23">
        <f t="shared" si="22"/>
        <v>23168.527856489003</v>
      </c>
      <c r="T42" s="7"/>
      <c r="U42" s="23">
        <f t="shared" si="0"/>
        <v>8921.8865914808157</v>
      </c>
      <c r="V42" s="7"/>
      <c r="W42" s="23">
        <f t="shared" si="3"/>
        <v>14246.641265008187</v>
      </c>
      <c r="X42" s="7"/>
      <c r="Y42" s="334">
        <f t="shared" si="4"/>
        <v>50.217930388014054</v>
      </c>
      <c r="Z42" s="290"/>
      <c r="AB42" s="526">
        <f>+IF(AB41&gt;$I$13+$I$14,XX,AB41+1)</f>
        <v>2022</v>
      </c>
      <c r="AC42" s="152"/>
      <c r="AD42" s="187">
        <f t="shared" si="5"/>
        <v>283696.30438630254</v>
      </c>
      <c r="AE42" s="4"/>
      <c r="AF42" s="190">
        <f t="shared" si="13"/>
        <v>102.9664481732698</v>
      </c>
      <c r="AG42" s="4"/>
      <c r="AH42" s="190">
        <f t="shared" si="14"/>
        <v>21.044784162980964</v>
      </c>
      <c r="AI42" s="4"/>
      <c r="AJ42" s="190">
        <f t="shared" si="15"/>
        <v>2.420732569666419</v>
      </c>
      <c r="AK42" s="4"/>
      <c r="AL42" s="189">
        <f t="shared" si="20"/>
        <v>6443.1040824541897</v>
      </c>
      <c r="AM42" s="4"/>
      <c r="AN42" s="190">
        <f>INDEX('(2.2)_Forward_Price_Curve'!$H:$H,MATCH($AB42,'(2.2)_Forward_Price_Curve'!$C:$C,0),1)</f>
        <v>2.431295833333333</v>
      </c>
      <c r="AO42" s="4"/>
      <c r="AP42" s="190">
        <f t="shared" si="23"/>
        <v>15.805608214255424</v>
      </c>
      <c r="AQ42" s="4"/>
      <c r="AR42" s="190">
        <f t="shared" si="16"/>
        <v>3.1358905101570573</v>
      </c>
      <c r="AS42" s="190"/>
      <c r="AT42" s="189">
        <f t="shared" si="1"/>
        <v>3548.2534038271324</v>
      </c>
      <c r="AU42" s="4"/>
      <c r="AV42" s="189">
        <f t="shared" si="2"/>
        <v>5373.6331876536842</v>
      </c>
      <c r="AW42" s="337"/>
      <c r="AX42" s="191">
        <f t="shared" si="8"/>
        <v>8921.8865914808157</v>
      </c>
      <c r="AZ42" s="526">
        <f>+IF(AZ41&gt;$I$13+$I$14,XX,AZ41+1)</f>
        <v>2022</v>
      </c>
      <c r="BA42" s="152"/>
      <c r="BB42" s="190">
        <f t="shared" si="17"/>
        <v>64.259120462561256</v>
      </c>
      <c r="BC42" s="4"/>
      <c r="BD42" s="190">
        <f t="shared" si="18"/>
        <v>17.687664394240002</v>
      </c>
      <c r="BE42" s="4"/>
      <c r="BF42" s="189">
        <f t="shared" si="21"/>
        <v>2894.8506786270573</v>
      </c>
      <c r="BG42" s="4"/>
      <c r="BH42" s="193"/>
    </row>
    <row r="43" spans="2:60" ht="12">
      <c r="B43" s="3"/>
      <c r="C43" s="499">
        <f>+IF(C42&gt;$I$13+$I$14,XX,C42+1)</f>
        <v>2023</v>
      </c>
      <c r="D43" s="7"/>
      <c r="E43" s="501">
        <f>'(2.2)_Forward_Price_Curve'!N32</f>
        <v>2.4E-2</v>
      </c>
      <c r="F43" s="7"/>
      <c r="G43" s="613">
        <v>283696.30438630254</v>
      </c>
      <c r="H43" s="7"/>
      <c r="I43" s="619">
        <f>64.2077358737234+'(3.1a)_Goodnoe_Hills-orig'!I43</f>
        <v>321.50546461160349</v>
      </c>
      <c r="J43" s="7"/>
      <c r="K43" s="619">
        <f>'[8]Data for NPC'!N89</f>
        <v>3.5022163336229348</v>
      </c>
      <c r="L43" s="7"/>
      <c r="M43" s="39">
        <f t="shared" si="11"/>
        <v>7.2995346984626055</v>
      </c>
      <c r="N43" s="7"/>
      <c r="O43" s="619">
        <f>'[8]Data for NPC'!M163</f>
        <v>0.67</v>
      </c>
      <c r="P43" s="7"/>
      <c r="Q43" s="509">
        <v>-35.802845663214562</v>
      </c>
      <c r="R43" s="7"/>
      <c r="S43" s="23">
        <f t="shared" si="22"/>
        <v>23318.872044966021</v>
      </c>
      <c r="T43" s="7"/>
      <c r="U43" s="23">
        <f t="shared" si="0"/>
        <v>9961.4254737982574</v>
      </c>
      <c r="V43" s="7"/>
      <c r="W43" s="23">
        <f t="shared" si="3"/>
        <v>13357.446571167764</v>
      </c>
      <c r="X43" s="7"/>
      <c r="Y43" s="334">
        <f t="shared" si="4"/>
        <v>47.083611469888041</v>
      </c>
      <c r="Z43" s="290"/>
      <c r="AB43" s="526">
        <f>+IF(AB42&gt;$I$13+$I$14,XX,AB42+1)</f>
        <v>2023</v>
      </c>
      <c r="AC43" s="152"/>
      <c r="AD43" s="187">
        <f t="shared" si="5"/>
        <v>283696.30438630254</v>
      </c>
      <c r="AE43" s="4"/>
      <c r="AF43" s="190">
        <f t="shared" si="13"/>
        <v>105.43764292942828</v>
      </c>
      <c r="AG43" s="4"/>
      <c r="AH43" s="190">
        <f t="shared" si="14"/>
        <v>21.549858982892509</v>
      </c>
      <c r="AI43" s="4"/>
      <c r="AJ43" s="190">
        <f t="shared" si="15"/>
        <v>2.4788301513384132</v>
      </c>
      <c r="AK43" s="4"/>
      <c r="AL43" s="189">
        <f t="shared" si="20"/>
        <v>6597.7385804330916</v>
      </c>
      <c r="AM43" s="4"/>
      <c r="AN43" s="190">
        <f>INDEX('(2.2)_Forward_Price_Curve'!$H:$H,MATCH($AB43,'(2.2)_Forward_Price_Curve'!$C:$C,0),1)</f>
        <v>2.9371999999999994</v>
      </c>
      <c r="AO43" s="4"/>
      <c r="AP43" s="190">
        <f t="shared" si="23"/>
        <v>19.094440014427573</v>
      </c>
      <c r="AQ43" s="4"/>
      <c r="AR43" s="190">
        <f t="shared" si="16"/>
        <v>3.2111518824008267</v>
      </c>
      <c r="AS43" s="190"/>
      <c r="AT43" s="189">
        <f t="shared" si="1"/>
        <v>3633.4114855189846</v>
      </c>
      <c r="AU43" s="4"/>
      <c r="AV43" s="189">
        <f t="shared" si="2"/>
        <v>6328.0139882792728</v>
      </c>
      <c r="AW43" s="337"/>
      <c r="AX43" s="191">
        <f t="shared" si="8"/>
        <v>9961.4254737982574</v>
      </c>
      <c r="AZ43" s="526">
        <f>+IF(AZ42&gt;$I$13+$I$14,XX,AZ42+1)</f>
        <v>2023</v>
      </c>
      <c r="BA43" s="152"/>
      <c r="BB43" s="190">
        <f t="shared" si="17"/>
        <v>65.801339353662726</v>
      </c>
      <c r="BC43" s="4"/>
      <c r="BD43" s="190">
        <f t="shared" si="18"/>
        <v>18.112168339701764</v>
      </c>
      <c r="BE43" s="4"/>
      <c r="BF43" s="189">
        <f t="shared" si="21"/>
        <v>2964.327094914107</v>
      </c>
      <c r="BG43" s="4"/>
      <c r="BH43" s="193"/>
    </row>
    <row r="44" spans="2:60" ht="12">
      <c r="B44" s="3"/>
      <c r="C44" s="499">
        <f>+IF(C43&gt;$I$13+$I$14,XX,C43+1)</f>
        <v>2024</v>
      </c>
      <c r="D44" s="7"/>
      <c r="E44" s="501">
        <f>'(2.2)_Forward_Price_Curve'!N33</f>
        <v>2.3E-2</v>
      </c>
      <c r="F44" s="7"/>
      <c r="G44" s="613">
        <v>283696.30438630254</v>
      </c>
      <c r="H44" s="7"/>
      <c r="I44" s="619">
        <f>64.2077358737234+'(3.1a)_Goodnoe_Hills-orig'!I44</f>
        <v>326.39412145762316</v>
      </c>
      <c r="J44" s="7"/>
      <c r="K44" s="619">
        <f>'[8]Data for NPC'!N90</f>
        <v>3.5759634490849193</v>
      </c>
      <c r="L44" s="7"/>
      <c r="M44" s="39">
        <f t="shared" si="11"/>
        <v>7.4674239965272449</v>
      </c>
      <c r="N44" s="7"/>
      <c r="O44" s="619">
        <f>'[8]Data for NPC'!M164</f>
        <v>0.68000000000000016</v>
      </c>
      <c r="P44" s="7"/>
      <c r="Q44" s="509">
        <v>-35.802845663214562</v>
      </c>
      <c r="R44" s="7"/>
      <c r="S44" s="23">
        <f t="shared" si="22"/>
        <v>23849.794109058395</v>
      </c>
      <c r="T44" s="7"/>
      <c r="U44" s="23">
        <f t="shared" si="0"/>
        <v>11044.084218360669</v>
      </c>
      <c r="V44" s="7"/>
      <c r="W44" s="23">
        <f t="shared" si="3"/>
        <v>12805.709890697726</v>
      </c>
      <c r="X44" s="7"/>
      <c r="Y44" s="334">
        <f t="shared" si="4"/>
        <v>45.138796990673853</v>
      </c>
      <c r="Z44" s="290"/>
      <c r="AB44" s="526">
        <f>+IF(AB43&gt;$I$13+$I$14,XX,AB43+1)</f>
        <v>2024</v>
      </c>
      <c r="AC44" s="152"/>
      <c r="AD44" s="187">
        <f t="shared" si="5"/>
        <v>283696.30438630254</v>
      </c>
      <c r="AE44" s="4"/>
      <c r="AF44" s="190">
        <f t="shared" si="13"/>
        <v>107.86270871680512</v>
      </c>
      <c r="AG44" s="4"/>
      <c r="AH44" s="190">
        <f t="shared" si="14"/>
        <v>22.045505739499035</v>
      </c>
      <c r="AI44" s="4"/>
      <c r="AJ44" s="190">
        <f t="shared" si="15"/>
        <v>2.5358432448191963</v>
      </c>
      <c r="AK44" s="4"/>
      <c r="AL44" s="189">
        <f t="shared" si="20"/>
        <v>6749.4865677830521</v>
      </c>
      <c r="AM44" s="4"/>
      <c r="AN44" s="190">
        <f>INDEX('(2.2)_Forward_Price_Curve'!$H:$H,MATCH($AB44,'(2.2)_Forward_Price_Curve'!$C:$C,0),1)</f>
        <v>3.4675625000000001</v>
      </c>
      <c r="AO44" s="4"/>
      <c r="AP44" s="190">
        <f t="shared" si="23"/>
        <v>22.542272964908253</v>
      </c>
      <c r="AQ44" s="4"/>
      <c r="AR44" s="190">
        <f t="shared" si="16"/>
        <v>3.2850083756960453</v>
      </c>
      <c r="AS44" s="190"/>
      <c r="AT44" s="189">
        <f t="shared" si="1"/>
        <v>3716.9799496859214</v>
      </c>
      <c r="AU44" s="4"/>
      <c r="AV44" s="189">
        <f t="shared" si="2"/>
        <v>7327.1042686747487</v>
      </c>
      <c r="AW44" s="337"/>
      <c r="AX44" s="191">
        <f t="shared" si="8"/>
        <v>11044.084218360669</v>
      </c>
      <c r="AZ44" s="526">
        <f>+IF(AZ43&gt;$I$13+$I$14,XX,AZ43+1)</f>
        <v>2024</v>
      </c>
      <c r="BA44" s="152"/>
      <c r="BB44" s="190">
        <f t="shared" si="17"/>
        <v>67.314770158796961</v>
      </c>
      <c r="BC44" s="4"/>
      <c r="BD44" s="190">
        <f t="shared" si="18"/>
        <v>18.528748211514902</v>
      </c>
      <c r="BE44" s="4"/>
      <c r="BF44" s="189">
        <f t="shared" si="21"/>
        <v>3032.5066180971307</v>
      </c>
      <c r="BG44" s="4"/>
      <c r="BH44" s="193"/>
    </row>
    <row r="45" spans="2:60" ht="12">
      <c r="B45" s="3"/>
      <c r="C45" s="499">
        <f>+IF(C44&gt;$I$13+$I$14,XX,C44+1)</f>
        <v>2025</v>
      </c>
      <c r="D45" s="7"/>
      <c r="E45" s="501">
        <f>'(2.2)_Forward_Price_Curve'!N34</f>
        <v>2.1999999999999999E-2</v>
      </c>
      <c r="F45" s="7"/>
      <c r="G45" s="613">
        <v>283696.30438630254</v>
      </c>
      <c r="H45" s="7"/>
      <c r="I45" s="619">
        <f>64.2077358737234+'(3.1a)_Goodnoe_Hills-orig'!I45</f>
        <v>331.37566278371725</v>
      </c>
      <c r="J45" s="7"/>
      <c r="K45" s="619">
        <f>'[8]Data for NPC'!N91</f>
        <v>3.6546475975034154</v>
      </c>
      <c r="L45" s="7"/>
      <c r="M45" s="39">
        <f t="shared" si="11"/>
        <v>7.6317073244508444</v>
      </c>
      <c r="N45" s="7"/>
      <c r="O45" s="619">
        <f>'[8]Data for NPC'!M165</f>
        <v>0.7</v>
      </c>
      <c r="P45" s="7"/>
      <c r="Q45" s="509">
        <v>-37.128876984074367</v>
      </c>
      <c r="R45" s="7"/>
      <c r="S45" s="23">
        <f t="shared" si="22"/>
        <v>24016.47170969487</v>
      </c>
      <c r="T45" s="7"/>
      <c r="U45" s="23">
        <f t="shared" si="0"/>
        <v>11805.875436481685</v>
      </c>
      <c r="V45" s="7"/>
      <c r="W45" s="23">
        <f t="shared" si="3"/>
        <v>12210.596273213185</v>
      </c>
      <c r="X45" s="7"/>
      <c r="Y45" s="334">
        <f t="shared" si="4"/>
        <v>43.041083314875706</v>
      </c>
      <c r="Z45" s="290"/>
      <c r="AB45" s="526">
        <f>+IF(AB44&gt;$I$13+$I$14,XX,AB44+1)</f>
        <v>2025</v>
      </c>
      <c r="AC45" s="152"/>
      <c r="AD45" s="187">
        <f t="shared" si="5"/>
        <v>283696.30438630254</v>
      </c>
      <c r="AE45" s="4"/>
      <c r="AF45" s="190">
        <f t="shared" si="13"/>
        <v>110.23568830857484</v>
      </c>
      <c r="AG45" s="4"/>
      <c r="AH45" s="190">
        <f t="shared" si="14"/>
        <v>22.530506865768015</v>
      </c>
      <c r="AI45" s="4"/>
      <c r="AJ45" s="190">
        <f t="shared" si="15"/>
        <v>2.5916317962052187</v>
      </c>
      <c r="AK45" s="4"/>
      <c r="AL45" s="189">
        <f t="shared" si="20"/>
        <v>6897.9752722742778</v>
      </c>
      <c r="AM45" s="4"/>
      <c r="AN45" s="190">
        <f>INDEX('(2.2)_Forward_Price_Curve'!$H:$H,MATCH($AB45,'(2.2)_Forward_Price_Curve'!$C:$C,0),1)</f>
        <v>3.8251624999999998</v>
      </c>
      <c r="AO45" s="4"/>
      <c r="AP45" s="190">
        <f t="shared" si="23"/>
        <v>24.866994382979648</v>
      </c>
      <c r="AQ45" s="4"/>
      <c r="AR45" s="190">
        <f t="shared" si="16"/>
        <v>3.3572785599613582</v>
      </c>
      <c r="AS45" s="190"/>
      <c r="AT45" s="189">
        <f t="shared" si="1"/>
        <v>3798.7535085790105</v>
      </c>
      <c r="AU45" s="4"/>
      <c r="AV45" s="189">
        <f t="shared" si="2"/>
        <v>8007.1219279026745</v>
      </c>
      <c r="AW45" s="337"/>
      <c r="AX45" s="191">
        <f t="shared" si="8"/>
        <v>11805.875436481685</v>
      </c>
      <c r="AZ45" s="526">
        <f>+IF(AZ44&gt;$I$13+$I$14,XX,AZ44+1)</f>
        <v>2025</v>
      </c>
      <c r="BA45" s="152"/>
      <c r="BB45" s="190">
        <f t="shared" si="17"/>
        <v>68.795695102290495</v>
      </c>
      <c r="BC45" s="4"/>
      <c r="BD45" s="190">
        <f t="shared" si="18"/>
        <v>18.93638067216823</v>
      </c>
      <c r="BE45" s="4"/>
      <c r="BF45" s="189">
        <f t="shared" si="21"/>
        <v>3099.2217636952673</v>
      </c>
      <c r="BG45" s="4"/>
      <c r="BH45" s="193"/>
    </row>
    <row r="46" spans="2:60" ht="12">
      <c r="B46" s="3"/>
      <c r="C46" s="499">
        <f>+IF(C45&gt;$I$13+$I$14,XX,C45+1)</f>
        <v>2026</v>
      </c>
      <c r="D46" s="7"/>
      <c r="E46" s="501">
        <f>'(2.2)_Forward_Price_Curve'!N35</f>
        <v>2.1999999999999999E-2</v>
      </c>
      <c r="F46" s="7"/>
      <c r="G46" s="613">
        <v>283696.30438630254</v>
      </c>
      <c r="H46" s="7"/>
      <c r="I46" s="619">
        <f>64.2077358737234+'(3.1a)_Goodnoe_Hills-orig'!I46</f>
        <v>336.45185339500711</v>
      </c>
      <c r="J46" s="7"/>
      <c r="K46" s="619">
        <f>'[8]Data for NPC'!N92</f>
        <v>3.7348745784931405</v>
      </c>
      <c r="L46" s="7"/>
      <c r="M46" s="39">
        <f t="shared" si="11"/>
        <v>7.7996048855887627</v>
      </c>
      <c r="N46" s="7"/>
      <c r="O46" s="619">
        <f>'[8]Data for NPC'!M166</f>
        <v>0.71</v>
      </c>
      <c r="P46" s="7"/>
      <c r="Q46" s="509">
        <v>-37.128876984074367</v>
      </c>
      <c r="R46" s="7"/>
      <c r="S46" s="23">
        <f t="shared" si="22"/>
        <v>24566.862605829134</v>
      </c>
      <c r="T46" s="7"/>
      <c r="U46" s="23">
        <f t="shared" si="0"/>
        <v>12296.33302119176</v>
      </c>
      <c r="V46" s="7"/>
      <c r="W46" s="23">
        <f t="shared" si="3"/>
        <v>12270.529584637374</v>
      </c>
      <c r="X46" s="7"/>
      <c r="Y46" s="334">
        <f t="shared" si="4"/>
        <v>43.252342011226496</v>
      </c>
      <c r="Z46" s="290"/>
      <c r="AB46" s="526">
        <f>+IF(AB45&gt;$I$13+$I$14,XX,AB45+1)</f>
        <v>2026</v>
      </c>
      <c r="AC46" s="152"/>
      <c r="AD46" s="187">
        <f t="shared" si="5"/>
        <v>283696.30438630254</v>
      </c>
      <c r="AE46" s="4"/>
      <c r="AF46" s="190">
        <f t="shared" si="13"/>
        <v>112.66087345136349</v>
      </c>
      <c r="AG46" s="4"/>
      <c r="AH46" s="190">
        <f t="shared" si="14"/>
        <v>23.02617801681491</v>
      </c>
      <c r="AI46" s="4"/>
      <c r="AJ46" s="190">
        <f t="shared" si="15"/>
        <v>2.6486476957217335</v>
      </c>
      <c r="AK46" s="4"/>
      <c r="AL46" s="189">
        <f t="shared" si="20"/>
        <v>7049.7307282643123</v>
      </c>
      <c r="AM46" s="4"/>
      <c r="AN46" s="190">
        <f>INDEX('(2.2)_Forward_Price_Curve'!$H:$H,MATCH($AB46,'(2.2)_Forward_Price_Curve'!$C:$C,0),1)</f>
        <v>4.0344208333333329</v>
      </c>
      <c r="AO46" s="4"/>
      <c r="AP46" s="190">
        <f t="shared" si="23"/>
        <v>26.227361635244531</v>
      </c>
      <c r="AQ46" s="4"/>
      <c r="AR46" s="190">
        <f t="shared" si="16"/>
        <v>3.4311386882805079</v>
      </c>
      <c r="AS46" s="190"/>
      <c r="AT46" s="189">
        <f t="shared" si="1"/>
        <v>3882.3260857677492</v>
      </c>
      <c r="AU46" s="4"/>
      <c r="AV46" s="189">
        <f t="shared" si="2"/>
        <v>8414.0069354240113</v>
      </c>
      <c r="AW46" s="337"/>
      <c r="AX46" s="191">
        <f t="shared" si="8"/>
        <v>12296.33302119176</v>
      </c>
      <c r="AZ46" s="526">
        <f>+IF(AZ45&gt;$I$13+$I$14,XX,AZ45+1)</f>
        <v>2026</v>
      </c>
      <c r="BA46" s="152"/>
      <c r="BB46" s="190">
        <f t="shared" si="17"/>
        <v>70.309200394540881</v>
      </c>
      <c r="BC46" s="4"/>
      <c r="BD46" s="190">
        <f t="shared" si="18"/>
        <v>19.352981046955932</v>
      </c>
      <c r="BE46" s="4"/>
      <c r="BF46" s="189">
        <f t="shared" si="21"/>
        <v>3167.4046424965632</v>
      </c>
      <c r="BG46" s="4"/>
      <c r="BH46" s="193"/>
    </row>
    <row r="47" spans="2:60" ht="12">
      <c r="B47" s="3"/>
      <c r="C47" s="499">
        <f>+IF(C46&gt;$I$13+$I$14,XX,C46+1)</f>
        <v>2027</v>
      </c>
      <c r="D47" s="7"/>
      <c r="E47" s="501">
        <f>'(2.2)_Forward_Price_Curve'!N36</f>
        <v>2.1999999999999999E-2</v>
      </c>
      <c r="F47" s="7"/>
      <c r="G47" s="613">
        <v>283696.30438630254</v>
      </c>
      <c r="H47" s="7"/>
      <c r="I47" s="619">
        <f>64.2077358737234+'(3.1a)_Goodnoe_Hills-orig'!I47</f>
        <v>341.62449162791148</v>
      </c>
      <c r="J47" s="7"/>
      <c r="K47" s="619">
        <f>'[8]Data for NPC'!N93</f>
        <v>3.8170418192199898</v>
      </c>
      <c r="L47" s="7"/>
      <c r="M47" s="39">
        <f t="shared" si="11"/>
        <v>7.9711961930717159</v>
      </c>
      <c r="N47" s="7"/>
      <c r="O47" s="619">
        <f>'[8]Data for NPC'!M167</f>
        <v>0.73</v>
      </c>
      <c r="P47" s="7"/>
      <c r="Q47" s="509">
        <v>-38.454908304934165</v>
      </c>
      <c r="R47" s="7"/>
      <c r="S47" s="23">
        <f t="shared" si="22"/>
        <v>24754.564702915013</v>
      </c>
      <c r="T47" s="7"/>
      <c r="U47" s="23">
        <f t="shared" si="0"/>
        <v>12325.891336966095</v>
      </c>
      <c r="V47" s="7"/>
      <c r="W47" s="23">
        <f t="shared" si="3"/>
        <v>12428.673365948918</v>
      </c>
      <c r="X47" s="7"/>
      <c r="Y47" s="334">
        <f t="shared" si="4"/>
        <v>43.809782410930133</v>
      </c>
      <c r="Z47" s="290"/>
      <c r="AB47" s="526">
        <f>+IF(AB46&gt;$I$13+$I$14,XX,AB46+1)</f>
        <v>2027</v>
      </c>
      <c r="AC47" s="152"/>
      <c r="AD47" s="187">
        <f t="shared" si="5"/>
        <v>283696.30438630254</v>
      </c>
      <c r="AE47" s="4"/>
      <c r="AF47" s="190">
        <f t="shared" si="13"/>
        <v>115.13941266729348</v>
      </c>
      <c r="AG47" s="4"/>
      <c r="AH47" s="190">
        <f t="shared" si="14"/>
        <v>23.532753933184839</v>
      </c>
      <c r="AI47" s="4"/>
      <c r="AJ47" s="190">
        <f t="shared" si="15"/>
        <v>2.7069179450276115</v>
      </c>
      <c r="AK47" s="4"/>
      <c r="AL47" s="189">
        <f t="shared" si="20"/>
        <v>7204.8248042861287</v>
      </c>
      <c r="AM47" s="4"/>
      <c r="AN47" s="190">
        <f>INDEX('(2.2)_Forward_Price_Curve'!$H:$H,MATCH($AB47,'(2.2)_Forward_Price_Curve'!$C:$C,0),1)</f>
        <v>3.9925249999999992</v>
      </c>
      <c r="AO47" s="4"/>
      <c r="AP47" s="190">
        <f t="shared" si="23"/>
        <v>25.955001061760328</v>
      </c>
      <c r="AQ47" s="4"/>
      <c r="AR47" s="190">
        <f t="shared" si="16"/>
        <v>3.5066237394226794</v>
      </c>
      <c r="AS47" s="190"/>
      <c r="AT47" s="189">
        <f t="shared" si="1"/>
        <v>3967.7372596546411</v>
      </c>
      <c r="AU47" s="4"/>
      <c r="AV47" s="189">
        <f t="shared" si="2"/>
        <v>8358.1540773114539</v>
      </c>
      <c r="AW47" s="337"/>
      <c r="AX47" s="191">
        <f t="shared" si="8"/>
        <v>12325.891336966095</v>
      </c>
      <c r="AZ47" s="526">
        <f>+IF(AZ46&gt;$I$13+$I$14,XX,AZ46+1)</f>
        <v>2027</v>
      </c>
      <c r="BA47" s="152"/>
      <c r="BB47" s="190">
        <f t="shared" si="17"/>
        <v>71.856002803220775</v>
      </c>
      <c r="BC47" s="4"/>
      <c r="BD47" s="190">
        <f t="shared" si="18"/>
        <v>19.778746629988962</v>
      </c>
      <c r="BE47" s="4"/>
      <c r="BF47" s="189">
        <f t="shared" si="21"/>
        <v>3237.0875446314876</v>
      </c>
      <c r="BG47" s="4"/>
      <c r="BH47" s="193"/>
    </row>
    <row r="48" spans="2:60" ht="12">
      <c r="B48" s="3"/>
      <c r="C48" s="499">
        <f>+IF(C47&gt;$I$13+$I$14,XX,C47+1)</f>
        <v>2028</v>
      </c>
      <c r="D48" s="7"/>
      <c r="E48" s="501">
        <f>'(2.2)_Forward_Price_Curve'!N37</f>
        <v>2.1999999999999999E-2</v>
      </c>
      <c r="F48" s="7"/>
      <c r="G48" s="613">
        <v>283696.30438630254</v>
      </c>
      <c r="H48" s="7"/>
      <c r="I48" s="619">
        <f>64.2077358737234+'(3.1a)_Goodnoe_Hills-orig'!I48</f>
        <v>346.89540998724101</v>
      </c>
      <c r="J48" s="7"/>
      <c r="K48" s="619">
        <f>'[8]Data for NPC'!N94</f>
        <v>3.901016739242829</v>
      </c>
      <c r="L48" s="7"/>
      <c r="M48" s="39">
        <f t="shared" si="11"/>
        <v>8.1465625093192937</v>
      </c>
      <c r="N48" s="7"/>
      <c r="O48" s="619">
        <f>'[8]Data for NPC'!M168</f>
        <v>0.71</v>
      </c>
      <c r="P48" s="7"/>
      <c r="Q48" s="509">
        <v>-38.454908304934165</v>
      </c>
      <c r="R48" s="7"/>
      <c r="S48" s="23">
        <f t="shared" si="22"/>
        <v>25317.931252909159</v>
      </c>
      <c r="T48" s="7"/>
      <c r="U48" s="23">
        <f t="shared" si="0"/>
        <v>12324.410654757674</v>
      </c>
      <c r="V48" s="7"/>
      <c r="W48" s="23">
        <f t="shared" si="3"/>
        <v>12993.520598151485</v>
      </c>
      <c r="X48" s="7"/>
      <c r="Y48" s="334">
        <f t="shared" si="4"/>
        <v>45.800810222957701</v>
      </c>
      <c r="Z48" s="290"/>
      <c r="AB48" s="526">
        <f>+IF(AB47&gt;$I$13+$I$14,XX,AB47+1)</f>
        <v>2028</v>
      </c>
      <c r="AC48" s="152"/>
      <c r="AD48" s="187">
        <f t="shared" si="5"/>
        <v>283696.30438630254</v>
      </c>
      <c r="AE48" s="4"/>
      <c r="AF48" s="190">
        <f t="shared" si="13"/>
        <v>117.67247974597394</v>
      </c>
      <c r="AG48" s="4"/>
      <c r="AH48" s="190">
        <f t="shared" si="14"/>
        <v>24.050474519714907</v>
      </c>
      <c r="AI48" s="4"/>
      <c r="AJ48" s="190">
        <f t="shared" si="15"/>
        <v>2.7664701398182192</v>
      </c>
      <c r="AK48" s="4"/>
      <c r="AL48" s="189">
        <f t="shared" si="20"/>
        <v>7363.3309499804227</v>
      </c>
      <c r="AM48" s="4"/>
      <c r="AN48" s="190">
        <f>INDEX('(2.2)_Forward_Price_Curve'!$H:$H,MATCH($AB48,'(2.2)_Forward_Price_Curve'!$C:$C,0),1)</f>
        <v>3.9325250000000005</v>
      </c>
      <c r="AO48" s="4"/>
      <c r="AP48" s="190">
        <f t="shared" si="23"/>
        <v>25.564947132553726</v>
      </c>
      <c r="AQ48" s="4"/>
      <c r="AR48" s="190">
        <f t="shared" si="16"/>
        <v>3.5837694616899785</v>
      </c>
      <c r="AS48" s="190"/>
      <c r="AT48" s="189">
        <f t="shared" si="1"/>
        <v>4055.0274793670424</v>
      </c>
      <c r="AU48" s="4"/>
      <c r="AV48" s="189">
        <f t="shared" si="2"/>
        <v>8269.3831753906306</v>
      </c>
      <c r="AW48" s="337"/>
      <c r="AX48" s="191">
        <f t="shared" si="8"/>
        <v>12324.410654757674</v>
      </c>
      <c r="AZ48" s="526">
        <f>+IF(AZ47&gt;$I$13+$I$14,XX,AZ47+1)</f>
        <v>2028</v>
      </c>
      <c r="BA48" s="152"/>
      <c r="BB48" s="190">
        <f t="shared" si="17"/>
        <v>73.436834864891637</v>
      </c>
      <c r="BC48" s="4"/>
      <c r="BD48" s="190">
        <f t="shared" si="18"/>
        <v>20.213879055848722</v>
      </c>
      <c r="BE48" s="4"/>
      <c r="BF48" s="189">
        <f t="shared" si="21"/>
        <v>3308.3034706133803</v>
      </c>
      <c r="BG48" s="4"/>
      <c r="BH48" s="193"/>
    </row>
    <row r="49" spans="2:60" ht="12">
      <c r="B49" s="3"/>
      <c r="C49" s="499">
        <f>+IF(C48&gt;$I$13+$I$14,XX,C48+1)</f>
        <v>2029</v>
      </c>
      <c r="D49" s="7"/>
      <c r="E49" s="501">
        <f>'(2.2)_Forward_Price_Curve'!N38</f>
        <v>2.1999999999999999E-2</v>
      </c>
      <c r="F49" s="7"/>
      <c r="G49" s="613">
        <v>283696.30438630254</v>
      </c>
      <c r="H49" s="7"/>
      <c r="I49" s="619">
        <f>64.2077358737234+'(3.1a)_Goodnoe_Hills-orig'!I49</f>
        <v>352.26647579539781</v>
      </c>
      <c r="J49" s="7"/>
      <c r="K49" s="619">
        <f>'[8]Data for NPC'!N95</f>
        <v>3.982938090766929</v>
      </c>
      <c r="L49" s="7"/>
      <c r="M49" s="39">
        <f t="shared" si="11"/>
        <v>8.3257868845243177</v>
      </c>
      <c r="N49" s="7"/>
      <c r="O49" s="619">
        <f>'[8]Data for NPC'!M169</f>
        <v>0.76</v>
      </c>
      <c r="P49" s="7"/>
      <c r="Q49" s="509">
        <v>-29.835704719345468</v>
      </c>
      <c r="R49" s="7"/>
      <c r="S49" s="23">
        <f t="shared" si="22"/>
        <v>28356.318535659218</v>
      </c>
      <c r="T49" s="7"/>
      <c r="U49" s="23">
        <f t="shared" si="0"/>
        <v>13024.337389736063</v>
      </c>
      <c r="V49" s="7"/>
      <c r="W49" s="23">
        <f t="shared" si="3"/>
        <v>15331.981145923155</v>
      </c>
      <c r="X49" s="7"/>
      <c r="Y49" s="334">
        <f t="shared" si="4"/>
        <v>54.043640713225358</v>
      </c>
      <c r="Z49" s="290"/>
      <c r="AB49" s="526">
        <f>+IF(AB48&gt;$I$13+$I$14,XX,AB48+1)</f>
        <v>2029</v>
      </c>
      <c r="AC49" s="152"/>
      <c r="AD49" s="187">
        <f t="shared" si="5"/>
        <v>283696.30438630254</v>
      </c>
      <c r="AE49" s="4"/>
      <c r="AF49" s="190">
        <f t="shared" si="13"/>
        <v>120.26127430038538</v>
      </c>
      <c r="AG49" s="4"/>
      <c r="AH49" s="190">
        <f t="shared" si="14"/>
        <v>24.579584959148637</v>
      </c>
      <c r="AI49" s="4"/>
      <c r="AJ49" s="190">
        <f t="shared" si="15"/>
        <v>2.8273324828942199</v>
      </c>
      <c r="AK49" s="4"/>
      <c r="AL49" s="189">
        <f t="shared" si="20"/>
        <v>7525.3242308799945</v>
      </c>
      <c r="AM49" s="4"/>
      <c r="AN49" s="190">
        <f>INDEX('(2.2)_Forward_Price_Curve'!$H:$H,MATCH($AB49,'(2.2)_Forward_Price_Curve'!$C:$C,0),1)</f>
        <v>4.2515375000000004</v>
      </c>
      <c r="AO49" s="4"/>
      <c r="AP49" s="190">
        <f t="shared" si="23"/>
        <v>27.638815117404125</v>
      </c>
      <c r="AQ49" s="4"/>
      <c r="AR49" s="190">
        <f t="shared" si="16"/>
        <v>3.6626123898471579</v>
      </c>
      <c r="AS49" s="190"/>
      <c r="AT49" s="189">
        <f t="shared" si="1"/>
        <v>4144.2380839131201</v>
      </c>
      <c r="AU49" s="4"/>
      <c r="AV49" s="189">
        <f t="shared" si="2"/>
        <v>8880.0993058229433</v>
      </c>
      <c r="AW49" s="337"/>
      <c r="AX49" s="191">
        <f t="shared" si="8"/>
        <v>13024.337389736063</v>
      </c>
      <c r="AZ49" s="526">
        <f>+IF(AZ48&gt;$I$13+$I$14,XX,AZ48+1)</f>
        <v>2029</v>
      </c>
      <c r="BA49" s="152"/>
      <c r="BB49" s="190">
        <f t="shared" si="17"/>
        <v>75.052445231919251</v>
      </c>
      <c r="BC49" s="4"/>
      <c r="BD49" s="190">
        <f t="shared" si="18"/>
        <v>20.658584395077394</v>
      </c>
      <c r="BE49" s="4"/>
      <c r="BF49" s="189">
        <f t="shared" si="21"/>
        <v>3381.0861469668748</v>
      </c>
      <c r="BG49" s="4"/>
      <c r="BH49" s="193"/>
    </row>
    <row r="50" spans="2:60" ht="12">
      <c r="B50" s="3"/>
      <c r="C50" s="499">
        <f>+IF(C49&gt;$I$13+$I$14,XX,C49+1)</f>
        <v>2030</v>
      </c>
      <c r="D50" s="7"/>
      <c r="E50" s="501">
        <f>'(2.2)_Forward_Price_Curve'!N39</f>
        <v>2.1999999999999999E-2</v>
      </c>
      <c r="F50" s="7"/>
      <c r="G50" s="613">
        <v>283696.30438630254</v>
      </c>
      <c r="H50" s="7"/>
      <c r="I50" s="619">
        <f>64.2077358737234+'(3.1a)_Goodnoe_Hills-orig'!I50</f>
        <v>358.02765059383131</v>
      </c>
      <c r="J50" s="7"/>
      <c r="K50" s="619">
        <f>'[8]Data for NPC'!N96</f>
        <v>4.0705627287638011</v>
      </c>
      <c r="L50" s="7"/>
      <c r="M50" s="39">
        <f t="shared" si="11"/>
        <v>8.5089541959838524</v>
      </c>
      <c r="N50" s="7"/>
      <c r="O50" s="619">
        <f>'[8]Data for NPC'!M170</f>
        <v>0.78</v>
      </c>
      <c r="P50" s="7"/>
      <c r="Q50" s="506">
        <v>0</v>
      </c>
      <c r="R50" s="7"/>
      <c r="S50" s="23">
        <f t="shared" si="22"/>
        <v>37444.644735757305</v>
      </c>
      <c r="T50" s="7"/>
      <c r="U50" s="23">
        <f t="shared" si="0"/>
        <v>14168.34728923948</v>
      </c>
      <c r="V50" s="7"/>
      <c r="W50" s="23">
        <f t="shared" si="3"/>
        <v>23276.297446517827</v>
      </c>
      <c r="X50" s="7"/>
      <c r="Y50" s="334">
        <f t="shared" si="4"/>
        <v>82.046530344727515</v>
      </c>
      <c r="Z50" s="290"/>
      <c r="AB50" s="526">
        <f>+IF(AB49&gt;$I$13+$I$14,XX,AB49+1)</f>
        <v>2030</v>
      </c>
      <c r="AC50" s="152"/>
      <c r="AD50" s="187">
        <f t="shared" si="5"/>
        <v>283696.30438630254</v>
      </c>
      <c r="AE50" s="4"/>
      <c r="AF50" s="190">
        <f t="shared" si="13"/>
        <v>122.90702233499385</v>
      </c>
      <c r="AG50" s="4"/>
      <c r="AH50" s="190">
        <f t="shared" si="14"/>
        <v>25.120335828249907</v>
      </c>
      <c r="AI50" s="4"/>
      <c r="AJ50" s="190">
        <f t="shared" si="15"/>
        <v>2.8895337975178927</v>
      </c>
      <c r="AK50" s="4"/>
      <c r="AL50" s="189">
        <f t="shared" si="20"/>
        <v>7690.8813639593536</v>
      </c>
      <c r="AM50" s="4"/>
      <c r="AN50" s="190">
        <f>INDEX('(2.2)_Forward_Price_Curve'!$H:$H,MATCH($AB50,'(2.2)_Forward_Price_Curve'!$C:$C,0),1)</f>
        <v>4.8100083333333341</v>
      </c>
      <c r="AO50" s="4"/>
      <c r="AP50" s="190">
        <f t="shared" si="23"/>
        <v>31.26937749888673</v>
      </c>
      <c r="AQ50" s="4"/>
      <c r="AR50" s="190">
        <f t="shared" si="16"/>
        <v>3.7431898624237956</v>
      </c>
      <c r="AS50" s="190"/>
      <c r="AT50" s="189">
        <f t="shared" si="1"/>
        <v>4235.4113217592076</v>
      </c>
      <c r="AU50" s="4"/>
      <c r="AV50" s="189">
        <f t="shared" si="2"/>
        <v>9932.9359674802727</v>
      </c>
      <c r="AW50" s="337"/>
      <c r="AX50" s="191">
        <f t="shared" si="8"/>
        <v>14168.34728923948</v>
      </c>
      <c r="AZ50" s="526">
        <f>+IF(AZ49&gt;$I$13+$I$14,XX,AZ49+1)</f>
        <v>2030</v>
      </c>
      <c r="BA50" s="152"/>
      <c r="BB50" s="190">
        <f t="shared" si="17"/>
        <v>76.703599027021482</v>
      </c>
      <c r="BC50" s="4"/>
      <c r="BD50" s="190">
        <f t="shared" si="18"/>
        <v>21.113073251769098</v>
      </c>
      <c r="BE50" s="4"/>
      <c r="BF50" s="189">
        <f t="shared" si="21"/>
        <v>3455.4700422001465</v>
      </c>
      <c r="BG50" s="4"/>
      <c r="BH50" s="193"/>
    </row>
    <row r="51" spans="2:60" ht="12">
      <c r="B51" s="3"/>
      <c r="C51" s="499">
        <f>+IF(C50&gt;$I$13+$I$14,XX,C50+1)</f>
        <v>2031</v>
      </c>
      <c r="D51" s="7"/>
      <c r="E51" s="501">
        <f>'(2.2)_Forward_Price_Curve'!N40</f>
        <v>2.1999999999999999E-2</v>
      </c>
      <c r="F51" s="7"/>
      <c r="G51" s="613">
        <v>283696.30438630254</v>
      </c>
      <c r="H51" s="7"/>
      <c r="I51" s="619">
        <f>64.2077358737234+'(3.1a)_Goodnoe_Hills-orig'!I51</f>
        <v>363.90404888823349</v>
      </c>
      <c r="J51" s="7"/>
      <c r="K51" s="619">
        <f>'[8]Data for NPC'!N97</f>
        <v>4.160115108796604</v>
      </c>
      <c r="L51" s="7"/>
      <c r="M51" s="39">
        <f t="shared" si="11"/>
        <v>8.6961511882954969</v>
      </c>
      <c r="N51" s="7"/>
      <c r="O51" s="619">
        <f>'[8]Data for NPC'!M171</f>
        <v>0.8</v>
      </c>
      <c r="P51" s="7"/>
      <c r="Q51" s="506">
        <v>0</v>
      </c>
      <c r="R51" s="7"/>
      <c r="S51" s="23">
        <f t="shared" si="22"/>
        <v>38081.212875694197</v>
      </c>
      <c r="T51" s="7"/>
      <c r="U51" s="23">
        <f t="shared" si="0"/>
        <v>14858.529321538821</v>
      </c>
      <c r="V51" s="7"/>
      <c r="W51" s="23">
        <f t="shared" si="3"/>
        <v>23222.683554155374</v>
      </c>
      <c r="X51" s="7"/>
      <c r="Y51" s="334">
        <f t="shared" si="4"/>
        <v>81.857546944050398</v>
      </c>
      <c r="Z51" s="290"/>
      <c r="AB51" s="526">
        <f>+IF(AB50&gt;$I$13+$I$14,XX,AB50+1)</f>
        <v>2031</v>
      </c>
      <c r="AC51" s="152"/>
      <c r="AD51" s="187">
        <f t="shared" si="5"/>
        <v>283696.30438630254</v>
      </c>
      <c r="AE51" s="4"/>
      <c r="AF51" s="190">
        <f t="shared" si="13"/>
        <v>125.61097682636372</v>
      </c>
      <c r="AG51" s="4"/>
      <c r="AH51" s="190">
        <f t="shared" si="14"/>
        <v>25.672983216471405</v>
      </c>
      <c r="AI51" s="4"/>
      <c r="AJ51" s="190">
        <f t="shared" si="15"/>
        <v>2.9531035410632867</v>
      </c>
      <c r="AK51" s="4"/>
      <c r="AL51" s="189">
        <f t="shared" si="20"/>
        <v>7860.0807539664584</v>
      </c>
      <c r="AM51" s="4"/>
      <c r="AN51" s="190">
        <f>INDEX('(2.2)_Forward_Price_Curve'!$H:$H,MATCH($AB51,'(2.2)_Forward_Price_Curve'!$C:$C,0),1)</f>
        <v>5.1210458333333335</v>
      </c>
      <c r="AO51" s="4"/>
      <c r="AP51" s="190">
        <f t="shared" si="23"/>
        <v>33.291400815646746</v>
      </c>
      <c r="AQ51" s="4"/>
      <c r="AR51" s="190">
        <f t="shared" si="16"/>
        <v>3.8255400393971191</v>
      </c>
      <c r="AS51" s="190"/>
      <c r="AT51" s="189">
        <f t="shared" si="1"/>
        <v>4328.5903708379083</v>
      </c>
      <c r="AU51" s="4"/>
      <c r="AV51" s="189">
        <f t="shared" si="2"/>
        <v>10529.938950700913</v>
      </c>
      <c r="AW51" s="337"/>
      <c r="AX51" s="191">
        <f t="shared" si="8"/>
        <v>14858.529321538821</v>
      </c>
      <c r="AZ51" s="526">
        <f>+IF(AZ50&gt;$I$13+$I$14,XX,AZ50+1)</f>
        <v>2031</v>
      </c>
      <c r="BA51" s="152"/>
      <c r="BB51" s="190">
        <f t="shared" si="17"/>
        <v>78.391078205615955</v>
      </c>
      <c r="BC51" s="4"/>
      <c r="BD51" s="190">
        <f t="shared" si="18"/>
        <v>21.577560863308019</v>
      </c>
      <c r="BE51" s="4"/>
      <c r="BF51" s="189">
        <f t="shared" si="21"/>
        <v>3531.4903831285496</v>
      </c>
      <c r="BG51" s="4"/>
      <c r="BH51" s="193"/>
    </row>
    <row r="52" spans="2:60" ht="12">
      <c r="B52" s="3"/>
      <c r="C52" s="499">
        <f>+IF(C51&gt;$I$13+$I$14,XX,C51+1)</f>
        <v>2032</v>
      </c>
      <c r="D52" s="7"/>
      <c r="E52" s="501">
        <f>'(2.2)_Forward_Price_Curve'!N41</f>
        <v>2.1000000000000001E-2</v>
      </c>
      <c r="F52" s="7"/>
      <c r="G52" s="613">
        <v>283696.30438630254</v>
      </c>
      <c r="H52" s="7"/>
      <c r="I52" s="619">
        <f>64.2077358737234+'(3.1a)_Goodnoe_Hills-orig'!I52</f>
        <v>370.19767146153816</v>
      </c>
      <c r="J52" s="7"/>
      <c r="K52" s="619">
        <f>'[8]Data for NPC'!N98</f>
        <v>4.2516376411901282</v>
      </c>
      <c r="L52" s="7"/>
      <c r="M52" s="39">
        <f t="shared" si="11"/>
        <v>8.8787703632497017</v>
      </c>
      <c r="N52" s="7"/>
      <c r="O52" s="619">
        <f>'[8]Data for NPC'!M172</f>
        <v>0.81</v>
      </c>
      <c r="P52" s="7"/>
      <c r="Q52" s="506">
        <v>0</v>
      </c>
      <c r="R52" s="7"/>
      <c r="S52" s="23">
        <f t="shared" si="22"/>
        <v>38753.423349881406</v>
      </c>
      <c r="T52" s="7"/>
      <c r="U52" s="23">
        <f t="shared" ref="U52:U68" si="24">AX52</f>
        <v>15529.393492509451</v>
      </c>
      <c r="V52" s="7"/>
      <c r="W52" s="23">
        <f t="shared" si="3"/>
        <v>23224.029857371956</v>
      </c>
      <c r="X52" s="7"/>
      <c r="Y52" s="334">
        <f t="shared" ref="Y52:Y68" si="25">+W52*1000/G52</f>
        <v>81.862292523022589</v>
      </c>
      <c r="Z52" s="290"/>
      <c r="AB52" s="526">
        <f>+IF(AB51&gt;$I$13+$I$14,XX,AB51+1)</f>
        <v>2032</v>
      </c>
      <c r="AC52" s="152"/>
      <c r="AD52" s="187">
        <f t="shared" ref="AD52:AD68" si="26">G52</f>
        <v>283696.30438630254</v>
      </c>
      <c r="AE52" s="4"/>
      <c r="AF52" s="190">
        <f t="shared" si="13"/>
        <v>128.24880733971736</v>
      </c>
      <c r="AG52" s="4"/>
      <c r="AH52" s="190">
        <f t="shared" si="14"/>
        <v>26.212115864017303</v>
      </c>
      <c r="AI52" s="4"/>
      <c r="AJ52" s="190">
        <f t="shared" si="15"/>
        <v>3.0151187154256154</v>
      </c>
      <c r="AK52" s="4"/>
      <c r="AL52" s="189">
        <f t="shared" si="20"/>
        <v>8025.1424497997541</v>
      </c>
      <c r="AM52" s="4"/>
      <c r="AN52" s="190">
        <f>INDEX('(2.2)_Forward_Price_Curve'!$H:$H,MATCH($AB52,'(2.2)_Forward_Price_Curve'!$C:$C,0),1)</f>
        <v>5.4231541666666665</v>
      </c>
      <c r="AO52" s="4"/>
      <c r="AP52" s="190">
        <f t="shared" si="23"/>
        <v>35.255376523358855</v>
      </c>
      <c r="AQ52" s="4"/>
      <c r="AR52" s="190">
        <f t="shared" si="16"/>
        <v>3.9058763802244583</v>
      </c>
      <c r="AS52" s="190"/>
      <c r="AT52" s="189">
        <f t="shared" ref="AT52:AT68" si="27">AL52-BF52</f>
        <v>4419.4907686255046</v>
      </c>
      <c r="AU52" s="4"/>
      <c r="AV52" s="189">
        <f t="shared" ref="AV52:AV68" si="28">(AP52+AR52)*AD52/1000</f>
        <v>11109.902723883946</v>
      </c>
      <c r="AW52" s="337"/>
      <c r="AX52" s="191">
        <f t="shared" ref="AX52:AX68" si="29">AT52+AV52</f>
        <v>15529.393492509451</v>
      </c>
      <c r="AZ52" s="526">
        <f>+IF(AZ51&gt;$I$13+$I$14,XX,AZ51+1)</f>
        <v>2032</v>
      </c>
      <c r="BA52" s="152"/>
      <c r="BB52" s="190">
        <f t="shared" si="17"/>
        <v>80.037290847933889</v>
      </c>
      <c r="BC52" s="4"/>
      <c r="BD52" s="190">
        <f t="shared" si="18"/>
        <v>22.030689641437487</v>
      </c>
      <c r="BE52" s="4"/>
      <c r="BF52" s="189">
        <f t="shared" si="21"/>
        <v>3605.6516811742495</v>
      </c>
      <c r="BG52" s="4"/>
      <c r="BH52" s="193"/>
    </row>
    <row r="53" spans="2:60" ht="12">
      <c r="B53" s="3"/>
      <c r="C53" s="499">
        <f>+IF(C52&gt;$I$13+$I$14,XX,C52+1)</f>
        <v>2033</v>
      </c>
      <c r="D53" s="7"/>
      <c r="E53" s="501">
        <f>'(2.2)_Forward_Price_Curve'!N42</f>
        <v>2.1000000000000001E-2</v>
      </c>
      <c r="F53" s="7"/>
      <c r="G53" s="613">
        <v>283696.30438630254</v>
      </c>
      <c r="H53" s="7"/>
      <c r="I53" s="619">
        <v>85.41885624030391</v>
      </c>
      <c r="J53" s="7"/>
      <c r="K53" s="619">
        <f>'[8]Data for NPC'!N99</f>
        <v>4.3451736692963117</v>
      </c>
      <c r="L53" s="7"/>
      <c r="M53" s="39">
        <f t="shared" si="11"/>
        <v>9.0652245408779439</v>
      </c>
      <c r="N53" s="7"/>
      <c r="O53" s="619">
        <f>'[8]Data for NPC'!M173</f>
        <v>0.83</v>
      </c>
      <c r="P53" s="7"/>
      <c r="Q53" s="506">
        <v>0</v>
      </c>
      <c r="R53" s="7"/>
      <c r="S53" s="23">
        <f t="shared" si="22"/>
        <v>12069.32083180432</v>
      </c>
      <c r="T53" s="7"/>
      <c r="U53" s="23">
        <f t="shared" si="24"/>
        <v>16230.347822493666</v>
      </c>
      <c r="V53" s="7"/>
      <c r="W53" s="23">
        <f t="shared" si="3"/>
        <v>-4161.0269906893463</v>
      </c>
      <c r="X53" s="7"/>
      <c r="Y53" s="334">
        <f t="shared" si="25"/>
        <v>-14.667187856713758</v>
      </c>
      <c r="Z53" s="290"/>
      <c r="AB53" s="526">
        <f>+IF(AB52&gt;$I$13+$I$14,XX,AB52+1)</f>
        <v>2033</v>
      </c>
      <c r="AC53" s="152"/>
      <c r="AD53" s="187">
        <f t="shared" si="26"/>
        <v>283696.30438630254</v>
      </c>
      <c r="AE53" s="4"/>
      <c r="AF53" s="190">
        <f t="shared" si="13"/>
        <v>130.94203229385141</v>
      </c>
      <c r="AG53" s="4"/>
      <c r="AH53" s="190">
        <f t="shared" si="14"/>
        <v>26.762570297161663</v>
      </c>
      <c r="AI53" s="4"/>
      <c r="AJ53" s="190">
        <f t="shared" si="15"/>
        <v>3.0784362084495531</v>
      </c>
      <c r="AK53" s="4"/>
      <c r="AL53" s="189">
        <f t="shared" si="20"/>
        <v>8193.6704412455474</v>
      </c>
      <c r="AM53" s="4"/>
      <c r="AN53" s="190">
        <f>INDEX('(2.2)_Forward_Price_Curve'!$H:$H,MATCH($AB53,'(2.2)_Forward_Price_Curve'!$C:$C,0),1)</f>
        <v>5.7402833333333332</v>
      </c>
      <c r="AO53" s="4"/>
      <c r="AP53" s="190">
        <f t="shared" si="23"/>
        <v>37.317001148764703</v>
      </c>
      <c r="AQ53" s="4"/>
      <c r="AR53" s="190">
        <f t="shared" si="16"/>
        <v>3.9878997842091715</v>
      </c>
      <c r="AS53" s="190"/>
      <c r="AT53" s="189">
        <f t="shared" si="27"/>
        <v>4512.3000747666392</v>
      </c>
      <c r="AU53" s="4"/>
      <c r="AV53" s="189">
        <f t="shared" si="28"/>
        <v>11718.047747727027</v>
      </c>
      <c r="AW53" s="337"/>
      <c r="AX53" s="191">
        <f t="shared" si="29"/>
        <v>16230.347822493666</v>
      </c>
      <c r="AZ53" s="526">
        <f>+IF(AZ52&gt;$I$13+$I$14,XX,AZ52+1)</f>
        <v>2033</v>
      </c>
      <c r="BA53" s="152"/>
      <c r="BB53" s="190">
        <f t="shared" si="17"/>
        <v>81.718073955740493</v>
      </c>
      <c r="BC53" s="4"/>
      <c r="BD53" s="190">
        <f t="shared" si="18"/>
        <v>22.493334123907673</v>
      </c>
      <c r="BE53" s="4"/>
      <c r="BF53" s="189">
        <f t="shared" si="21"/>
        <v>3681.3703664789082</v>
      </c>
      <c r="BG53" s="4"/>
      <c r="BH53" s="193"/>
    </row>
    <row r="54" spans="2:60" ht="12">
      <c r="B54" s="3"/>
      <c r="C54" s="499">
        <f>+IF(C53&gt;$I$13+$I$14,XX,C53+1)</f>
        <v>2034</v>
      </c>
      <c r="D54" s="7"/>
      <c r="E54" s="501">
        <f>'(2.2)_Forward_Price_Curve'!N43</f>
        <v>2.1000000000000001E-2</v>
      </c>
      <c r="F54" s="7"/>
      <c r="G54" s="613">
        <v>283696.30438630254</v>
      </c>
      <c r="H54" s="7"/>
      <c r="I54" s="619">
        <v>87.315154848838674</v>
      </c>
      <c r="J54" s="7"/>
      <c r="K54" s="619">
        <f>'[8]Data for NPC'!N100</f>
        <v>4.4407674900208312</v>
      </c>
      <c r="L54" s="7"/>
      <c r="M54" s="39">
        <f t="shared" si="11"/>
        <v>9.25559425623638</v>
      </c>
      <c r="N54" s="7"/>
      <c r="O54" s="619">
        <f>'[8]Data for NPC'!M174</f>
        <v>0.85000000000000009</v>
      </c>
      <c r="P54" s="7"/>
      <c r="Q54" s="506">
        <v>0</v>
      </c>
      <c r="R54" s="7"/>
      <c r="S54" s="23">
        <f t="shared" si="22"/>
        <v>12334.373625470289</v>
      </c>
      <c r="T54" s="7"/>
      <c r="U54" s="23">
        <f t="shared" si="24"/>
        <v>16917.909734045374</v>
      </c>
      <c r="V54" s="7"/>
      <c r="W54" s="23">
        <f t="shared" si="3"/>
        <v>-4583.5361085750847</v>
      </c>
      <c r="X54" s="7"/>
      <c r="Y54" s="334">
        <f t="shared" si="25"/>
        <v>-16.156488603157101</v>
      </c>
      <c r="Z54" s="290"/>
      <c r="AB54" s="526">
        <f>+IF(AB53&gt;$I$13+$I$14,XX,AB53+1)</f>
        <v>2034</v>
      </c>
      <c r="AC54" s="152"/>
      <c r="AD54" s="187">
        <f t="shared" si="26"/>
        <v>283696.30438630254</v>
      </c>
      <c r="AE54" s="4"/>
      <c r="AF54" s="190">
        <f t="shared" si="13"/>
        <v>133.69181497202229</v>
      </c>
      <c r="AG54" s="4"/>
      <c r="AH54" s="190">
        <f t="shared" si="14"/>
        <v>27.324584273402056</v>
      </c>
      <c r="AI54" s="4"/>
      <c r="AJ54" s="190">
        <f t="shared" si="15"/>
        <v>3.1430833688269932</v>
      </c>
      <c r="AK54" s="4"/>
      <c r="AL54" s="189">
        <f t="shared" si="20"/>
        <v>8365.7375205117041</v>
      </c>
      <c r="AM54" s="4"/>
      <c r="AN54" s="190">
        <f>INDEX('(2.2)_Forward_Price_Curve'!$H:$H,MATCH($AB54,'(2.2)_Forward_Price_Curve'!$C:$C,0),1)</f>
        <v>6.0488291666666667</v>
      </c>
      <c r="AO54" s="4"/>
      <c r="AP54" s="190">
        <f t="shared" si="23"/>
        <v>39.322826392631285</v>
      </c>
      <c r="AQ54" s="4"/>
      <c r="AR54" s="190">
        <f t="shared" si="16"/>
        <v>4.0716456796775633</v>
      </c>
      <c r="AS54" s="190"/>
      <c r="AT54" s="189">
        <f t="shared" si="27"/>
        <v>4607.0583763367395</v>
      </c>
      <c r="AU54" s="4"/>
      <c r="AV54" s="189">
        <f t="shared" si="28"/>
        <v>12310.851357708636</v>
      </c>
      <c r="AW54" s="337"/>
      <c r="AX54" s="191">
        <f t="shared" si="29"/>
        <v>16917.909734045374</v>
      </c>
      <c r="AZ54" s="526">
        <f>+IF(AZ53&gt;$I$13+$I$14,XX,AZ53+1)</f>
        <v>2034</v>
      </c>
      <c r="BA54" s="152"/>
      <c r="BB54" s="190">
        <f t="shared" si="17"/>
        <v>83.434153508811036</v>
      </c>
      <c r="BC54" s="4"/>
      <c r="BD54" s="190">
        <f t="shared" si="18"/>
        <v>22.965694140509733</v>
      </c>
      <c r="BE54" s="4"/>
      <c r="BF54" s="189">
        <f t="shared" si="21"/>
        <v>3758.6791441749651</v>
      </c>
      <c r="BG54" s="4"/>
      <c r="BH54" s="193"/>
    </row>
    <row r="55" spans="2:60" ht="12">
      <c r="B55" s="3"/>
      <c r="C55" s="499">
        <f>+IF(C54&gt;$I$13+$I$14,XX,C54+1)</f>
        <v>2035</v>
      </c>
      <c r="D55" s="7"/>
      <c r="E55" s="501">
        <f>'(2.2)_Forward_Price_Curve'!N44</f>
        <v>2.1000000000000001E-2</v>
      </c>
      <c r="F55" s="7"/>
      <c r="G55" s="613">
        <v>283696.30438630254</v>
      </c>
      <c r="H55" s="7"/>
      <c r="I55" s="619">
        <v>89.253551286482903</v>
      </c>
      <c r="J55" s="7"/>
      <c r="K55" s="619">
        <f>'[8]Data for NPC'!N101</f>
        <v>4.5384643748012898</v>
      </c>
      <c r="L55" s="7"/>
      <c r="M55" s="39">
        <f t="shared" si="11"/>
        <v>9.4499617356173431</v>
      </c>
      <c r="N55" s="7"/>
      <c r="O55" s="619">
        <f>'[8]Data for NPC'!M175</f>
        <v>0.87</v>
      </c>
      <c r="P55" s="7"/>
      <c r="Q55" s="506">
        <v>0</v>
      </c>
      <c r="R55" s="7"/>
      <c r="S55" s="23">
        <f t="shared" si="22"/>
        <v>12605.114397452104</v>
      </c>
      <c r="T55" s="7"/>
      <c r="U55" s="23">
        <f t="shared" si="24"/>
        <v>16450.789454952574</v>
      </c>
      <c r="V55" s="7"/>
      <c r="W55" s="23">
        <f t="shared" si="3"/>
        <v>-3845.6750575004698</v>
      </c>
      <c r="X55" s="7"/>
      <c r="Y55" s="334">
        <f t="shared" si="25"/>
        <v>-13.555605053860361</v>
      </c>
      <c r="Z55" s="290"/>
      <c r="AB55" s="526">
        <f>+IF(AB54&gt;$I$13+$I$14,XX,AB54+1)</f>
        <v>2035</v>
      </c>
      <c r="AC55" s="152"/>
      <c r="AD55" s="187">
        <f t="shared" si="26"/>
        <v>283696.30438630254</v>
      </c>
      <c r="AE55" s="4"/>
      <c r="AF55" s="190">
        <f t="shared" si="13"/>
        <v>136.49934308643475</v>
      </c>
      <c r="AG55" s="4"/>
      <c r="AH55" s="190">
        <f t="shared" si="14"/>
        <v>27.898400543143499</v>
      </c>
      <c r="AI55" s="4"/>
      <c r="AJ55" s="190">
        <f t="shared" si="15"/>
        <v>3.20908811957236</v>
      </c>
      <c r="AK55" s="4"/>
      <c r="AL55" s="189">
        <f t="shared" si="20"/>
        <v>8541.4180084424497</v>
      </c>
      <c r="AM55" s="4"/>
      <c r="AN55" s="190">
        <f>INDEX('(2.2)_Forward_Price_Curve'!$H:$H,MATCH($AB55,'(2.2)_Forward_Price_Curve'!$C:$C,0),1)</f>
        <v>5.7299374999999992</v>
      </c>
      <c r="AO55" s="4"/>
      <c r="AP55" s="190">
        <f t="shared" si="23"/>
        <v>37.24974393305498</v>
      </c>
      <c r="AQ55" s="4"/>
      <c r="AR55" s="190">
        <f t="shared" si="16"/>
        <v>4.1571502389507922</v>
      </c>
      <c r="AS55" s="190"/>
      <c r="AT55" s="189">
        <f t="shared" si="27"/>
        <v>4703.8066022398107</v>
      </c>
      <c r="AU55" s="4"/>
      <c r="AV55" s="189">
        <f t="shared" si="28"/>
        <v>11746.982852712765</v>
      </c>
      <c r="AW55" s="337"/>
      <c r="AX55" s="191">
        <f t="shared" si="29"/>
        <v>16450.789454952574</v>
      </c>
      <c r="AZ55" s="526">
        <f>+IF(AZ54&gt;$I$13+$I$14,XX,AZ54+1)</f>
        <v>2035</v>
      </c>
      <c r="BA55" s="152"/>
      <c r="BB55" s="190">
        <f t="shared" si="17"/>
        <v>85.186270732496055</v>
      </c>
      <c r="BC55" s="4"/>
      <c r="BD55" s="190">
        <f t="shared" si="18"/>
        <v>23.447973717460435</v>
      </c>
      <c r="BE55" s="4"/>
      <c r="BF55" s="189">
        <f t="shared" si="21"/>
        <v>3837.611406202639</v>
      </c>
      <c r="BG55" s="4"/>
      <c r="BH55" s="193"/>
    </row>
    <row r="56" spans="2:60" ht="12">
      <c r="B56" s="3"/>
      <c r="C56" s="499">
        <f>+IF(C55&gt;$I$13+$I$14,XX,C55+1)</f>
        <v>2036</v>
      </c>
      <c r="D56" s="7"/>
      <c r="E56" s="501">
        <f>'(2.2)_Forward_Price_Curve'!N45</f>
        <v>2.1000000000000001E-2</v>
      </c>
      <c r="F56" s="7"/>
      <c r="G56" s="613">
        <v>283696.30438630254</v>
      </c>
      <c r="H56" s="7"/>
      <c r="I56" s="619">
        <v>91.23498012504281</v>
      </c>
      <c r="J56" s="7"/>
      <c r="K56" s="619">
        <f>'[8]Data for NPC'!N102</f>
        <v>4.6383105910469178</v>
      </c>
      <c r="L56" s="7"/>
      <c r="M56" s="39">
        <f t="shared" si="11"/>
        <v>9.6484109320653069</v>
      </c>
      <c r="N56" s="7"/>
      <c r="O56" s="619">
        <f>'[8]Data for NPC'!M176</f>
        <v>0.89</v>
      </c>
      <c r="P56" s="7"/>
      <c r="Q56" s="506">
        <v>0</v>
      </c>
      <c r="R56" s="7"/>
      <c r="S56" s="23">
        <f t="shared" si="22"/>
        <v>12881.667940561019</v>
      </c>
      <c r="T56" s="7"/>
      <c r="U56" s="23">
        <f t="shared" si="24"/>
        <v>16662.730974963641</v>
      </c>
      <c r="V56" s="7"/>
      <c r="W56" s="23">
        <f t="shared" si="3"/>
        <v>-3781.0630344026213</v>
      </c>
      <c r="X56" s="7"/>
      <c r="Y56" s="334">
        <f t="shared" si="25"/>
        <v>-13.327854384927191</v>
      </c>
      <c r="Z56" s="290"/>
      <c r="AB56" s="526">
        <f>+IF(AB55&gt;$I$13+$I$14,XX,AB55+1)</f>
        <v>2036</v>
      </c>
      <c r="AC56" s="152"/>
      <c r="AD56" s="187">
        <f t="shared" si="26"/>
        <v>283696.30438630254</v>
      </c>
      <c r="AE56" s="4"/>
      <c r="AF56" s="190">
        <f t="shared" si="13"/>
        <v>139.36582929124987</v>
      </c>
      <c r="AG56" s="4"/>
      <c r="AH56" s="190">
        <f t="shared" si="14"/>
        <v>28.484266954549511</v>
      </c>
      <c r="AI56" s="4"/>
      <c r="AJ56" s="190">
        <f t="shared" si="15"/>
        <v>3.2764789700833794</v>
      </c>
      <c r="AK56" s="4"/>
      <c r="AL56" s="189">
        <f t="shared" si="20"/>
        <v>8720.7877866197396</v>
      </c>
      <c r="AM56" s="4"/>
      <c r="AN56" s="190">
        <f>INDEX('(2.2)_Forward_Price_Curve'!$H:$H,MATCH($AB56,'(2.2)_Forward_Price_Curve'!$C:$C,0),1)</f>
        <v>5.7778666666666672</v>
      </c>
      <c r="AO56" s="4"/>
      <c r="AP56" s="190">
        <f t="shared" si="23"/>
        <v>37.561326596087184</v>
      </c>
      <c r="AQ56" s="4"/>
      <c r="AR56" s="190">
        <f t="shared" si="16"/>
        <v>4.2444503939687586</v>
      </c>
      <c r="AS56" s="190"/>
      <c r="AT56" s="189">
        <f t="shared" si="27"/>
        <v>4802.5865408868458</v>
      </c>
      <c r="AU56" s="4"/>
      <c r="AV56" s="189">
        <f t="shared" si="28"/>
        <v>11860.144434076796</v>
      </c>
      <c r="AW56" s="337"/>
      <c r="AX56" s="191">
        <f t="shared" si="29"/>
        <v>16662.730974963641</v>
      </c>
      <c r="AZ56" s="526">
        <f>+IF(AZ55&gt;$I$13+$I$14,XX,AZ55+1)</f>
        <v>2036</v>
      </c>
      <c r="BA56" s="152"/>
      <c r="BB56" s="190">
        <f t="shared" si="17"/>
        <v>86.975182417878472</v>
      </c>
      <c r="BC56" s="4"/>
      <c r="BD56" s="190">
        <f t="shared" si="18"/>
        <v>23.940381165527103</v>
      </c>
      <c r="BE56" s="4"/>
      <c r="BF56" s="189">
        <f t="shared" si="21"/>
        <v>3918.2012457328938</v>
      </c>
      <c r="BG56" s="4"/>
      <c r="BH56" s="193"/>
    </row>
    <row r="57" spans="2:60" ht="12">
      <c r="B57" s="3"/>
      <c r="C57" s="499">
        <f>+IF(C56&gt;$I$13+$I$14,XX,C56+1)</f>
        <v>2037</v>
      </c>
      <c r="D57" s="7"/>
      <c r="E57" s="501">
        <f>'(2.2)_Forward_Price_Curve'!N46</f>
        <v>2.1000000000000001E-2</v>
      </c>
      <c r="F57" s="7"/>
      <c r="G57" s="613">
        <v>283696.30438630254</v>
      </c>
      <c r="H57" s="7"/>
      <c r="I57" s="619">
        <v>93.26039668381874</v>
      </c>
      <c r="J57" s="7"/>
      <c r="K57" s="619">
        <f>'[8]Data for NPC'!N103</f>
        <v>4.7403534240499505</v>
      </c>
      <c r="L57" s="7"/>
      <c r="M57" s="39">
        <f t="shared" si="11"/>
        <v>9.8510275616386771</v>
      </c>
      <c r="N57" s="7"/>
      <c r="O57" s="619">
        <f>'[8]Data for NPC'!M177</f>
        <v>0.91000000000000014</v>
      </c>
      <c r="P57" s="7"/>
      <c r="Q57" s="506">
        <v>0</v>
      </c>
      <c r="R57" s="7"/>
      <c r="S57" s="23">
        <f t="shared" si="22"/>
        <v>13164.161786802924</v>
      </c>
      <c r="T57" s="7"/>
      <c r="U57" s="23">
        <f t="shared" si="24"/>
        <v>17416.680736382386</v>
      </c>
      <c r="V57" s="7"/>
      <c r="W57" s="23">
        <f t="shared" si="3"/>
        <v>-4252.5189495794621</v>
      </c>
      <c r="X57" s="7"/>
      <c r="Y57" s="334">
        <f t="shared" si="25"/>
        <v>-14.989687506781577</v>
      </c>
      <c r="Z57" s="290"/>
      <c r="AB57" s="526">
        <f>+IF(AB56&gt;$I$13+$I$14,XX,AB56+1)</f>
        <v>2037</v>
      </c>
      <c r="AC57" s="152"/>
      <c r="AD57" s="187">
        <f t="shared" si="26"/>
        <v>283696.30438630254</v>
      </c>
      <c r="AE57" s="4"/>
      <c r="AF57" s="190">
        <f t="shared" si="13"/>
        <v>142.2925117063661</v>
      </c>
      <c r="AG57" s="4"/>
      <c r="AH57" s="190">
        <f t="shared" si="14"/>
        <v>29.082436560595049</v>
      </c>
      <c r="AI57" s="4"/>
      <c r="AJ57" s="190">
        <f t="shared" si="15"/>
        <v>3.3452850284551299</v>
      </c>
      <c r="AK57" s="4"/>
      <c r="AL57" s="189">
        <f t="shared" si="20"/>
        <v>8903.9243301387542</v>
      </c>
      <c r="AM57" s="4"/>
      <c r="AN57" s="190">
        <f>INDEX('(2.2)_Forward_Price_Curve'!$H:$H,MATCH($AB57,'(2.2)_Forward_Price_Curve'!$C:$C,0),1)</f>
        <v>6.1182749999999997</v>
      </c>
      <c r="AO57" s="4"/>
      <c r="AP57" s="190">
        <f t="shared" si="23"/>
        <v>39.774286728609511</v>
      </c>
      <c r="AQ57" s="4"/>
      <c r="AR57" s="190">
        <f t="shared" si="16"/>
        <v>4.3335838522421017</v>
      </c>
      <c r="AS57" s="190"/>
      <c r="AT57" s="189">
        <f t="shared" si="27"/>
        <v>4903.4408582454689</v>
      </c>
      <c r="AU57" s="4"/>
      <c r="AV57" s="189">
        <f t="shared" si="28"/>
        <v>12513.239878136917</v>
      </c>
      <c r="AW57" s="337"/>
      <c r="AX57" s="191">
        <f t="shared" si="29"/>
        <v>17416.680736382386</v>
      </c>
      <c r="AZ57" s="526">
        <f>+IF(AZ56&gt;$I$13+$I$14,XX,AZ56+1)</f>
        <v>2037</v>
      </c>
      <c r="BA57" s="152"/>
      <c r="BB57" s="190">
        <f t="shared" si="17"/>
        <v>88.801661248653915</v>
      </c>
      <c r="BC57" s="4"/>
      <c r="BD57" s="190">
        <f t="shared" si="18"/>
        <v>24.443129170003171</v>
      </c>
      <c r="BE57" s="4"/>
      <c r="BF57" s="189">
        <f t="shared" si="21"/>
        <v>4000.4834718932848</v>
      </c>
      <c r="BG57" s="4"/>
      <c r="BH57" s="193"/>
    </row>
    <row r="58" spans="2:60" ht="12">
      <c r="B58" s="3"/>
      <c r="C58" s="499">
        <f>+IF(C57&gt;$I$13+$I$14,XX,C57+1)</f>
        <v>2038</v>
      </c>
      <c r="D58" s="7"/>
      <c r="E58" s="501">
        <f>'(2.2)_Forward_Price_Curve'!N47</f>
        <v>2.1000000000000001E-2</v>
      </c>
      <c r="F58" s="7"/>
      <c r="G58" s="613">
        <v>283696.30438630254</v>
      </c>
      <c r="H58" s="7"/>
      <c r="I58" s="619">
        <v>95.330777490199537</v>
      </c>
      <c r="J58" s="7"/>
      <c r="K58" s="619">
        <f>'[8]Data for NPC'!N104</f>
        <v>4.8493815528030986</v>
      </c>
      <c r="L58" s="7"/>
      <c r="M58" s="39">
        <f t="shared" si="11"/>
        <v>10.057899140433088</v>
      </c>
      <c r="N58" s="7"/>
      <c r="O58" s="619">
        <f>'[8]Data for NPC'!M178</f>
        <v>0.93</v>
      </c>
      <c r="P58" s="7"/>
      <c r="Q58" s="506">
        <v>0</v>
      </c>
      <c r="R58" s="7"/>
      <c r="S58" s="23">
        <f t="shared" si="22"/>
        <v>13454.071088278402</v>
      </c>
      <c r="T58" s="7"/>
      <c r="U58" s="23">
        <f t="shared" si="24"/>
        <v>18455.784884105982</v>
      </c>
      <c r="V58" s="7"/>
      <c r="W58" s="23">
        <f t="shared" si="3"/>
        <v>-5001.7137958275798</v>
      </c>
      <c r="X58" s="7"/>
      <c r="Y58" s="334">
        <f t="shared" si="25"/>
        <v>-17.630521506606811</v>
      </c>
      <c r="Z58" s="290"/>
      <c r="AB58" s="526">
        <f>+IF(AB57&gt;$I$13+$I$14,XX,AB57+1)</f>
        <v>2038</v>
      </c>
      <c r="AC58" s="152"/>
      <c r="AD58" s="187">
        <f t="shared" si="26"/>
        <v>283696.30438630254</v>
      </c>
      <c r="AE58" s="4"/>
      <c r="AF58" s="190">
        <f t="shared" si="13"/>
        <v>145.28065445219977</v>
      </c>
      <c r="AG58" s="4"/>
      <c r="AH58" s="190">
        <f t="shared" si="14"/>
        <v>29.693167728367541</v>
      </c>
      <c r="AI58" s="4"/>
      <c r="AJ58" s="190">
        <f t="shared" si="15"/>
        <v>3.4155360140526874</v>
      </c>
      <c r="AK58" s="4"/>
      <c r="AL58" s="189">
        <f t="shared" si="20"/>
        <v>9090.9067410716652</v>
      </c>
      <c r="AM58" s="4"/>
      <c r="AN58" s="190">
        <f>INDEX('(2.2)_Forward_Price_Curve'!$H:$H,MATCH($AB58,'(2.2)_Forward_Price_Curve'!$C:$C,0),1)</f>
        <v>6.6118625</v>
      </c>
      <c r="AO58" s="4"/>
      <c r="AP58" s="190">
        <f t="shared" si="23"/>
        <v>42.983049124980646</v>
      </c>
      <c r="AQ58" s="4"/>
      <c r="AR58" s="190">
        <f t="shared" si="16"/>
        <v>4.4245891131391852</v>
      </c>
      <c r="AS58" s="190"/>
      <c r="AT58" s="189">
        <f t="shared" si="27"/>
        <v>5006.4131162686226</v>
      </c>
      <c r="AU58" s="4"/>
      <c r="AV58" s="189">
        <f t="shared" si="28"/>
        <v>13449.371767837358</v>
      </c>
      <c r="AW58" s="337"/>
      <c r="AX58" s="191">
        <f t="shared" si="29"/>
        <v>18455.784884105982</v>
      </c>
      <c r="AZ58" s="526">
        <f>+IF(AZ57&gt;$I$13+$I$14,XX,AZ57+1)</f>
        <v>2038</v>
      </c>
      <c r="BA58" s="152"/>
      <c r="BB58" s="190">
        <f t="shared" si="17"/>
        <v>90.666496134875644</v>
      </c>
      <c r="BC58" s="4"/>
      <c r="BD58" s="190">
        <f t="shared" si="18"/>
        <v>24.956434882573237</v>
      </c>
      <c r="BE58" s="4"/>
      <c r="BF58" s="189">
        <f t="shared" si="21"/>
        <v>4084.4936248030431</v>
      </c>
      <c r="BG58" s="4"/>
      <c r="BH58" s="193"/>
    </row>
    <row r="59" spans="2:60" ht="12">
      <c r="B59" s="3"/>
      <c r="C59" s="499">
        <f>+IF(C58&gt;$I$13+$I$14,XX,C58+1)</f>
        <v>2039</v>
      </c>
      <c r="D59" s="7"/>
      <c r="E59" s="501">
        <f>'(2.2)_Forward_Price_Curve'!N48</f>
        <v>2.1000000000000001E-2</v>
      </c>
      <c r="F59" s="7"/>
      <c r="G59" s="613">
        <v>283696.30438630254</v>
      </c>
      <c r="H59" s="7"/>
      <c r="I59" s="619">
        <v>97.447120750481957</v>
      </c>
      <c r="J59" s="7"/>
      <c r="K59" s="619">
        <f>'[8]Data for NPC'!N105</f>
        <v>4.9609173285175707</v>
      </c>
      <c r="L59" s="7"/>
      <c r="M59" s="39">
        <f t="shared" si="11"/>
        <v>10.269115022382183</v>
      </c>
      <c r="N59" s="7"/>
      <c r="O59" s="619">
        <f>'[8]Data for NPC'!M179</f>
        <v>0.95000000000000007</v>
      </c>
      <c r="P59" s="7"/>
      <c r="Q59" s="506">
        <v>0</v>
      </c>
      <c r="R59" s="7"/>
      <c r="S59" s="23">
        <f t="shared" si="22"/>
        <v>13750.244733346384</v>
      </c>
      <c r="T59" s="7"/>
      <c r="U59" s="23">
        <f t="shared" si="24"/>
        <v>19472.626670590653</v>
      </c>
      <c r="V59" s="7"/>
      <c r="W59" s="23">
        <f t="shared" si="3"/>
        <v>-5722.3819372442686</v>
      </c>
      <c r="X59" s="7"/>
      <c r="Y59" s="334">
        <f t="shared" si="25"/>
        <v>-20.170801835515757</v>
      </c>
      <c r="Z59" s="290"/>
      <c r="AB59" s="526">
        <f>+IF(AB58&gt;$I$13+$I$14,XX,AB58+1)</f>
        <v>2039</v>
      </c>
      <c r="AC59" s="152"/>
      <c r="AD59" s="187">
        <f t="shared" si="26"/>
        <v>283696.30438630254</v>
      </c>
      <c r="AE59" s="4"/>
      <c r="AF59" s="190">
        <f t="shared" si="13"/>
        <v>148.33154819569594</v>
      </c>
      <c r="AG59" s="4"/>
      <c r="AH59" s="190">
        <f t="shared" si="14"/>
        <v>30.316724250663256</v>
      </c>
      <c r="AI59" s="4"/>
      <c r="AJ59" s="190">
        <f t="shared" si="15"/>
        <v>3.4872622703477933</v>
      </c>
      <c r="AK59" s="4"/>
      <c r="AL59" s="189">
        <f t="shared" si="20"/>
        <v>9281.8157826341703</v>
      </c>
      <c r="AM59" s="4"/>
      <c r="AN59" s="190">
        <f>INDEX('(2.2)_Forward_Price_Curve'!$H:$H,MATCH($AB59,'(2.2)_Forward_Price_Curve'!$C:$C,0),1)</f>
        <v>7.0919124999999994</v>
      </c>
      <c r="AO59" s="4"/>
      <c r="AP59" s="190">
        <f t="shared" si="23"/>
        <v>46.103805603574521</v>
      </c>
      <c r="AQ59" s="4"/>
      <c r="AR59" s="190">
        <f t="shared" si="16"/>
        <v>4.5175054845151079</v>
      </c>
      <c r="AS59" s="190"/>
      <c r="AT59" s="189">
        <f t="shared" si="27"/>
        <v>5111.5477917102635</v>
      </c>
      <c r="AU59" s="4"/>
      <c r="AV59" s="189">
        <f t="shared" si="28"/>
        <v>14361.078878880387</v>
      </c>
      <c r="AW59" s="337"/>
      <c r="AX59" s="191">
        <f t="shared" si="29"/>
        <v>19472.626670590653</v>
      </c>
      <c r="AZ59" s="526">
        <f>+IF(AZ58&gt;$I$13+$I$14,XX,AZ58+1)</f>
        <v>2039</v>
      </c>
      <c r="BA59" s="152"/>
      <c r="BB59" s="190">
        <f t="shared" si="17"/>
        <v>92.570492553708021</v>
      </c>
      <c r="BC59" s="4"/>
      <c r="BD59" s="190">
        <f t="shared" si="18"/>
        <v>25.480520015107274</v>
      </c>
      <c r="BE59" s="4"/>
      <c r="BF59" s="189">
        <f t="shared" si="21"/>
        <v>4170.2679909239068</v>
      </c>
      <c r="BG59" s="4"/>
      <c r="BH59" s="193"/>
    </row>
    <row r="60" spans="2:60" ht="12">
      <c r="B60" s="3"/>
      <c r="C60" s="499">
        <f>+IF(C59&gt;$I$13+$I$14,XX,C59+1)</f>
        <v>2040</v>
      </c>
      <c r="D60" s="7"/>
      <c r="E60" s="501">
        <f>'(2.2)_Forward_Price_Curve'!N49</f>
        <v>2.1000000000000001E-2</v>
      </c>
      <c r="F60" s="7"/>
      <c r="G60" s="613">
        <v>283696.30438630254</v>
      </c>
      <c r="H60" s="7"/>
      <c r="I60" s="619">
        <v>99.610446831142653</v>
      </c>
      <c r="J60" s="7"/>
      <c r="K60" s="619">
        <f>'[8]Data for NPC'!N106</f>
        <v>5.0750184270734726</v>
      </c>
      <c r="L60" s="7"/>
      <c r="M60" s="39">
        <f t="shared" si="11"/>
        <v>10.484766437852208</v>
      </c>
      <c r="N60" s="7"/>
      <c r="O60" s="619">
        <f>'[8]Data for NPC'!M180</f>
        <v>0.97000000000000008</v>
      </c>
      <c r="P60" s="7"/>
      <c r="Q60" s="506">
        <v>0</v>
      </c>
      <c r="R60" s="7"/>
      <c r="S60" s="23">
        <f t="shared" si="22"/>
        <v>14052.820880607462</v>
      </c>
      <c r="T60" s="7"/>
      <c r="U60" s="23">
        <f t="shared" si="24"/>
        <v>20032.266171882944</v>
      </c>
      <c r="V60" s="7"/>
      <c r="W60" s="23">
        <f t="shared" si="3"/>
        <v>-5979.4452912754823</v>
      </c>
      <c r="X60" s="7"/>
      <c r="Y60" s="334">
        <f t="shared" si="25"/>
        <v>-21.076923452388062</v>
      </c>
      <c r="Z60" s="290"/>
      <c r="AB60" s="526">
        <f>+IF(AB59&gt;$I$13+$I$14,XX,AB59+1)</f>
        <v>2040</v>
      </c>
      <c r="AC60" s="152"/>
      <c r="AD60" s="187">
        <f t="shared" si="26"/>
        <v>283696.30438630254</v>
      </c>
      <c r="AE60" s="4"/>
      <c r="AF60" s="190">
        <f t="shared" si="13"/>
        <v>151.44651070780554</v>
      </c>
      <c r="AG60" s="4"/>
      <c r="AH60" s="190">
        <f t="shared" si="14"/>
        <v>30.95337545992718</v>
      </c>
      <c r="AI60" s="4"/>
      <c r="AJ60" s="190">
        <f t="shared" si="15"/>
        <v>3.5604947780250966</v>
      </c>
      <c r="AK60" s="4"/>
      <c r="AL60" s="189">
        <f t="shared" si="20"/>
        <v>9476.7339140694876</v>
      </c>
      <c r="AM60" s="4"/>
      <c r="AN60" s="190">
        <f>INDEX('(2.2)_Forward_Price_Curve'!$H:$H,MATCH($AB60,'(2.2)_Forward_Price_Curve'!$C:$C,0),1)</f>
        <v>7.3225625000000001</v>
      </c>
      <c r="AO60" s="4"/>
      <c r="AP60" s="190">
        <f t="shared" si="23"/>
        <v>47.603237916432938</v>
      </c>
      <c r="AQ60" s="4"/>
      <c r="AR60" s="190">
        <f t="shared" si="16"/>
        <v>4.6123730996899246</v>
      </c>
      <c r="AS60" s="190"/>
      <c r="AT60" s="189">
        <f t="shared" si="27"/>
        <v>5218.8902953361794</v>
      </c>
      <c r="AU60" s="4"/>
      <c r="AV60" s="189">
        <f t="shared" si="28"/>
        <v>14813.375876546765</v>
      </c>
      <c r="AW60" s="337"/>
      <c r="AX60" s="191">
        <f t="shared" si="29"/>
        <v>20032.266171882944</v>
      </c>
      <c r="AZ60" s="526">
        <f>+IF(AZ59&gt;$I$13+$I$14,XX,AZ59+1)</f>
        <v>2040</v>
      </c>
      <c r="BA60" s="152"/>
      <c r="BB60" s="190">
        <f t="shared" si="17"/>
        <v>94.514472897335878</v>
      </c>
      <c r="BC60" s="4"/>
      <c r="BD60" s="190">
        <f t="shared" si="18"/>
        <v>26.015610935424526</v>
      </c>
      <c r="BE60" s="4"/>
      <c r="BF60" s="189">
        <f t="shared" si="21"/>
        <v>4257.8436187333082</v>
      </c>
      <c r="BG60" s="4"/>
      <c r="BH60" s="193"/>
    </row>
    <row r="61" spans="2:60" ht="12">
      <c r="B61" s="3"/>
      <c r="C61" s="499">
        <f>+IF(C60&gt;$I$13+$I$14,XX,C60+1)</f>
        <v>2041</v>
      </c>
      <c r="D61" s="7"/>
      <c r="E61" s="501">
        <f>'(2.2)_Forward_Price_Curve'!N50</f>
        <v>2.1000000000000001E-2</v>
      </c>
      <c r="F61" s="7"/>
      <c r="G61" s="613">
        <v>283696.30438630254</v>
      </c>
      <c r="H61" s="7"/>
      <c r="I61" s="619">
        <v>101.82179875079402</v>
      </c>
      <c r="J61" s="7"/>
      <c r="K61" s="619">
        <f>'[8]Data for NPC'!N107</f>
        <v>5.1917438508961613</v>
      </c>
      <c r="L61" s="7"/>
      <c r="M61" s="39">
        <f t="shared" si="11"/>
        <v>10.704946533047103</v>
      </c>
      <c r="N61" s="7"/>
      <c r="O61" s="619">
        <f>'[8]Data for NPC'!M181</f>
        <v>0.99</v>
      </c>
      <c r="P61" s="7"/>
      <c r="Q61" s="506">
        <v>0</v>
      </c>
      <c r="R61" s="7"/>
      <c r="S61" s="23">
        <f t="shared" si="22"/>
        <v>14361.940737815054</v>
      </c>
      <c r="T61" s="7"/>
      <c r="U61" s="23">
        <f t="shared" si="24"/>
        <v>20466.448624166194</v>
      </c>
      <c r="V61" s="7"/>
      <c r="W61" s="23">
        <f t="shared" si="3"/>
        <v>-6104.5078863511408</v>
      </c>
      <c r="X61" s="7"/>
      <c r="Y61" s="334">
        <f t="shared" si="25"/>
        <v>-21.517756107385797</v>
      </c>
      <c r="Z61" s="290"/>
      <c r="AB61" s="526">
        <f>+IF(AB60&gt;$I$13+$I$14,XX,AB60+1)</f>
        <v>2041</v>
      </c>
      <c r="AC61" s="152"/>
      <c r="AD61" s="187">
        <f t="shared" si="26"/>
        <v>283696.30438630254</v>
      </c>
      <c r="AE61" s="4"/>
      <c r="AF61" s="190">
        <f t="shared" si="13"/>
        <v>154.62688743266943</v>
      </c>
      <c r="AG61" s="4"/>
      <c r="AH61" s="190">
        <f t="shared" si="14"/>
        <v>31.603396344585647</v>
      </c>
      <c r="AI61" s="4"/>
      <c r="AJ61" s="190">
        <f t="shared" si="15"/>
        <v>3.6352651683636235</v>
      </c>
      <c r="AK61" s="4"/>
      <c r="AL61" s="189">
        <f t="shared" si="20"/>
        <v>9675.7453262649415</v>
      </c>
      <c r="AM61" s="4"/>
      <c r="AN61" s="190">
        <f>INDEX('(2.2)_Forward_Price_Curve'!$H:$H,MATCH($AB61,'(2.2)_Forward_Price_Curve'!$C:$C,0),1)</f>
        <v>7.4836588750000006</v>
      </c>
      <c r="AO61" s="4"/>
      <c r="AP61" s="190">
        <f t="shared" si="23"/>
        <v>48.650509150594466</v>
      </c>
      <c r="AQ61" s="4"/>
      <c r="AR61" s="190">
        <f t="shared" si="16"/>
        <v>4.7092329347834125</v>
      </c>
      <c r="AS61" s="190"/>
      <c r="AT61" s="189">
        <f t="shared" si="27"/>
        <v>5328.4869915382342</v>
      </c>
      <c r="AU61" s="4"/>
      <c r="AV61" s="189">
        <f t="shared" si="28"/>
        <v>15137.961632627961</v>
      </c>
      <c r="AW61" s="337"/>
      <c r="AX61" s="191">
        <f t="shared" si="29"/>
        <v>20466.448624166194</v>
      </c>
      <c r="AZ61" s="526">
        <f>+IF(AZ60&gt;$I$13+$I$14,XX,AZ60+1)</f>
        <v>2041</v>
      </c>
      <c r="BA61" s="152"/>
      <c r="BB61" s="190">
        <f t="shared" si="17"/>
        <v>96.499276828179916</v>
      </c>
      <c r="BC61" s="4"/>
      <c r="BD61" s="190">
        <f t="shared" si="18"/>
        <v>26.56193876506844</v>
      </c>
      <c r="BE61" s="4"/>
      <c r="BF61" s="189">
        <f t="shared" si="21"/>
        <v>4347.2583347267073</v>
      </c>
      <c r="BG61" s="4"/>
      <c r="BH61" s="193"/>
    </row>
    <row r="62" spans="2:60" ht="12">
      <c r="B62" s="3"/>
      <c r="C62" s="499">
        <f>+IF(C61&gt;$I$13+$I$14,XX,C61+1)</f>
        <v>2042</v>
      </c>
      <c r="D62" s="7"/>
      <c r="E62" s="501">
        <f>'(2.2)_Forward_Price_Curve'!N51</f>
        <v>2.1999999999999999E-2</v>
      </c>
      <c r="F62" s="7"/>
      <c r="G62" s="613">
        <v>283696.30438630254</v>
      </c>
      <c r="H62" s="7"/>
      <c r="I62" s="619">
        <v>104.08224268306165</v>
      </c>
      <c r="J62" s="7"/>
      <c r="K62" s="619">
        <f>'[8]Data for NPC'!N108</f>
        <v>5.3111539594667736</v>
      </c>
      <c r="L62" s="7"/>
      <c r="M62" s="39">
        <f t="shared" si="11"/>
        <v>10.940455356774139</v>
      </c>
      <c r="N62" s="7"/>
      <c r="O62" s="619">
        <f>'[8]Data for NPC'!M182</f>
        <v>1.01</v>
      </c>
      <c r="P62" s="7"/>
      <c r="Q62" s="506">
        <v>0</v>
      </c>
      <c r="R62" s="7"/>
      <c r="S62" s="23">
        <f t="shared" si="22"/>
        <v>14680.785582985513</v>
      </c>
      <c r="T62" s="7"/>
      <c r="U62" s="23">
        <f t="shared" si="24"/>
        <v>20916.710493897859</v>
      </c>
      <c r="V62" s="7"/>
      <c r="W62" s="23">
        <f t="shared" si="3"/>
        <v>-6235.9249109123466</v>
      </c>
      <c r="X62" s="7"/>
      <c r="Y62" s="334">
        <f t="shared" si="25"/>
        <v>-21.980987466163942</v>
      </c>
      <c r="Z62" s="290"/>
      <c r="AB62" s="526">
        <f>+IF(AB61&gt;$I$13+$I$14,XX,AB61+1)</f>
        <v>2042</v>
      </c>
      <c r="AC62" s="152"/>
      <c r="AD62" s="187">
        <f t="shared" si="26"/>
        <v>283696.30438630254</v>
      </c>
      <c r="AE62" s="4"/>
      <c r="AF62" s="190">
        <f t="shared" si="13"/>
        <v>158.02867895618817</v>
      </c>
      <c r="AG62" s="4"/>
      <c r="AH62" s="190">
        <f t="shared" si="14"/>
        <v>32.298671064166534</v>
      </c>
      <c r="AI62" s="4"/>
      <c r="AJ62" s="190">
        <f t="shared" si="15"/>
        <v>3.7152410020676232</v>
      </c>
      <c r="AK62" s="4"/>
      <c r="AL62" s="189">
        <f t="shared" si="20"/>
        <v>9888.6117234427766</v>
      </c>
      <c r="AM62" s="4"/>
      <c r="AN62" s="190">
        <f>INDEX('(2.2)_Forward_Price_Curve'!$H:$H,MATCH($AB62,'(2.2)_Forward_Price_Curve'!$C:$C,0),1)</f>
        <v>7.6482993702500011</v>
      </c>
      <c r="AO62" s="4"/>
      <c r="AP62" s="190">
        <f t="shared" si="23"/>
        <v>49.720820351907548</v>
      </c>
      <c r="AQ62" s="4"/>
      <c r="AR62" s="190">
        <f t="shared" si="16"/>
        <v>4.8128360593486477</v>
      </c>
      <c r="AS62" s="190"/>
      <c r="AT62" s="189">
        <f t="shared" si="27"/>
        <v>5445.7137053520819</v>
      </c>
      <c r="AU62" s="4"/>
      <c r="AV62" s="189">
        <f t="shared" si="28"/>
        <v>15470.996788545775</v>
      </c>
      <c r="AW62" s="337"/>
      <c r="AX62" s="191">
        <f t="shared" si="29"/>
        <v>20916.710493897859</v>
      </c>
      <c r="AZ62" s="526">
        <f>+IF(AZ61&gt;$I$13+$I$14,XX,AZ61+1)</f>
        <v>2042</v>
      </c>
      <c r="BA62" s="152"/>
      <c r="BB62" s="190">
        <f t="shared" si="17"/>
        <v>98.622260918399874</v>
      </c>
      <c r="BC62" s="4"/>
      <c r="BD62" s="190">
        <f t="shared" si="18"/>
        <v>27.146301417899945</v>
      </c>
      <c r="BE62" s="4"/>
      <c r="BF62" s="189">
        <f t="shared" si="21"/>
        <v>4442.8980180906947</v>
      </c>
      <c r="BG62" s="4"/>
      <c r="BH62" s="193"/>
    </row>
    <row r="63" spans="2:60" ht="12">
      <c r="B63" s="3"/>
      <c r="C63" s="499">
        <f>+IF(C62&gt;$I$13+$I$14,XX,C62+1)</f>
        <v>2043</v>
      </c>
      <c r="D63" s="7"/>
      <c r="E63" s="501">
        <f>'(2.2)_Forward_Price_Curve'!N52</f>
        <v>2.1999999999999999E-2</v>
      </c>
      <c r="F63" s="7"/>
      <c r="G63" s="613">
        <v>283696.30438630254</v>
      </c>
      <c r="H63" s="7"/>
      <c r="I63" s="619">
        <v>106.39286847062564</v>
      </c>
      <c r="J63" s="7"/>
      <c r="K63" s="619">
        <f>'[8]Data for NPC'!N109</f>
        <v>5.4333105005345086</v>
      </c>
      <c r="L63" s="7"/>
      <c r="M63" s="39">
        <f t="shared" si="11"/>
        <v>11.181145374623171</v>
      </c>
      <c r="N63" s="7"/>
      <c r="O63" s="619">
        <f>'[8]Data for NPC'!M183</f>
        <v>1.04</v>
      </c>
      <c r="P63" s="7"/>
      <c r="Q63" s="506">
        <v>0</v>
      </c>
      <c r="R63" s="7"/>
      <c r="S63" s="23">
        <f t="shared" si="22"/>
        <v>15009.433523972089</v>
      </c>
      <c r="T63" s="7"/>
      <c r="U63" s="23">
        <f t="shared" ref="U63:U65" si="30">AX63</f>
        <v>21376.878124763611</v>
      </c>
      <c r="V63" s="7"/>
      <c r="W63" s="23">
        <f t="shared" si="3"/>
        <v>-6367.4446007915212</v>
      </c>
      <c r="X63" s="7"/>
      <c r="Y63" s="334">
        <f t="shared" ref="Y63:Y65" si="31">+W63*1000/G63</f>
        <v>-22.444580709522118</v>
      </c>
      <c r="Z63" s="290"/>
      <c r="AB63" s="526">
        <f>+IF(AB62&gt;$I$13+$I$14,XX,AB62+1)</f>
        <v>2043</v>
      </c>
      <c r="AC63" s="152"/>
      <c r="AD63" s="187">
        <f t="shared" ref="AD63:AD65" si="32">G63</f>
        <v>283696.30438630254</v>
      </c>
      <c r="AE63" s="4"/>
      <c r="AF63" s="190">
        <f t="shared" si="13"/>
        <v>161.50530989322431</v>
      </c>
      <c r="AG63" s="4"/>
      <c r="AH63" s="190">
        <f t="shared" si="14"/>
        <v>33.009241827578201</v>
      </c>
      <c r="AI63" s="4"/>
      <c r="AJ63" s="190">
        <f t="shared" si="15"/>
        <v>3.796976304113111</v>
      </c>
      <c r="AK63" s="4"/>
      <c r="AL63" s="189">
        <f t="shared" si="20"/>
        <v>10106.161181358517</v>
      </c>
      <c r="AM63" s="4"/>
      <c r="AN63" s="190">
        <f>INDEX('(2.2)_Forward_Price_Curve'!$H:$H,MATCH($AB63,'(2.2)_Forward_Price_Curve'!$C:$C,0),1)</f>
        <v>7.8165619563955016</v>
      </c>
      <c r="AO63" s="4"/>
      <c r="AP63" s="190">
        <f t="shared" si="23"/>
        <v>50.814678399649516</v>
      </c>
      <c r="AQ63" s="4"/>
      <c r="AR63" s="190">
        <f t="shared" si="16"/>
        <v>4.9187184526543177</v>
      </c>
      <c r="AS63" s="190"/>
      <c r="AT63" s="189">
        <f t="shared" ref="AT63:AT65" si="33">AL63-BF63</f>
        <v>5565.5194068698256</v>
      </c>
      <c r="AU63" s="4"/>
      <c r="AV63" s="189">
        <f t="shared" ref="AV63:AV65" si="34">(AP63+AR63)*AD63/1000</f>
        <v>15811.358717893785</v>
      </c>
      <c r="AW63" s="337"/>
      <c r="AX63" s="191">
        <f t="shared" ref="AX63:AX65" si="35">AT63+AV63</f>
        <v>21376.878124763611</v>
      </c>
      <c r="AZ63" s="526">
        <f>+IF(AZ62&gt;$I$13+$I$14,XX,AZ62+1)</f>
        <v>2043</v>
      </c>
      <c r="BA63" s="152"/>
      <c r="BB63" s="190">
        <f t="shared" si="17"/>
        <v>100.79195065860468</v>
      </c>
      <c r="BC63" s="4"/>
      <c r="BD63" s="190">
        <f t="shared" si="18"/>
        <v>27.743520049093746</v>
      </c>
      <c r="BE63" s="4"/>
      <c r="BF63" s="189">
        <f t="shared" si="21"/>
        <v>4540.6417744886912</v>
      </c>
      <c r="BG63" s="4"/>
      <c r="BH63" s="193"/>
    </row>
    <row r="64" spans="2:60" ht="12">
      <c r="B64" s="3"/>
      <c r="C64" s="499">
        <f>+IF(C63&gt;$I$13+$I$14,XX,C63+1)</f>
        <v>2044</v>
      </c>
      <c r="D64" s="7"/>
      <c r="E64" s="501">
        <f>'(2.2)_Forward_Price_Curve'!N53</f>
        <v>2.1999999999999999E-2</v>
      </c>
      <c r="F64" s="7"/>
      <c r="G64" s="613">
        <v>283696.30438630254</v>
      </c>
      <c r="H64" s="7"/>
      <c r="I64" s="619">
        <v>108.7547901506735</v>
      </c>
      <c r="J64" s="7"/>
      <c r="K64" s="619">
        <f>'[8]Data for NPC'!N110</f>
        <v>5.5582766420468017</v>
      </c>
      <c r="L64" s="7"/>
      <c r="M64" s="39">
        <f t="shared" si="11"/>
        <v>11.427130572864881</v>
      </c>
      <c r="N64" s="7"/>
      <c r="O64" s="619">
        <f>'[8]Data for NPC'!M184</f>
        <v>1.06</v>
      </c>
      <c r="P64" s="7"/>
      <c r="Q64" s="506">
        <v>0</v>
      </c>
      <c r="R64" s="7"/>
      <c r="S64" s="23">
        <f t="shared" si="22"/>
        <v>15342.365612179674</v>
      </c>
      <c r="T64" s="7"/>
      <c r="U64" s="23">
        <f t="shared" si="30"/>
        <v>21847.16944350841</v>
      </c>
      <c r="V64" s="7"/>
      <c r="W64" s="23">
        <f t="shared" si="3"/>
        <v>-6504.8038313287361</v>
      </c>
      <c r="X64" s="7"/>
      <c r="Y64" s="334">
        <f t="shared" si="31"/>
        <v>-22.928757727035098</v>
      </c>
      <c r="Z64" s="290"/>
      <c r="AB64" s="526">
        <f>+IF(AB63&gt;$I$13+$I$14,XX,AB63+1)</f>
        <v>2044</v>
      </c>
      <c r="AC64" s="152"/>
      <c r="AD64" s="187">
        <f t="shared" si="32"/>
        <v>283696.30438630254</v>
      </c>
      <c r="AE64" s="4"/>
      <c r="AF64" s="190">
        <f t="shared" si="13"/>
        <v>165.05842671087524</v>
      </c>
      <c r="AG64" s="4"/>
      <c r="AH64" s="190">
        <f t="shared" si="14"/>
        <v>33.735445147784922</v>
      </c>
      <c r="AI64" s="4"/>
      <c r="AJ64" s="190">
        <f t="shared" si="15"/>
        <v>3.8805097828035997</v>
      </c>
      <c r="AK64" s="4"/>
      <c r="AL64" s="189">
        <f t="shared" si="20"/>
        <v>10328.496727348404</v>
      </c>
      <c r="AM64" s="4"/>
      <c r="AN64" s="190">
        <f>INDEX('(2.2)_Forward_Price_Curve'!$H:$H,MATCH($AB64,'(2.2)_Forward_Price_Curve'!$C:$C,0),1)</f>
        <v>7.9885263194362031</v>
      </c>
      <c r="AO64" s="4"/>
      <c r="AP64" s="190">
        <f t="shared" si="23"/>
        <v>51.932601324441805</v>
      </c>
      <c r="AQ64" s="4"/>
      <c r="AR64" s="190">
        <f t="shared" si="16"/>
        <v>5.0269302586127127</v>
      </c>
      <c r="AS64" s="190"/>
      <c r="AT64" s="189">
        <f t="shared" si="33"/>
        <v>5687.9608338209619</v>
      </c>
      <c r="AU64" s="4"/>
      <c r="AV64" s="189">
        <f t="shared" si="34"/>
        <v>16159.208609687448</v>
      </c>
      <c r="AW64" s="337"/>
      <c r="AX64" s="191">
        <f t="shared" si="35"/>
        <v>21847.16944350841</v>
      </c>
      <c r="AZ64" s="526">
        <f>+IF(AZ63&gt;$I$13+$I$14,XX,AZ63+1)</f>
        <v>2044</v>
      </c>
      <c r="BA64" s="152"/>
      <c r="BB64" s="190">
        <f t="shared" si="17"/>
        <v>103.00937357309398</v>
      </c>
      <c r="BC64" s="4"/>
      <c r="BD64" s="190">
        <f t="shared" si="18"/>
        <v>28.353877490173808</v>
      </c>
      <c r="BE64" s="4"/>
      <c r="BF64" s="189">
        <f t="shared" si="21"/>
        <v>4640.5358935274417</v>
      </c>
      <c r="BG64" s="4"/>
      <c r="BH64" s="193"/>
    </row>
    <row r="65" spans="2:60" ht="12">
      <c r="B65" s="3"/>
      <c r="C65" s="499">
        <f>+IF(C64&gt;$I$13+$I$14,XX,C64+1)</f>
        <v>2045</v>
      </c>
      <c r="D65" s="7"/>
      <c r="E65" s="501">
        <f>'(2.2)_Forward_Price_Curve'!N54</f>
        <v>2.1999999999999999E-2</v>
      </c>
      <c r="F65" s="7"/>
      <c r="G65" s="613">
        <v>283696.30438630254</v>
      </c>
      <c r="H65" s="7"/>
      <c r="I65" s="619">
        <v>111.16914649201846</v>
      </c>
      <c r="J65" s="7"/>
      <c r="K65" s="619">
        <f>'[8]Data for NPC'!N111</f>
        <v>5.6861170048138776</v>
      </c>
      <c r="L65" s="7"/>
      <c r="M65" s="39">
        <f t="shared" si="11"/>
        <v>11.678527445467909</v>
      </c>
      <c r="N65" s="7"/>
      <c r="O65" s="619">
        <f>'[8]Data for NPC'!M185</f>
        <v>1.08</v>
      </c>
      <c r="P65" s="7"/>
      <c r="Q65" s="506">
        <v>0</v>
      </c>
      <c r="R65" s="7"/>
      <c r="S65" s="23">
        <f t="shared" si="22"/>
        <v>15682.577236514002</v>
      </c>
      <c r="T65" s="7"/>
      <c r="U65" s="23">
        <f t="shared" si="30"/>
        <v>20128.944619936367</v>
      </c>
      <c r="V65" s="7"/>
      <c r="W65" s="23">
        <f t="shared" si="3"/>
        <v>-4446.3673834223646</v>
      </c>
      <c r="X65" s="7"/>
      <c r="Y65" s="334">
        <f t="shared" si="31"/>
        <v>-15.672983097333024</v>
      </c>
      <c r="Z65" s="290"/>
      <c r="AB65" s="526">
        <f>+IF(AB64&gt;$I$13+$I$14,XX,AB64+1)</f>
        <v>2045</v>
      </c>
      <c r="AC65" s="152"/>
      <c r="AD65" s="187">
        <f t="shared" si="32"/>
        <v>283696.30438630254</v>
      </c>
      <c r="AE65" s="4"/>
      <c r="AF65" s="190">
        <f>AF47*(1+$E65)</f>
        <v>117.67247974597394</v>
      </c>
      <c r="AG65" s="4"/>
      <c r="AH65" s="190">
        <f>AH47*(1+$E65)</f>
        <v>24.050474519714907</v>
      </c>
      <c r="AI65" s="4"/>
      <c r="AJ65" s="190">
        <f>AJ47*(1+$E65)</f>
        <v>2.7664701398182192</v>
      </c>
      <c r="AK65" s="4"/>
      <c r="AL65" s="189">
        <f t="shared" si="20"/>
        <v>7363.3309499804227</v>
      </c>
      <c r="AM65" s="4"/>
      <c r="AN65" s="190">
        <f>INDEX('(2.2)_Forward_Price_Curve'!$H:$H,MATCH($AB65,'(2.2)_Forward_Price_Curve'!$C:$C,0),1)</f>
        <v>8.164273898463799</v>
      </c>
      <c r="AO65" s="4"/>
      <c r="AP65" s="190">
        <f t="shared" si="23"/>
        <v>53.075118553579522</v>
      </c>
      <c r="AQ65" s="4"/>
      <c r="AR65" s="190">
        <f>AR47*(1+$E65)</f>
        <v>3.5837694616899785</v>
      </c>
      <c r="AS65" s="190"/>
      <c r="AT65" s="189">
        <f t="shared" si="33"/>
        <v>4055.0274793670424</v>
      </c>
      <c r="AU65" s="4"/>
      <c r="AV65" s="189">
        <f t="shared" si="34"/>
        <v>16073.917140569323</v>
      </c>
      <c r="AW65" s="337"/>
      <c r="AX65" s="191">
        <f t="shared" si="35"/>
        <v>20128.944619936367</v>
      </c>
      <c r="AZ65" s="526">
        <f>+IF(AZ64&gt;$I$13+$I$14,XX,AZ64+1)</f>
        <v>2045</v>
      </c>
      <c r="BA65" s="152"/>
      <c r="BB65" s="190">
        <f>BB47*(1+$E65)</f>
        <v>73.436834864891637</v>
      </c>
      <c r="BC65" s="4"/>
      <c r="BD65" s="190">
        <f>BD47*(1+$E65)</f>
        <v>20.213879055848722</v>
      </c>
      <c r="BE65" s="4"/>
      <c r="BF65" s="189">
        <f t="shared" si="21"/>
        <v>3308.3034706133803</v>
      </c>
      <c r="BG65" s="4"/>
      <c r="BH65" s="193"/>
    </row>
    <row r="66" spans="2:60" ht="12">
      <c r="B66" s="3"/>
      <c r="C66" s="499">
        <f>+IF(C65&gt;$I$13+$I$14,XX,C65+1)</f>
        <v>2046</v>
      </c>
      <c r="D66" s="7"/>
      <c r="E66" s="501">
        <f>'(2.2)_Forward_Price_Curve'!N55</f>
        <v>2.1999999999999999E-2</v>
      </c>
      <c r="F66" s="7"/>
      <c r="G66" s="613">
        <v>283696.30438630254</v>
      </c>
      <c r="H66" s="7"/>
      <c r="I66" s="619">
        <v>113.63710154414126</v>
      </c>
      <c r="J66" s="7"/>
      <c r="K66" s="619">
        <f>'[8]Data for NPC'!N112</f>
        <v>5.816897695924597</v>
      </c>
      <c r="L66" s="7"/>
      <c r="M66" s="39">
        <f t="shared" si="11"/>
        <v>11.935455049268203</v>
      </c>
      <c r="N66" s="7"/>
      <c r="O66" s="619">
        <f>'[8]Data for NPC'!M186</f>
        <v>1.1100000000000001</v>
      </c>
      <c r="P66" s="7"/>
      <c r="Q66" s="506">
        <v>0</v>
      </c>
      <c r="R66" s="7"/>
      <c r="S66" s="23">
        <f t="shared" si="22"/>
        <v>16033.067310991304</v>
      </c>
      <c r="T66" s="7"/>
      <c r="U66" s="23">
        <f t="shared" si="24"/>
        <v>22349.415372467298</v>
      </c>
      <c r="V66" s="7"/>
      <c r="W66" s="23">
        <f t="shared" si="3"/>
        <v>-6316.3480614759937</v>
      </c>
      <c r="X66" s="7"/>
      <c r="Y66" s="334">
        <f t="shared" si="25"/>
        <v>-22.264470716809807</v>
      </c>
      <c r="Z66" s="290"/>
      <c r="AB66" s="526">
        <f>+IF(AB65&gt;$I$13+$I$14,XX,AB65+1)</f>
        <v>2046</v>
      </c>
      <c r="AC66" s="152"/>
      <c r="AD66" s="187">
        <f t="shared" si="26"/>
        <v>283696.30438630254</v>
      </c>
      <c r="AE66" s="4"/>
      <c r="AF66" s="190">
        <f>AF62*(1+$E66)</f>
        <v>161.50530989322431</v>
      </c>
      <c r="AG66" s="4"/>
      <c r="AH66" s="190">
        <f>AH62*(1+$E66)</f>
        <v>33.009241827578201</v>
      </c>
      <c r="AI66" s="4"/>
      <c r="AJ66" s="190">
        <f>AJ62*(1+$E66)</f>
        <v>3.796976304113111</v>
      </c>
      <c r="AK66" s="4"/>
      <c r="AL66" s="189">
        <f t="shared" si="20"/>
        <v>10106.161181358517</v>
      </c>
      <c r="AM66" s="4"/>
      <c r="AN66" s="190">
        <f>INDEX('(2.2)_Forward_Price_Curve'!$H:$H,MATCH($AB66,'(2.2)_Forward_Price_Curve'!$C:$C,0),1)</f>
        <v>8.3438879242300033</v>
      </c>
      <c r="AO66" s="4"/>
      <c r="AP66" s="190">
        <f t="shared" si="23"/>
        <v>54.242771161758284</v>
      </c>
      <c r="AQ66" s="4"/>
      <c r="AR66" s="190">
        <f>AR62*(1+$E66)</f>
        <v>4.9187184526543177</v>
      </c>
      <c r="AS66" s="190"/>
      <c r="AT66" s="189">
        <f t="shared" si="27"/>
        <v>5565.5194068698256</v>
      </c>
      <c r="AU66" s="4"/>
      <c r="AV66" s="189">
        <f t="shared" si="28"/>
        <v>16783.895965597472</v>
      </c>
      <c r="AW66" s="337"/>
      <c r="AX66" s="191">
        <f t="shared" si="29"/>
        <v>22349.415372467298</v>
      </c>
      <c r="AZ66" s="526">
        <f>+IF(AZ65&gt;$I$13+$I$14,XX,AZ65+1)</f>
        <v>2046</v>
      </c>
      <c r="BA66" s="152"/>
      <c r="BB66" s="190">
        <f>BB62*(1+$E66)</f>
        <v>100.79195065860468</v>
      </c>
      <c r="BC66" s="4"/>
      <c r="BD66" s="190">
        <f>BD62*(1+$E66)</f>
        <v>27.743520049093746</v>
      </c>
      <c r="BE66" s="4"/>
      <c r="BF66" s="189">
        <f t="shared" si="21"/>
        <v>4540.6417744886912</v>
      </c>
      <c r="BG66" s="4"/>
      <c r="BH66" s="193"/>
    </row>
    <row r="67" spans="2:60" ht="12">
      <c r="B67" s="3"/>
      <c r="C67" s="499">
        <f>+IF(C66&gt;$I$13+$I$14,XX,C66+1)</f>
        <v>2047</v>
      </c>
      <c r="D67" s="7"/>
      <c r="E67" s="501">
        <f>'(2.2)_Forward_Price_Curve'!N56</f>
        <v>2.1999999999999999E-2</v>
      </c>
      <c r="F67" s="7"/>
      <c r="G67" s="613">
        <v>283696.30438630254</v>
      </c>
      <c r="H67" s="7"/>
      <c r="I67" s="619">
        <v>116.15984519842118</v>
      </c>
      <c r="J67" s="7"/>
      <c r="K67" s="619">
        <f>'[8]Data for NPC'!N113</f>
        <v>5.9506863429308616</v>
      </c>
      <c r="L67" s="7"/>
      <c r="M67" s="39">
        <f t="shared" si="11"/>
        <v>12.198035060352103</v>
      </c>
      <c r="N67" s="7"/>
      <c r="O67" s="619">
        <f>'[8]Data for NPC'!M187</f>
        <v>1.1299999999999999</v>
      </c>
      <c r="P67" s="7"/>
      <c r="Q67" s="506">
        <v>0</v>
      </c>
      <c r="R67" s="7"/>
      <c r="S67" s="23">
        <f t="shared" si="22"/>
        <v>16388.327464056081</v>
      </c>
      <c r="T67" s="7"/>
      <c r="U67" s="23">
        <f t="shared" si="24"/>
        <v>22841.102510661582</v>
      </c>
      <c r="V67" s="7"/>
      <c r="W67" s="23">
        <f t="shared" si="3"/>
        <v>-6452.7750466055004</v>
      </c>
      <c r="X67" s="7"/>
      <c r="Y67" s="334">
        <f t="shared" si="25"/>
        <v>-22.745361666110778</v>
      </c>
      <c r="Z67" s="290"/>
      <c r="AB67" s="526">
        <f>+IF(AB66&gt;$I$13+$I$14,XX,AB66+1)</f>
        <v>2047</v>
      </c>
      <c r="AC67" s="152"/>
      <c r="AD67" s="187">
        <f t="shared" si="26"/>
        <v>283696.30438630254</v>
      </c>
      <c r="AE67" s="4"/>
      <c r="AF67" s="190">
        <f t="shared" si="13"/>
        <v>165.05842671087524</v>
      </c>
      <c r="AG67" s="4"/>
      <c r="AH67" s="190">
        <f t="shared" si="14"/>
        <v>33.735445147784922</v>
      </c>
      <c r="AI67" s="4"/>
      <c r="AJ67" s="190">
        <f t="shared" si="15"/>
        <v>3.8805097828035997</v>
      </c>
      <c r="AK67" s="4"/>
      <c r="AL67" s="189">
        <f t="shared" si="20"/>
        <v>10328.496727348404</v>
      </c>
      <c r="AM67" s="4"/>
      <c r="AN67" s="190">
        <f>INDEX('(2.2)_Forward_Price_Curve'!$H:$H,MATCH($AB67,'(2.2)_Forward_Price_Curve'!$C:$C,0),1)</f>
        <v>8.5274534585630644</v>
      </c>
      <c r="AO67" s="4"/>
      <c r="AP67" s="190">
        <f t="shared" si="23"/>
        <v>55.436112127316967</v>
      </c>
      <c r="AQ67" s="4"/>
      <c r="AR67" s="190">
        <f t="shared" si="16"/>
        <v>5.0269302586127127</v>
      </c>
      <c r="AS67" s="190"/>
      <c r="AT67" s="189">
        <f t="shared" si="27"/>
        <v>5687.9608338209619</v>
      </c>
      <c r="AU67" s="4"/>
      <c r="AV67" s="189">
        <f t="shared" si="28"/>
        <v>17153.14167684062</v>
      </c>
      <c r="AW67" s="337"/>
      <c r="AX67" s="191">
        <f t="shared" si="29"/>
        <v>22841.102510661582</v>
      </c>
      <c r="AZ67" s="526">
        <f>+IF(AZ66&gt;$I$13+$I$14,XX,AZ66+1)</f>
        <v>2047</v>
      </c>
      <c r="BA67" s="152"/>
      <c r="BB67" s="190">
        <f t="shared" si="17"/>
        <v>103.00937357309398</v>
      </c>
      <c r="BC67" s="4"/>
      <c r="BD67" s="190">
        <f t="shared" si="18"/>
        <v>28.353877490173808</v>
      </c>
      <c r="BE67" s="4"/>
      <c r="BF67" s="189">
        <f t="shared" si="21"/>
        <v>4640.5358935274417</v>
      </c>
      <c r="BG67" s="4"/>
      <c r="BH67" s="193"/>
    </row>
    <row r="68" spans="2:60" ht="12">
      <c r="B68" s="3"/>
      <c r="C68" s="499">
        <f>+IF(C67&gt;$I$13+$I$14,XX,C67+1)</f>
        <v>2048</v>
      </c>
      <c r="D68" s="7"/>
      <c r="E68" s="501">
        <f>'(2.2)_Forward_Price_Curve'!N57</f>
        <v>2.1999999999999999E-2</v>
      </c>
      <c r="F68" s="7"/>
      <c r="G68" s="613">
        <v>255326.6739476723</v>
      </c>
      <c r="H68" s="7"/>
      <c r="I68" s="619">
        <v>118.73859376182617</v>
      </c>
      <c r="J68" s="7"/>
      <c r="K68" s="619">
        <f>'[8]Data for NPC'!N114</f>
        <v>6.0875521288182703</v>
      </c>
      <c r="L68" s="7"/>
      <c r="M68" s="39">
        <f t="shared" si="11"/>
        <v>12.46639183167985</v>
      </c>
      <c r="N68" s="7"/>
      <c r="O68" s="619">
        <f>'[8]Data for NPC'!M188</f>
        <v>1.1599999999999999</v>
      </c>
      <c r="P68" s="7"/>
      <c r="Q68" s="506">
        <v>0</v>
      </c>
      <c r="R68" s="7"/>
      <c r="S68" s="23">
        <f t="shared" si="22"/>
        <v>16194.923555436446</v>
      </c>
      <c r="T68" s="7"/>
      <c r="U68" s="23">
        <f t="shared" si="24"/>
        <v>21478.04510824546</v>
      </c>
      <c r="V68" s="7"/>
      <c r="W68" s="23">
        <f t="shared" si="3"/>
        <v>-5283.1215528090142</v>
      </c>
      <c r="X68" s="7"/>
      <c r="Y68" s="334">
        <f t="shared" si="25"/>
        <v>-20.69161623862205</v>
      </c>
      <c r="Z68" s="290"/>
      <c r="AB68" s="526">
        <f>+IF(AB67&gt;$I$13+$I$14,XX,AB67+1)</f>
        <v>2048</v>
      </c>
      <c r="AC68" s="152"/>
      <c r="AD68" s="187">
        <f t="shared" si="26"/>
        <v>255326.6739476723</v>
      </c>
      <c r="AE68" s="4"/>
      <c r="AF68" s="190">
        <f t="shared" si="13"/>
        <v>168.68971209851449</v>
      </c>
      <c r="AG68" s="4"/>
      <c r="AH68" s="190">
        <f t="shared" si="14"/>
        <v>34.47762494103619</v>
      </c>
      <c r="AI68" s="4"/>
      <c r="AJ68" s="190">
        <f t="shared" si="15"/>
        <v>3.9658809980252792</v>
      </c>
      <c r="AK68" s="4"/>
      <c r="AL68" s="189">
        <f t="shared" si="20"/>
        <v>10443.213077072503</v>
      </c>
      <c r="AM68" s="4"/>
      <c r="AN68" s="190">
        <f>INDEX('(2.2)_Forward_Price_Curve'!$H:$H,MATCH($AB68,'(2.2)_Forward_Price_Curve'!$C:$C,0),1)</f>
        <v>8.7150574346514524</v>
      </c>
      <c r="AO68" s="4"/>
      <c r="AP68" s="190">
        <f t="shared" si="23"/>
        <v>56.655706594117945</v>
      </c>
      <c r="AQ68" s="4"/>
      <c r="AR68" s="190">
        <f t="shared" si="16"/>
        <v>5.1375227243021921</v>
      </c>
      <c r="AS68" s="190"/>
      <c r="AT68" s="189">
        <f t="shared" si="27"/>
        <v>5700.5853938874579</v>
      </c>
      <c r="AU68" s="4"/>
      <c r="AV68" s="189">
        <f t="shared" si="28"/>
        <v>15777.459714358003</v>
      </c>
      <c r="AW68" s="337"/>
      <c r="AX68" s="191">
        <f t="shared" si="29"/>
        <v>21478.04510824546</v>
      </c>
      <c r="AZ68" s="526">
        <f>+IF(AZ67&gt;$I$13+$I$14,XX,AZ67+1)</f>
        <v>2048</v>
      </c>
      <c r="BA68" s="152"/>
      <c r="BB68" s="190">
        <f t="shared" si="17"/>
        <v>105.27557979170206</v>
      </c>
      <c r="BC68" s="4"/>
      <c r="BD68" s="190">
        <f t="shared" si="18"/>
        <v>28.977662794957631</v>
      </c>
      <c r="BE68" s="4"/>
      <c r="BF68" s="189">
        <f t="shared" si="21"/>
        <v>4742.6276831850455</v>
      </c>
      <c r="BG68" s="4"/>
      <c r="BH68" s="193"/>
    </row>
    <row r="69" spans="2:60" ht="12">
      <c r="B69" s="3"/>
      <c r="C69" s="499">
        <f>+IF(C68&gt;$I$13+$I$14,XX,C68+1)</f>
        <v>2049</v>
      </c>
      <c r="D69" s="7"/>
      <c r="E69" s="501">
        <f>'(2.2)_Forward_Price_Curve'!N58</f>
        <v>2.1999999999999999E-2</v>
      </c>
      <c r="F69" s="7"/>
      <c r="G69" s="613">
        <v>159579.17121729517</v>
      </c>
      <c r="H69" s="7"/>
      <c r="I69" s="619">
        <v>91.030942907503999</v>
      </c>
      <c r="J69" s="7"/>
      <c r="K69" s="619">
        <f>'[8]Data for NPC'!N115</f>
        <v>4.670674370835818</v>
      </c>
      <c r="L69" s="7"/>
      <c r="M69" s="39">
        <f t="shared" si="11"/>
        <v>12.740652451976807</v>
      </c>
      <c r="N69" s="7"/>
      <c r="O69" s="619">
        <f>'[8]Data for NPC'!M189</f>
        <v>1.18</v>
      </c>
      <c r="P69" s="7"/>
      <c r="Q69" s="506">
        <v>0</v>
      </c>
      <c r="R69" s="7"/>
      <c r="S69" s="23">
        <f t="shared" si="22"/>
        <v>11523.697159519683</v>
      </c>
      <c r="T69" s="7"/>
      <c r="U69" s="23">
        <f t="shared" si="0"/>
        <v>13913.106187756421</v>
      </c>
      <c r="V69" s="7"/>
      <c r="W69" s="23">
        <f t="shared" si="3"/>
        <v>-2389.4090282367379</v>
      </c>
      <c r="X69" s="7"/>
      <c r="Y69" s="334">
        <f t="shared" si="4"/>
        <v>-14.973188606069</v>
      </c>
      <c r="Z69" s="290"/>
      <c r="AB69" s="526">
        <f>+IF(AB68&gt;$I$13+$I$14,XX,AB68+1)</f>
        <v>2049</v>
      </c>
      <c r="AC69" s="152"/>
      <c r="AD69" s="187">
        <f t="shared" si="5"/>
        <v>159579.17121729517</v>
      </c>
      <c r="AE69" s="4"/>
      <c r="AF69" s="190">
        <f>AF51*(1+$E69)</f>
        <v>128.37441831654374</v>
      </c>
      <c r="AG69" s="4"/>
      <c r="AH69" s="190">
        <f>AH51*(1+$E69)</f>
        <v>26.237788847233777</v>
      </c>
      <c r="AI69" s="4"/>
      <c r="AJ69" s="190">
        <f>AJ51*(1+$E69)</f>
        <v>3.0180718189666789</v>
      </c>
      <c r="AK69" s="4"/>
      <c r="AL69" s="189">
        <f t="shared" si="20"/>
        <v>7658.4081086854058</v>
      </c>
      <c r="AM69" s="4"/>
      <c r="AN69" s="190">
        <f>INDEX('(2.2)_Forward_Price_Curve'!$H:$H,MATCH($AB69,'(2.2)_Forward_Price_Curve'!$C:$C,0),1)</f>
        <v>8.9067886982137843</v>
      </c>
      <c r="AO69" s="4"/>
      <c r="AP69" s="190">
        <f t="shared" si="23"/>
        <v>57.902132139188545</v>
      </c>
      <c r="AQ69" s="4"/>
      <c r="AR69" s="190">
        <f>AR51*(1+$E69)</f>
        <v>3.9097019202638559</v>
      </c>
      <c r="AS69" s="190"/>
      <c r="AT69" s="189">
        <f t="shared" si="1"/>
        <v>4049.2249371280282</v>
      </c>
      <c r="AU69" s="4"/>
      <c r="AV69" s="189">
        <f t="shared" si="2"/>
        <v>9863.8812506283921</v>
      </c>
      <c r="AW69" s="337"/>
      <c r="AX69" s="191">
        <f t="shared" si="8"/>
        <v>13913.106187756421</v>
      </c>
      <c r="AZ69" s="526">
        <f>+IF(AZ68&gt;$I$13+$I$14,XX,AZ68+1)</f>
        <v>2049</v>
      </c>
      <c r="BA69" s="152"/>
      <c r="BB69" s="190">
        <f>BB51*(1+$E69)</f>
        <v>80.115681926139501</v>
      </c>
      <c r="BC69" s="4"/>
      <c r="BD69" s="190">
        <f>BD51*(1+$E69)</f>
        <v>22.052267202300797</v>
      </c>
      <c r="BE69" s="4"/>
      <c r="BF69" s="189">
        <f t="shared" si="21"/>
        <v>3609.1831715573776</v>
      </c>
      <c r="BG69" s="4"/>
      <c r="BH69" s="193"/>
    </row>
    <row r="70" spans="2:60">
      <c r="B70" s="3"/>
      <c r="C70" s="4"/>
      <c r="D70" s="4"/>
      <c r="E70" s="210"/>
      <c r="F70" s="4"/>
      <c r="G70" s="328"/>
      <c r="H70" s="4"/>
      <c r="I70" s="328"/>
      <c r="J70" s="4"/>
      <c r="K70" s="328"/>
      <c r="L70" s="4"/>
      <c r="M70" s="328"/>
      <c r="N70" s="4"/>
      <c r="O70" s="328"/>
      <c r="P70" s="4"/>
      <c r="Q70" s="328"/>
      <c r="R70" s="4"/>
      <c r="S70" s="328"/>
      <c r="T70" s="4"/>
      <c r="U70" s="328"/>
      <c r="V70" s="4"/>
      <c r="W70" s="328"/>
      <c r="X70" s="4"/>
      <c r="Y70" s="338"/>
      <c r="Z70" s="290"/>
      <c r="AB70" s="3"/>
      <c r="AC70" s="4"/>
      <c r="AD70" s="4"/>
      <c r="AE70" s="4"/>
      <c r="AF70" s="339"/>
      <c r="AG70" s="4"/>
      <c r="AH70" s="339"/>
      <c r="AI70" s="4"/>
      <c r="AJ70" s="339"/>
      <c r="AK70" s="4"/>
      <c r="AL70" s="337"/>
      <c r="AM70" s="4"/>
      <c r="AN70" s="339"/>
      <c r="AO70" s="4"/>
      <c r="AP70" s="339"/>
      <c r="AQ70" s="4"/>
      <c r="AR70" s="339"/>
      <c r="AS70" s="339"/>
      <c r="AT70" s="339"/>
      <c r="AU70" s="4"/>
      <c r="AV70" s="337"/>
      <c r="AW70" s="337"/>
      <c r="AX70" s="340"/>
      <c r="AZ70" s="3"/>
      <c r="BA70" s="4"/>
      <c r="BB70" s="339"/>
      <c r="BC70" s="4"/>
      <c r="BD70" s="4"/>
      <c r="BE70" s="4"/>
      <c r="BF70" s="337"/>
      <c r="BG70" s="4"/>
      <c r="BH70" s="290"/>
    </row>
    <row r="71" spans="2:60" ht="12">
      <c r="B71" s="3"/>
      <c r="C71" s="341" t="str">
        <f>K14&amp;"-year Nominal Levelized at "&amp;TEXT($I$18,"#.00%")</f>
        <v>42-year Nominal Levelized at 6.92%</v>
      </c>
      <c r="E71" s="210"/>
      <c r="F71" s="4"/>
      <c r="G71" s="510">
        <f>+-PMT($I$18,$K$14,NPV($I$18,G28:G69))</f>
        <v>272164.26617445686</v>
      </c>
      <c r="H71" s="7"/>
      <c r="I71" s="39">
        <f>+-PMT($I$18,$K$14,NPV($I$18,I28:I69))</f>
        <v>231.45773135684382</v>
      </c>
      <c r="J71" s="39"/>
      <c r="K71" s="39">
        <f>+-PMT($I$18,$K$14,NPV($I$18,K28:K69))</f>
        <v>10.615632488407092</v>
      </c>
      <c r="L71" s="7"/>
      <c r="M71" s="39">
        <f>+-PMT($I$18,$K$14,NPV($I$18,M28:M69))</f>
        <v>7.015275149823867</v>
      </c>
      <c r="N71" s="7"/>
      <c r="O71" s="39">
        <f>+-PMT($I$18,$K$14,NPV($I$18,O28:O69))</f>
        <v>3.4625718376658345</v>
      </c>
      <c r="P71" s="7"/>
      <c r="Q71" s="39">
        <f>+-PMT($I$18,$K$14,NPV($I$18,Q28:Q69))</f>
        <v>-26.408312167259535</v>
      </c>
      <c r="R71" s="7"/>
      <c r="S71" s="355">
        <f>+-PMT($I$18,$K$14,NPV($I$18,S28:S69))</f>
        <v>20279.851149041704</v>
      </c>
      <c r="T71" s="7"/>
      <c r="U71" s="355">
        <f>+-PMT($I$18,$K$14,NPV($I$18,U28:U69))</f>
        <v>15628.68978043069</v>
      </c>
      <c r="V71" s="4"/>
      <c r="W71" s="355">
        <f>+-PMT($I$18,$K$14,NPV($I$18,W28:W69))</f>
        <v>4651.1613686110186</v>
      </c>
      <c r="X71" s="4"/>
      <c r="Y71" s="334">
        <f>+W71/G71*1000</f>
        <v>17.08953726360841</v>
      </c>
      <c r="Z71" s="290"/>
      <c r="AB71" s="3"/>
      <c r="AC71" s="4"/>
      <c r="AD71" s="599">
        <f>+-PMT($I$18,$K$14,NPV($I$18,AD28:AD69))</f>
        <v>272164.26617445686</v>
      </c>
      <c r="AE71" s="4"/>
      <c r="AF71" s="190">
        <f>+-PMT($I$18,$K$14,NPV($I$18,AF28:AF69))</f>
        <v>88.487298292951508</v>
      </c>
      <c r="AG71" s="4"/>
      <c r="AH71" s="190">
        <f>+-PMT($I$18,$K$14,NPV($I$18,AH28:AH69))</f>
        <v>15.868604670362874</v>
      </c>
      <c r="AI71" s="4"/>
      <c r="AJ71" s="190">
        <f>+-PMT($I$18,$K$14,NPV($I$18,AJ28:AJ69))</f>
        <v>2.6440263314118808</v>
      </c>
      <c r="AK71" s="4"/>
      <c r="AL71" s="190">
        <f>+-PMT($I$18,$K$14,NPV($I$18,AL28:AL69))</f>
        <v>6211.119059026385</v>
      </c>
      <c r="AM71" s="4"/>
      <c r="AN71" s="190">
        <f>+-PMT($I$18,$K$14,NPV($I$18,AN28:AN69))</f>
        <v>6.1393156867571417</v>
      </c>
      <c r="AO71" s="4"/>
      <c r="AP71" s="190">
        <f>+-PMT($I$18,$K$14,NPV($I$18,AP28:AP69))</f>
        <v>43.109001667294294</v>
      </c>
      <c r="AQ71" s="4"/>
      <c r="AR71" s="190">
        <f>+-PMT($I$18,$K$14,NPV($I$18,AR28:AR69))</f>
        <v>3.0644329931777485</v>
      </c>
      <c r="AS71" s="190"/>
      <c r="AT71" s="190">
        <f>+-PMT($I$18,$K$14,NPV($I$18,AT28:AT69))</f>
        <v>3126.0648819911435</v>
      </c>
      <c r="AU71" s="4"/>
      <c r="AV71" s="190">
        <f>+-PMT($I$18,$K$14,NPV($I$18,AV28:AV69))</f>
        <v>12502.624898439542</v>
      </c>
      <c r="AW71" s="337"/>
      <c r="AX71" s="190">
        <f>+-PMT($I$18,$K$14,NPV($I$18,AX28:AX69))</f>
        <v>15628.68978043069</v>
      </c>
      <c r="AZ71" s="3"/>
      <c r="BA71" s="4"/>
      <c r="BB71" s="190">
        <f>+-PMT($I$18,$K$14,NPV($I$18,BB28:BB69))</f>
        <v>56.962373830349591</v>
      </c>
      <c r="BC71" s="4"/>
      <c r="BD71" s="190">
        <f>+-PMT($I$18,$K$14,NPV($I$18,BD28:BD69))</f>
        <v>12.776230783330261</v>
      </c>
      <c r="BE71" s="4"/>
      <c r="BF71" s="190">
        <f>+-PMT($I$18,$K$14,NPV($I$18,BF28:BF69))</f>
        <v>3085.0541770352374</v>
      </c>
      <c r="BG71" s="4"/>
      <c r="BH71" s="193"/>
    </row>
    <row r="72" spans="2:60">
      <c r="B72" s="3"/>
      <c r="C72" s="4"/>
      <c r="D72" s="4"/>
      <c r="E72" s="210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342"/>
      <c r="X72" s="4"/>
      <c r="Y72" s="343"/>
      <c r="Z72" s="290"/>
      <c r="AB72" s="3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290"/>
      <c r="AZ72" s="3"/>
      <c r="BA72" s="4"/>
      <c r="BB72" s="4"/>
      <c r="BC72" s="4"/>
      <c r="BD72" s="4"/>
      <c r="BE72" s="4"/>
      <c r="BF72" s="4"/>
      <c r="BG72" s="4"/>
      <c r="BH72" s="290"/>
    </row>
    <row r="73" spans="2:60">
      <c r="B73" s="294"/>
      <c r="C73" s="344"/>
      <c r="D73" s="344"/>
      <c r="E73" s="345"/>
      <c r="F73" s="344"/>
      <c r="G73" s="344"/>
      <c r="H73" s="344"/>
      <c r="I73" s="344"/>
      <c r="J73" s="344"/>
      <c r="K73" s="344"/>
      <c r="L73" s="344"/>
      <c r="M73" s="344"/>
      <c r="N73" s="344"/>
      <c r="O73" s="344"/>
      <c r="P73" s="344"/>
      <c r="Q73" s="344"/>
      <c r="R73" s="344"/>
      <c r="S73" s="344"/>
      <c r="T73" s="344"/>
      <c r="U73" s="344"/>
      <c r="V73" s="344"/>
      <c r="W73" s="344"/>
      <c r="X73" s="344"/>
      <c r="Y73" s="344"/>
      <c r="Z73" s="297"/>
      <c r="AB73" s="294"/>
      <c r="AC73" s="344"/>
      <c r="AD73" s="344"/>
      <c r="AE73" s="344"/>
      <c r="AF73" s="344"/>
      <c r="AG73" s="344"/>
      <c r="AH73" s="344"/>
      <c r="AI73" s="344"/>
      <c r="AJ73" s="344"/>
      <c r="AK73" s="344"/>
      <c r="AL73" s="344"/>
      <c r="AM73" s="344"/>
      <c r="AN73" s="344"/>
      <c r="AO73" s="344"/>
      <c r="AP73" s="344"/>
      <c r="AQ73" s="344"/>
      <c r="AR73" s="344"/>
      <c r="AS73" s="344"/>
      <c r="AT73" s="344"/>
      <c r="AU73" s="344"/>
      <c r="AV73" s="344"/>
      <c r="AW73" s="344"/>
      <c r="AX73" s="297"/>
      <c r="AZ73" s="294"/>
      <c r="BA73" s="344"/>
      <c r="BB73" s="344"/>
      <c r="BC73" s="344"/>
      <c r="BD73" s="344"/>
      <c r="BE73" s="344"/>
      <c r="BF73" s="344"/>
      <c r="BG73" s="344"/>
      <c r="BH73" s="297"/>
    </row>
    <row r="74" spans="2:60">
      <c r="E74" s="346"/>
    </row>
    <row r="75" spans="2:60">
      <c r="E75" s="346"/>
      <c r="G75" s="347"/>
      <c r="I75" s="347"/>
      <c r="K75" s="347"/>
      <c r="O75" s="347"/>
      <c r="Q75" s="347"/>
      <c r="S75" s="347"/>
      <c r="U75" s="347"/>
      <c r="W75" s="347"/>
    </row>
    <row r="76" spans="2:60">
      <c r="E76" s="346"/>
    </row>
    <row r="77" spans="2:60">
      <c r="E77" s="346"/>
    </row>
    <row r="78" spans="2:60">
      <c r="E78" s="346"/>
    </row>
    <row r="79" spans="2:60">
      <c r="E79" s="346"/>
    </row>
    <row r="80" spans="2:60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  <row r="85" spans="5:5">
      <c r="E85" s="346"/>
    </row>
    <row r="86" spans="5:5">
      <c r="E86" s="346"/>
    </row>
    <row r="87" spans="5:5">
      <c r="E87" s="346"/>
    </row>
    <row r="88" spans="5:5">
      <c r="E88" s="346"/>
    </row>
    <row r="89" spans="5:5">
      <c r="E89" s="346"/>
    </row>
    <row r="90" spans="5:5">
      <c r="E90" s="346"/>
    </row>
    <row r="91" spans="5:5">
      <c r="E91" s="346"/>
    </row>
    <row r="92" spans="5:5">
      <c r="E92" s="346"/>
    </row>
    <row r="93" spans="5:5">
      <c r="E93" s="346"/>
    </row>
    <row r="94" spans="5:5">
      <c r="E94" s="346"/>
    </row>
    <row r="95" spans="5:5">
      <c r="E95" s="346"/>
    </row>
    <row r="96" spans="5:5">
      <c r="E96" s="346"/>
    </row>
    <row r="97" spans="5:5">
      <c r="E97" s="346"/>
    </row>
  </sheetData>
  <pageMargins left="0.25" right="0.25" top="0.25" bottom="0.75" header="0.3" footer="0.3"/>
  <pageSetup paperSize="5" scale="4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80"/>
  <sheetViews>
    <sheetView topLeftCell="S1" workbookViewId="0">
      <selection activeCell="W13" sqref="W13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">
        <v>160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155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32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140.4</v>
      </c>
      <c r="H11" s="313"/>
      <c r="AB11" s="157" t="s">
        <v>111</v>
      </c>
      <c r="AC11" s="158"/>
      <c r="AD11" s="158"/>
      <c r="AE11" s="158"/>
      <c r="AF11" s="169">
        <f>+G11*(G12/AJ16)</f>
        <v>92.238999866869378</v>
      </c>
      <c r="AG11" s="162"/>
      <c r="AH11" s="158" t="s">
        <v>112</v>
      </c>
      <c r="AI11" s="159"/>
      <c r="AJ11" s="164">
        <v>7.9126910299003335</v>
      </c>
      <c r="AK11" s="290"/>
      <c r="AZ11" s="157" t="s">
        <v>111</v>
      </c>
      <c r="BA11" s="158"/>
      <c r="BB11" s="158"/>
      <c r="BC11" s="158"/>
      <c r="BD11" s="169">
        <f>(AF11*AF13-G11*G19)</f>
        <v>85.686999866869371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0.3198868874996067</v>
      </c>
      <c r="H12" s="313"/>
      <c r="AB12" s="157" t="s">
        <v>40</v>
      </c>
      <c r="AC12" s="158"/>
      <c r="AD12" s="158"/>
      <c r="AE12" s="158"/>
      <c r="AF12" s="166">
        <f>+AD54/8760/AF11</f>
        <v>0.48691622634129728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2007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118</v>
      </c>
      <c r="B15" s="310"/>
      <c r="C15" s="311" t="s">
        <v>119</v>
      </c>
      <c r="D15" s="311"/>
      <c r="E15" s="311"/>
      <c r="F15" s="311"/>
      <c r="G15" s="316">
        <v>181.53437359001532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118</v>
      </c>
      <c r="B16" s="310"/>
      <c r="C16" s="311" t="s">
        <v>121</v>
      </c>
      <c r="D16" s="311"/>
      <c r="E16" s="311"/>
      <c r="F16" s="311"/>
      <c r="G16" s="316">
        <v>16.892584357750504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118</v>
      </c>
      <c r="B17" s="310"/>
      <c r="C17" s="311" t="s">
        <v>123</v>
      </c>
      <c r="D17" s="311"/>
      <c r="E17" s="311"/>
      <c r="F17" s="311"/>
      <c r="G17" s="316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7.125514275E-2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2007</v>
      </c>
      <c r="D28" s="7"/>
      <c r="E28" s="330">
        <v>1.9E-2</v>
      </c>
      <c r="F28" s="7"/>
      <c r="G28" s="23">
        <f>G30</f>
        <v>393129.55527784419</v>
      </c>
      <c r="H28" s="7"/>
      <c r="I28" s="331">
        <f>$G$15</f>
        <v>181.53437359001532</v>
      </c>
      <c r="J28" s="331"/>
      <c r="K28" s="331">
        <f>$G$16</f>
        <v>16.892584357750504</v>
      </c>
      <c r="L28" s="332"/>
      <c r="M28" s="331">
        <f>$G$17</f>
        <v>0</v>
      </c>
      <c r="N28" s="7"/>
      <c r="O28" s="333">
        <v>5.0999999999999996</v>
      </c>
      <c r="P28" s="7"/>
      <c r="Q28" s="39">
        <v>-31.863781128122483</v>
      </c>
      <c r="R28" s="7"/>
      <c r="S28" s="23">
        <f>(I28*$G$11*1000+(K28+M28+O28+Q28)*G28)/1000</f>
        <v>21606.766855641723</v>
      </c>
      <c r="T28" s="7"/>
      <c r="U28" s="23">
        <f t="shared" ref="U28:U52" si="0">AX28</f>
        <v>26955.432246399381</v>
      </c>
      <c r="V28" s="7"/>
      <c r="W28" s="23">
        <f t="shared" ref="W28:W52" si="1">S28-U28</f>
        <v>-5348.6653907576583</v>
      </c>
      <c r="X28" s="7"/>
      <c r="Y28" s="334">
        <f>+W28*1000/G28</f>
        <v>-13.605350498202789</v>
      </c>
      <c r="Z28" s="290"/>
      <c r="AB28" s="182">
        <f>$C$28</f>
        <v>2007</v>
      </c>
      <c r="AC28" s="152"/>
      <c r="AD28" s="187">
        <f t="shared" ref="AD28:AD52" si="2">G28</f>
        <v>393129.55527784419</v>
      </c>
      <c r="AE28" s="4"/>
      <c r="AF28" s="188">
        <v>57.078912815282386</v>
      </c>
      <c r="AG28" s="335"/>
      <c r="AH28" s="188">
        <v>8.047206777408638</v>
      </c>
      <c r="AI28" s="335"/>
      <c r="AJ28" s="188">
        <v>2.26211443231441</v>
      </c>
      <c r="AK28" s="336"/>
      <c r="AL28" s="189">
        <f>((AF28+AH28)*$AF$11*1000+AJ28*AD28)/1000</f>
        <v>6896.4721772033035</v>
      </c>
      <c r="AM28" s="4"/>
      <c r="AN28" s="190">
        <f>INDEX('(2.2)_Forward_Price_Curve'!$I:$I,MATCH($AB28,'(2.2)_Forward_Price_Curve'!$C:$C,0),1)</f>
        <v>8.0291312655031408</v>
      </c>
      <c r="AO28" s="348"/>
      <c r="AP28" s="190">
        <f>AN28*$AF$14/1000</f>
        <v>58.339839041680825</v>
      </c>
      <c r="AQ28" s="335"/>
      <c r="AR28" s="188">
        <v>2.3415647816593883</v>
      </c>
      <c r="AS28" s="188"/>
      <c r="AT28" s="189">
        <f t="shared" ref="AT28:AT52" si="3">AL28-BF28</f>
        <v>3099.7789476943708</v>
      </c>
      <c r="AU28" s="336"/>
      <c r="AV28" s="189">
        <f t="shared" ref="AV28:AV52" si="4">(AP28+AR28)*AD28/1000</f>
        <v>23855.653298705012</v>
      </c>
      <c r="AW28" s="337"/>
      <c r="AX28" s="191">
        <f>AT28+AV28</f>
        <v>26955.432246399381</v>
      </c>
      <c r="AZ28" s="182">
        <f>$C$28</f>
        <v>2007</v>
      </c>
      <c r="BA28" s="152"/>
      <c r="BB28" s="188">
        <v>38.461109399999991</v>
      </c>
      <c r="BC28" s="4"/>
      <c r="BD28" s="188">
        <v>5.8477499999999996</v>
      </c>
      <c r="BE28" s="335"/>
      <c r="BF28" s="189">
        <f>(BB28+BD28)*$BD$11</f>
        <v>3796.6932295089327</v>
      </c>
      <c r="BG28" s="335"/>
      <c r="BH28" s="192"/>
    </row>
    <row r="29" spans="1:60" ht="12">
      <c r="B29" s="3"/>
      <c r="C29" s="7">
        <f>+IF(C28&gt;$G$13+$G$14,XX,C28+1)</f>
        <v>2008</v>
      </c>
      <c r="D29" s="7"/>
      <c r="E29" s="330">
        <v>1.7000000000000001E-2</v>
      </c>
      <c r="F29" s="7"/>
      <c r="G29" s="23">
        <v>394331.98409973102</v>
      </c>
      <c r="H29" s="7"/>
      <c r="I29" s="39">
        <f>I28*(1+$E29)</f>
        <v>184.62045794104557</v>
      </c>
      <c r="J29" s="7"/>
      <c r="K29" s="39">
        <f>K28*(1+$E29)</f>
        <v>17.179758291832261</v>
      </c>
      <c r="L29" s="7"/>
      <c r="M29" s="39">
        <f>M28*(1+$E29)</f>
        <v>0</v>
      </c>
      <c r="N29" s="7"/>
      <c r="O29" s="333">
        <v>5.1866999999999992</v>
      </c>
      <c r="P29" s="7"/>
      <c r="Q29" s="39">
        <v>-32.504243128797739</v>
      </c>
      <c r="R29" s="7"/>
      <c r="S29" s="23">
        <f t="shared" ref="S29:S52" si="5">(I29*$G$11*1000+(K29+M29+O29+Q29)*G29)/1000</f>
        <v>21923.059485786031</v>
      </c>
      <c r="T29" s="7"/>
      <c r="U29" s="23">
        <f t="shared" si="0"/>
        <v>26932.197107201151</v>
      </c>
      <c r="V29" s="7"/>
      <c r="W29" s="23">
        <f t="shared" si="1"/>
        <v>-5009.1376214151205</v>
      </c>
      <c r="X29" s="7"/>
      <c r="Y29" s="334">
        <f t="shared" ref="Y29:Y52" si="6">+W29*1000/G29</f>
        <v>-12.702843855922813</v>
      </c>
      <c r="Z29" s="290"/>
      <c r="AB29" s="182">
        <f>+IF(AB28&gt;$G$13+$G$14,XX,AB28+1)</f>
        <v>2008</v>
      </c>
      <c r="AC29" s="152"/>
      <c r="AD29" s="187">
        <f t="shared" si="2"/>
        <v>394331.98409973102</v>
      </c>
      <c r="AE29" s="4"/>
      <c r="AF29" s="190">
        <f>AF28*(1+$E29)</f>
        <v>58.04925433314218</v>
      </c>
      <c r="AG29" s="4"/>
      <c r="AH29" s="190">
        <f>AH28*(1+$E29)</f>
        <v>8.1840092926245838</v>
      </c>
      <c r="AI29" s="4"/>
      <c r="AJ29" s="190">
        <f>AJ28*(1+$E29)</f>
        <v>2.3005703776637549</v>
      </c>
      <c r="AK29" s="4"/>
      <c r="AL29" s="189">
        <f t="shared" ref="AL29:AL52" si="7">((AF29+AH29)*$AF$11*1000+AJ29*AD29)/1000</f>
        <v>7016.4784763446414</v>
      </c>
      <c r="AM29" s="4"/>
      <c r="AN29" s="190">
        <f>INDEX('(2.2)_Forward_Price_Curve'!$I:$I,MATCH($AB29,'(2.2)_Forward_Price_Curve'!$C:$C,0),1)</f>
        <v>7.9707205782722266</v>
      </c>
      <c r="AO29" s="4"/>
      <c r="AP29" s="190">
        <f t="shared" ref="AP29:AP52" si="8">AN29*$AF$14/1000</f>
        <v>57.915425742323464</v>
      </c>
      <c r="AQ29" s="4"/>
      <c r="AR29" s="190">
        <f>AR28*(1+$E29)</f>
        <v>2.3813713829475978</v>
      </c>
      <c r="AS29" s="190"/>
      <c r="AT29" s="189">
        <f t="shared" si="3"/>
        <v>3155.241461934057</v>
      </c>
      <c r="AU29" s="4"/>
      <c r="AV29" s="189">
        <f t="shared" si="4"/>
        <v>23776.955645267095</v>
      </c>
      <c r="AW29" s="337"/>
      <c r="AX29" s="191">
        <f t="shared" ref="AX29:AX52" si="9">AT29+AV29</f>
        <v>26932.197107201151</v>
      </c>
      <c r="AZ29" s="182">
        <f>+IF(AZ28&gt;$G$13+$G$14,XX,AZ28+1)</f>
        <v>2008</v>
      </c>
      <c r="BA29" s="152"/>
      <c r="BB29" s="190">
        <f>BB28*(1+$E29)</f>
        <v>39.114948259799988</v>
      </c>
      <c r="BC29" s="4"/>
      <c r="BD29" s="190">
        <f>BD28*(1+$E29)</f>
        <v>5.9471617499999994</v>
      </c>
      <c r="BE29" s="4"/>
      <c r="BF29" s="189">
        <f t="shared" ref="BF29:BF51" si="10">(BB29+BD29)*$BD$11</f>
        <v>3861.2370144105844</v>
      </c>
      <c r="BG29" s="4"/>
      <c r="BH29" s="193"/>
    </row>
    <row r="30" spans="1:60" ht="12">
      <c r="B30" s="3"/>
      <c r="C30" s="7">
        <f>+IF(C29&gt;$G$13+$G$14,XX,C29+1)</f>
        <v>2009</v>
      </c>
      <c r="D30" s="7"/>
      <c r="E30" s="330">
        <v>1.7000000000000001E-2</v>
      </c>
      <c r="F30" s="7"/>
      <c r="G30" s="23">
        <v>393129.55527784419</v>
      </c>
      <c r="H30" s="7"/>
      <c r="I30" s="39">
        <f t="shared" ref="I30:I52" si="11">I29*(1+$E30)</f>
        <v>187.75900572604334</v>
      </c>
      <c r="J30" s="7"/>
      <c r="K30" s="39">
        <f t="shared" ref="K30:K52" si="12">K29*(1+$E30)</f>
        <v>17.471814182793409</v>
      </c>
      <c r="L30" s="7"/>
      <c r="M30" s="39">
        <f t="shared" ref="M30:M52" si="13">M29*(1+$E30)</f>
        <v>0</v>
      </c>
      <c r="N30" s="7"/>
      <c r="O30" s="333">
        <v>5.2748738999999985</v>
      </c>
      <c r="P30" s="7"/>
      <c r="Q30" s="39">
        <v>-33.157578415686572</v>
      </c>
      <c r="R30" s="7"/>
      <c r="S30" s="23">
        <f t="shared" si="5"/>
        <v>22268.535717319788</v>
      </c>
      <c r="T30" s="7"/>
      <c r="U30" s="23">
        <f t="shared" si="0"/>
        <v>26369.726244492471</v>
      </c>
      <c r="V30" s="7"/>
      <c r="W30" s="23">
        <f t="shared" si="1"/>
        <v>-4101.1905271726828</v>
      </c>
      <c r="X30" s="7"/>
      <c r="Y30" s="334">
        <f t="shared" si="6"/>
        <v>-10.432160269085259</v>
      </c>
      <c r="Z30" s="290"/>
      <c r="AB30" s="182">
        <f>+IF(AB29&gt;$G$13+$G$14,XX,AB29+1)</f>
        <v>2009</v>
      </c>
      <c r="AC30" s="152"/>
      <c r="AD30" s="187">
        <f t="shared" si="2"/>
        <v>393129.55527784419</v>
      </c>
      <c r="AE30" s="4"/>
      <c r="AF30" s="190">
        <f t="shared" ref="AF30:AF52" si="14">AF29*(1+$E30)</f>
        <v>59.036091656805588</v>
      </c>
      <c r="AG30" s="4"/>
      <c r="AH30" s="190">
        <f t="shared" ref="AH30:AH52" si="15">AH29*(1+$E30)</f>
        <v>8.3231374505992015</v>
      </c>
      <c r="AI30" s="4"/>
      <c r="AJ30" s="190">
        <f t="shared" ref="AJ30:AJ52" si="16">AJ29*(1+$E30)</f>
        <v>2.3396800740840384</v>
      </c>
      <c r="AK30" s="4"/>
      <c r="AL30" s="189">
        <f t="shared" si="7"/>
        <v>7132.9453116874256</v>
      </c>
      <c r="AM30" s="4"/>
      <c r="AN30" s="190">
        <f>INDEX('(2.2)_Forward_Price_Curve'!$I:$I,MATCH($AB30,'(2.2)_Forward_Price_Curve'!$C:$C,0),1)</f>
        <v>7.7758276535043622</v>
      </c>
      <c r="AO30" s="4"/>
      <c r="AP30" s="190">
        <f t="shared" si="8"/>
        <v>56.499329593768707</v>
      </c>
      <c r="AQ30" s="4"/>
      <c r="AR30" s="190">
        <f t="shared" ref="AR30:AR52" si="17">AR29*(1+$E30)</f>
        <v>2.4218546964577068</v>
      </c>
      <c r="AS30" s="190"/>
      <c r="AT30" s="189">
        <f t="shared" si="3"/>
        <v>3206.0672680318617</v>
      </c>
      <c r="AU30" s="4"/>
      <c r="AV30" s="189">
        <f t="shared" si="4"/>
        <v>23163.658976460611</v>
      </c>
      <c r="AW30" s="337"/>
      <c r="AX30" s="191">
        <f t="shared" si="9"/>
        <v>26369.726244492471</v>
      </c>
      <c r="AZ30" s="182">
        <f>+IF(AZ29&gt;$G$13+$G$14,XX,AZ29+1)</f>
        <v>2009</v>
      </c>
      <c r="BA30" s="152"/>
      <c r="BB30" s="190">
        <f t="shared" ref="BB30:BB52" si="18">BB29*(1+$E30)</f>
        <v>39.779902380216583</v>
      </c>
      <c r="BC30" s="4"/>
      <c r="BD30" s="190">
        <f t="shared" ref="BD30:BD52" si="19">BD29*(1+$E30)</f>
        <v>6.0482634997499991</v>
      </c>
      <c r="BE30" s="4"/>
      <c r="BF30" s="189">
        <f t="shared" si="10"/>
        <v>3926.8780436555639</v>
      </c>
      <c r="BG30" s="4"/>
      <c r="BH30" s="193"/>
    </row>
    <row r="31" spans="1:60" ht="12">
      <c r="B31" s="3"/>
      <c r="C31" s="7">
        <f>+IF(C30&gt;$G$13+$G$14,XX,C30+1)</f>
        <v>2010</v>
      </c>
      <c r="D31" s="7"/>
      <c r="E31" s="330">
        <v>1.9E-2</v>
      </c>
      <c r="F31" s="7"/>
      <c r="G31" s="23">
        <v>393129.55527784419</v>
      </c>
      <c r="H31" s="7"/>
      <c r="I31" s="39">
        <f t="shared" si="11"/>
        <v>191.32642683483814</v>
      </c>
      <c r="J31" s="7"/>
      <c r="K31" s="39">
        <f t="shared" si="12"/>
        <v>17.803778652266484</v>
      </c>
      <c r="L31" s="7"/>
      <c r="M31" s="39">
        <f t="shared" si="13"/>
        <v>0</v>
      </c>
      <c r="N31" s="7"/>
      <c r="O31" s="333">
        <v>5.3750965040999983</v>
      </c>
      <c r="P31" s="7"/>
      <c r="Q31" s="39">
        <v>-33.824045741841871</v>
      </c>
      <c r="R31" s="7"/>
      <c r="S31" s="23">
        <f t="shared" si="5"/>
        <v>22677.299149486546</v>
      </c>
      <c r="T31" s="7"/>
      <c r="U31" s="23">
        <f t="shared" si="0"/>
        <v>25596.40723411271</v>
      </c>
      <c r="V31" s="7"/>
      <c r="W31" s="23">
        <f t="shared" si="1"/>
        <v>-2919.1080846261648</v>
      </c>
      <c r="X31" s="7"/>
      <c r="Y31" s="334">
        <f t="shared" si="6"/>
        <v>-7.4253081342690859</v>
      </c>
      <c r="Z31" s="290"/>
      <c r="AB31" s="182">
        <f>+IF(AB30&gt;$G$13+$G$14,XX,AB30+1)</f>
        <v>2010</v>
      </c>
      <c r="AC31" s="152"/>
      <c r="AD31" s="187">
        <f t="shared" si="2"/>
        <v>393129.55527784419</v>
      </c>
      <c r="AE31" s="4"/>
      <c r="AF31" s="190">
        <f t="shared" si="14"/>
        <v>60.157777398284892</v>
      </c>
      <c r="AG31" s="4"/>
      <c r="AH31" s="190">
        <f t="shared" si="15"/>
        <v>8.4812770621605864</v>
      </c>
      <c r="AI31" s="4"/>
      <c r="AJ31" s="190">
        <f t="shared" si="16"/>
        <v>2.3841339954916347</v>
      </c>
      <c r="AK31" s="4"/>
      <c r="AL31" s="189">
        <f t="shared" si="7"/>
        <v>7268.4712726094867</v>
      </c>
      <c r="AM31" s="4"/>
      <c r="AN31" s="190">
        <f>INDEX('(2.2)_Forward_Price_Curve'!$I:$I,MATCH($AB31,'(2.2)_Forward_Price_Curve'!$C:$C,0),1)</f>
        <v>7.4774457529777205</v>
      </c>
      <c r="AO31" s="4"/>
      <c r="AP31" s="190">
        <f t="shared" si="8"/>
        <v>54.331280339864243</v>
      </c>
      <c r="AQ31" s="4"/>
      <c r="AR31" s="190">
        <f t="shared" si="17"/>
        <v>2.4678699356904028</v>
      </c>
      <c r="AS31" s="190"/>
      <c r="AT31" s="189">
        <f>AL31-BF31</f>
        <v>3266.9825461244673</v>
      </c>
      <c r="AU31" s="4"/>
      <c r="AV31" s="189">
        <f t="shared" si="4"/>
        <v>22329.424687988241</v>
      </c>
      <c r="AW31" s="337"/>
      <c r="AX31" s="191">
        <f t="shared" si="9"/>
        <v>25596.40723411271</v>
      </c>
      <c r="AZ31" s="182">
        <f>+IF(AZ30&gt;$G$13+$G$14,XX,AZ30+1)</f>
        <v>2010</v>
      </c>
      <c r="BA31" s="152"/>
      <c r="BB31" s="190">
        <f t="shared" si="18"/>
        <v>40.535720525440695</v>
      </c>
      <c r="BC31" s="4"/>
      <c r="BD31" s="190">
        <f t="shared" si="19"/>
        <v>6.1631805062452489</v>
      </c>
      <c r="BE31" s="4"/>
      <c r="BF31" s="189">
        <f t="shared" si="10"/>
        <v>4001.4887264850195</v>
      </c>
      <c r="BG31" s="4"/>
      <c r="BH31" s="193"/>
    </row>
    <row r="32" spans="1:60" ht="12">
      <c r="B32" s="3"/>
      <c r="C32" s="7">
        <f>+IF(C31&gt;$G$13+$G$14,XX,C31+1)</f>
        <v>2011</v>
      </c>
      <c r="D32" s="7"/>
      <c r="E32" s="330">
        <v>1.9E-2</v>
      </c>
      <c r="F32" s="7"/>
      <c r="G32" s="23">
        <v>393129.55527784419</v>
      </c>
      <c r="H32" s="7"/>
      <c r="I32" s="39">
        <f t="shared" si="11"/>
        <v>194.96162894470004</v>
      </c>
      <c r="J32" s="7"/>
      <c r="K32" s="39">
        <f t="shared" si="12"/>
        <v>18.142050446659546</v>
      </c>
      <c r="L32" s="7"/>
      <c r="M32" s="39">
        <f t="shared" si="13"/>
        <v>0</v>
      </c>
      <c r="N32" s="7"/>
      <c r="O32" s="333">
        <v>5.4772233376778976</v>
      </c>
      <c r="P32" s="7"/>
      <c r="Q32" s="39">
        <v>-34.503909061252898</v>
      </c>
      <c r="R32" s="7"/>
      <c r="S32" s="23">
        <f t="shared" si="5"/>
        <v>23093.540878060579</v>
      </c>
      <c r="T32" s="7"/>
      <c r="U32" s="23">
        <f t="shared" si="0"/>
        <v>24547.73787735646</v>
      </c>
      <c r="V32" s="7"/>
      <c r="W32" s="23">
        <f t="shared" si="1"/>
        <v>-1454.1969992958802</v>
      </c>
      <c r="X32" s="7"/>
      <c r="Y32" s="334">
        <f t="shared" si="6"/>
        <v>-3.6990274065457305</v>
      </c>
      <c r="Z32" s="290"/>
      <c r="AB32" s="182">
        <f>+IF(AB31&gt;$G$13+$G$14,XX,AB31+1)</f>
        <v>2011</v>
      </c>
      <c r="AC32" s="152"/>
      <c r="AD32" s="187">
        <f t="shared" si="2"/>
        <v>393129.55527784419</v>
      </c>
      <c r="AE32" s="4"/>
      <c r="AF32" s="190">
        <f t="shared" si="14"/>
        <v>61.300775168852297</v>
      </c>
      <c r="AG32" s="4"/>
      <c r="AH32" s="190">
        <f t="shared" si="15"/>
        <v>8.642421326341637</v>
      </c>
      <c r="AI32" s="4"/>
      <c r="AJ32" s="190">
        <f t="shared" si="16"/>
        <v>2.4294325414059754</v>
      </c>
      <c r="AK32" s="4"/>
      <c r="AL32" s="189">
        <f t="shared" si="7"/>
        <v>7406.5722267890651</v>
      </c>
      <c r="AM32" s="4"/>
      <c r="AN32" s="190">
        <f>INDEX('(2.2)_Forward_Price_Curve'!$I:$I,MATCH($AB32,'(2.2)_Forward_Price_Curve'!$C:$C,0),1)</f>
        <v>7.0821436233211914</v>
      </c>
      <c r="AO32" s="4"/>
      <c r="AP32" s="190">
        <f t="shared" si="8"/>
        <v>51.459006633731178</v>
      </c>
      <c r="AQ32" s="4"/>
      <c r="AR32" s="190">
        <f t="shared" si="17"/>
        <v>2.5147594644685203</v>
      </c>
      <c r="AS32" s="190"/>
      <c r="AT32" s="189">
        <f t="shared" si="3"/>
        <v>3329.055214500831</v>
      </c>
      <c r="AU32" s="4"/>
      <c r="AV32" s="189">
        <f t="shared" si="4"/>
        <v>21218.68266285563</v>
      </c>
      <c r="AW32" s="337"/>
      <c r="AX32" s="191">
        <f t="shared" si="9"/>
        <v>24547.73787735646</v>
      </c>
      <c r="AZ32" s="182">
        <f>+IF(AZ31&gt;$G$13+$G$14,XX,AZ31+1)</f>
        <v>2011</v>
      </c>
      <c r="BA32" s="152"/>
      <c r="BB32" s="190">
        <f t="shared" si="18"/>
        <v>41.305899215424063</v>
      </c>
      <c r="BC32" s="4"/>
      <c r="BD32" s="190">
        <f t="shared" si="19"/>
        <v>6.2802809358639085</v>
      </c>
      <c r="BE32" s="4"/>
      <c r="BF32" s="189">
        <f t="shared" si="10"/>
        <v>4077.5170122882341</v>
      </c>
      <c r="BG32" s="4"/>
      <c r="BH32" s="193"/>
    </row>
    <row r="33" spans="2:60" ht="12">
      <c r="B33" s="3"/>
      <c r="C33" s="7">
        <f>+IF(C32&gt;$G$13+$G$14,XX,C32+1)</f>
        <v>2012</v>
      </c>
      <c r="D33" s="7"/>
      <c r="E33" s="330">
        <v>0.02</v>
      </c>
      <c r="F33" s="7"/>
      <c r="G33" s="23">
        <v>394331.98409973102</v>
      </c>
      <c r="H33" s="7"/>
      <c r="I33" s="39">
        <f t="shared" si="11"/>
        <v>198.86086152359405</v>
      </c>
      <c r="J33" s="7"/>
      <c r="K33" s="39">
        <f t="shared" si="12"/>
        <v>18.504891455592738</v>
      </c>
      <c r="L33" s="7"/>
      <c r="M33" s="39">
        <f t="shared" si="13"/>
        <v>0</v>
      </c>
      <c r="N33" s="7"/>
      <c r="O33" s="333">
        <v>5.5867678044314557</v>
      </c>
      <c r="P33" s="7"/>
      <c r="Q33" s="39">
        <v>-35.197437633384084</v>
      </c>
      <c r="R33" s="7"/>
      <c r="S33" s="23">
        <f t="shared" si="5"/>
        <v>23540.701336973718</v>
      </c>
      <c r="T33" s="7"/>
      <c r="U33" s="23">
        <f t="shared" si="0"/>
        <v>23614.180755349575</v>
      </c>
      <c r="V33" s="7"/>
      <c r="W33" s="23">
        <f t="shared" si="1"/>
        <v>-73.479418375856767</v>
      </c>
      <c r="X33" s="7"/>
      <c r="Y33" s="334">
        <f t="shared" si="6"/>
        <v>-0.1863389766458127</v>
      </c>
      <c r="Z33" s="290"/>
      <c r="AB33" s="182">
        <f>+IF(AB32&gt;$G$13+$G$14,XX,AB32+1)</f>
        <v>2012</v>
      </c>
      <c r="AC33" s="152"/>
      <c r="AD33" s="187">
        <f t="shared" si="2"/>
        <v>394331.98409973102</v>
      </c>
      <c r="AE33" s="4"/>
      <c r="AF33" s="190">
        <f t="shared" si="14"/>
        <v>62.526790672229346</v>
      </c>
      <c r="AG33" s="4"/>
      <c r="AH33" s="190">
        <f t="shared" si="15"/>
        <v>8.8152697528684705</v>
      </c>
      <c r="AI33" s="4"/>
      <c r="AJ33" s="190">
        <f t="shared" si="16"/>
        <v>2.4780211922340949</v>
      </c>
      <c r="AK33" s="4"/>
      <c r="AL33" s="189">
        <f t="shared" si="7"/>
        <v>7557.6833154276364</v>
      </c>
      <c r="AM33" s="4"/>
      <c r="AN33" s="190">
        <f>INDEX('(2.2)_Forward_Price_Curve'!$I:$I,MATCH($AB33,'(2.2)_Forward_Price_Curve'!$C:$C,0),1)</f>
        <v>6.7024699037828679</v>
      </c>
      <c r="AO33" s="4"/>
      <c r="AP33" s="190">
        <f t="shared" si="8"/>
        <v>48.700289288881038</v>
      </c>
      <c r="AQ33" s="4"/>
      <c r="AR33" s="190">
        <f t="shared" si="17"/>
        <v>2.5650546537578909</v>
      </c>
      <c r="AS33" s="190"/>
      <c r="AT33" s="189">
        <f t="shared" si="3"/>
        <v>3398.6159628936375</v>
      </c>
      <c r="AU33" s="4"/>
      <c r="AV33" s="189">
        <f t="shared" si="4"/>
        <v>20215.564792455938</v>
      </c>
      <c r="AW33" s="337"/>
      <c r="AX33" s="191">
        <f t="shared" si="9"/>
        <v>23614.180755349575</v>
      </c>
      <c r="AZ33" s="182">
        <f>+IF(AZ32&gt;$G$13+$G$14,XX,AZ32+1)</f>
        <v>2012</v>
      </c>
      <c r="BA33" s="152"/>
      <c r="BB33" s="190">
        <f t="shared" si="18"/>
        <v>42.132017199732545</v>
      </c>
      <c r="BC33" s="4"/>
      <c r="BD33" s="190">
        <f t="shared" si="19"/>
        <v>6.4058865545811869</v>
      </c>
      <c r="BE33" s="4"/>
      <c r="BF33" s="189">
        <f t="shared" si="10"/>
        <v>4159.0673525339989</v>
      </c>
      <c r="BG33" s="4"/>
      <c r="BH33" s="193"/>
    </row>
    <row r="34" spans="2:60" ht="12">
      <c r="B34" s="3"/>
      <c r="C34" s="7">
        <f>+IF(C33&gt;$G$13+$G$14,XX,C33+1)</f>
        <v>2013</v>
      </c>
      <c r="D34" s="7"/>
      <c r="E34" s="330">
        <v>1.9E-2</v>
      </c>
      <c r="F34" s="7"/>
      <c r="G34" s="23">
        <v>393129.55527784419</v>
      </c>
      <c r="H34" s="7"/>
      <c r="I34" s="39">
        <f t="shared" si="11"/>
        <v>202.63921789254232</v>
      </c>
      <c r="J34" s="7"/>
      <c r="K34" s="39">
        <f t="shared" si="12"/>
        <v>18.856484393248998</v>
      </c>
      <c r="L34" s="7"/>
      <c r="M34" s="39">
        <f t="shared" si="13"/>
        <v>0</v>
      </c>
      <c r="N34" s="7"/>
      <c r="O34" s="333">
        <v>5.6929163927156532</v>
      </c>
      <c r="P34" s="7"/>
      <c r="Q34" s="39">
        <v>-35.904906129815103</v>
      </c>
      <c r="R34" s="7"/>
      <c r="S34" s="23">
        <f t="shared" si="5"/>
        <v>23986.36142632983</v>
      </c>
      <c r="T34" s="7"/>
      <c r="U34" s="23">
        <f t="shared" si="0"/>
        <v>23624.736734229424</v>
      </c>
      <c r="V34" s="7"/>
      <c r="W34" s="23">
        <f t="shared" si="1"/>
        <v>361.62469210040581</v>
      </c>
      <c r="X34" s="7"/>
      <c r="Y34" s="334">
        <f t="shared" si="6"/>
        <v>0.91986137202232909</v>
      </c>
      <c r="Z34" s="290"/>
      <c r="AB34" s="182">
        <f>+IF(AB33&gt;$G$13+$G$14,XX,AB33+1)</f>
        <v>2013</v>
      </c>
      <c r="AC34" s="152"/>
      <c r="AD34" s="187">
        <f t="shared" si="2"/>
        <v>393129.55527784419</v>
      </c>
      <c r="AE34" s="4"/>
      <c r="AF34" s="190">
        <f t="shared" si="14"/>
        <v>63.714799695001695</v>
      </c>
      <c r="AG34" s="4"/>
      <c r="AH34" s="190">
        <f t="shared" si="15"/>
        <v>8.9827598781729705</v>
      </c>
      <c r="AI34" s="4"/>
      <c r="AJ34" s="190">
        <f t="shared" si="16"/>
        <v>2.5251035948865423</v>
      </c>
      <c r="AK34" s="4"/>
      <c r="AL34" s="189">
        <f t="shared" si="7"/>
        <v>7698.2430410800189</v>
      </c>
      <c r="AM34" s="4"/>
      <c r="AN34" s="190">
        <f>INDEX('(2.2)_Forward_Price_Curve'!$I:$I,MATCH($AB34,'(2.2)_Forward_Price_Curve'!$C:$C,0),1)</f>
        <v>6.6994948806584134</v>
      </c>
      <c r="AO34" s="4"/>
      <c r="AP34" s="190">
        <f t="shared" si="8"/>
        <v>48.678672707399592</v>
      </c>
      <c r="AQ34" s="4"/>
      <c r="AR34" s="190">
        <f t="shared" si="17"/>
        <v>2.6137906921792906</v>
      </c>
      <c r="AS34" s="190"/>
      <c r="AT34" s="189">
        <f t="shared" si="3"/>
        <v>3460.1534088478747</v>
      </c>
      <c r="AU34" s="4"/>
      <c r="AV34" s="189">
        <f t="shared" si="4"/>
        <v>20164.583325381547</v>
      </c>
      <c r="AW34" s="337"/>
      <c r="AX34" s="191">
        <f t="shared" si="9"/>
        <v>23624.736734229424</v>
      </c>
      <c r="AZ34" s="182">
        <f>+IF(AZ33&gt;$G$13+$G$14,XX,AZ33+1)</f>
        <v>2013</v>
      </c>
      <c r="BA34" s="152"/>
      <c r="BB34" s="190">
        <f t="shared" si="18"/>
        <v>42.932525526527456</v>
      </c>
      <c r="BC34" s="4"/>
      <c r="BD34" s="190">
        <f t="shared" si="19"/>
        <v>6.5275983991182285</v>
      </c>
      <c r="BE34" s="4"/>
      <c r="BF34" s="189">
        <f t="shared" si="10"/>
        <v>4238.0896322321441</v>
      </c>
      <c r="BG34" s="4"/>
      <c r="BH34" s="193"/>
    </row>
    <row r="35" spans="2:60" ht="12">
      <c r="B35" s="3"/>
      <c r="C35" s="7">
        <f>+IF(C34&gt;$G$13+$G$14,XX,C34+1)</f>
        <v>2014</v>
      </c>
      <c r="D35" s="7"/>
      <c r="E35" s="330">
        <v>1.7999999999999999E-2</v>
      </c>
      <c r="F35" s="7"/>
      <c r="G35" s="23">
        <v>393129.55527784419</v>
      </c>
      <c r="H35" s="7"/>
      <c r="I35" s="39">
        <f t="shared" si="11"/>
        <v>206.28672381460808</v>
      </c>
      <c r="J35" s="7"/>
      <c r="K35" s="39">
        <f t="shared" si="12"/>
        <v>19.19590111232748</v>
      </c>
      <c r="L35" s="7"/>
      <c r="M35" s="39">
        <f t="shared" si="13"/>
        <v>0</v>
      </c>
      <c r="N35" s="7"/>
      <c r="O35" s="333">
        <v>5.7953888877845348</v>
      </c>
      <c r="P35" s="7"/>
      <c r="Q35" s="39">
        <v>-36.626594743024391</v>
      </c>
      <c r="R35" s="7"/>
      <c r="S35" s="23">
        <f t="shared" si="5"/>
        <v>24388.473844467644</v>
      </c>
      <c r="T35" s="7"/>
      <c r="U35" s="23">
        <f t="shared" si="0"/>
        <v>24318.271300732576</v>
      </c>
      <c r="V35" s="7"/>
      <c r="W35" s="23">
        <f t="shared" si="1"/>
        <v>70.202543735067593</v>
      </c>
      <c r="X35" s="7"/>
      <c r="Y35" s="334">
        <f t="shared" si="6"/>
        <v>0.17857355874821462</v>
      </c>
      <c r="Z35" s="290"/>
      <c r="AB35" s="182">
        <f>+IF(AB34&gt;$G$13+$G$14,XX,AB34+1)</f>
        <v>2014</v>
      </c>
      <c r="AC35" s="152"/>
      <c r="AD35" s="187">
        <f t="shared" si="2"/>
        <v>393129.55527784419</v>
      </c>
      <c r="AE35" s="4"/>
      <c r="AF35" s="190">
        <f t="shared" si="14"/>
        <v>64.861666089511729</v>
      </c>
      <c r="AG35" s="4"/>
      <c r="AH35" s="190">
        <f t="shared" si="15"/>
        <v>9.1444495559800849</v>
      </c>
      <c r="AI35" s="4"/>
      <c r="AJ35" s="190">
        <f t="shared" si="16"/>
        <v>2.5705554595944999</v>
      </c>
      <c r="AK35" s="4"/>
      <c r="AL35" s="189">
        <f t="shared" si="7"/>
        <v>7836.8114158194594</v>
      </c>
      <c r="AM35" s="4"/>
      <c r="AN35" s="190">
        <f>INDEX('(2.2)_Forward_Price_Curve'!$I:$I,MATCH($AB35,'(2.2)_Forward_Price_Curve'!$C:$C,0),1)</f>
        <v>6.9140085811973453</v>
      </c>
      <c r="AO35" s="4"/>
      <c r="AP35" s="190">
        <f t="shared" si="8"/>
        <v>50.2373338312307</v>
      </c>
      <c r="AQ35" s="4"/>
      <c r="AR35" s="190">
        <f t="shared" si="17"/>
        <v>2.6608389246385178</v>
      </c>
      <c r="AS35" s="190"/>
      <c r="AT35" s="189">
        <f t="shared" si="3"/>
        <v>3522.4361702071365</v>
      </c>
      <c r="AU35" s="4"/>
      <c r="AV35" s="189">
        <f t="shared" si="4"/>
        <v>20795.83513052544</v>
      </c>
      <c r="AW35" s="337"/>
      <c r="AX35" s="191">
        <f t="shared" si="9"/>
        <v>24318.271300732576</v>
      </c>
      <c r="AZ35" s="182">
        <f>+IF(AZ34&gt;$G$13+$G$14,XX,AZ34+1)</f>
        <v>2014</v>
      </c>
      <c r="BA35" s="152"/>
      <c r="BB35" s="190">
        <f t="shared" si="18"/>
        <v>43.705310986004953</v>
      </c>
      <c r="BC35" s="4"/>
      <c r="BD35" s="190">
        <f t="shared" si="19"/>
        <v>6.6450951703023566</v>
      </c>
      <c r="BE35" s="4"/>
      <c r="BF35" s="189">
        <f t="shared" si="10"/>
        <v>4314.3752456123229</v>
      </c>
      <c r="BG35" s="4"/>
      <c r="BH35" s="193"/>
    </row>
    <row r="36" spans="2:60" ht="12">
      <c r="B36" s="3"/>
      <c r="C36" s="7">
        <f>+IF(C35&gt;$G$13+$G$14,XX,C35+1)</f>
        <v>2015</v>
      </c>
      <c r="D36" s="7"/>
      <c r="E36" s="330">
        <v>1.7999999999999999E-2</v>
      </c>
      <c r="F36" s="7"/>
      <c r="G36" s="23">
        <v>393129.55527784419</v>
      </c>
      <c r="H36" s="7"/>
      <c r="I36" s="39">
        <f t="shared" si="11"/>
        <v>209.99988484327102</v>
      </c>
      <c r="J36" s="7"/>
      <c r="K36" s="39">
        <f t="shared" si="12"/>
        <v>19.541427332349375</v>
      </c>
      <c r="L36" s="7"/>
      <c r="M36" s="39">
        <f t="shared" si="13"/>
        <v>0</v>
      </c>
      <c r="N36" s="7"/>
      <c r="O36" s="333">
        <v>5.8997058877646564</v>
      </c>
      <c r="P36" s="7"/>
      <c r="Q36" s="39">
        <v>-37.362789297359178</v>
      </c>
      <c r="R36" s="7"/>
      <c r="S36" s="23">
        <f t="shared" si="5"/>
        <v>24797.228480172456</v>
      </c>
      <c r="T36" s="7"/>
      <c r="U36" s="23">
        <f t="shared" si="0"/>
        <v>25549.933671065781</v>
      </c>
      <c r="V36" s="7"/>
      <c r="W36" s="23">
        <f t="shared" si="1"/>
        <v>-752.70519089332447</v>
      </c>
      <c r="X36" s="7"/>
      <c r="Y36" s="334">
        <f t="shared" si="6"/>
        <v>-1.91464920606478</v>
      </c>
      <c r="Z36" s="290"/>
      <c r="AB36" s="182">
        <f>+IF(AB35&gt;$G$13+$G$14,XX,AB35+1)</f>
        <v>2015</v>
      </c>
      <c r="AC36" s="152"/>
      <c r="AD36" s="187">
        <f t="shared" si="2"/>
        <v>393129.55527784419</v>
      </c>
      <c r="AE36" s="4"/>
      <c r="AF36" s="190">
        <f t="shared" si="14"/>
        <v>66.029176079122948</v>
      </c>
      <c r="AG36" s="4"/>
      <c r="AH36" s="190">
        <f t="shared" si="15"/>
        <v>9.3090496479877274</v>
      </c>
      <c r="AI36" s="4"/>
      <c r="AJ36" s="190">
        <f t="shared" si="16"/>
        <v>2.616825457867201</v>
      </c>
      <c r="AK36" s="4"/>
      <c r="AL36" s="189">
        <f t="shared" si="7"/>
        <v>7977.8740213042111</v>
      </c>
      <c r="AM36" s="4"/>
      <c r="AN36" s="190">
        <f>INDEX('(2.2)_Forward_Price_Curve'!$I:$I,MATCH($AB36,'(2.2)_Forward_Price_Curve'!$C:$C,0),1)</f>
        <v>7.3164011858738007</v>
      </c>
      <c r="AO36" s="4"/>
      <c r="AP36" s="190">
        <f t="shared" si="8"/>
        <v>53.161127080102943</v>
      </c>
      <c r="AQ36" s="4"/>
      <c r="AR36" s="190">
        <f t="shared" si="17"/>
        <v>2.7087340252820113</v>
      </c>
      <c r="AS36" s="190"/>
      <c r="AT36" s="189">
        <f t="shared" si="3"/>
        <v>3585.8400212708657</v>
      </c>
      <c r="AU36" s="4"/>
      <c r="AV36" s="189">
        <f t="shared" si="4"/>
        <v>21964.093649794915</v>
      </c>
      <c r="AW36" s="337"/>
      <c r="AX36" s="191">
        <f t="shared" si="9"/>
        <v>25549.933671065781</v>
      </c>
      <c r="AZ36" s="182">
        <f>+IF(AZ35&gt;$G$13+$G$14,XX,AZ35+1)</f>
        <v>2015</v>
      </c>
      <c r="BA36" s="152"/>
      <c r="BB36" s="190">
        <f t="shared" si="18"/>
        <v>44.492006583753046</v>
      </c>
      <c r="BC36" s="4"/>
      <c r="BD36" s="190">
        <f t="shared" si="19"/>
        <v>6.7647068833677988</v>
      </c>
      <c r="BE36" s="4"/>
      <c r="BF36" s="189">
        <f t="shared" si="10"/>
        <v>4392.0340000333454</v>
      </c>
      <c r="BG36" s="4"/>
      <c r="BH36" s="193"/>
    </row>
    <row r="37" spans="2:60" ht="12">
      <c r="B37" s="3"/>
      <c r="C37" s="7">
        <f>+IF(C36&gt;$G$13+$G$14,XX,C36+1)</f>
        <v>2016</v>
      </c>
      <c r="D37" s="7"/>
      <c r="E37" s="330">
        <v>1.7999999999999999E-2</v>
      </c>
      <c r="F37" s="7"/>
      <c r="G37" s="23">
        <v>394331.98409973102</v>
      </c>
      <c r="H37" s="7"/>
      <c r="I37" s="39">
        <f t="shared" si="11"/>
        <v>213.77988277044989</v>
      </c>
      <c r="J37" s="7"/>
      <c r="K37" s="39">
        <f t="shared" si="12"/>
        <v>19.893173024331663</v>
      </c>
      <c r="L37" s="7"/>
      <c r="M37" s="39">
        <f t="shared" si="13"/>
        <v>0</v>
      </c>
      <c r="N37" s="7"/>
      <c r="O37" s="333">
        <v>6.0059005937444203</v>
      </c>
      <c r="P37" s="7"/>
      <c r="Q37" s="39">
        <v>-38.113781362236097</v>
      </c>
      <c r="R37" s="7"/>
      <c r="S37" s="23">
        <f t="shared" si="5"/>
        <v>25198.045601018199</v>
      </c>
      <c r="T37" s="7"/>
      <c r="U37" s="23">
        <f t="shared" si="0"/>
        <v>27436.923317887282</v>
      </c>
      <c r="V37" s="7"/>
      <c r="W37" s="23">
        <f t="shared" si="1"/>
        <v>-2238.8777168690831</v>
      </c>
      <c r="X37" s="7"/>
      <c r="Y37" s="334">
        <f t="shared" si="6"/>
        <v>-5.677646772631169</v>
      </c>
      <c r="Z37" s="290"/>
      <c r="AB37" s="182">
        <f>+IF(AB36&gt;$G$13+$G$14,XX,AB36+1)</f>
        <v>2016</v>
      </c>
      <c r="AC37" s="152"/>
      <c r="AD37" s="187">
        <f t="shared" si="2"/>
        <v>394331.98409973102</v>
      </c>
      <c r="AE37" s="4"/>
      <c r="AF37" s="190">
        <f t="shared" si="14"/>
        <v>67.217701248547158</v>
      </c>
      <c r="AG37" s="4"/>
      <c r="AH37" s="190">
        <f t="shared" si="15"/>
        <v>9.476612541651507</v>
      </c>
      <c r="AI37" s="4"/>
      <c r="AJ37" s="190">
        <f t="shared" si="16"/>
        <v>2.6639283161088105</v>
      </c>
      <c r="AK37" s="4"/>
      <c r="AL37" s="189">
        <f t="shared" si="7"/>
        <v>8124.6789378744152</v>
      </c>
      <c r="AM37" s="4"/>
      <c r="AN37" s="190">
        <f>INDEX('(2.2)_Forward_Price_Curve'!$I:$I,MATCH($AB37,'(2.2)_Forward_Price_Curve'!$C:$C,0),1)</f>
        <v>7.9211828417083421</v>
      </c>
      <c r="AO37" s="4"/>
      <c r="AP37" s="190">
        <f t="shared" si="8"/>
        <v>57.555483491778489</v>
      </c>
      <c r="AQ37" s="4"/>
      <c r="AR37" s="190">
        <f t="shared" si="17"/>
        <v>2.7574912377370877</v>
      </c>
      <c r="AS37" s="190"/>
      <c r="AT37" s="189">
        <f t="shared" si="3"/>
        <v>3653.5883258404701</v>
      </c>
      <c r="AU37" s="4"/>
      <c r="AV37" s="189">
        <f t="shared" si="4"/>
        <v>23783.334992046814</v>
      </c>
      <c r="AW37" s="337"/>
      <c r="AX37" s="191">
        <f t="shared" si="9"/>
        <v>27436.923317887282</v>
      </c>
      <c r="AZ37" s="182">
        <f>+IF(AZ36&gt;$G$13+$G$14,XX,AZ36+1)</f>
        <v>2016</v>
      </c>
      <c r="BA37" s="152"/>
      <c r="BB37" s="190">
        <f t="shared" si="18"/>
        <v>45.292862702260599</v>
      </c>
      <c r="BC37" s="4"/>
      <c r="BD37" s="190">
        <f t="shared" si="19"/>
        <v>6.8864716072684189</v>
      </c>
      <c r="BE37" s="4"/>
      <c r="BF37" s="189">
        <f t="shared" si="10"/>
        <v>4471.090612033945</v>
      </c>
      <c r="BG37" s="4"/>
      <c r="BH37" s="193"/>
    </row>
    <row r="38" spans="2:60" ht="12">
      <c r="B38" s="3"/>
      <c r="C38" s="7">
        <f>+IF(C37&gt;$G$13+$G$14,XX,C37+1)</f>
        <v>2017</v>
      </c>
      <c r="D38" s="7"/>
      <c r="E38" s="330">
        <v>1.7999999999999999E-2</v>
      </c>
      <c r="F38" s="7"/>
      <c r="G38" s="23">
        <v>393129.55527784419</v>
      </c>
      <c r="H38" s="7"/>
      <c r="I38" s="39">
        <f t="shared" si="11"/>
        <v>217.62792066031798</v>
      </c>
      <c r="J38" s="7"/>
      <c r="K38" s="39">
        <f t="shared" si="12"/>
        <v>20.251250138769635</v>
      </c>
      <c r="L38" s="7"/>
      <c r="M38" s="39">
        <f t="shared" si="13"/>
        <v>0</v>
      </c>
      <c r="N38" s="7"/>
      <c r="O38" s="333">
        <v>6.1140068044318197</v>
      </c>
      <c r="P38" s="7"/>
      <c r="Q38" s="39">
        <v>0</v>
      </c>
      <c r="R38" s="7"/>
      <c r="S38" s="23">
        <f t="shared" si="5"/>
        <v>40919.921797575524</v>
      </c>
      <c r="T38" s="7"/>
      <c r="U38" s="23">
        <f t="shared" si="0"/>
        <v>29233.3558832524</v>
      </c>
      <c r="V38" s="7"/>
      <c r="W38" s="23">
        <f t="shared" si="1"/>
        <v>11686.565914323124</v>
      </c>
      <c r="X38" s="7"/>
      <c r="Y38" s="334">
        <f t="shared" si="6"/>
        <v>29.727009219807062</v>
      </c>
      <c r="Z38" s="290"/>
      <c r="AB38" s="182">
        <f>+IF(AB37&gt;$G$13+$G$14,XX,AB37+1)</f>
        <v>2017</v>
      </c>
      <c r="AC38" s="152"/>
      <c r="AD38" s="187">
        <f t="shared" si="2"/>
        <v>393129.55527784419</v>
      </c>
      <c r="AE38" s="4"/>
      <c r="AF38" s="190">
        <f t="shared" si="14"/>
        <v>68.427619871021008</v>
      </c>
      <c r="AG38" s="4"/>
      <c r="AH38" s="190">
        <f t="shared" si="15"/>
        <v>9.6471915674012347</v>
      </c>
      <c r="AI38" s="4"/>
      <c r="AJ38" s="190">
        <f t="shared" si="16"/>
        <v>2.711879025798769</v>
      </c>
      <c r="AK38" s="4"/>
      <c r="AL38" s="189">
        <f t="shared" si="7"/>
        <v>8267.662317254064</v>
      </c>
      <c r="AM38" s="4"/>
      <c r="AN38" s="190">
        <f>INDEX('(2.2)_Forward_Price_Curve'!$I:$I,MATCH($AB38,'(2.2)_Forward_Price_Curve'!$C:$C,0),1)</f>
        <v>8.5467545643478058</v>
      </c>
      <c r="AO38" s="4"/>
      <c r="AP38" s="190">
        <f t="shared" si="8"/>
        <v>62.100900972324112</v>
      </c>
      <c r="AQ38" s="4"/>
      <c r="AR38" s="190">
        <f t="shared" si="17"/>
        <v>2.8071260800163556</v>
      </c>
      <c r="AS38" s="190"/>
      <c r="AT38" s="189">
        <f t="shared" si="3"/>
        <v>3716.0920742035078</v>
      </c>
      <c r="AU38" s="4"/>
      <c r="AV38" s="189">
        <f t="shared" si="4"/>
        <v>25517.263809048891</v>
      </c>
      <c r="AW38" s="337"/>
      <c r="AX38" s="191">
        <f t="shared" si="9"/>
        <v>29233.3558832524</v>
      </c>
      <c r="AZ38" s="182">
        <f>+IF(AZ37&gt;$G$13+$G$14,XX,AZ37+1)</f>
        <v>2017</v>
      </c>
      <c r="BA38" s="152"/>
      <c r="BB38" s="190">
        <f t="shared" si="18"/>
        <v>46.108134230901292</v>
      </c>
      <c r="BC38" s="4"/>
      <c r="BD38" s="190">
        <f t="shared" si="19"/>
        <v>7.0104280961992504</v>
      </c>
      <c r="BE38" s="4"/>
      <c r="BF38" s="189">
        <f t="shared" si="10"/>
        <v>4551.5702430505562</v>
      </c>
      <c r="BG38" s="4"/>
      <c r="BH38" s="193"/>
    </row>
    <row r="39" spans="2:60" ht="12">
      <c r="B39" s="3"/>
      <c r="C39" s="7">
        <f>+IF(C38&gt;$G$13+$G$14,XX,C38+1)</f>
        <v>2018</v>
      </c>
      <c r="D39" s="7"/>
      <c r="E39" s="330">
        <v>1.7999999999999999E-2</v>
      </c>
      <c r="F39" s="7"/>
      <c r="G39" s="23">
        <v>393129.55527784419</v>
      </c>
      <c r="H39" s="7"/>
      <c r="I39" s="39">
        <f t="shared" si="11"/>
        <v>221.54522323220371</v>
      </c>
      <c r="J39" s="7"/>
      <c r="K39" s="39">
        <f t="shared" si="12"/>
        <v>20.615772641267487</v>
      </c>
      <c r="L39" s="7"/>
      <c r="M39" s="39">
        <f t="shared" si="13"/>
        <v>0</v>
      </c>
      <c r="N39" s="7"/>
      <c r="O39" s="333">
        <v>6.2240589269115922</v>
      </c>
      <c r="P39" s="7"/>
      <c r="Q39" s="39">
        <v>0</v>
      </c>
      <c r="R39" s="7"/>
      <c r="S39" s="23">
        <f t="shared" si="5"/>
        <v>41656.480389931887</v>
      </c>
      <c r="T39" s="7"/>
      <c r="U39" s="23">
        <f t="shared" si="0"/>
        <v>30920.869064602433</v>
      </c>
      <c r="V39" s="7"/>
      <c r="W39" s="23">
        <f t="shared" si="1"/>
        <v>10735.611325329453</v>
      </c>
      <c r="X39" s="7"/>
      <c r="Y39" s="334">
        <f t="shared" si="6"/>
        <v>27.308074860314338</v>
      </c>
      <c r="Z39" s="290"/>
      <c r="AB39" s="182">
        <f>+IF(AB38&gt;$G$13+$G$14,XX,AB38+1)</f>
        <v>2018</v>
      </c>
      <c r="AC39" s="152"/>
      <c r="AD39" s="187">
        <f t="shared" si="2"/>
        <v>393129.55527784419</v>
      </c>
      <c r="AE39" s="4"/>
      <c r="AF39" s="190">
        <f t="shared" si="14"/>
        <v>69.659317028699391</v>
      </c>
      <c r="AG39" s="4"/>
      <c r="AH39" s="190">
        <f t="shared" si="15"/>
        <v>9.820841015614457</v>
      </c>
      <c r="AI39" s="4"/>
      <c r="AJ39" s="190">
        <f t="shared" si="16"/>
        <v>2.760692848263147</v>
      </c>
      <c r="AK39" s="4"/>
      <c r="AL39" s="189">
        <f t="shared" si="7"/>
        <v>8416.4802389646375</v>
      </c>
      <c r="AM39" s="4"/>
      <c r="AN39" s="190">
        <f>INDEX('(2.2)_Forward_Price_Curve'!$I:$I,MATCH($AB39,'(2.2)_Forward_Price_Curve'!$C:$C,0),1)</f>
        <v>9.1071488375904099</v>
      </c>
      <c r="AO39" s="4"/>
      <c r="AP39" s="190">
        <f t="shared" si="8"/>
        <v>66.172737715275218</v>
      </c>
      <c r="AQ39" s="4"/>
      <c r="AR39" s="190">
        <f t="shared" si="17"/>
        <v>2.85765434945665</v>
      </c>
      <c r="AS39" s="190"/>
      <c r="AT39" s="189">
        <f t="shared" si="3"/>
        <v>3782.9817315391711</v>
      </c>
      <c r="AU39" s="4"/>
      <c r="AV39" s="189">
        <f t="shared" si="4"/>
        <v>27137.887333063263</v>
      </c>
      <c r="AW39" s="337"/>
      <c r="AX39" s="191">
        <f t="shared" si="9"/>
        <v>30920.869064602433</v>
      </c>
      <c r="AZ39" s="182">
        <f>+IF(AZ38&gt;$G$13+$G$14,XX,AZ38+1)</f>
        <v>2018</v>
      </c>
      <c r="BA39" s="152"/>
      <c r="BB39" s="190">
        <f t="shared" si="18"/>
        <v>46.938080647057518</v>
      </c>
      <c r="BC39" s="4"/>
      <c r="BD39" s="190">
        <f t="shared" si="19"/>
        <v>7.1366158019308372</v>
      </c>
      <c r="BE39" s="4"/>
      <c r="BF39" s="189">
        <f t="shared" si="10"/>
        <v>4633.4985074254664</v>
      </c>
      <c r="BG39" s="4"/>
      <c r="BH39" s="193"/>
    </row>
    <row r="40" spans="2:60" ht="12">
      <c r="B40" s="3"/>
      <c r="C40" s="7">
        <f>+IF(C39&gt;$G$13+$G$14,XX,C39+1)</f>
        <v>2019</v>
      </c>
      <c r="D40" s="7"/>
      <c r="E40" s="330">
        <v>1.7999999999999999E-2</v>
      </c>
      <c r="F40" s="7"/>
      <c r="G40" s="23">
        <v>393129.55527784419</v>
      </c>
      <c r="H40" s="7"/>
      <c r="I40" s="39">
        <f t="shared" si="11"/>
        <v>225.53303725038339</v>
      </c>
      <c r="J40" s="7"/>
      <c r="K40" s="39">
        <f t="shared" si="12"/>
        <v>20.986856548810302</v>
      </c>
      <c r="L40" s="7"/>
      <c r="M40" s="39">
        <f t="shared" si="13"/>
        <v>0</v>
      </c>
      <c r="N40" s="7"/>
      <c r="O40" s="333">
        <v>6.3360919875960011</v>
      </c>
      <c r="P40" s="7"/>
      <c r="Q40" s="39">
        <v>0</v>
      </c>
      <c r="R40" s="7"/>
      <c r="S40" s="23">
        <f t="shared" si="5"/>
        <v>42406.297036950666</v>
      </c>
      <c r="T40" s="7"/>
      <c r="U40" s="23">
        <f t="shared" si="0"/>
        <v>32785.379700459511</v>
      </c>
      <c r="V40" s="7"/>
      <c r="W40" s="23">
        <f t="shared" si="1"/>
        <v>9620.9173364911549</v>
      </c>
      <c r="X40" s="7"/>
      <c r="Y40" s="334">
        <f t="shared" si="6"/>
        <v>24.47263810957071</v>
      </c>
      <c r="Z40" s="290"/>
      <c r="AB40" s="182">
        <f>+IF(AB39&gt;$G$13+$G$14,XX,AB39+1)</f>
        <v>2019</v>
      </c>
      <c r="AC40" s="152"/>
      <c r="AD40" s="187">
        <f t="shared" si="2"/>
        <v>393129.55527784419</v>
      </c>
      <c r="AE40" s="4"/>
      <c r="AF40" s="190">
        <f t="shared" si="14"/>
        <v>70.913184735215978</v>
      </c>
      <c r="AG40" s="4"/>
      <c r="AH40" s="190">
        <f t="shared" si="15"/>
        <v>9.9976161538955175</v>
      </c>
      <c r="AI40" s="4"/>
      <c r="AJ40" s="190">
        <f t="shared" si="16"/>
        <v>2.8103853195318838</v>
      </c>
      <c r="AK40" s="4"/>
      <c r="AL40" s="189">
        <f t="shared" si="7"/>
        <v>8567.9768832660011</v>
      </c>
      <c r="AM40" s="4"/>
      <c r="AN40" s="190">
        <f>INDEX('(2.2)_Forward_Price_Curve'!$I:$I,MATCH($AB40,'(2.2)_Forward_Price_Curve'!$C:$C,0),1)</f>
        <v>9.7289597532905745</v>
      </c>
      <c r="AO40" s="4"/>
      <c r="AP40" s="190">
        <f t="shared" si="8"/>
        <v>70.69082909237946</v>
      </c>
      <c r="AQ40" s="4"/>
      <c r="AR40" s="190">
        <f t="shared" si="17"/>
        <v>2.9090921277468698</v>
      </c>
      <c r="AS40" s="190"/>
      <c r="AT40" s="189">
        <f t="shared" si="3"/>
        <v>3851.075402706876</v>
      </c>
      <c r="AU40" s="4"/>
      <c r="AV40" s="189">
        <f t="shared" si="4"/>
        <v>28934.304297752635</v>
      </c>
      <c r="AW40" s="337"/>
      <c r="AX40" s="191">
        <f t="shared" si="9"/>
        <v>32785.379700459511</v>
      </c>
      <c r="AZ40" s="182">
        <f>+IF(AZ39&gt;$G$13+$G$14,XX,AZ39+1)</f>
        <v>2019</v>
      </c>
      <c r="BA40" s="152"/>
      <c r="BB40" s="190">
        <f t="shared" si="18"/>
        <v>47.782966098704556</v>
      </c>
      <c r="BC40" s="4"/>
      <c r="BD40" s="190">
        <f t="shared" si="19"/>
        <v>7.2650748863655927</v>
      </c>
      <c r="BE40" s="4"/>
      <c r="BF40" s="189">
        <f t="shared" si="10"/>
        <v>4716.901480559125</v>
      </c>
      <c r="BG40" s="4"/>
      <c r="BH40" s="193"/>
    </row>
    <row r="41" spans="2:60" ht="12">
      <c r="B41" s="3"/>
      <c r="C41" s="7">
        <f>+IF(C40&gt;$G$13+$G$14,XX,C40+1)</f>
        <v>2020</v>
      </c>
      <c r="D41" s="7"/>
      <c r="E41" s="330">
        <v>1.7999999999999999E-2</v>
      </c>
      <c r="F41" s="7"/>
      <c r="G41" s="23">
        <v>394331.98409973102</v>
      </c>
      <c r="H41" s="7"/>
      <c r="I41" s="39">
        <f t="shared" si="11"/>
        <v>229.59263192089028</v>
      </c>
      <c r="J41" s="7"/>
      <c r="K41" s="39">
        <f t="shared" si="12"/>
        <v>21.364619966688888</v>
      </c>
      <c r="L41" s="7"/>
      <c r="M41" s="39">
        <f t="shared" si="13"/>
        <v>0</v>
      </c>
      <c r="N41" s="7"/>
      <c r="O41" s="333">
        <v>6.4501416433727297</v>
      </c>
      <c r="P41" s="7"/>
      <c r="Q41" s="39">
        <v>0</v>
      </c>
      <c r="R41" s="7"/>
      <c r="S41" s="23">
        <f t="shared" si="5"/>
        <v>43203.055654649623</v>
      </c>
      <c r="T41" s="7"/>
      <c r="U41" s="23">
        <f t="shared" si="0"/>
        <v>34051.343448365391</v>
      </c>
      <c r="V41" s="7"/>
      <c r="W41" s="23">
        <f t="shared" si="1"/>
        <v>9151.7122062842318</v>
      </c>
      <c r="X41" s="7"/>
      <c r="Y41" s="334">
        <f t="shared" si="6"/>
        <v>23.208140793290713</v>
      </c>
      <c r="Z41" s="290"/>
      <c r="AB41" s="182">
        <f>+IF(AB40&gt;$G$13+$G$14,XX,AB40+1)</f>
        <v>2020</v>
      </c>
      <c r="AC41" s="152"/>
      <c r="AD41" s="187">
        <f t="shared" si="2"/>
        <v>394331.98409973102</v>
      </c>
      <c r="AE41" s="4"/>
      <c r="AF41" s="190">
        <f t="shared" si="14"/>
        <v>72.189622060449864</v>
      </c>
      <c r="AG41" s="4"/>
      <c r="AH41" s="190">
        <f t="shared" si="15"/>
        <v>10.177573244665638</v>
      </c>
      <c r="AI41" s="4"/>
      <c r="AJ41" s="190">
        <f t="shared" si="16"/>
        <v>2.8609722552834578</v>
      </c>
      <c r="AK41" s="4"/>
      <c r="AL41" s="189">
        <f t="shared" si="7"/>
        <v>8725.6405826631617</v>
      </c>
      <c r="AM41" s="4"/>
      <c r="AN41" s="190">
        <f>INDEX('(2.2)_Forward_Price_Curve'!$I:$I,MATCH($AB41,'(2.2)_Forward_Price_Curve'!$C:$C,0),1)</f>
        <v>10.107309478601163</v>
      </c>
      <c r="AO41" s="4"/>
      <c r="AP41" s="190">
        <f t="shared" si="8"/>
        <v>73.43992626692922</v>
      </c>
      <c r="AQ41" s="4"/>
      <c r="AR41" s="190">
        <f t="shared" si="17"/>
        <v>2.9614557860463133</v>
      </c>
      <c r="AS41" s="190"/>
      <c r="AT41" s="189">
        <f t="shared" si="3"/>
        <v>3923.834875453972</v>
      </c>
      <c r="AU41" s="4"/>
      <c r="AV41" s="189">
        <f t="shared" si="4"/>
        <v>30127.508572911422</v>
      </c>
      <c r="AW41" s="337"/>
      <c r="AX41" s="191">
        <f t="shared" si="9"/>
        <v>34051.343448365391</v>
      </c>
      <c r="AZ41" s="182">
        <f>+IF(AZ40&gt;$G$13+$G$14,XX,AZ40+1)</f>
        <v>2020</v>
      </c>
      <c r="BA41" s="152"/>
      <c r="BB41" s="190">
        <f t="shared" si="18"/>
        <v>48.643059488481235</v>
      </c>
      <c r="BC41" s="4"/>
      <c r="BD41" s="190">
        <f t="shared" si="19"/>
        <v>7.3958462343201736</v>
      </c>
      <c r="BE41" s="4"/>
      <c r="BF41" s="189">
        <f t="shared" si="10"/>
        <v>4801.8057072091897</v>
      </c>
      <c r="BG41" s="4"/>
      <c r="BH41" s="193"/>
    </row>
    <row r="42" spans="2:60" ht="12">
      <c r="B42" s="3"/>
      <c r="C42" s="7">
        <f>+IF(C41&gt;$G$13+$G$14,XX,C41+1)</f>
        <v>2021</v>
      </c>
      <c r="D42" s="7"/>
      <c r="E42" s="330">
        <v>1.7999999999999999E-2</v>
      </c>
      <c r="F42" s="7"/>
      <c r="G42" s="23">
        <v>393129.55527784419</v>
      </c>
      <c r="H42" s="7"/>
      <c r="I42" s="39">
        <f t="shared" si="11"/>
        <v>233.7252992954663</v>
      </c>
      <c r="J42" s="7"/>
      <c r="K42" s="39">
        <f t="shared" si="12"/>
        <v>21.749183126089289</v>
      </c>
      <c r="L42" s="7"/>
      <c r="M42" s="39">
        <f t="shared" si="13"/>
        <v>0</v>
      </c>
      <c r="N42" s="7"/>
      <c r="O42" s="333">
        <v>6.5662441929534392</v>
      </c>
      <c r="P42" s="7"/>
      <c r="Q42" s="39">
        <v>0</v>
      </c>
      <c r="R42" s="7"/>
      <c r="S42" s="23">
        <f t="shared" si="5"/>
        <v>43946.663370520859</v>
      </c>
      <c r="T42" s="7"/>
      <c r="U42" s="23">
        <f t="shared" si="0"/>
        <v>34558.630779695726</v>
      </c>
      <c r="V42" s="7"/>
      <c r="W42" s="23">
        <f t="shared" si="1"/>
        <v>9388.0325908251325</v>
      </c>
      <c r="X42" s="7"/>
      <c r="Y42" s="334">
        <f t="shared" si="6"/>
        <v>23.880251344089721</v>
      </c>
      <c r="Z42" s="290"/>
      <c r="AB42" s="182">
        <f>+IF(AB41&gt;$G$13+$G$14,XX,AB41+1)</f>
        <v>2021</v>
      </c>
      <c r="AC42" s="152"/>
      <c r="AD42" s="187">
        <f t="shared" si="2"/>
        <v>393129.55527784419</v>
      </c>
      <c r="AE42" s="4"/>
      <c r="AF42" s="190">
        <f t="shared" si="14"/>
        <v>73.489035257537964</v>
      </c>
      <c r="AG42" s="4"/>
      <c r="AH42" s="190">
        <f t="shared" si="15"/>
        <v>10.360769563069619</v>
      </c>
      <c r="AI42" s="4"/>
      <c r="AJ42" s="190">
        <f t="shared" si="16"/>
        <v>2.9124697558785599</v>
      </c>
      <c r="AK42" s="4"/>
      <c r="AL42" s="189">
        <f t="shared" si="7"/>
        <v>8879.2000755737572</v>
      </c>
      <c r="AM42" s="4"/>
      <c r="AN42" s="190">
        <f>INDEX('(2.2)_Forward_Price_Curve'!$I:$I,MATCH($AB42,'(2.2)_Forward_Price_Curve'!$C:$C,0),1)</f>
        <v>10.286225465001079</v>
      </c>
      <c r="AO42" s="4"/>
      <c r="AP42" s="190">
        <f t="shared" si="8"/>
        <v>74.739933640504091</v>
      </c>
      <c r="AQ42" s="4"/>
      <c r="AR42" s="190">
        <f t="shared" si="17"/>
        <v>3.0147619901951468</v>
      </c>
      <c r="AS42" s="190"/>
      <c r="AT42" s="189">
        <f t="shared" si="3"/>
        <v>3990.9618656348021</v>
      </c>
      <c r="AU42" s="4"/>
      <c r="AV42" s="189">
        <f t="shared" si="4"/>
        <v>30567.668914060923</v>
      </c>
      <c r="AW42" s="337"/>
      <c r="AX42" s="191">
        <f t="shared" si="9"/>
        <v>34558.630779695726</v>
      </c>
      <c r="AZ42" s="182">
        <f>+IF(AZ41&gt;$G$13+$G$14,XX,AZ41+1)</f>
        <v>2021</v>
      </c>
      <c r="BA42" s="152"/>
      <c r="BB42" s="190">
        <f t="shared" si="18"/>
        <v>49.518634559273899</v>
      </c>
      <c r="BC42" s="4"/>
      <c r="BD42" s="190">
        <f t="shared" si="19"/>
        <v>7.5289714665379366</v>
      </c>
      <c r="BE42" s="4"/>
      <c r="BF42" s="189">
        <f t="shared" si="10"/>
        <v>4888.2382099389552</v>
      </c>
      <c r="BG42" s="4"/>
      <c r="BH42" s="193"/>
    </row>
    <row r="43" spans="2:60" ht="12">
      <c r="B43" s="3"/>
      <c r="C43" s="7">
        <f>+IF(C42&gt;$G$13+$G$14,XX,C42+1)</f>
        <v>2022</v>
      </c>
      <c r="D43" s="7"/>
      <c r="E43" s="330">
        <v>1.9E-2</v>
      </c>
      <c r="F43" s="7"/>
      <c r="G43" s="23">
        <v>393129.55527784419</v>
      </c>
      <c r="H43" s="7"/>
      <c r="I43" s="39">
        <f t="shared" si="11"/>
        <v>238.16607998208013</v>
      </c>
      <c r="J43" s="7"/>
      <c r="K43" s="39">
        <f t="shared" si="12"/>
        <v>22.162417605484983</v>
      </c>
      <c r="L43" s="7"/>
      <c r="M43" s="39">
        <f t="shared" si="13"/>
        <v>0</v>
      </c>
      <c r="N43" s="7"/>
      <c r="O43" s="333">
        <v>6.6910028326195539</v>
      </c>
      <c r="P43" s="7"/>
      <c r="Q43" s="39">
        <v>0</v>
      </c>
      <c r="R43" s="7"/>
      <c r="S43" s="23">
        <f t="shared" si="5"/>
        <v>44781.649974560743</v>
      </c>
      <c r="T43" s="7"/>
      <c r="U43" s="23">
        <f t="shared" si="0"/>
        <v>35215.893668977486</v>
      </c>
      <c r="V43" s="7"/>
      <c r="W43" s="23">
        <f t="shared" si="1"/>
        <v>9565.7563055832579</v>
      </c>
      <c r="X43" s="7"/>
      <c r="Y43" s="334">
        <f t="shared" si="6"/>
        <v>24.332325507357648</v>
      </c>
      <c r="Z43" s="290"/>
      <c r="AB43" s="182">
        <f>+IF(AB42&gt;$G$13+$G$14,XX,AB42+1)</f>
        <v>2022</v>
      </c>
      <c r="AC43" s="152"/>
      <c r="AD43" s="187">
        <f t="shared" si="2"/>
        <v>393129.55527784419</v>
      </c>
      <c r="AE43" s="4"/>
      <c r="AF43" s="190">
        <f t="shared" si="14"/>
        <v>74.88532692743118</v>
      </c>
      <c r="AG43" s="4"/>
      <c r="AH43" s="190">
        <f t="shared" si="15"/>
        <v>10.55762418476794</v>
      </c>
      <c r="AI43" s="4"/>
      <c r="AJ43" s="190">
        <f t="shared" si="16"/>
        <v>2.9678066812402522</v>
      </c>
      <c r="AK43" s="4"/>
      <c r="AL43" s="189">
        <f t="shared" si="7"/>
        <v>9047.904877009656</v>
      </c>
      <c r="AM43" s="4"/>
      <c r="AN43" s="190">
        <f>INDEX('(2.2)_Forward_Price_Curve'!$I:$I,MATCH($AB43,'(2.2)_Forward_Price_Curve'!$C:$C,0),1)</f>
        <v>10.481890917487915</v>
      </c>
      <c r="AO43" s="4"/>
      <c r="AP43" s="190">
        <f t="shared" si="8"/>
        <v>76.16164299194341</v>
      </c>
      <c r="AQ43" s="4"/>
      <c r="AR43" s="190">
        <f t="shared" si="17"/>
        <v>3.0720424680088545</v>
      </c>
      <c r="AS43" s="190"/>
      <c r="AT43" s="189">
        <f t="shared" si="3"/>
        <v>4066.7901410818613</v>
      </c>
      <c r="AU43" s="4"/>
      <c r="AV43" s="189">
        <f t="shared" si="4"/>
        <v>31149.103527895626</v>
      </c>
      <c r="AW43" s="337"/>
      <c r="AX43" s="191">
        <f t="shared" si="9"/>
        <v>35215.893668977486</v>
      </c>
      <c r="AZ43" s="182">
        <f>+IF(AZ42&gt;$G$13+$G$14,XX,AZ42+1)</f>
        <v>2022</v>
      </c>
      <c r="BA43" s="152"/>
      <c r="BB43" s="190">
        <f t="shared" si="18"/>
        <v>50.459488615900099</v>
      </c>
      <c r="BC43" s="4"/>
      <c r="BD43" s="190">
        <f t="shared" si="19"/>
        <v>7.6720219244021566</v>
      </c>
      <c r="BE43" s="4"/>
      <c r="BF43" s="189">
        <f t="shared" si="10"/>
        <v>4981.1147359277948</v>
      </c>
      <c r="BG43" s="4"/>
      <c r="BH43" s="193"/>
    </row>
    <row r="44" spans="2:60" ht="12">
      <c r="B44" s="3"/>
      <c r="C44" s="7">
        <f>+IF(C43&gt;$G$13+$G$14,XX,C43+1)</f>
        <v>2023</v>
      </c>
      <c r="D44" s="7"/>
      <c r="E44" s="330">
        <v>1.9E-2</v>
      </c>
      <c r="F44" s="7"/>
      <c r="G44" s="23">
        <v>393129.55527784419</v>
      </c>
      <c r="H44" s="7"/>
      <c r="I44" s="39">
        <f t="shared" si="11"/>
        <v>242.69123550173964</v>
      </c>
      <c r="J44" s="7"/>
      <c r="K44" s="39">
        <f t="shared" si="12"/>
        <v>22.583503539989195</v>
      </c>
      <c r="L44" s="7"/>
      <c r="M44" s="39">
        <f t="shared" si="13"/>
        <v>0</v>
      </c>
      <c r="N44" s="7"/>
      <c r="O44" s="333">
        <v>6.8181318864393248</v>
      </c>
      <c r="P44" s="7"/>
      <c r="Q44" s="39">
        <v>0</v>
      </c>
      <c r="R44" s="7"/>
      <c r="S44" s="23">
        <f t="shared" si="5"/>
        <v>45632.501324077406</v>
      </c>
      <c r="T44" s="7"/>
      <c r="U44" s="23">
        <f t="shared" si="0"/>
        <v>35880.690377789208</v>
      </c>
      <c r="V44" s="7"/>
      <c r="W44" s="23">
        <f t="shared" si="1"/>
        <v>9751.8109462881985</v>
      </c>
      <c r="X44" s="7"/>
      <c r="Y44" s="334">
        <f t="shared" si="6"/>
        <v>24.805590969613334</v>
      </c>
      <c r="Z44" s="290"/>
      <c r="AB44" s="182">
        <f>+IF(AB43&gt;$G$13+$G$14,XX,AB43+1)</f>
        <v>2023</v>
      </c>
      <c r="AC44" s="152"/>
      <c r="AD44" s="187">
        <f t="shared" si="2"/>
        <v>393129.55527784419</v>
      </c>
      <c r="AE44" s="4"/>
      <c r="AF44" s="190">
        <f t="shared" si="14"/>
        <v>76.308148139052363</v>
      </c>
      <c r="AG44" s="4"/>
      <c r="AH44" s="190">
        <f t="shared" si="15"/>
        <v>10.75821904427853</v>
      </c>
      <c r="AI44" s="4"/>
      <c r="AJ44" s="190">
        <f t="shared" si="16"/>
        <v>3.0241950081838165</v>
      </c>
      <c r="AK44" s="4"/>
      <c r="AL44" s="189">
        <f t="shared" si="7"/>
        <v>9219.8150696728389</v>
      </c>
      <c r="AM44" s="4"/>
      <c r="AN44" s="190">
        <f>INDEX('(2.2)_Forward_Price_Curve'!$I:$I,MATCH($AB44,'(2.2)_Forward_Price_Curve'!$C:$C,0),1)</f>
        <v>10.679539654517416</v>
      </c>
      <c r="AO44" s="4"/>
      <c r="AP44" s="190">
        <f t="shared" si="8"/>
        <v>77.597762931174486</v>
      </c>
      <c r="AQ44" s="4"/>
      <c r="AR44" s="190">
        <f t="shared" si="17"/>
        <v>3.1304112749010224</v>
      </c>
      <c r="AS44" s="190"/>
      <c r="AT44" s="189">
        <f t="shared" si="3"/>
        <v>4144.0591537624159</v>
      </c>
      <c r="AU44" s="4"/>
      <c r="AV44" s="189">
        <f t="shared" si="4"/>
        <v>31736.631224026794</v>
      </c>
      <c r="AW44" s="337"/>
      <c r="AX44" s="191">
        <f t="shared" si="9"/>
        <v>35880.690377789208</v>
      </c>
      <c r="AZ44" s="182">
        <f>+IF(AZ43&gt;$G$13+$G$14,XX,AZ43+1)</f>
        <v>2023</v>
      </c>
      <c r="BA44" s="152"/>
      <c r="BB44" s="190">
        <f t="shared" si="18"/>
        <v>51.418218899602195</v>
      </c>
      <c r="BC44" s="4"/>
      <c r="BD44" s="190">
        <f t="shared" si="19"/>
        <v>7.8177903409657965</v>
      </c>
      <c r="BE44" s="4"/>
      <c r="BF44" s="189">
        <f t="shared" si="10"/>
        <v>5075.755915910423</v>
      </c>
      <c r="BG44" s="4"/>
      <c r="BH44" s="193"/>
    </row>
    <row r="45" spans="2:60" ht="12">
      <c r="B45" s="3"/>
      <c r="C45" s="7">
        <f>+IF(C44&gt;$G$13+$G$14,XX,C44+1)</f>
        <v>2024</v>
      </c>
      <c r="D45" s="7"/>
      <c r="E45" s="330">
        <v>1.9E-2</v>
      </c>
      <c r="F45" s="7"/>
      <c r="G45" s="23">
        <v>394331.98409973102</v>
      </c>
      <c r="H45" s="7"/>
      <c r="I45" s="39">
        <f t="shared" si="11"/>
        <v>247.30236897627267</v>
      </c>
      <c r="J45" s="7"/>
      <c r="K45" s="39">
        <f t="shared" si="12"/>
        <v>23.012590107248986</v>
      </c>
      <c r="L45" s="7"/>
      <c r="M45" s="39">
        <f t="shared" si="13"/>
        <v>0</v>
      </c>
      <c r="N45" s="7"/>
      <c r="O45" s="333">
        <v>6.9476763922816716</v>
      </c>
      <c r="P45" s="7"/>
      <c r="Q45" s="39">
        <v>0</v>
      </c>
      <c r="R45" s="7"/>
      <c r="S45" s="23">
        <f t="shared" si="5"/>
        <v>46535.543937185306</v>
      </c>
      <c r="T45" s="7"/>
      <c r="U45" s="23">
        <f t="shared" si="0"/>
        <v>36668.304863747391</v>
      </c>
      <c r="V45" s="7"/>
      <c r="W45" s="23">
        <f t="shared" si="1"/>
        <v>9867.2390734379151</v>
      </c>
      <c r="X45" s="7"/>
      <c r="Y45" s="334">
        <f t="shared" si="6"/>
        <v>25.022669910900195</v>
      </c>
      <c r="Z45" s="290"/>
      <c r="AB45" s="182">
        <f>+IF(AB44&gt;$G$13+$G$14,XX,AB44+1)</f>
        <v>2024</v>
      </c>
      <c r="AC45" s="152"/>
      <c r="AD45" s="187">
        <f t="shared" si="2"/>
        <v>394331.98409973102</v>
      </c>
      <c r="AE45" s="4"/>
      <c r="AF45" s="190">
        <f t="shared" si="14"/>
        <v>77.758002953694344</v>
      </c>
      <c r="AG45" s="4"/>
      <c r="AH45" s="190">
        <f t="shared" si="15"/>
        <v>10.962625206119821</v>
      </c>
      <c r="AI45" s="4"/>
      <c r="AJ45" s="190">
        <f t="shared" si="16"/>
        <v>3.0816547133393088</v>
      </c>
      <c r="AK45" s="4"/>
      <c r="AL45" s="189">
        <f t="shared" si="7"/>
        <v>9398.6970264430438</v>
      </c>
      <c r="AM45" s="4"/>
      <c r="AN45" s="190">
        <f>INDEX('(2.2)_Forward_Price_Curve'!$I:$I,MATCH($AB45,'(2.2)_Forward_Price_Curve'!$C:$C,0),1)</f>
        <v>10.883589278444866</v>
      </c>
      <c r="AO45" s="4"/>
      <c r="AP45" s="190">
        <f t="shared" si="8"/>
        <v>79.080391851141073</v>
      </c>
      <c r="AQ45" s="4"/>
      <c r="AR45" s="190">
        <f t="shared" si="17"/>
        <v>3.1898890891241414</v>
      </c>
      <c r="AS45" s="190"/>
      <c r="AT45" s="189">
        <f t="shared" si="3"/>
        <v>4226.5017481303239</v>
      </c>
      <c r="AU45" s="4"/>
      <c r="AV45" s="189">
        <f t="shared" si="4"/>
        <v>32441.803115617065</v>
      </c>
      <c r="AW45" s="337"/>
      <c r="AX45" s="191">
        <f t="shared" si="9"/>
        <v>36668.304863747391</v>
      </c>
      <c r="AZ45" s="182">
        <f>+IF(AZ44&gt;$G$13+$G$14,XX,AZ44+1)</f>
        <v>2024</v>
      </c>
      <c r="BA45" s="152"/>
      <c r="BB45" s="190">
        <f t="shared" si="18"/>
        <v>52.39516505869463</v>
      </c>
      <c r="BC45" s="4"/>
      <c r="BD45" s="190">
        <f t="shared" si="19"/>
        <v>7.9663283574441461</v>
      </c>
      <c r="BE45" s="4"/>
      <c r="BF45" s="189">
        <f t="shared" si="10"/>
        <v>5172.1952783127199</v>
      </c>
      <c r="BG45" s="4"/>
      <c r="BH45" s="193"/>
    </row>
    <row r="46" spans="2:60" ht="12">
      <c r="B46" s="3"/>
      <c r="C46" s="7">
        <f>+IF(C45&gt;$G$13+$G$14,XX,C45+1)</f>
        <v>2025</v>
      </c>
      <c r="D46" s="7"/>
      <c r="E46" s="330">
        <v>1.9E-2</v>
      </c>
      <c r="F46" s="7"/>
      <c r="G46" s="23">
        <v>393129.55527784419</v>
      </c>
      <c r="H46" s="7"/>
      <c r="I46" s="39">
        <f t="shared" si="11"/>
        <v>252.00111398682182</v>
      </c>
      <c r="J46" s="7"/>
      <c r="K46" s="39">
        <f t="shared" si="12"/>
        <v>23.449829319286714</v>
      </c>
      <c r="L46" s="7"/>
      <c r="M46" s="39">
        <f t="shared" si="13"/>
        <v>0</v>
      </c>
      <c r="N46" s="7"/>
      <c r="O46" s="333">
        <v>7.0796822437350224</v>
      </c>
      <c r="P46" s="7"/>
      <c r="Q46" s="39">
        <v>0</v>
      </c>
      <c r="R46" s="7"/>
      <c r="S46" s="23">
        <f t="shared" si="5"/>
        <v>47383.009707370329</v>
      </c>
      <c r="T46" s="7"/>
      <c r="U46" s="23">
        <f t="shared" si="0"/>
        <v>37259.705047878575</v>
      </c>
      <c r="V46" s="7"/>
      <c r="W46" s="23">
        <f t="shared" si="1"/>
        <v>10123.304659491754</v>
      </c>
      <c r="X46" s="7"/>
      <c r="Y46" s="334">
        <f t="shared" si="6"/>
        <v>25.750556078993128</v>
      </c>
      <c r="Z46" s="290"/>
      <c r="AB46" s="182">
        <f>+IF(AB45&gt;$G$13+$G$14,XX,AB45+1)</f>
        <v>2025</v>
      </c>
      <c r="AC46" s="152"/>
      <c r="AD46" s="187">
        <f t="shared" si="2"/>
        <v>393129.55527784419</v>
      </c>
      <c r="AE46" s="4"/>
      <c r="AF46" s="190">
        <f t="shared" si="14"/>
        <v>79.235405009814528</v>
      </c>
      <c r="AG46" s="4"/>
      <c r="AH46" s="190">
        <f t="shared" si="15"/>
        <v>11.170915085036096</v>
      </c>
      <c r="AI46" s="4"/>
      <c r="AJ46" s="190">
        <f t="shared" si="16"/>
        <v>3.1402061528927554</v>
      </c>
      <c r="AK46" s="4"/>
      <c r="AL46" s="189">
        <f t="shared" si="7"/>
        <v>9573.4963955605563</v>
      </c>
      <c r="AM46" s="4"/>
      <c r="AN46" s="190">
        <f>INDEX('(2.2)_Forward_Price_Curve'!$I:$I,MATCH($AB46,'(2.2)_Forward_Price_Curve'!$C:$C,0),1)</f>
        <v>11.090126110825569</v>
      </c>
      <c r="AO46" s="4"/>
      <c r="AP46" s="190">
        <f t="shared" si="8"/>
        <v>80.581092880782762</v>
      </c>
      <c r="AQ46" s="4"/>
      <c r="AR46" s="190">
        <f t="shared" si="17"/>
        <v>3.2504969818174998</v>
      </c>
      <c r="AS46" s="190"/>
      <c r="AT46" s="189">
        <f t="shared" si="3"/>
        <v>4303.0294069598958</v>
      </c>
      <c r="AU46" s="4"/>
      <c r="AV46" s="189">
        <f t="shared" si="4"/>
        <v>32956.675640918678</v>
      </c>
      <c r="AW46" s="337"/>
      <c r="AX46" s="191">
        <f t="shared" si="9"/>
        <v>37259.705047878575</v>
      </c>
      <c r="AZ46" s="182">
        <f>+IF(AZ45&gt;$G$13+$G$14,XX,AZ45+1)</f>
        <v>2025</v>
      </c>
      <c r="BA46" s="152"/>
      <c r="BB46" s="190">
        <f t="shared" si="18"/>
        <v>53.390673194809821</v>
      </c>
      <c r="BC46" s="4"/>
      <c r="BD46" s="190">
        <f t="shared" si="19"/>
        <v>8.1176885962355847</v>
      </c>
      <c r="BE46" s="4"/>
      <c r="BF46" s="189">
        <f t="shared" si="10"/>
        <v>5270.4669886006604</v>
      </c>
      <c r="BG46" s="4"/>
      <c r="BH46" s="193"/>
    </row>
    <row r="47" spans="2:60" ht="12">
      <c r="B47" s="3"/>
      <c r="C47" s="7">
        <f>+IF(C46&gt;$G$13+$G$14,XX,C46+1)</f>
        <v>2026</v>
      </c>
      <c r="D47" s="7"/>
      <c r="E47" s="330">
        <v>1.9E-2</v>
      </c>
      <c r="F47" s="7"/>
      <c r="G47" s="23">
        <v>393129.55527784419</v>
      </c>
      <c r="H47" s="7"/>
      <c r="I47" s="39">
        <f t="shared" si="11"/>
        <v>256.78913515257142</v>
      </c>
      <c r="J47" s="7"/>
      <c r="K47" s="39">
        <f t="shared" si="12"/>
        <v>23.895376076353159</v>
      </c>
      <c r="L47" s="7"/>
      <c r="M47" s="39">
        <f t="shared" si="13"/>
        <v>0</v>
      </c>
      <c r="N47" s="7"/>
      <c r="O47" s="333">
        <v>7.2141962063659868</v>
      </c>
      <c r="P47" s="7"/>
      <c r="Q47" s="39">
        <v>0</v>
      </c>
      <c r="R47" s="7"/>
      <c r="S47" s="23">
        <f t="shared" si="5"/>
        <v>48283.286891810356</v>
      </c>
      <c r="T47" s="7"/>
      <c r="U47" s="23">
        <f t="shared" si="0"/>
        <v>37962.718790825849</v>
      </c>
      <c r="V47" s="7"/>
      <c r="W47" s="23">
        <f t="shared" si="1"/>
        <v>10320.568100984507</v>
      </c>
      <c r="X47" s="7"/>
      <c r="Y47" s="334">
        <f t="shared" si="6"/>
        <v>26.252333263751812</v>
      </c>
      <c r="Z47" s="290"/>
      <c r="AB47" s="182">
        <f>+IF(AB46&gt;$G$13+$G$14,XX,AB46+1)</f>
        <v>2026</v>
      </c>
      <c r="AC47" s="152"/>
      <c r="AD47" s="187">
        <f t="shared" si="2"/>
        <v>393129.55527784419</v>
      </c>
      <c r="AE47" s="4"/>
      <c r="AF47" s="190">
        <f t="shared" si="14"/>
        <v>80.740877705000997</v>
      </c>
      <c r="AG47" s="4"/>
      <c r="AH47" s="190">
        <f t="shared" si="15"/>
        <v>11.383162471651781</v>
      </c>
      <c r="AI47" s="4"/>
      <c r="AJ47" s="190">
        <f t="shared" si="16"/>
        <v>3.1998700697977176</v>
      </c>
      <c r="AK47" s="4"/>
      <c r="AL47" s="189">
        <f t="shared" si="7"/>
        <v>9755.3928270762081</v>
      </c>
      <c r="AM47" s="4"/>
      <c r="AN47" s="190">
        <f>INDEX('(2.2)_Forward_Price_Curve'!$I:$I,MATCH($AB47,'(2.2)_Forward_Price_Curve'!$C:$C,0),1)</f>
        <v>11.299115883408938</v>
      </c>
      <c r="AO47" s="4"/>
      <c r="AP47" s="190">
        <f t="shared" si="8"/>
        <v>82.099617026259821</v>
      </c>
      <c r="AQ47" s="4"/>
      <c r="AR47" s="190">
        <f t="shared" si="17"/>
        <v>3.3122564244720318</v>
      </c>
      <c r="AS47" s="190"/>
      <c r="AT47" s="189">
        <f t="shared" si="3"/>
        <v>4384.7869656921357</v>
      </c>
      <c r="AU47" s="4"/>
      <c r="AV47" s="189">
        <f t="shared" si="4"/>
        <v>33577.931825133717</v>
      </c>
      <c r="AW47" s="337"/>
      <c r="AX47" s="191">
        <f t="shared" si="9"/>
        <v>37962.718790825849</v>
      </c>
      <c r="AZ47" s="182">
        <f>+IF(AZ46&gt;$G$13+$G$14,XX,AZ46+1)</f>
        <v>2026</v>
      </c>
      <c r="BA47" s="152"/>
      <c r="BB47" s="190">
        <f t="shared" si="18"/>
        <v>54.405095985511203</v>
      </c>
      <c r="BC47" s="4"/>
      <c r="BD47" s="190">
        <f t="shared" si="19"/>
        <v>8.2719246795640604</v>
      </c>
      <c r="BE47" s="4"/>
      <c r="BF47" s="189">
        <f t="shared" si="10"/>
        <v>5370.6058613840723</v>
      </c>
      <c r="BG47" s="4"/>
      <c r="BH47" s="193"/>
    </row>
    <row r="48" spans="2:60" ht="12">
      <c r="B48" s="3"/>
      <c r="C48" s="7">
        <f>+IF(C47&gt;$G$13+$G$14,XX,C47+1)</f>
        <v>2027</v>
      </c>
      <c r="D48" s="7"/>
      <c r="E48" s="330">
        <v>1.9E-2</v>
      </c>
      <c r="F48" s="7"/>
      <c r="G48" s="23">
        <f>G47</f>
        <v>393129.55527784419</v>
      </c>
      <c r="H48" s="7"/>
      <c r="I48" s="39">
        <f t="shared" si="11"/>
        <v>261.66812872047024</v>
      </c>
      <c r="J48" s="7"/>
      <c r="K48" s="39">
        <f t="shared" si="12"/>
        <v>24.349388221803867</v>
      </c>
      <c r="L48" s="7"/>
      <c r="M48" s="39">
        <f t="shared" si="13"/>
        <v>0</v>
      </c>
      <c r="N48" s="7"/>
      <c r="O48" s="333">
        <v>7.35126593428694</v>
      </c>
      <c r="P48" s="7"/>
      <c r="Q48" s="39">
        <v>0</v>
      </c>
      <c r="R48" s="7"/>
      <c r="S48" s="23">
        <f t="shared" si="5"/>
        <v>49200.669342754751</v>
      </c>
      <c r="T48" s="7"/>
      <c r="U48" s="23">
        <f t="shared" si="0"/>
        <v>38680.646934661439</v>
      </c>
      <c r="V48" s="7"/>
      <c r="W48" s="23">
        <f t="shared" si="1"/>
        <v>10520.022408093311</v>
      </c>
      <c r="X48" s="7"/>
      <c r="Y48" s="334">
        <f t="shared" si="6"/>
        <v>26.759683333038364</v>
      </c>
      <c r="Z48" s="290"/>
      <c r="AB48" s="182">
        <f>+IF(AB47&gt;$G$13+$G$14,XX,AB47+1)</f>
        <v>2027</v>
      </c>
      <c r="AC48" s="152"/>
      <c r="AD48" s="187">
        <f t="shared" si="2"/>
        <v>393129.55527784419</v>
      </c>
      <c r="AE48" s="4"/>
      <c r="AF48" s="190">
        <f t="shared" si="14"/>
        <v>82.274954381396014</v>
      </c>
      <c r="AG48" s="4"/>
      <c r="AH48" s="190">
        <f t="shared" si="15"/>
        <v>11.599442558613164</v>
      </c>
      <c r="AI48" s="4"/>
      <c r="AJ48" s="190">
        <f t="shared" si="16"/>
        <v>3.260667601123874</v>
      </c>
      <c r="AK48" s="4"/>
      <c r="AL48" s="189">
        <f t="shared" si="7"/>
        <v>9940.7452907906536</v>
      </c>
      <c r="AM48" s="4"/>
      <c r="AN48" s="190">
        <f>INDEX('(2.2)_Forward_Price_Curve'!$I:$I,MATCH($AB48,'(2.2)_Forward_Price_Curve'!$C:$C,0),1)</f>
        <v>11.51262158558478</v>
      </c>
      <c r="AO48" s="4"/>
      <c r="AP48" s="190">
        <f t="shared" si="8"/>
        <v>83.650954012483467</v>
      </c>
      <c r="AQ48" s="4"/>
      <c r="AR48" s="190">
        <f t="shared" si="17"/>
        <v>3.3751892965370001</v>
      </c>
      <c r="AS48" s="190"/>
      <c r="AT48" s="189">
        <f t="shared" si="3"/>
        <v>4468.0979180402837</v>
      </c>
      <c r="AU48" s="4"/>
      <c r="AV48" s="189">
        <f t="shared" si="4"/>
        <v>34212.549016621153</v>
      </c>
      <c r="AW48" s="337"/>
      <c r="AX48" s="191">
        <f t="shared" si="9"/>
        <v>38680.646934661439</v>
      </c>
      <c r="AZ48" s="182">
        <f>+IF(AZ47&gt;$G$13+$G$14,XX,AZ47+1)</f>
        <v>2027</v>
      </c>
      <c r="BA48" s="152"/>
      <c r="BB48" s="190">
        <f t="shared" si="18"/>
        <v>55.438792809235913</v>
      </c>
      <c r="BC48" s="4"/>
      <c r="BD48" s="190">
        <f t="shared" si="19"/>
        <v>8.4290912484757765</v>
      </c>
      <c r="BE48" s="4"/>
      <c r="BF48" s="189">
        <f t="shared" si="10"/>
        <v>5472.6473727503699</v>
      </c>
      <c r="BG48" s="4"/>
      <c r="BH48" s="193"/>
    </row>
    <row r="49" spans="2:60" ht="12">
      <c r="B49" s="3"/>
      <c r="C49" s="7">
        <f>+IF(C48&gt;$G$13+$G$14,XX,C48+1)</f>
        <v>2028</v>
      </c>
      <c r="D49" s="7"/>
      <c r="E49" s="330">
        <v>1.9E-2</v>
      </c>
      <c r="F49" s="7"/>
      <c r="G49" s="23">
        <f>G45</f>
        <v>394331.98409973102</v>
      </c>
      <c r="H49" s="7"/>
      <c r="I49" s="39">
        <f t="shared" si="11"/>
        <v>266.63982316615915</v>
      </c>
      <c r="J49" s="7"/>
      <c r="K49" s="39">
        <f t="shared" si="12"/>
        <v>24.812026598018139</v>
      </c>
      <c r="L49" s="7"/>
      <c r="M49" s="39">
        <f t="shared" si="13"/>
        <v>0</v>
      </c>
      <c r="N49" s="7"/>
      <c r="O49" s="333">
        <v>7.4909399870383915</v>
      </c>
      <c r="P49" s="7"/>
      <c r="Q49" s="39">
        <v>0</v>
      </c>
      <c r="R49" s="7"/>
      <c r="S49" s="23">
        <f t="shared" si="5"/>
        <v>50174.324078321399</v>
      </c>
      <c r="T49" s="7"/>
      <c r="U49" s="23">
        <f t="shared" si="0"/>
        <v>39531.576058208229</v>
      </c>
      <c r="V49" s="7"/>
      <c r="W49" s="23">
        <f t="shared" si="1"/>
        <v>10642.748020113169</v>
      </c>
      <c r="X49" s="7"/>
      <c r="Y49" s="334">
        <f t="shared" si="6"/>
        <v>26.989309640735353</v>
      </c>
      <c r="Z49" s="290"/>
      <c r="AB49" s="182">
        <f>+IF(AB48&gt;$G$13+$G$14,XX,AB48+1)</f>
        <v>2028</v>
      </c>
      <c r="AC49" s="152"/>
      <c r="AD49" s="187">
        <f t="shared" si="2"/>
        <v>394331.98409973102</v>
      </c>
      <c r="AE49" s="4"/>
      <c r="AF49" s="190">
        <f t="shared" si="14"/>
        <v>83.838178514642536</v>
      </c>
      <c r="AG49" s="4"/>
      <c r="AH49" s="190">
        <f t="shared" si="15"/>
        <v>11.819831967226813</v>
      </c>
      <c r="AI49" s="4"/>
      <c r="AJ49" s="190">
        <f t="shared" si="16"/>
        <v>3.3226202855452271</v>
      </c>
      <c r="AK49" s="4"/>
      <c r="AL49" s="189">
        <f t="shared" si="7"/>
        <v>10133.6146657112</v>
      </c>
      <c r="AM49" s="4"/>
      <c r="AN49" s="190">
        <f>INDEX('(2.2)_Forward_Price_Curve'!$I:$I,MATCH($AB49,'(2.2)_Forward_Price_Curve'!$C:$C,0),1)</f>
        <v>11.7332358254813</v>
      </c>
      <c r="AO49" s="4"/>
      <c r="AP49" s="190">
        <f t="shared" si="8"/>
        <v>85.253941785415222</v>
      </c>
      <c r="AQ49" s="4"/>
      <c r="AR49" s="190">
        <f t="shared" si="17"/>
        <v>3.4393178931712027</v>
      </c>
      <c r="AS49" s="190"/>
      <c r="AT49" s="189">
        <f t="shared" si="3"/>
        <v>4556.9869928785738</v>
      </c>
      <c r="AU49" s="4"/>
      <c r="AV49" s="189">
        <f t="shared" si="4"/>
        <v>34974.589065329659</v>
      </c>
      <c r="AW49" s="337"/>
      <c r="AX49" s="191">
        <f t="shared" si="9"/>
        <v>39531.576058208229</v>
      </c>
      <c r="AZ49" s="182">
        <f>+IF(AZ48&gt;$G$13+$G$14,XX,AZ48+1)</f>
        <v>2028</v>
      </c>
      <c r="BA49" s="152"/>
      <c r="BB49" s="190">
        <f t="shared" si="18"/>
        <v>56.492129872611393</v>
      </c>
      <c r="BC49" s="4"/>
      <c r="BD49" s="190">
        <f t="shared" si="19"/>
        <v>8.5892439821968161</v>
      </c>
      <c r="BE49" s="4"/>
      <c r="BF49" s="189">
        <f t="shared" si="10"/>
        <v>5576.6276728326266</v>
      </c>
      <c r="BG49" s="4"/>
      <c r="BH49" s="193"/>
    </row>
    <row r="50" spans="2:60" ht="12">
      <c r="B50" s="3"/>
      <c r="C50" s="7">
        <f>+IF(C49&gt;$G$13+$G$14,XX,C49+1)</f>
        <v>2029</v>
      </c>
      <c r="D50" s="7"/>
      <c r="E50" s="330">
        <v>1.9E-2</v>
      </c>
      <c r="F50" s="7"/>
      <c r="G50" s="23">
        <f>G48</f>
        <v>393129.55527784419</v>
      </c>
      <c r="H50" s="7"/>
      <c r="I50" s="39">
        <f t="shared" si="11"/>
        <v>271.70597980631612</v>
      </c>
      <c r="J50" s="7"/>
      <c r="K50" s="39">
        <f t="shared" si="12"/>
        <v>25.283455103380483</v>
      </c>
      <c r="L50" s="7"/>
      <c r="M50" s="39">
        <f t="shared" si="13"/>
        <v>0</v>
      </c>
      <c r="N50" s="7"/>
      <c r="O50" s="333">
        <v>7.63326784679212</v>
      </c>
      <c r="P50" s="7"/>
      <c r="Q50" s="39">
        <v>0</v>
      </c>
      <c r="R50" s="7"/>
      <c r="S50" s="23">
        <f t="shared" si="5"/>
        <v>51088.056219412145</v>
      </c>
      <c r="T50" s="7"/>
      <c r="U50" s="23">
        <f t="shared" si="0"/>
        <v>40160.708739588881</v>
      </c>
      <c r="V50" s="7"/>
      <c r="W50" s="23">
        <f t="shared" si="1"/>
        <v>10927.347479823264</v>
      </c>
      <c r="X50" s="7"/>
      <c r="Y50" s="334">
        <f t="shared" si="6"/>
        <v>27.795792336448386</v>
      </c>
      <c r="Z50" s="290"/>
      <c r="AB50" s="182">
        <f>+IF(AB49&gt;$G$13+$G$14,XX,AB49+1)</f>
        <v>2029</v>
      </c>
      <c r="AC50" s="152"/>
      <c r="AD50" s="187">
        <f t="shared" si="2"/>
        <v>393129.55527784419</v>
      </c>
      <c r="AE50" s="4"/>
      <c r="AF50" s="190">
        <f t="shared" si="14"/>
        <v>85.431103906420731</v>
      </c>
      <c r="AG50" s="4"/>
      <c r="AH50" s="190">
        <f t="shared" si="15"/>
        <v>12.044408774604122</v>
      </c>
      <c r="AI50" s="4"/>
      <c r="AJ50" s="190">
        <f t="shared" si="16"/>
        <v>3.3857500709705861</v>
      </c>
      <c r="AK50" s="4"/>
      <c r="AL50" s="189">
        <f t="shared" si="7"/>
        <v>10322.08222089067</v>
      </c>
      <c r="AM50" s="4"/>
      <c r="AN50" s="190">
        <f>INDEX('(2.2)_Forward_Price_Curve'!$I:$I,MATCH($AB50,'(2.2)_Forward_Price_Curve'!$C:$C,0),1)</f>
        <v>11.952938687642925</v>
      </c>
      <c r="AO50" s="4"/>
      <c r="AP50" s="190">
        <f t="shared" si="8"/>
        <v>86.850307468284981</v>
      </c>
      <c r="AQ50" s="4"/>
      <c r="AR50" s="190">
        <f t="shared" si="17"/>
        <v>3.5046649331414552</v>
      </c>
      <c r="AS50" s="190"/>
      <c r="AT50" s="189">
        <f t="shared" si="3"/>
        <v>4639.4986222742245</v>
      </c>
      <c r="AU50" s="4"/>
      <c r="AV50" s="189">
        <f t="shared" si="4"/>
        <v>35521.210117314658</v>
      </c>
      <c r="AW50" s="337"/>
      <c r="AX50" s="191">
        <f t="shared" si="9"/>
        <v>40160.708739588881</v>
      </c>
      <c r="AZ50" s="182">
        <f>+IF(AZ49&gt;$G$13+$G$14,XX,AZ49+1)</f>
        <v>2029</v>
      </c>
      <c r="BA50" s="152"/>
      <c r="BB50" s="190">
        <f t="shared" si="18"/>
        <v>57.565480340191002</v>
      </c>
      <c r="BC50" s="4"/>
      <c r="BD50" s="190">
        <f t="shared" si="19"/>
        <v>8.7524396178585544</v>
      </c>
      <c r="BE50" s="4"/>
      <c r="BF50" s="189">
        <f t="shared" si="10"/>
        <v>5682.5835986164457</v>
      </c>
      <c r="BG50" s="4"/>
      <c r="BH50" s="193"/>
    </row>
    <row r="51" spans="2:60" ht="12">
      <c r="B51" s="3"/>
      <c r="C51" s="7">
        <f>+IF(C50&gt;$G$13+$G$14,XX,C50+1)</f>
        <v>2030</v>
      </c>
      <c r="D51" s="7"/>
      <c r="E51" s="330">
        <v>0.02</v>
      </c>
      <c r="F51" s="7"/>
      <c r="G51" s="23">
        <f>G50</f>
        <v>393129.55527784419</v>
      </c>
      <c r="H51" s="7"/>
      <c r="I51" s="39">
        <f t="shared" si="11"/>
        <v>277.14009940244244</v>
      </c>
      <c r="J51" s="7"/>
      <c r="K51" s="39">
        <f t="shared" si="12"/>
        <v>25.789124205448093</v>
      </c>
      <c r="L51" s="7"/>
      <c r="M51" s="39">
        <f t="shared" si="13"/>
        <v>0</v>
      </c>
      <c r="N51" s="7"/>
      <c r="O51" s="333">
        <v>7.7859332037279625</v>
      </c>
      <c r="P51" s="7"/>
      <c r="Q51" s="39">
        <v>0</v>
      </c>
      <c r="R51" s="7"/>
      <c r="S51" s="23">
        <f t="shared" si="5"/>
        <v>52109.817343800394</v>
      </c>
      <c r="T51" s="7"/>
      <c r="U51" s="23">
        <f t="shared" si="0"/>
        <v>40966.148084004555</v>
      </c>
      <c r="V51" s="7"/>
      <c r="W51" s="23">
        <f t="shared" si="1"/>
        <v>11143.669259795839</v>
      </c>
      <c r="X51" s="7"/>
      <c r="Y51" s="334">
        <f t="shared" si="6"/>
        <v>28.346048039863231</v>
      </c>
      <c r="Z51" s="290"/>
      <c r="AB51" s="182">
        <f>+IF(AB50&gt;$G$13+$G$14,XX,AB50+1)</f>
        <v>2030</v>
      </c>
      <c r="AC51" s="152"/>
      <c r="AD51" s="187">
        <f t="shared" si="2"/>
        <v>393129.55527784419</v>
      </c>
      <c r="AE51" s="4"/>
      <c r="AF51" s="190">
        <f t="shared" si="14"/>
        <v>87.139725984549145</v>
      </c>
      <c r="AG51" s="4"/>
      <c r="AH51" s="190">
        <f t="shared" si="15"/>
        <v>12.285296950096205</v>
      </c>
      <c r="AI51" s="4"/>
      <c r="AJ51" s="190">
        <f t="shared" si="16"/>
        <v>3.453465072389998</v>
      </c>
      <c r="AK51" s="4"/>
      <c r="AL51" s="189">
        <f t="shared" si="7"/>
        <v>10528.523865308485</v>
      </c>
      <c r="AM51" s="4"/>
      <c r="AN51" s="190">
        <f>INDEX('(2.2)_Forward_Price_Curve'!$I:$I,MATCH($AB51,'(2.2)_Forward_Price_Curve'!$C:$C,0),1)</f>
        <v>12.192776449380618</v>
      </c>
      <c r="AO51" s="4"/>
      <c r="AP51" s="190">
        <f t="shared" si="8"/>
        <v>88.592973760964796</v>
      </c>
      <c r="AQ51" s="4"/>
      <c r="AR51" s="190">
        <f t="shared" si="17"/>
        <v>3.5747582318042843</v>
      </c>
      <c r="AS51" s="190"/>
      <c r="AT51" s="189">
        <f t="shared" si="3"/>
        <v>4732.2885947197101</v>
      </c>
      <c r="AU51" s="4"/>
      <c r="AV51" s="189">
        <f t="shared" si="4"/>
        <v>36233.859489284841</v>
      </c>
      <c r="AW51" s="337"/>
      <c r="AX51" s="191">
        <f t="shared" si="9"/>
        <v>40966.148084004555</v>
      </c>
      <c r="AZ51" s="182">
        <f>+IF(AZ50&gt;$G$13+$G$14,XX,AZ50+1)</f>
        <v>2030</v>
      </c>
      <c r="BA51" s="152"/>
      <c r="BB51" s="190">
        <f t="shared" si="18"/>
        <v>58.716789946994822</v>
      </c>
      <c r="BC51" s="4"/>
      <c r="BD51" s="190">
        <f t="shared" si="19"/>
        <v>8.9274884102157248</v>
      </c>
      <c r="BE51" s="4"/>
      <c r="BF51" s="189">
        <f t="shared" si="10"/>
        <v>5796.2352705887752</v>
      </c>
      <c r="BG51" s="4"/>
      <c r="BH51" s="193"/>
    </row>
    <row r="52" spans="2:60" ht="12">
      <c r="B52" s="3"/>
      <c r="C52" s="7">
        <f>+IF(C51&gt;$G$13+$G$14,XX,C51+1)</f>
        <v>2031</v>
      </c>
      <c r="D52" s="7"/>
      <c r="E52" s="330">
        <v>0.02</v>
      </c>
      <c r="F52" s="7"/>
      <c r="G52" s="23">
        <f>G51</f>
        <v>393129.55527784419</v>
      </c>
      <c r="H52" s="7"/>
      <c r="I52" s="39">
        <f t="shared" si="11"/>
        <v>282.68290139049128</v>
      </c>
      <c r="J52" s="7"/>
      <c r="K52" s="39">
        <f t="shared" si="12"/>
        <v>26.304906689557054</v>
      </c>
      <c r="L52" s="7"/>
      <c r="M52" s="39">
        <f t="shared" si="13"/>
        <v>0</v>
      </c>
      <c r="N52" s="7"/>
      <c r="O52" s="333">
        <v>7.9416518678025216</v>
      </c>
      <c r="P52" s="7"/>
      <c r="Q52" s="39">
        <v>0</v>
      </c>
      <c r="R52" s="7"/>
      <c r="S52" s="23">
        <f t="shared" si="5"/>
        <v>53152.013690676409</v>
      </c>
      <c r="T52" s="7"/>
      <c r="U52" s="23">
        <f t="shared" si="0"/>
        <v>41778.888248667667</v>
      </c>
      <c r="V52" s="7"/>
      <c r="W52" s="23">
        <f t="shared" si="1"/>
        <v>11373.125442008743</v>
      </c>
      <c r="X52" s="7"/>
      <c r="Y52" s="334">
        <f t="shared" si="6"/>
        <v>28.929713600318831</v>
      </c>
      <c r="Z52" s="290"/>
      <c r="AB52" s="182">
        <f>+IF(AB51&gt;$G$13+$G$14,XX,AB51+1)</f>
        <v>2031</v>
      </c>
      <c r="AC52" s="152"/>
      <c r="AD52" s="187">
        <f t="shared" si="2"/>
        <v>393129.55527784419</v>
      </c>
      <c r="AE52" s="4"/>
      <c r="AF52" s="190">
        <f t="shared" si="14"/>
        <v>88.882520504240134</v>
      </c>
      <c r="AG52" s="4"/>
      <c r="AH52" s="190">
        <f t="shared" si="15"/>
        <v>12.531002889098129</v>
      </c>
      <c r="AI52" s="4"/>
      <c r="AJ52" s="190">
        <f t="shared" si="16"/>
        <v>3.5225343738377979</v>
      </c>
      <c r="AK52" s="4"/>
      <c r="AL52" s="189">
        <f t="shared" si="7"/>
        <v>10739.094342614657</v>
      </c>
      <c r="AM52" s="4"/>
      <c r="AN52" s="190">
        <f>INDEX('(2.2)_Forward_Price_Curve'!$I:$I,MATCH($AB52,'(2.2)_Forward_Price_Curve'!$C:$C,0),1)</f>
        <v>12.434327471004936</v>
      </c>
      <c r="AO52" s="4"/>
      <c r="AP52" s="190">
        <f t="shared" si="8"/>
        <v>90.348088636525773</v>
      </c>
      <c r="AQ52" s="4"/>
      <c r="AR52" s="190">
        <f t="shared" si="17"/>
        <v>3.6462533964403701</v>
      </c>
      <c r="AS52" s="190"/>
      <c r="AT52" s="189">
        <f t="shared" si="3"/>
        <v>4826.9343666141058</v>
      </c>
      <c r="AU52" s="4"/>
      <c r="AV52" s="189">
        <f t="shared" si="4"/>
        <v>36951.95388205356</v>
      </c>
      <c r="AW52" s="337"/>
      <c r="AX52" s="191">
        <f t="shared" si="9"/>
        <v>41778.888248667667</v>
      </c>
      <c r="AZ52" s="182">
        <f>+IF(AZ51&gt;$G$13+$G$14,XX,AZ51+1)</f>
        <v>2031</v>
      </c>
      <c r="BA52" s="152"/>
      <c r="BB52" s="190">
        <f t="shared" si="18"/>
        <v>59.891125745934723</v>
      </c>
      <c r="BC52" s="4"/>
      <c r="BD52" s="190">
        <f t="shared" si="19"/>
        <v>9.1060381784200395</v>
      </c>
      <c r="BE52" s="4"/>
      <c r="BF52" s="189">
        <f>(BB52+BD52)*$BD$11</f>
        <v>5912.1599760005511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7.13%</v>
      </c>
      <c r="E54" s="210"/>
      <c r="F54" s="4"/>
      <c r="G54" s="23">
        <f>+-PMT($G$18,$G$14,NPV($G$18,G28:G52))</f>
        <v>393434.95185324195</v>
      </c>
      <c r="H54" s="7"/>
      <c r="I54" s="39">
        <f>+-PMT($G$18,$G$14,NPV($G$18,I28:I52))</f>
        <v>213.80014464982895</v>
      </c>
      <c r="J54" s="39"/>
      <c r="K54" s="39">
        <f>+-PMT($G$18,$G$14,NPV($G$18,K28:K52))</f>
        <v>19.895058482715587</v>
      </c>
      <c r="L54" s="7"/>
      <c r="M54" s="39">
        <f>+-PMT($G$18,$G$14,NPV($G$18,M28:M52))</f>
        <v>0</v>
      </c>
      <c r="N54" s="7"/>
      <c r="O54" s="39">
        <f>+-PMT($G$18,$G$14,NPV($G$18,O28:O52))</f>
        <v>6.006469828004521</v>
      </c>
      <c r="P54" s="7"/>
      <c r="Q54" s="39">
        <f>+-PMT($G$18,$G$14,NPV($G$18,Q28:Q52))</f>
        <v>-20.916729359522765</v>
      </c>
      <c r="R54" s="7"/>
      <c r="S54" s="23">
        <f>+-PMT($G$18,$G$14,NPV($G$18,S28:S52))</f>
        <v>31977.637511687299</v>
      </c>
      <c r="T54" s="7"/>
      <c r="U54" s="23">
        <f>+-PMT($G$18,$G$14,NPV($G$18,U28:U52))</f>
        <v>29431.93571696318</v>
      </c>
      <c r="V54" s="4"/>
      <c r="W54" s="23">
        <f>+-PMT($G$18,$G$14,NPV($G$18,W28:W52))</f>
        <v>2545.7017947241116</v>
      </c>
      <c r="X54" s="4"/>
      <c r="Y54" s="334">
        <f>+W54/G54*1000</f>
        <v>6.4704515517312311</v>
      </c>
      <c r="Z54" s="290"/>
      <c r="AB54" s="3"/>
      <c r="AC54" s="4"/>
      <c r="AD54" s="187">
        <f>+-PMT($G$18,$G$14,NPV($G$18,AD28:AD52))</f>
        <v>393434.95185324195</v>
      </c>
      <c r="AE54" s="4"/>
      <c r="AF54" s="190">
        <f>+-PMT($G$18,$G$14,NPV($G$18,AF28:AF52))</f>
        <v>67.224072086332185</v>
      </c>
      <c r="AG54" s="4"/>
      <c r="AH54" s="190">
        <f>+-PMT($G$18,$G$14,NPV($G$18,AH28:AH52))</f>
        <v>9.4775107271016612</v>
      </c>
      <c r="AI54" s="4"/>
      <c r="AJ54" s="190">
        <f>+-PMT($G$18,$G$14,NPV($G$18,AJ28:AJ52))</f>
        <v>2.6641808010176602</v>
      </c>
      <c r="AK54" s="4"/>
      <c r="AL54" s="189">
        <f>+-PMT($G$18,$G$14,NPV($G$18,AL28:AL52))</f>
        <v>8123.0487697253111</v>
      </c>
      <c r="AM54" s="4"/>
      <c r="AN54" s="190">
        <f>+-PMT($G$18,$G$14,NPV($G$18,AN28:AN52))</f>
        <v>8.6387552521536524</v>
      </c>
      <c r="AO54" s="4"/>
      <c r="AP54" s="190">
        <f>+-PMT($G$18,$G$14,NPV($G$18,AP28:AP52))</f>
        <v>62.769379932355257</v>
      </c>
      <c r="AQ54" s="4"/>
      <c r="AR54" s="190">
        <f>+-PMT($G$18,$G$14,NPV($G$18,AR28:AR52))</f>
        <v>2.7577525904617857</v>
      </c>
      <c r="AS54" s="190"/>
      <c r="AT54" s="189">
        <f>+-PMT($G$18,$G$14,NPV($G$18,AT28:AT52))</f>
        <v>3651.5343914440459</v>
      </c>
      <c r="AU54" s="4"/>
      <c r="AV54" s="189">
        <f>+-PMT($G$18,$G$14,NPV($G$18,AV28:AV52))</f>
        <v>25780.401325519142</v>
      </c>
      <c r="AW54" s="337"/>
      <c r="AX54" s="191">
        <f>+-PMT($G$18,$G$14,NPV($G$18,AX28:AX52))</f>
        <v>29431.93571696318</v>
      </c>
      <c r="AZ54" s="3"/>
      <c r="BA54" s="4"/>
      <c r="BB54" s="190">
        <f>+-PMT($G$18,$G$14,NPV($G$18,BB28:BB52))</f>
        <v>45.2971555220943</v>
      </c>
      <c r="BC54" s="4"/>
      <c r="BD54" s="190">
        <f>+-PMT($G$18,$G$14,NPV($G$18,BD28:BD52))</f>
        <v>6.8871243013163621</v>
      </c>
      <c r="BE54" s="4"/>
      <c r="BF54" s="189">
        <f>+-PMT($G$18,$G$14,NPV($G$18,BF28:BF52))</f>
        <v>4471.5143782812629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80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">
        <v>160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156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19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70.2</v>
      </c>
      <c r="H11" s="313"/>
      <c r="AB11" s="157" t="s">
        <v>111</v>
      </c>
      <c r="AC11" s="158"/>
      <c r="AD11" s="158"/>
      <c r="AE11" s="158"/>
      <c r="AF11" s="169">
        <f>+G11*(G12/AJ16)</f>
        <v>43.932659859016866</v>
      </c>
      <c r="AG11" s="162"/>
      <c r="AH11" s="158" t="s">
        <v>112</v>
      </c>
      <c r="AI11" s="159"/>
      <c r="AJ11" s="164">
        <v>7.9126910299003335</v>
      </c>
      <c r="AK11" s="290"/>
      <c r="AZ11" s="157" t="s">
        <v>111</v>
      </c>
      <c r="BA11" s="158"/>
      <c r="BB11" s="158"/>
      <c r="BC11" s="158"/>
      <c r="BD11" s="169">
        <f>(AF11*AF13-G11*G19)</f>
        <v>40.656659859016862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0.30471886820463195</v>
      </c>
      <c r="H12" s="313"/>
      <c r="AB12" s="157" t="s">
        <v>40</v>
      </c>
      <c r="AC12" s="158"/>
      <c r="AD12" s="158"/>
      <c r="AE12" s="158"/>
      <c r="AF12" s="166">
        <f>+AD54/8760/AF11</f>
        <v>0.48697979881209996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2008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150</v>
      </c>
      <c r="B15" s="310"/>
      <c r="C15" s="311" t="s">
        <v>119</v>
      </c>
      <c r="D15" s="311"/>
      <c r="E15" s="311"/>
      <c r="F15" s="311"/>
      <c r="G15" s="316">
        <v>180.81600157565364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150</v>
      </c>
      <c r="B16" s="310"/>
      <c r="C16" s="311" t="s">
        <v>121</v>
      </c>
      <c r="D16" s="311"/>
      <c r="E16" s="311"/>
      <c r="F16" s="311"/>
      <c r="G16" s="316">
        <v>19.612798811178333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150</v>
      </c>
      <c r="B17" s="310"/>
      <c r="C17" s="311" t="s">
        <v>123</v>
      </c>
      <c r="D17" s="311"/>
      <c r="E17" s="311"/>
      <c r="F17" s="311"/>
      <c r="G17" s="316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7.3164524549999999E-2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00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2008</v>
      </c>
      <c r="D28" s="7"/>
      <c r="E28" s="330">
        <v>1.7000000000000001E-2</v>
      </c>
      <c r="F28" s="7"/>
      <c r="G28" s="23">
        <f>G32</f>
        <v>187887.18509575512</v>
      </c>
      <c r="H28" s="7"/>
      <c r="I28" s="331">
        <f>$G$15</f>
        <v>180.81600157565364</v>
      </c>
      <c r="J28" s="331"/>
      <c r="K28" s="331">
        <f>$G$16</f>
        <v>19.612798811178333</v>
      </c>
      <c r="L28" s="332"/>
      <c r="M28" s="331">
        <f>$G$17</f>
        <v>0</v>
      </c>
      <c r="N28" s="7"/>
      <c r="O28" s="333">
        <v>5.1866999999999992</v>
      </c>
      <c r="P28" s="7"/>
      <c r="Q28" s="39">
        <v>-31.863781128122483</v>
      </c>
      <c r="R28" s="7"/>
      <c r="S28" s="23">
        <f>(I28*$G$11*1000+(K28+M28+O28+Q28)*G28)/1000</f>
        <v>11365.99519135853</v>
      </c>
      <c r="T28" s="7"/>
      <c r="U28" s="23">
        <f t="shared" ref="U28:U52" si="0">AX28</f>
        <v>12842.821109082755</v>
      </c>
      <c r="V28" s="7"/>
      <c r="W28" s="23">
        <f t="shared" ref="W28:W52" si="1">S28-U28</f>
        <v>-1476.8259177242253</v>
      </c>
      <c r="X28" s="7"/>
      <c r="Y28" s="334">
        <f>+W28*1000/G28</f>
        <v>-7.8601737365513955</v>
      </c>
      <c r="Z28" s="290"/>
      <c r="AB28" s="182">
        <f>$C$28</f>
        <v>2008</v>
      </c>
      <c r="AC28" s="152"/>
      <c r="AD28" s="187">
        <f t="shared" ref="AD28:AD52" si="2">G28</f>
        <v>187887.18509575512</v>
      </c>
      <c r="AE28" s="4"/>
      <c r="AF28" s="188">
        <v>58.163412158772744</v>
      </c>
      <c r="AG28" s="335"/>
      <c r="AH28" s="188">
        <v>8.2001037061794015</v>
      </c>
      <c r="AI28" s="335"/>
      <c r="AJ28" s="188">
        <v>2.3050946065283835</v>
      </c>
      <c r="AK28" s="336"/>
      <c r="AL28" s="189">
        <f>((AF28+AH28)*$AF$11*1000+AJ28*AD28)/1000</f>
        <v>3348.6235065434375</v>
      </c>
      <c r="AM28" s="4"/>
      <c r="AN28" s="190">
        <f>INDEX('(2.2)_Forward_Price_Curve'!$I:$I,MATCH($AB28,'(2.2)_Forward_Price_Curve'!$C:$C,0),1)</f>
        <v>7.9707205782722266</v>
      </c>
      <c r="AO28" s="348"/>
      <c r="AP28" s="190">
        <f>AN28*$AF$14/1000</f>
        <v>57.915425742323464</v>
      </c>
      <c r="AQ28" s="335"/>
      <c r="AR28" s="188">
        <v>2.3860545125109165</v>
      </c>
      <c r="AS28" s="188"/>
      <c r="AT28" s="189">
        <f t="shared" ref="AT28:AT52" si="3">AL28-BF28</f>
        <v>1512.9457268946667</v>
      </c>
      <c r="AU28" s="336"/>
      <c r="AV28" s="189">
        <f t="shared" ref="AV28:AV52" si="4">(AP28+AR28)*AD28/1000</f>
        <v>11329.875382188089</v>
      </c>
      <c r="AW28" s="337"/>
      <c r="AX28" s="191">
        <f>AT28+AV28</f>
        <v>12842.821109082755</v>
      </c>
      <c r="AZ28" s="182">
        <f>$C$28</f>
        <v>2008</v>
      </c>
      <c r="BA28" s="152"/>
      <c r="BB28" s="188">
        <v>39.191870478599988</v>
      </c>
      <c r="BC28" s="4"/>
      <c r="BD28" s="188">
        <v>5.9588572499999986</v>
      </c>
      <c r="BE28" s="335"/>
      <c r="BF28" s="189">
        <f>(BB28+BD28)*$BD$11</f>
        <v>1835.6777796487709</v>
      </c>
      <c r="BG28" s="335"/>
      <c r="BH28" s="192"/>
    </row>
    <row r="29" spans="1:60" ht="12">
      <c r="B29" s="3"/>
      <c r="C29" s="7">
        <f>+IF(C28&gt;$G$13+$G$14,XX,C28+1)</f>
        <v>2009</v>
      </c>
      <c r="D29" s="7"/>
      <c r="E29" s="330">
        <v>1.7000000000000001E-2</v>
      </c>
      <c r="F29" s="7"/>
      <c r="G29" s="23">
        <v>187222.92451008921</v>
      </c>
      <c r="H29" s="7"/>
      <c r="I29" s="39">
        <f>I28*(1+$E29)</f>
        <v>183.88987360243974</v>
      </c>
      <c r="J29" s="7"/>
      <c r="K29" s="39">
        <f>K28*(1+$E29)</f>
        <v>19.946216390968363</v>
      </c>
      <c r="L29" s="7"/>
      <c r="M29" s="39">
        <f>M28*(1+$E29)</f>
        <v>0</v>
      </c>
      <c r="N29" s="7"/>
      <c r="O29" s="333">
        <v>5.2748738999999985</v>
      </c>
      <c r="P29" s="7"/>
      <c r="Q29" s="39">
        <v>-32.504243128797739</v>
      </c>
      <c r="R29" s="7"/>
      <c r="S29" s="23">
        <f t="shared" ref="S29:S52" si="5">(I29*$G$11*1000+(K29+M29+O29+Q29)*G29)/1000</f>
        <v>11545.4959529389</v>
      </c>
      <c r="T29" s="7"/>
      <c r="U29" s="23">
        <f t="shared" si="0"/>
        <v>12569.396723682576</v>
      </c>
      <c r="V29" s="7"/>
      <c r="W29" s="23">
        <f t="shared" si="1"/>
        <v>-1023.9007707436758</v>
      </c>
      <c r="X29" s="7"/>
      <c r="Y29" s="334">
        <f t="shared" ref="Y29:Y52" si="6">+W29*1000/G29</f>
        <v>-5.468885679587272</v>
      </c>
      <c r="Z29" s="290"/>
      <c r="AB29" s="182">
        <f>+IF(AB28&gt;$G$13+$G$14,XX,AB28+1)</f>
        <v>2009</v>
      </c>
      <c r="AC29" s="152"/>
      <c r="AD29" s="187">
        <f t="shared" si="2"/>
        <v>187222.92451008921</v>
      </c>
      <c r="AE29" s="4"/>
      <c r="AF29" s="190">
        <f>AF28*(1+$E29)</f>
        <v>59.152190165471872</v>
      </c>
      <c r="AG29" s="4"/>
      <c r="AH29" s="190">
        <f>AH28*(1+$E29)</f>
        <v>8.3395054691844503</v>
      </c>
      <c r="AI29" s="4"/>
      <c r="AJ29" s="190">
        <f>AJ28*(1+$E29)</f>
        <v>2.3442812148393659</v>
      </c>
      <c r="AK29" s="4"/>
      <c r="AL29" s="189">
        <f t="shared" ref="AL29:AL52" si="7">((AF29+AH29)*$AF$11*1000+AJ29*AD29)/1000</f>
        <v>3403.9928925419408</v>
      </c>
      <c r="AM29" s="4"/>
      <c r="AN29" s="190">
        <f>INDEX('(2.2)_Forward_Price_Curve'!$I:$I,MATCH($AB29,'(2.2)_Forward_Price_Curve'!$C:$C,0),1)</f>
        <v>7.7758276535043622</v>
      </c>
      <c r="AO29" s="4"/>
      <c r="AP29" s="190">
        <f t="shared" ref="AP29:AP52" si="8">AN29*$AF$14/1000</f>
        <v>56.499329593768707</v>
      </c>
      <c r="AQ29" s="4"/>
      <c r="AR29" s="190">
        <f>AR28*(1+$E29)</f>
        <v>2.4266174392236017</v>
      </c>
      <c r="AS29" s="190"/>
      <c r="AT29" s="189">
        <f t="shared" si="3"/>
        <v>1537.1085906391413</v>
      </c>
      <c r="AU29" s="4"/>
      <c r="AV29" s="189">
        <f t="shared" si="4"/>
        <v>11032.288133043434</v>
      </c>
      <c r="AW29" s="337"/>
      <c r="AX29" s="191">
        <f t="shared" ref="AX29:AX52" si="9">AT29+AV29</f>
        <v>12569.396723682576</v>
      </c>
      <c r="AZ29" s="182">
        <f>+IF(AZ28&gt;$G$13+$G$14,XX,AZ28+1)</f>
        <v>2009</v>
      </c>
      <c r="BA29" s="152"/>
      <c r="BB29" s="190">
        <f>BB28*(1+$E29)</f>
        <v>39.858132276736185</v>
      </c>
      <c r="BC29" s="4"/>
      <c r="BD29" s="190">
        <f>BD28*(1+$E29)</f>
        <v>6.0601578232499982</v>
      </c>
      <c r="BE29" s="4"/>
      <c r="BF29" s="189">
        <f t="shared" ref="BF29:BF51" si="10">(BB29+BD29)*$BD$11</f>
        <v>1866.8843019027995</v>
      </c>
      <c r="BG29" s="4"/>
      <c r="BH29" s="193"/>
    </row>
    <row r="30" spans="1:60" ht="12">
      <c r="B30" s="3"/>
      <c r="C30" s="7">
        <f>+IF(C29&gt;$G$13+$G$14,XX,C29+1)</f>
        <v>2010</v>
      </c>
      <c r="D30" s="7"/>
      <c r="E30" s="330">
        <v>1.9E-2</v>
      </c>
      <c r="F30" s="7"/>
      <c r="G30" s="23">
        <v>187222.92451008921</v>
      </c>
      <c r="H30" s="7"/>
      <c r="I30" s="39">
        <f t="shared" ref="I30:I52" si="11">I29*(1+$E30)</f>
        <v>187.38378120088606</v>
      </c>
      <c r="J30" s="7"/>
      <c r="K30" s="39">
        <f t="shared" ref="K30:K52" si="12">K29*(1+$E30)</f>
        <v>20.325194502396759</v>
      </c>
      <c r="L30" s="7"/>
      <c r="M30" s="39">
        <f t="shared" ref="M30:M52" si="13">M29*(1+$E30)</f>
        <v>0</v>
      </c>
      <c r="N30" s="7"/>
      <c r="O30" s="333">
        <v>5.3750965040999983</v>
      </c>
      <c r="P30" s="7"/>
      <c r="Q30" s="39">
        <v>-33.157578415686572</v>
      </c>
      <c r="R30" s="7"/>
      <c r="S30" s="23">
        <f t="shared" si="5"/>
        <v>11758.166282641418</v>
      </c>
      <c r="T30" s="7"/>
      <c r="U30" s="23">
        <f t="shared" si="0"/>
        <v>12201.325314965939</v>
      </c>
      <c r="V30" s="7"/>
      <c r="W30" s="23">
        <f t="shared" si="1"/>
        <v>-443.15903232452183</v>
      </c>
      <c r="X30" s="7"/>
      <c r="Y30" s="334">
        <f t="shared" si="6"/>
        <v>-2.3670126587550473</v>
      </c>
      <c r="Z30" s="290"/>
      <c r="AB30" s="182">
        <f>+IF(AB29&gt;$G$13+$G$14,XX,AB29+1)</f>
        <v>2010</v>
      </c>
      <c r="AC30" s="152"/>
      <c r="AD30" s="187">
        <f t="shared" si="2"/>
        <v>187222.92451008921</v>
      </c>
      <c r="AE30" s="4"/>
      <c r="AF30" s="190">
        <f t="shared" ref="AF30:AF52" si="14">AF29*(1+$E30)</f>
        <v>60.276081778615833</v>
      </c>
      <c r="AG30" s="4"/>
      <c r="AH30" s="190">
        <f t="shared" ref="AH30:AH52" si="15">AH29*(1+$E30)</f>
        <v>8.4979560730989547</v>
      </c>
      <c r="AI30" s="4"/>
      <c r="AJ30" s="190">
        <f t="shared" ref="AJ30:AJ52" si="16">AJ29*(1+$E30)</f>
        <v>2.3888225579213138</v>
      </c>
      <c r="AK30" s="4"/>
      <c r="AL30" s="189">
        <f t="shared" si="7"/>
        <v>3468.668757500237</v>
      </c>
      <c r="AM30" s="4"/>
      <c r="AN30" s="190">
        <f>INDEX('(2.2)_Forward_Price_Curve'!$I:$I,MATCH($AB30,'(2.2)_Forward_Price_Curve'!$C:$C,0),1)</f>
        <v>7.4774457529777205</v>
      </c>
      <c r="AO30" s="4"/>
      <c r="AP30" s="190">
        <f t="shared" si="8"/>
        <v>54.331280339864243</v>
      </c>
      <c r="AQ30" s="4"/>
      <c r="AR30" s="190">
        <f t="shared" ref="AR30:AR52" si="17">AR29*(1+$E30)</f>
        <v>2.4727231705688499</v>
      </c>
      <c r="AS30" s="190"/>
      <c r="AT30" s="189">
        <f t="shared" si="3"/>
        <v>1566.3136538612844</v>
      </c>
      <c r="AU30" s="4"/>
      <c r="AV30" s="189">
        <f t="shared" si="4"/>
        <v>10635.011661104656</v>
      </c>
      <c r="AW30" s="337"/>
      <c r="AX30" s="191">
        <f t="shared" si="9"/>
        <v>12201.325314965939</v>
      </c>
      <c r="AZ30" s="182">
        <f>+IF(AZ29&gt;$G$13+$G$14,XX,AZ29+1)</f>
        <v>2010</v>
      </c>
      <c r="BA30" s="152"/>
      <c r="BB30" s="190">
        <f t="shared" ref="BB30:BB52" si="18">BB29*(1+$E30)</f>
        <v>40.61543678999417</v>
      </c>
      <c r="BC30" s="4"/>
      <c r="BD30" s="190">
        <f t="shared" ref="BD30:BD52" si="19">BD29*(1+$E30)</f>
        <v>6.1753008218917476</v>
      </c>
      <c r="BE30" s="4"/>
      <c r="BF30" s="189">
        <f t="shared" si="10"/>
        <v>1902.3551036389526</v>
      </c>
      <c r="BG30" s="4"/>
      <c r="BH30" s="193"/>
    </row>
    <row r="31" spans="1:60" ht="12">
      <c r="B31" s="3"/>
      <c r="C31" s="7">
        <f>+IF(C30&gt;$G$13+$G$14,XX,C30+1)</f>
        <v>2011</v>
      </c>
      <c r="D31" s="7"/>
      <c r="E31" s="330">
        <v>1.9E-2</v>
      </c>
      <c r="F31" s="7"/>
      <c r="G31" s="23">
        <v>187222.92451008921</v>
      </c>
      <c r="H31" s="7"/>
      <c r="I31" s="39">
        <f t="shared" si="11"/>
        <v>190.94407304370287</v>
      </c>
      <c r="J31" s="7"/>
      <c r="K31" s="39">
        <f t="shared" si="12"/>
        <v>20.711373197942294</v>
      </c>
      <c r="L31" s="7"/>
      <c r="M31" s="39">
        <f t="shared" si="13"/>
        <v>0</v>
      </c>
      <c r="N31" s="7"/>
      <c r="O31" s="333">
        <v>5.4772233376778976</v>
      </c>
      <c r="P31" s="7"/>
      <c r="Q31" s="39">
        <v>-33.824045741841871</v>
      </c>
      <c r="R31" s="7"/>
      <c r="S31" s="23">
        <f t="shared" si="5"/>
        <v>11974.74279733088</v>
      </c>
      <c r="T31" s="7"/>
      <c r="U31" s="23">
        <f t="shared" si="0"/>
        <v>11702.125849940097</v>
      </c>
      <c r="V31" s="7"/>
      <c r="W31" s="23">
        <f t="shared" si="1"/>
        <v>272.61694739078303</v>
      </c>
      <c r="X31" s="7"/>
      <c r="Y31" s="334">
        <f t="shared" si="6"/>
        <v>1.4561087970618256</v>
      </c>
      <c r="Z31" s="290"/>
      <c r="AB31" s="182">
        <f>+IF(AB30&gt;$G$13+$G$14,XX,AB30+1)</f>
        <v>2011</v>
      </c>
      <c r="AC31" s="152"/>
      <c r="AD31" s="187">
        <f t="shared" si="2"/>
        <v>187222.92451008921</v>
      </c>
      <c r="AE31" s="4"/>
      <c r="AF31" s="190">
        <f t="shared" si="14"/>
        <v>61.421327332409525</v>
      </c>
      <c r="AG31" s="4"/>
      <c r="AH31" s="190">
        <f t="shared" si="15"/>
        <v>8.6594172384878334</v>
      </c>
      <c r="AI31" s="4"/>
      <c r="AJ31" s="190">
        <f t="shared" si="16"/>
        <v>2.4342101865218186</v>
      </c>
      <c r="AK31" s="4"/>
      <c r="AL31" s="189">
        <f t="shared" si="7"/>
        <v>3534.5734638927411</v>
      </c>
      <c r="AM31" s="4"/>
      <c r="AN31" s="190">
        <f>INDEX('(2.2)_Forward_Price_Curve'!$I:$I,MATCH($AB31,'(2.2)_Forward_Price_Curve'!$C:$C,0),1)</f>
        <v>7.0821436233211914</v>
      </c>
      <c r="AO31" s="4"/>
      <c r="AP31" s="190">
        <f t="shared" si="8"/>
        <v>51.459006633731178</v>
      </c>
      <c r="AQ31" s="4"/>
      <c r="AR31" s="190">
        <f t="shared" si="17"/>
        <v>2.5197049108096579</v>
      </c>
      <c r="AS31" s="190"/>
      <c r="AT31" s="189">
        <f t="shared" si="3"/>
        <v>1596.0736132846487</v>
      </c>
      <c r="AU31" s="4"/>
      <c r="AV31" s="189">
        <f t="shared" si="4"/>
        <v>10106.052236655449</v>
      </c>
      <c r="AW31" s="337"/>
      <c r="AX31" s="191">
        <f t="shared" si="9"/>
        <v>11702.125849940097</v>
      </c>
      <c r="AZ31" s="182">
        <f>+IF(AZ30&gt;$G$13+$G$14,XX,AZ30+1)</f>
        <v>2011</v>
      </c>
      <c r="BA31" s="152"/>
      <c r="BB31" s="190">
        <f t="shared" si="18"/>
        <v>41.387130089004053</v>
      </c>
      <c r="BC31" s="4"/>
      <c r="BD31" s="190">
        <f t="shared" si="19"/>
        <v>6.29263153750769</v>
      </c>
      <c r="BE31" s="4"/>
      <c r="BF31" s="189">
        <f t="shared" si="10"/>
        <v>1938.4998506080924</v>
      </c>
      <c r="BG31" s="4"/>
      <c r="BH31" s="193"/>
    </row>
    <row r="32" spans="1:60" ht="12">
      <c r="B32" s="3"/>
      <c r="C32" s="7">
        <f>+IF(C31&gt;$G$13+$G$14,XX,C31+1)</f>
        <v>2012</v>
      </c>
      <c r="D32" s="7"/>
      <c r="E32" s="330">
        <v>0.02</v>
      </c>
      <c r="F32" s="7"/>
      <c r="G32" s="23">
        <v>187887.18509575512</v>
      </c>
      <c r="H32" s="7"/>
      <c r="I32" s="39">
        <f t="shared" si="11"/>
        <v>194.76295450457692</v>
      </c>
      <c r="J32" s="7"/>
      <c r="K32" s="39">
        <f t="shared" si="12"/>
        <v>21.125600661901139</v>
      </c>
      <c r="L32" s="7"/>
      <c r="M32" s="39">
        <f t="shared" si="13"/>
        <v>0</v>
      </c>
      <c r="N32" s="7"/>
      <c r="O32" s="333">
        <v>5.5867678044314557</v>
      </c>
      <c r="P32" s="7"/>
      <c r="Q32" s="39">
        <v>-34.503909061252898</v>
      </c>
      <c r="R32" s="7"/>
      <c r="S32" s="23">
        <f t="shared" si="5"/>
        <v>12208.428776282422</v>
      </c>
      <c r="T32" s="7"/>
      <c r="U32" s="23">
        <f t="shared" si="0"/>
        <v>11262.693310492226</v>
      </c>
      <c r="V32" s="7"/>
      <c r="W32" s="23">
        <f t="shared" si="1"/>
        <v>945.73546579019603</v>
      </c>
      <c r="X32" s="7"/>
      <c r="Y32" s="334">
        <f t="shared" si="6"/>
        <v>5.0335283127915824</v>
      </c>
      <c r="Z32" s="290"/>
      <c r="AB32" s="182">
        <f>+IF(AB31&gt;$G$13+$G$14,XX,AB31+1)</f>
        <v>2012</v>
      </c>
      <c r="AC32" s="152"/>
      <c r="AD32" s="187">
        <f t="shared" si="2"/>
        <v>187887.18509575512</v>
      </c>
      <c r="AE32" s="4"/>
      <c r="AF32" s="190">
        <f t="shared" si="14"/>
        <v>62.64975387905772</v>
      </c>
      <c r="AG32" s="4"/>
      <c r="AH32" s="190">
        <f t="shared" si="15"/>
        <v>8.8326055832575907</v>
      </c>
      <c r="AI32" s="4"/>
      <c r="AJ32" s="190">
        <f t="shared" si="16"/>
        <v>2.4828943902522549</v>
      </c>
      <c r="AK32" s="4"/>
      <c r="AL32" s="189">
        <f t="shared" si="7"/>
        <v>3606.9142220524118</v>
      </c>
      <c r="AM32" s="4"/>
      <c r="AN32" s="190">
        <f>INDEX('(2.2)_Forward_Price_Curve'!$I:$I,MATCH($AB32,'(2.2)_Forward_Price_Curve'!$C:$C,0),1)</f>
        <v>6.7024699037828679</v>
      </c>
      <c r="AO32" s="4"/>
      <c r="AP32" s="190">
        <f t="shared" si="8"/>
        <v>48.700289288881038</v>
      </c>
      <c r="AQ32" s="4"/>
      <c r="AR32" s="190">
        <f t="shared" si="17"/>
        <v>2.5700990090258511</v>
      </c>
      <c r="AS32" s="190"/>
      <c r="AT32" s="189">
        <f t="shared" si="3"/>
        <v>1629.6443744321575</v>
      </c>
      <c r="AU32" s="4"/>
      <c r="AV32" s="189">
        <f t="shared" si="4"/>
        <v>9633.0489360600695</v>
      </c>
      <c r="AW32" s="337"/>
      <c r="AX32" s="191">
        <f t="shared" si="9"/>
        <v>11262.693310492226</v>
      </c>
      <c r="AZ32" s="182">
        <f>+IF(AZ31&gt;$G$13+$G$14,XX,AZ31+1)</f>
        <v>2012</v>
      </c>
      <c r="BA32" s="152"/>
      <c r="BB32" s="190">
        <f t="shared" si="18"/>
        <v>42.214872690784134</v>
      </c>
      <c r="BC32" s="4"/>
      <c r="BD32" s="190">
        <f t="shared" si="19"/>
        <v>6.4184841682578435</v>
      </c>
      <c r="BE32" s="4"/>
      <c r="BF32" s="189">
        <f t="shared" si="10"/>
        <v>1977.2698476202543</v>
      </c>
      <c r="BG32" s="4"/>
      <c r="BH32" s="193"/>
    </row>
    <row r="33" spans="2:60" ht="12">
      <c r="B33" s="3"/>
      <c r="C33" s="7">
        <f>+IF(C32&gt;$G$13+$G$14,XX,C32+1)</f>
        <v>2013</v>
      </c>
      <c r="D33" s="7"/>
      <c r="E33" s="330">
        <v>1.9E-2</v>
      </c>
      <c r="F33" s="7"/>
      <c r="G33" s="23">
        <v>187222.92451008921</v>
      </c>
      <c r="H33" s="7"/>
      <c r="I33" s="39">
        <f t="shared" si="11"/>
        <v>198.46345064016387</v>
      </c>
      <c r="J33" s="7"/>
      <c r="K33" s="39">
        <f t="shared" si="12"/>
        <v>21.526987074477258</v>
      </c>
      <c r="L33" s="7"/>
      <c r="M33" s="39">
        <f t="shared" si="13"/>
        <v>0</v>
      </c>
      <c r="N33" s="7"/>
      <c r="O33" s="333">
        <v>5.6929163927156532</v>
      </c>
      <c r="P33" s="7"/>
      <c r="Q33" s="39">
        <v>-35.197437633384084</v>
      </c>
      <c r="R33" s="7"/>
      <c r="S33" s="23">
        <f t="shared" si="5"/>
        <v>12438.556957966037</v>
      </c>
      <c r="T33" s="7"/>
      <c r="U33" s="23">
        <f t="shared" si="0"/>
        <v>11263.014358077171</v>
      </c>
      <c r="V33" s="7"/>
      <c r="W33" s="23">
        <f t="shared" si="1"/>
        <v>1175.5425998888659</v>
      </c>
      <c r="X33" s="7"/>
      <c r="Y33" s="334">
        <f t="shared" si="6"/>
        <v>6.2788389988295332</v>
      </c>
      <c r="Z33" s="290"/>
      <c r="AB33" s="182">
        <f>+IF(AB32&gt;$G$13+$G$14,XX,AB32+1)</f>
        <v>2013</v>
      </c>
      <c r="AC33" s="152"/>
      <c r="AD33" s="187">
        <f t="shared" si="2"/>
        <v>187222.92451008921</v>
      </c>
      <c r="AE33" s="4"/>
      <c r="AF33" s="190">
        <f t="shared" si="14"/>
        <v>63.840099202759809</v>
      </c>
      <c r="AG33" s="4"/>
      <c r="AH33" s="190">
        <f t="shared" si="15"/>
        <v>9.0004250893394833</v>
      </c>
      <c r="AI33" s="4"/>
      <c r="AJ33" s="190">
        <f t="shared" si="16"/>
        <v>2.5300693836670476</v>
      </c>
      <c r="AK33" s="4"/>
      <c r="AL33" s="189">
        <f t="shared" si="7"/>
        <v>3673.764966900837</v>
      </c>
      <c r="AM33" s="4"/>
      <c r="AN33" s="190">
        <f>INDEX('(2.2)_Forward_Price_Curve'!$I:$I,MATCH($AB33,'(2.2)_Forward_Price_Curve'!$C:$C,0),1)</f>
        <v>6.6994948806584134</v>
      </c>
      <c r="AO33" s="4"/>
      <c r="AP33" s="190">
        <f t="shared" si="8"/>
        <v>48.678672707399592</v>
      </c>
      <c r="AQ33" s="4"/>
      <c r="AR33" s="190">
        <f t="shared" si="17"/>
        <v>2.6189308901973418</v>
      </c>
      <c r="AS33" s="190"/>
      <c r="AT33" s="189">
        <f t="shared" si="3"/>
        <v>1658.926992175798</v>
      </c>
      <c r="AU33" s="4"/>
      <c r="AV33" s="189">
        <f t="shared" si="4"/>
        <v>9604.0873659013723</v>
      </c>
      <c r="AW33" s="337"/>
      <c r="AX33" s="191">
        <f t="shared" si="9"/>
        <v>11263.014358077171</v>
      </c>
      <c r="AZ33" s="182">
        <f>+IF(AZ32&gt;$G$13+$G$14,XX,AZ32+1)</f>
        <v>2013</v>
      </c>
      <c r="BA33" s="152"/>
      <c r="BB33" s="190">
        <f t="shared" si="18"/>
        <v>43.016955271909026</v>
      </c>
      <c r="BC33" s="4"/>
      <c r="BD33" s="190">
        <f t="shared" si="19"/>
        <v>6.5404353674547417</v>
      </c>
      <c r="BE33" s="4"/>
      <c r="BF33" s="189">
        <f t="shared" si="10"/>
        <v>2014.837974725039</v>
      </c>
      <c r="BG33" s="4"/>
      <c r="BH33" s="193"/>
    </row>
    <row r="34" spans="2:60" ht="12">
      <c r="B34" s="3"/>
      <c r="C34" s="7">
        <f>+IF(C33&gt;$G$13+$G$14,XX,C33+1)</f>
        <v>2014</v>
      </c>
      <c r="D34" s="7"/>
      <c r="E34" s="330">
        <v>1.7999999999999999E-2</v>
      </c>
      <c r="F34" s="7"/>
      <c r="G34" s="23">
        <v>187222.92451008921</v>
      </c>
      <c r="H34" s="7"/>
      <c r="I34" s="39">
        <f t="shared" si="11"/>
        <v>202.03579275168681</v>
      </c>
      <c r="J34" s="7"/>
      <c r="K34" s="39">
        <f t="shared" si="12"/>
        <v>21.914472841817851</v>
      </c>
      <c r="L34" s="7"/>
      <c r="M34" s="39">
        <f t="shared" si="13"/>
        <v>0</v>
      </c>
      <c r="N34" s="7"/>
      <c r="O34" s="333">
        <v>5.7953888877845348</v>
      </c>
      <c r="P34" s="7"/>
      <c r="Q34" s="39">
        <v>-35.904906129815103</v>
      </c>
      <c r="R34" s="7"/>
      <c r="S34" s="23">
        <f t="shared" si="5"/>
        <v>12648.612472070559</v>
      </c>
      <c r="T34" s="7"/>
      <c r="U34" s="23">
        <f t="shared" si="0"/>
        <v>11593.517968066521</v>
      </c>
      <c r="V34" s="7"/>
      <c r="W34" s="23">
        <f t="shared" si="1"/>
        <v>1055.0945040040388</v>
      </c>
      <c r="X34" s="7"/>
      <c r="Y34" s="334">
        <f t="shared" si="6"/>
        <v>5.635498466680458</v>
      </c>
      <c r="Z34" s="290"/>
      <c r="AB34" s="182">
        <f>+IF(AB33&gt;$G$13+$G$14,XX,AB33+1)</f>
        <v>2014</v>
      </c>
      <c r="AC34" s="152"/>
      <c r="AD34" s="187">
        <f t="shared" si="2"/>
        <v>187222.92451008921</v>
      </c>
      <c r="AE34" s="4"/>
      <c r="AF34" s="190">
        <f t="shared" si="14"/>
        <v>64.989220988409485</v>
      </c>
      <c r="AG34" s="4"/>
      <c r="AH34" s="190">
        <f t="shared" si="15"/>
        <v>9.1624327409475939</v>
      </c>
      <c r="AI34" s="4"/>
      <c r="AJ34" s="190">
        <f t="shared" si="16"/>
        <v>2.5756106325730546</v>
      </c>
      <c r="AK34" s="4"/>
      <c r="AL34" s="189">
        <f t="shared" si="7"/>
        <v>3739.892736305052</v>
      </c>
      <c r="AM34" s="4"/>
      <c r="AN34" s="190">
        <f>INDEX('(2.2)_Forward_Price_Curve'!$I:$I,MATCH($AB34,'(2.2)_Forward_Price_Curve'!$C:$C,0),1)</f>
        <v>6.9140085811973453</v>
      </c>
      <c r="AO34" s="4"/>
      <c r="AP34" s="190">
        <f t="shared" si="8"/>
        <v>50.2373338312307</v>
      </c>
      <c r="AQ34" s="4"/>
      <c r="AR34" s="190">
        <f t="shared" si="17"/>
        <v>2.6660716462208942</v>
      </c>
      <c r="AS34" s="190"/>
      <c r="AT34" s="189">
        <f t="shared" si="3"/>
        <v>1688.7876780349625</v>
      </c>
      <c r="AU34" s="4"/>
      <c r="AV34" s="189">
        <f t="shared" si="4"/>
        <v>9904.730290031559</v>
      </c>
      <c r="AW34" s="337"/>
      <c r="AX34" s="191">
        <f t="shared" si="9"/>
        <v>11593.517968066521</v>
      </c>
      <c r="AZ34" s="182">
        <f>+IF(AZ33&gt;$G$13+$G$14,XX,AZ33+1)</f>
        <v>2014</v>
      </c>
      <c r="BA34" s="152"/>
      <c r="BB34" s="190">
        <f t="shared" si="18"/>
        <v>43.791260466803386</v>
      </c>
      <c r="BC34" s="4"/>
      <c r="BD34" s="190">
        <f t="shared" si="19"/>
        <v>6.6581632040689271</v>
      </c>
      <c r="BE34" s="4"/>
      <c r="BF34" s="189">
        <f t="shared" si="10"/>
        <v>2051.1050582700896</v>
      </c>
      <c r="BG34" s="4"/>
      <c r="BH34" s="193"/>
    </row>
    <row r="35" spans="2:60" ht="12">
      <c r="B35" s="3"/>
      <c r="C35" s="7">
        <f>+IF(C34&gt;$G$13+$G$14,XX,C34+1)</f>
        <v>2015</v>
      </c>
      <c r="D35" s="7"/>
      <c r="E35" s="330">
        <v>1.7999999999999999E-2</v>
      </c>
      <c r="F35" s="7"/>
      <c r="G35" s="23">
        <v>187222.92451008921</v>
      </c>
      <c r="H35" s="7"/>
      <c r="I35" s="39">
        <f t="shared" si="11"/>
        <v>205.67243702121718</v>
      </c>
      <c r="J35" s="7"/>
      <c r="K35" s="39">
        <f t="shared" si="12"/>
        <v>22.308933352970573</v>
      </c>
      <c r="L35" s="7"/>
      <c r="M35" s="39">
        <f t="shared" si="13"/>
        <v>0</v>
      </c>
      <c r="N35" s="7"/>
      <c r="O35" s="333">
        <v>5.8997058877646564</v>
      </c>
      <c r="P35" s="7"/>
      <c r="Q35" s="39">
        <v>-36.626594743024391</v>
      </c>
      <c r="R35" s="7"/>
      <c r="S35" s="23">
        <f t="shared" si="5"/>
        <v>12862.170831355073</v>
      </c>
      <c r="T35" s="7"/>
      <c r="U35" s="23">
        <f t="shared" si="0"/>
        <v>12180.301964137931</v>
      </c>
      <c r="V35" s="7"/>
      <c r="W35" s="23">
        <f t="shared" si="1"/>
        <v>681.86886721714291</v>
      </c>
      <c r="X35" s="7"/>
      <c r="Y35" s="334">
        <f t="shared" si="6"/>
        <v>3.6420158962979872</v>
      </c>
      <c r="Z35" s="290"/>
      <c r="AB35" s="182">
        <f>+IF(AB34&gt;$G$13+$G$14,XX,AB34+1)</f>
        <v>2015</v>
      </c>
      <c r="AC35" s="152"/>
      <c r="AD35" s="187">
        <f t="shared" si="2"/>
        <v>187222.92451008921</v>
      </c>
      <c r="AE35" s="4"/>
      <c r="AF35" s="190">
        <f t="shared" si="14"/>
        <v>66.159026966200855</v>
      </c>
      <c r="AG35" s="4"/>
      <c r="AH35" s="190">
        <f t="shared" si="15"/>
        <v>9.3273565302846499</v>
      </c>
      <c r="AI35" s="4"/>
      <c r="AJ35" s="190">
        <f t="shared" si="16"/>
        <v>2.6219716239593698</v>
      </c>
      <c r="AK35" s="4"/>
      <c r="AL35" s="189">
        <f t="shared" si="7"/>
        <v>3807.2108055585427</v>
      </c>
      <c r="AM35" s="4"/>
      <c r="AN35" s="190">
        <f>INDEX('(2.2)_Forward_Price_Curve'!$I:$I,MATCH($AB35,'(2.2)_Forward_Price_Curve'!$C:$C,0),1)</f>
        <v>7.3164011858738007</v>
      </c>
      <c r="AO35" s="4"/>
      <c r="AP35" s="190">
        <f t="shared" si="8"/>
        <v>53.161127080102943</v>
      </c>
      <c r="AQ35" s="4"/>
      <c r="AR35" s="190">
        <f t="shared" si="17"/>
        <v>2.7140609358528702</v>
      </c>
      <c r="AS35" s="190"/>
      <c r="AT35" s="189">
        <f t="shared" si="3"/>
        <v>1719.1858562395914</v>
      </c>
      <c r="AU35" s="4"/>
      <c r="AV35" s="189">
        <f t="shared" si="4"/>
        <v>10461.116107898339</v>
      </c>
      <c r="AW35" s="337"/>
      <c r="AX35" s="191">
        <f t="shared" si="9"/>
        <v>12180.301964137931</v>
      </c>
      <c r="AZ35" s="182">
        <f>+IF(AZ34&gt;$G$13+$G$14,XX,AZ34+1)</f>
        <v>2015</v>
      </c>
      <c r="BA35" s="152"/>
      <c r="BB35" s="190">
        <f t="shared" si="18"/>
        <v>44.579503155205849</v>
      </c>
      <c r="BC35" s="4"/>
      <c r="BD35" s="190">
        <f t="shared" si="19"/>
        <v>6.7780101417421683</v>
      </c>
      <c r="BE35" s="4"/>
      <c r="BF35" s="189">
        <f t="shared" si="10"/>
        <v>2088.0249493189513</v>
      </c>
      <c r="BG35" s="4"/>
      <c r="BH35" s="193"/>
    </row>
    <row r="36" spans="2:60" ht="12">
      <c r="B36" s="3"/>
      <c r="C36" s="7">
        <f>+IF(C35&gt;$G$13+$G$14,XX,C35+1)</f>
        <v>2016</v>
      </c>
      <c r="D36" s="7"/>
      <c r="E36" s="330">
        <v>1.7999999999999999E-2</v>
      </c>
      <c r="F36" s="7"/>
      <c r="G36" s="23">
        <v>187887.18509575512</v>
      </c>
      <c r="H36" s="7"/>
      <c r="I36" s="39">
        <f t="shared" si="11"/>
        <v>209.3745408875991</v>
      </c>
      <c r="J36" s="7"/>
      <c r="K36" s="39">
        <f t="shared" si="12"/>
        <v>22.710494153324046</v>
      </c>
      <c r="L36" s="7"/>
      <c r="M36" s="39">
        <f t="shared" si="13"/>
        <v>0</v>
      </c>
      <c r="N36" s="7"/>
      <c r="O36" s="333">
        <v>6.0059005937444203</v>
      </c>
      <c r="P36" s="7"/>
      <c r="Q36" s="39">
        <v>-37.362789297359178</v>
      </c>
      <c r="R36" s="7"/>
      <c r="S36" s="23">
        <f t="shared" si="5"/>
        <v>13073.546037028058</v>
      </c>
      <c r="T36" s="7"/>
      <c r="U36" s="23">
        <f t="shared" si="0"/>
        <v>13084.958144522447</v>
      </c>
      <c r="V36" s="7"/>
      <c r="W36" s="23">
        <f t="shared" si="1"/>
        <v>-11.412107494388692</v>
      </c>
      <c r="X36" s="7"/>
      <c r="Y36" s="334">
        <f t="shared" si="6"/>
        <v>-6.0739147742154997E-2</v>
      </c>
      <c r="Z36" s="290"/>
      <c r="AB36" s="182">
        <f>+IF(AB35&gt;$G$13+$G$14,XX,AB35+1)</f>
        <v>2016</v>
      </c>
      <c r="AC36" s="152"/>
      <c r="AD36" s="187">
        <f t="shared" si="2"/>
        <v>187887.18509575512</v>
      </c>
      <c r="AE36" s="4"/>
      <c r="AF36" s="190">
        <f t="shared" si="14"/>
        <v>67.349889451592475</v>
      </c>
      <c r="AG36" s="4"/>
      <c r="AH36" s="190">
        <f t="shared" si="15"/>
        <v>9.4952489478297739</v>
      </c>
      <c r="AI36" s="4"/>
      <c r="AJ36" s="190">
        <f t="shared" si="16"/>
        <v>2.6691671131906385</v>
      </c>
      <c r="AK36" s="4"/>
      <c r="AL36" s="189">
        <f t="shared" si="7"/>
        <v>3877.5136225684455</v>
      </c>
      <c r="AM36" s="4"/>
      <c r="AN36" s="190">
        <f>INDEX('(2.2)_Forward_Price_Curve'!$I:$I,MATCH($AB36,'(2.2)_Forward_Price_Curve'!$C:$C,0),1)</f>
        <v>7.9211828417083421</v>
      </c>
      <c r="AO36" s="4"/>
      <c r="AP36" s="190">
        <f t="shared" si="8"/>
        <v>57.555483491778489</v>
      </c>
      <c r="AQ36" s="4"/>
      <c r="AR36" s="190">
        <f t="shared" si="17"/>
        <v>2.7629140326982218</v>
      </c>
      <c r="AS36" s="190"/>
      <c r="AT36" s="189">
        <f t="shared" si="3"/>
        <v>1751.9042241617531</v>
      </c>
      <c r="AU36" s="4"/>
      <c r="AV36" s="189">
        <f t="shared" si="4"/>
        <v>11333.053920360693</v>
      </c>
      <c r="AW36" s="337"/>
      <c r="AX36" s="191">
        <f t="shared" si="9"/>
        <v>13084.958144522447</v>
      </c>
      <c r="AZ36" s="182">
        <f>+IF(AZ35&gt;$G$13+$G$14,XX,AZ35+1)</f>
        <v>2016</v>
      </c>
      <c r="BA36" s="152"/>
      <c r="BB36" s="190">
        <f t="shared" si="18"/>
        <v>45.381934211999557</v>
      </c>
      <c r="BC36" s="4"/>
      <c r="BD36" s="190">
        <f t="shared" si="19"/>
        <v>6.9000143242935277</v>
      </c>
      <c r="BE36" s="4"/>
      <c r="BF36" s="189">
        <f t="shared" si="10"/>
        <v>2125.6093984066924</v>
      </c>
      <c r="BG36" s="4"/>
      <c r="BH36" s="193"/>
    </row>
    <row r="37" spans="2:60" ht="12">
      <c r="B37" s="3"/>
      <c r="C37" s="7">
        <f>+IF(C36&gt;$G$13+$G$14,XX,C36+1)</f>
        <v>2017</v>
      </c>
      <c r="D37" s="7"/>
      <c r="E37" s="330">
        <v>1.7999999999999999E-2</v>
      </c>
      <c r="F37" s="7"/>
      <c r="G37" s="23">
        <v>187222.92451008921</v>
      </c>
      <c r="H37" s="7"/>
      <c r="I37" s="39">
        <f t="shared" si="11"/>
        <v>213.14328262357589</v>
      </c>
      <c r="J37" s="7"/>
      <c r="K37" s="39">
        <f t="shared" si="12"/>
        <v>23.119283048083879</v>
      </c>
      <c r="L37" s="7"/>
      <c r="M37" s="39">
        <f t="shared" si="13"/>
        <v>0</v>
      </c>
      <c r="N37" s="7"/>
      <c r="O37" s="333">
        <v>6.1140068044318197</v>
      </c>
      <c r="P37" s="7"/>
      <c r="Q37" s="39">
        <v>-38.113781362236097</v>
      </c>
      <c r="R37" s="7"/>
      <c r="S37" s="23">
        <f t="shared" si="5"/>
        <v>13300.026848638157</v>
      </c>
      <c r="T37" s="7"/>
      <c r="U37" s="23">
        <f t="shared" si="0"/>
        <v>13934.937758620019</v>
      </c>
      <c r="V37" s="7"/>
      <c r="W37" s="23">
        <f t="shared" si="1"/>
        <v>-634.91090998186155</v>
      </c>
      <c r="X37" s="7"/>
      <c r="Y37" s="334">
        <f t="shared" si="6"/>
        <v>-3.3912028222144719</v>
      </c>
      <c r="Z37" s="290"/>
      <c r="AB37" s="182">
        <f>+IF(AB36&gt;$G$13+$G$14,XX,AB36+1)</f>
        <v>2017</v>
      </c>
      <c r="AC37" s="152"/>
      <c r="AD37" s="187">
        <f t="shared" si="2"/>
        <v>187222.92451008921</v>
      </c>
      <c r="AE37" s="4"/>
      <c r="AF37" s="190">
        <f t="shared" si="14"/>
        <v>68.562187461721138</v>
      </c>
      <c r="AG37" s="4"/>
      <c r="AH37" s="190">
        <f t="shared" si="15"/>
        <v>9.6661634288907106</v>
      </c>
      <c r="AI37" s="4"/>
      <c r="AJ37" s="190">
        <f t="shared" si="16"/>
        <v>2.7172121212280702</v>
      </c>
      <c r="AK37" s="4"/>
      <c r="AL37" s="189">
        <f t="shared" si="7"/>
        <v>3945.503930859652</v>
      </c>
      <c r="AM37" s="4"/>
      <c r="AN37" s="190">
        <f>INDEX('(2.2)_Forward_Price_Curve'!$I:$I,MATCH($AB37,'(2.2)_Forward_Price_Curve'!$C:$C,0),1)</f>
        <v>8.5467545643478058</v>
      </c>
      <c r="AO37" s="4"/>
      <c r="AP37" s="190">
        <f t="shared" si="8"/>
        <v>62.100900972324112</v>
      </c>
      <c r="AQ37" s="4"/>
      <c r="AR37" s="190">
        <f t="shared" si="17"/>
        <v>2.8126464852867898</v>
      </c>
      <c r="AS37" s="190"/>
      <c r="AT37" s="189">
        <f t="shared" si="3"/>
        <v>1781.633563281639</v>
      </c>
      <c r="AU37" s="4"/>
      <c r="AV37" s="189">
        <f t="shared" si="4"/>
        <v>12153.30419533838</v>
      </c>
      <c r="AW37" s="337"/>
      <c r="AX37" s="191">
        <f t="shared" si="9"/>
        <v>13934.937758620019</v>
      </c>
      <c r="AZ37" s="182">
        <f>+IF(AZ36&gt;$G$13+$G$14,XX,AZ36+1)</f>
        <v>2017</v>
      </c>
      <c r="BA37" s="152"/>
      <c r="BB37" s="190">
        <f t="shared" si="18"/>
        <v>46.19880902781555</v>
      </c>
      <c r="BC37" s="4"/>
      <c r="BD37" s="190">
        <f t="shared" si="19"/>
        <v>7.0242145821308108</v>
      </c>
      <c r="BE37" s="4"/>
      <c r="BF37" s="189">
        <f t="shared" si="10"/>
        <v>2163.870367578013</v>
      </c>
      <c r="BG37" s="4"/>
      <c r="BH37" s="193"/>
    </row>
    <row r="38" spans="2:60" ht="12">
      <c r="B38" s="3"/>
      <c r="C38" s="7">
        <f>+IF(C37&gt;$G$13+$G$14,XX,C37+1)</f>
        <v>2018</v>
      </c>
      <c r="D38" s="7"/>
      <c r="E38" s="330">
        <v>1.7999999999999999E-2</v>
      </c>
      <c r="F38" s="7"/>
      <c r="G38" s="23">
        <v>187222.92451008921</v>
      </c>
      <c r="H38" s="7"/>
      <c r="I38" s="39">
        <f t="shared" si="11"/>
        <v>216.97986171080026</v>
      </c>
      <c r="J38" s="7"/>
      <c r="K38" s="39">
        <f t="shared" si="12"/>
        <v>23.535430142949391</v>
      </c>
      <c r="L38" s="7"/>
      <c r="M38" s="39">
        <f t="shared" si="13"/>
        <v>0</v>
      </c>
      <c r="N38" s="7"/>
      <c r="O38" s="333">
        <v>6.2240589269115922</v>
      </c>
      <c r="P38" s="7"/>
      <c r="Q38" s="39">
        <v>0</v>
      </c>
      <c r="R38" s="7"/>
      <c r="S38" s="23">
        <f t="shared" si="5"/>
        <v>20803.64486768359</v>
      </c>
      <c r="T38" s="7"/>
      <c r="U38" s="23">
        <f t="shared" si="0"/>
        <v>14738.827000112622</v>
      </c>
      <c r="V38" s="7"/>
      <c r="W38" s="23">
        <f t="shared" si="1"/>
        <v>6064.8178675709678</v>
      </c>
      <c r="X38" s="7"/>
      <c r="Y38" s="334">
        <f t="shared" si="6"/>
        <v>32.393564428292763</v>
      </c>
      <c r="Z38" s="290"/>
      <c r="AB38" s="182">
        <f>+IF(AB37&gt;$G$13+$G$14,XX,AB37+1)</f>
        <v>2018</v>
      </c>
      <c r="AC38" s="152"/>
      <c r="AD38" s="187">
        <f t="shared" si="2"/>
        <v>187222.92451008921</v>
      </c>
      <c r="AE38" s="4"/>
      <c r="AF38" s="190">
        <f t="shared" si="14"/>
        <v>69.796306836032116</v>
      </c>
      <c r="AG38" s="4"/>
      <c r="AH38" s="190">
        <f t="shared" si="15"/>
        <v>9.8401543706107439</v>
      </c>
      <c r="AI38" s="4"/>
      <c r="AJ38" s="190">
        <f t="shared" si="16"/>
        <v>2.7661219394101755</v>
      </c>
      <c r="AK38" s="4"/>
      <c r="AL38" s="189">
        <f t="shared" si="7"/>
        <v>4016.5230016151258</v>
      </c>
      <c r="AM38" s="4"/>
      <c r="AN38" s="190">
        <f>INDEX('(2.2)_Forward_Price_Curve'!$I:$I,MATCH($AB38,'(2.2)_Forward_Price_Curve'!$C:$C,0),1)</f>
        <v>9.1071488375904099</v>
      </c>
      <c r="AO38" s="4"/>
      <c r="AP38" s="190">
        <f t="shared" si="8"/>
        <v>66.172737715275218</v>
      </c>
      <c r="AQ38" s="4"/>
      <c r="AR38" s="190">
        <f t="shared" si="17"/>
        <v>2.8632741220219522</v>
      </c>
      <c r="AS38" s="190"/>
      <c r="AT38" s="189">
        <f t="shared" si="3"/>
        <v>1813.7029674207088</v>
      </c>
      <c r="AU38" s="4"/>
      <c r="AV38" s="189">
        <f t="shared" si="4"/>
        <v>12925.124032691912</v>
      </c>
      <c r="AW38" s="337"/>
      <c r="AX38" s="191">
        <f t="shared" si="9"/>
        <v>14738.827000112622</v>
      </c>
      <c r="AZ38" s="182">
        <f>+IF(AZ37&gt;$G$13+$G$14,XX,AZ37+1)</f>
        <v>2018</v>
      </c>
      <c r="BA38" s="152"/>
      <c r="BB38" s="190">
        <f t="shared" si="18"/>
        <v>47.030387590316231</v>
      </c>
      <c r="BC38" s="4"/>
      <c r="BD38" s="190">
        <f t="shared" si="19"/>
        <v>7.1506504446091652</v>
      </c>
      <c r="BE38" s="4"/>
      <c r="BF38" s="189">
        <f t="shared" si="10"/>
        <v>2202.8200341944171</v>
      </c>
      <c r="BG38" s="4"/>
      <c r="BH38" s="193"/>
    </row>
    <row r="39" spans="2:60" ht="12">
      <c r="B39" s="3"/>
      <c r="C39" s="7">
        <f>+IF(C38&gt;$G$13+$G$14,XX,C38+1)</f>
        <v>2019</v>
      </c>
      <c r="D39" s="7"/>
      <c r="E39" s="330">
        <v>1.7999999999999999E-2</v>
      </c>
      <c r="F39" s="7"/>
      <c r="G39" s="23">
        <v>187222.92451008921</v>
      </c>
      <c r="H39" s="7"/>
      <c r="I39" s="39">
        <f t="shared" si="11"/>
        <v>220.88549922159467</v>
      </c>
      <c r="J39" s="7"/>
      <c r="K39" s="39">
        <f t="shared" si="12"/>
        <v>23.959067885522479</v>
      </c>
      <c r="L39" s="7"/>
      <c r="M39" s="39">
        <f t="shared" si="13"/>
        <v>0</v>
      </c>
      <c r="N39" s="7"/>
      <c r="O39" s="333">
        <v>6.3360919875960011</v>
      </c>
      <c r="P39" s="7"/>
      <c r="Q39" s="39">
        <v>0</v>
      </c>
      <c r="R39" s="7"/>
      <c r="S39" s="23">
        <f t="shared" si="5"/>
        <v>21178.110475301892</v>
      </c>
      <c r="T39" s="7"/>
      <c r="U39" s="23">
        <f t="shared" si="0"/>
        <v>15627.013204337849</v>
      </c>
      <c r="V39" s="7"/>
      <c r="W39" s="23">
        <f t="shared" si="1"/>
        <v>5551.0972709640428</v>
      </c>
      <c r="X39" s="7"/>
      <c r="Y39" s="334">
        <f t="shared" si="6"/>
        <v>29.649666489772738</v>
      </c>
      <c r="Z39" s="290"/>
      <c r="AB39" s="182">
        <f>+IF(AB38&gt;$G$13+$G$14,XX,AB38+1)</f>
        <v>2019</v>
      </c>
      <c r="AC39" s="152"/>
      <c r="AD39" s="187">
        <f t="shared" si="2"/>
        <v>187222.92451008921</v>
      </c>
      <c r="AE39" s="4"/>
      <c r="AF39" s="190">
        <f t="shared" si="14"/>
        <v>71.052640359080698</v>
      </c>
      <c r="AG39" s="4"/>
      <c r="AH39" s="190">
        <f t="shared" si="15"/>
        <v>10.017277149281737</v>
      </c>
      <c r="AI39" s="4"/>
      <c r="AJ39" s="190">
        <f t="shared" si="16"/>
        <v>2.8159121343195586</v>
      </c>
      <c r="AK39" s="4"/>
      <c r="AL39" s="189">
        <f t="shared" si="7"/>
        <v>4088.8204156441975</v>
      </c>
      <c r="AM39" s="4"/>
      <c r="AN39" s="190">
        <f>INDEX('(2.2)_Forward_Price_Curve'!$I:$I,MATCH($AB39,'(2.2)_Forward_Price_Curve'!$C:$C,0),1)</f>
        <v>9.7289597532905745</v>
      </c>
      <c r="AO39" s="4"/>
      <c r="AP39" s="190">
        <f t="shared" si="8"/>
        <v>70.69082909237946</v>
      </c>
      <c r="AQ39" s="4"/>
      <c r="AR39" s="190">
        <f t="shared" si="17"/>
        <v>2.9148130562183474</v>
      </c>
      <c r="AS39" s="190"/>
      <c r="AT39" s="189">
        <f t="shared" si="3"/>
        <v>1846.3496208342808</v>
      </c>
      <c r="AU39" s="4"/>
      <c r="AV39" s="189">
        <f t="shared" si="4"/>
        <v>13780.663583503569</v>
      </c>
      <c r="AW39" s="337"/>
      <c r="AX39" s="191">
        <f t="shared" si="9"/>
        <v>15627.013204337849</v>
      </c>
      <c r="AZ39" s="182">
        <f>+IF(AZ38&gt;$G$13+$G$14,XX,AZ38+1)</f>
        <v>2019</v>
      </c>
      <c r="BA39" s="152"/>
      <c r="BB39" s="190">
        <f t="shared" si="18"/>
        <v>47.876934566941927</v>
      </c>
      <c r="BC39" s="4"/>
      <c r="BD39" s="190">
        <f t="shared" si="19"/>
        <v>7.2793621526121299</v>
      </c>
      <c r="BE39" s="4"/>
      <c r="BF39" s="189">
        <f t="shared" si="10"/>
        <v>2242.4707948099167</v>
      </c>
      <c r="BG39" s="4"/>
      <c r="BH39" s="193"/>
    </row>
    <row r="40" spans="2:60" ht="12">
      <c r="B40" s="3"/>
      <c r="C40" s="7">
        <f>+IF(C39&gt;$G$13+$G$14,XX,C39+1)</f>
        <v>2020</v>
      </c>
      <c r="D40" s="7"/>
      <c r="E40" s="330">
        <v>1.7999999999999999E-2</v>
      </c>
      <c r="F40" s="7"/>
      <c r="G40" s="23">
        <v>187887.18509575512</v>
      </c>
      <c r="H40" s="7"/>
      <c r="I40" s="39">
        <f t="shared" si="11"/>
        <v>224.86143820758338</v>
      </c>
      <c r="J40" s="7"/>
      <c r="K40" s="39">
        <f t="shared" si="12"/>
        <v>24.390331107461883</v>
      </c>
      <c r="L40" s="7"/>
      <c r="M40" s="39">
        <f t="shared" si="13"/>
        <v>0</v>
      </c>
      <c r="N40" s="7"/>
      <c r="O40" s="333">
        <v>6.4501416433727297</v>
      </c>
      <c r="P40" s="7"/>
      <c r="Q40" s="39">
        <v>0</v>
      </c>
      <c r="R40" s="7"/>
      <c r="S40" s="23">
        <f t="shared" si="5"/>
        <v>21579.802574349007</v>
      </c>
      <c r="T40" s="7"/>
      <c r="U40" s="23">
        <f t="shared" si="0"/>
        <v>16237.422930953006</v>
      </c>
      <c r="V40" s="7"/>
      <c r="W40" s="23">
        <f t="shared" si="1"/>
        <v>5342.3796433960015</v>
      </c>
      <c r="X40" s="7"/>
      <c r="Y40" s="334">
        <f t="shared" si="6"/>
        <v>28.433975636354884</v>
      </c>
      <c r="Z40" s="290"/>
      <c r="AB40" s="182">
        <f>+IF(AB39&gt;$G$13+$G$14,XX,AB39+1)</f>
        <v>2020</v>
      </c>
      <c r="AC40" s="152"/>
      <c r="AD40" s="187">
        <f t="shared" si="2"/>
        <v>187887.18509575512</v>
      </c>
      <c r="AE40" s="4"/>
      <c r="AF40" s="190">
        <f t="shared" si="14"/>
        <v>72.331587885544153</v>
      </c>
      <c r="AG40" s="4"/>
      <c r="AH40" s="190">
        <f t="shared" si="15"/>
        <v>10.197588137968809</v>
      </c>
      <c r="AI40" s="4"/>
      <c r="AJ40" s="190">
        <f t="shared" si="16"/>
        <v>2.8665985527373108</v>
      </c>
      <c r="AK40" s="4"/>
      <c r="AL40" s="189">
        <f t="shared" si="7"/>
        <v>4164.3233515593038</v>
      </c>
      <c r="AM40" s="4"/>
      <c r="AN40" s="190">
        <f>INDEX('(2.2)_Forward_Price_Curve'!$I:$I,MATCH($AB40,'(2.2)_Forward_Price_Curve'!$C:$C,0),1)</f>
        <v>10.107309478601163</v>
      </c>
      <c r="AO40" s="4"/>
      <c r="AP40" s="190">
        <f t="shared" si="8"/>
        <v>73.43992626692922</v>
      </c>
      <c r="AQ40" s="4"/>
      <c r="AR40" s="190">
        <f t="shared" si="17"/>
        <v>2.9672796912302779</v>
      </c>
      <c r="AS40" s="190"/>
      <c r="AT40" s="189">
        <f t="shared" si="3"/>
        <v>1881.4880824428087</v>
      </c>
      <c r="AU40" s="4"/>
      <c r="AV40" s="189">
        <f t="shared" si="4"/>
        <v>14355.934848510196</v>
      </c>
      <c r="AW40" s="337"/>
      <c r="AX40" s="191">
        <f t="shared" si="9"/>
        <v>16237.422930953006</v>
      </c>
      <c r="AZ40" s="182">
        <f>+IF(AZ39&gt;$G$13+$G$14,XX,AZ39+1)</f>
        <v>2020</v>
      </c>
      <c r="BA40" s="152"/>
      <c r="BB40" s="190">
        <f t="shared" si="18"/>
        <v>48.73871938914688</v>
      </c>
      <c r="BC40" s="4"/>
      <c r="BD40" s="190">
        <f t="shared" si="19"/>
        <v>7.4103906713591483</v>
      </c>
      <c r="BE40" s="4"/>
      <c r="BF40" s="189">
        <f t="shared" si="10"/>
        <v>2282.8352691164951</v>
      </c>
      <c r="BG40" s="4"/>
      <c r="BH40" s="193"/>
    </row>
    <row r="41" spans="2:60" ht="12">
      <c r="B41" s="3"/>
      <c r="C41" s="7">
        <f>+IF(C40&gt;$G$13+$G$14,XX,C40+1)</f>
        <v>2021</v>
      </c>
      <c r="D41" s="7"/>
      <c r="E41" s="330">
        <v>1.7999999999999999E-2</v>
      </c>
      <c r="F41" s="7"/>
      <c r="G41" s="23">
        <v>187222.92451008921</v>
      </c>
      <c r="H41" s="7"/>
      <c r="I41" s="39">
        <f t="shared" si="11"/>
        <v>228.90894409531987</v>
      </c>
      <c r="J41" s="7"/>
      <c r="K41" s="39">
        <f t="shared" si="12"/>
        <v>24.829357067396199</v>
      </c>
      <c r="L41" s="7"/>
      <c r="M41" s="39">
        <f t="shared" si="13"/>
        <v>0</v>
      </c>
      <c r="N41" s="7"/>
      <c r="O41" s="333">
        <v>6.5662441929534392</v>
      </c>
      <c r="P41" s="7"/>
      <c r="Q41" s="39">
        <v>0</v>
      </c>
      <c r="R41" s="7"/>
      <c r="S41" s="23">
        <f t="shared" si="5"/>
        <v>21947.384160206759</v>
      </c>
      <c r="T41" s="7"/>
      <c r="U41" s="23">
        <f t="shared" si="0"/>
        <v>16471.987930027535</v>
      </c>
      <c r="V41" s="7"/>
      <c r="W41" s="23">
        <f t="shared" si="1"/>
        <v>5475.3962301792235</v>
      </c>
      <c r="X41" s="7"/>
      <c r="Y41" s="334">
        <f t="shared" si="6"/>
        <v>29.245330103174201</v>
      </c>
      <c r="Z41" s="290"/>
      <c r="AB41" s="182">
        <f>+IF(AB40&gt;$G$13+$G$14,XX,AB40+1)</f>
        <v>2021</v>
      </c>
      <c r="AC41" s="152"/>
      <c r="AD41" s="187">
        <f t="shared" si="2"/>
        <v>187222.92451008921</v>
      </c>
      <c r="AE41" s="4"/>
      <c r="AF41" s="190">
        <f t="shared" si="14"/>
        <v>73.633556467483942</v>
      </c>
      <c r="AG41" s="4"/>
      <c r="AH41" s="190">
        <f t="shared" si="15"/>
        <v>10.381144724452248</v>
      </c>
      <c r="AI41" s="4"/>
      <c r="AJ41" s="190">
        <f t="shared" si="16"/>
        <v>2.9181973266865824</v>
      </c>
      <c r="AK41" s="4"/>
      <c r="AL41" s="189">
        <f t="shared" si="7"/>
        <v>4237.342728422057</v>
      </c>
      <c r="AM41" s="4"/>
      <c r="AN41" s="190">
        <f>INDEX('(2.2)_Forward_Price_Curve'!$I:$I,MATCH($AB41,'(2.2)_Forward_Price_Curve'!$C:$C,0),1)</f>
        <v>10.286225465001079</v>
      </c>
      <c r="AO41" s="4"/>
      <c r="AP41" s="190">
        <f t="shared" si="8"/>
        <v>74.739933640504091</v>
      </c>
      <c r="AQ41" s="4"/>
      <c r="AR41" s="190">
        <f t="shared" si="17"/>
        <v>3.0206907256724231</v>
      </c>
      <c r="AS41" s="190"/>
      <c r="AT41" s="189">
        <f t="shared" si="3"/>
        <v>1913.4164244614649</v>
      </c>
      <c r="AU41" s="4"/>
      <c r="AV41" s="189">
        <f t="shared" si="4"/>
        <v>14558.571505566069</v>
      </c>
      <c r="AW41" s="337"/>
      <c r="AX41" s="191">
        <f t="shared" si="9"/>
        <v>16471.987930027535</v>
      </c>
      <c r="AZ41" s="182">
        <f>+IF(AZ40&gt;$G$13+$G$14,XX,AZ40+1)</f>
        <v>2021</v>
      </c>
      <c r="BA41" s="152"/>
      <c r="BB41" s="190">
        <f t="shared" si="18"/>
        <v>49.616016338151525</v>
      </c>
      <c r="BC41" s="4"/>
      <c r="BD41" s="190">
        <f t="shared" si="19"/>
        <v>7.5437777034436131</v>
      </c>
      <c r="BE41" s="4"/>
      <c r="BF41" s="189">
        <f t="shared" si="10"/>
        <v>2323.9263039605921</v>
      </c>
      <c r="BG41" s="4"/>
      <c r="BH41" s="193"/>
    </row>
    <row r="42" spans="2:60" ht="12">
      <c r="B42" s="3"/>
      <c r="C42" s="7">
        <f>+IF(C41&gt;$G$13+$G$14,XX,C41+1)</f>
        <v>2022</v>
      </c>
      <c r="D42" s="7"/>
      <c r="E42" s="330">
        <v>1.9E-2</v>
      </c>
      <c r="F42" s="7"/>
      <c r="G42" s="23">
        <v>187222.92451008921</v>
      </c>
      <c r="H42" s="7"/>
      <c r="I42" s="39">
        <f t="shared" si="11"/>
        <v>233.25821403313091</v>
      </c>
      <c r="J42" s="7"/>
      <c r="K42" s="39">
        <f t="shared" si="12"/>
        <v>25.301114851676726</v>
      </c>
      <c r="L42" s="7"/>
      <c r="M42" s="39">
        <f t="shared" si="13"/>
        <v>0</v>
      </c>
      <c r="N42" s="7"/>
      <c r="O42" s="333">
        <v>6.6910028326195539</v>
      </c>
      <c r="P42" s="7"/>
      <c r="Q42" s="39">
        <v>0</v>
      </c>
      <c r="R42" s="7"/>
      <c r="S42" s="23">
        <f t="shared" si="5"/>
        <v>22364.384459250687</v>
      </c>
      <c r="T42" s="7"/>
      <c r="U42" s="23">
        <f t="shared" si="0"/>
        <v>16785.264733154429</v>
      </c>
      <c r="V42" s="7"/>
      <c r="W42" s="23">
        <f t="shared" si="1"/>
        <v>5579.1197260962581</v>
      </c>
      <c r="X42" s="7"/>
      <c r="Y42" s="334">
        <f t="shared" si="6"/>
        <v>29.799340762864787</v>
      </c>
      <c r="Z42" s="290"/>
      <c r="AB42" s="182">
        <f>+IF(AB41&gt;$G$13+$G$14,XX,AB41+1)</f>
        <v>2022</v>
      </c>
      <c r="AC42" s="152"/>
      <c r="AD42" s="187">
        <f t="shared" si="2"/>
        <v>187222.92451008921</v>
      </c>
      <c r="AE42" s="4"/>
      <c r="AF42" s="190">
        <f t="shared" si="14"/>
        <v>75.032594040366135</v>
      </c>
      <c r="AG42" s="4"/>
      <c r="AH42" s="190">
        <f t="shared" si="15"/>
        <v>10.57838647421684</v>
      </c>
      <c r="AI42" s="4"/>
      <c r="AJ42" s="190">
        <f t="shared" si="16"/>
        <v>2.973643075893627</v>
      </c>
      <c r="AK42" s="4"/>
      <c r="AL42" s="189">
        <f t="shared" si="7"/>
        <v>4317.8522402620765</v>
      </c>
      <c r="AM42" s="4"/>
      <c r="AN42" s="190">
        <f>INDEX('(2.2)_Forward_Price_Curve'!$I:$I,MATCH($AB42,'(2.2)_Forward_Price_Curve'!$C:$C,0),1)</f>
        <v>10.481890917487915</v>
      </c>
      <c r="AO42" s="4"/>
      <c r="AP42" s="190">
        <f t="shared" si="8"/>
        <v>76.16164299194341</v>
      </c>
      <c r="AQ42" s="4"/>
      <c r="AR42" s="190">
        <f t="shared" si="17"/>
        <v>3.078083849460199</v>
      </c>
      <c r="AS42" s="190"/>
      <c r="AT42" s="189">
        <f t="shared" si="3"/>
        <v>1949.7713365262334</v>
      </c>
      <c r="AU42" s="4"/>
      <c r="AV42" s="189">
        <f t="shared" si="4"/>
        <v>14835.493396628197</v>
      </c>
      <c r="AW42" s="337"/>
      <c r="AX42" s="191">
        <f t="shared" si="9"/>
        <v>16785.264733154429</v>
      </c>
      <c r="AZ42" s="182">
        <f>+IF(AZ41&gt;$G$13+$G$14,XX,AZ41+1)</f>
        <v>2022</v>
      </c>
      <c r="BA42" s="152"/>
      <c r="BB42" s="190">
        <f t="shared" si="18"/>
        <v>50.558720648576397</v>
      </c>
      <c r="BC42" s="4"/>
      <c r="BD42" s="190">
        <f t="shared" si="19"/>
        <v>7.6871094798090409</v>
      </c>
      <c r="BE42" s="4"/>
      <c r="BF42" s="189">
        <f t="shared" si="10"/>
        <v>2368.0809037358431</v>
      </c>
      <c r="BG42" s="4"/>
      <c r="BH42" s="193"/>
    </row>
    <row r="43" spans="2:60" ht="12">
      <c r="B43" s="3"/>
      <c r="C43" s="7">
        <f>+IF(C42&gt;$G$13+$G$14,XX,C42+1)</f>
        <v>2023</v>
      </c>
      <c r="D43" s="7"/>
      <c r="E43" s="330">
        <v>1.9E-2</v>
      </c>
      <c r="F43" s="7"/>
      <c r="G43" s="23">
        <v>187222.92451008921</v>
      </c>
      <c r="H43" s="7"/>
      <c r="I43" s="39">
        <f t="shared" si="11"/>
        <v>237.69012009976038</v>
      </c>
      <c r="J43" s="7"/>
      <c r="K43" s="39">
        <f t="shared" si="12"/>
        <v>25.781836033858582</v>
      </c>
      <c r="L43" s="7"/>
      <c r="M43" s="39">
        <f t="shared" si="13"/>
        <v>0</v>
      </c>
      <c r="N43" s="7"/>
      <c r="O43" s="333">
        <v>6.8181318864393248</v>
      </c>
      <c r="P43" s="7"/>
      <c r="Q43" s="39">
        <v>0</v>
      </c>
      <c r="R43" s="7"/>
      <c r="S43" s="23">
        <f t="shared" si="5"/>
        <v>22789.307763976445</v>
      </c>
      <c r="T43" s="7"/>
      <c r="U43" s="23">
        <f t="shared" si="0"/>
        <v>17102.134432862003</v>
      </c>
      <c r="V43" s="7"/>
      <c r="W43" s="23">
        <f t="shared" si="1"/>
        <v>5687.1733311144417</v>
      </c>
      <c r="X43" s="7"/>
      <c r="Y43" s="334">
        <f t="shared" si="6"/>
        <v>30.376479514975035</v>
      </c>
      <c r="Z43" s="290"/>
      <c r="AB43" s="182">
        <f>+IF(AB42&gt;$G$13+$G$14,XX,AB42+1)</f>
        <v>2023</v>
      </c>
      <c r="AC43" s="152"/>
      <c r="AD43" s="187">
        <f t="shared" si="2"/>
        <v>187222.92451008921</v>
      </c>
      <c r="AE43" s="4"/>
      <c r="AF43" s="190">
        <f t="shared" si="14"/>
        <v>76.45821332713308</v>
      </c>
      <c r="AG43" s="4"/>
      <c r="AH43" s="190">
        <f t="shared" si="15"/>
        <v>10.77937581722696</v>
      </c>
      <c r="AI43" s="4"/>
      <c r="AJ43" s="190">
        <f t="shared" si="16"/>
        <v>3.0301422943356058</v>
      </c>
      <c r="AK43" s="4"/>
      <c r="AL43" s="189">
        <f t="shared" si="7"/>
        <v>4399.8914328270557</v>
      </c>
      <c r="AM43" s="4"/>
      <c r="AN43" s="190">
        <f>INDEX('(2.2)_Forward_Price_Curve'!$I:$I,MATCH($AB43,'(2.2)_Forward_Price_Curve'!$C:$C,0),1)</f>
        <v>10.679539654517416</v>
      </c>
      <c r="AO43" s="4"/>
      <c r="AP43" s="190">
        <f t="shared" si="8"/>
        <v>77.597762931174486</v>
      </c>
      <c r="AQ43" s="4"/>
      <c r="AR43" s="190">
        <f t="shared" si="17"/>
        <v>3.1365674425999424</v>
      </c>
      <c r="AS43" s="190"/>
      <c r="AT43" s="189">
        <f t="shared" si="3"/>
        <v>1986.8169919202314</v>
      </c>
      <c r="AU43" s="4"/>
      <c r="AV43" s="189">
        <f t="shared" si="4"/>
        <v>15115.317440941772</v>
      </c>
      <c r="AW43" s="337"/>
      <c r="AX43" s="191">
        <f t="shared" si="9"/>
        <v>17102.134432862003</v>
      </c>
      <c r="AZ43" s="182">
        <f>+IF(AZ42&gt;$G$13+$G$14,XX,AZ42+1)</f>
        <v>2023</v>
      </c>
      <c r="BA43" s="152"/>
      <c r="BB43" s="190">
        <f t="shared" si="18"/>
        <v>51.519336340899343</v>
      </c>
      <c r="BC43" s="4"/>
      <c r="BD43" s="190">
        <f t="shared" si="19"/>
        <v>7.8331645599254118</v>
      </c>
      <c r="BE43" s="4"/>
      <c r="BF43" s="189">
        <f t="shared" si="10"/>
        <v>2413.0744409068243</v>
      </c>
      <c r="BG43" s="4"/>
      <c r="BH43" s="193"/>
    </row>
    <row r="44" spans="2:60" ht="12">
      <c r="B44" s="3"/>
      <c r="C44" s="7">
        <f>+IF(C43&gt;$G$13+$G$14,XX,C43+1)</f>
        <v>2024</v>
      </c>
      <c r="D44" s="7"/>
      <c r="E44" s="330">
        <v>1.9E-2</v>
      </c>
      <c r="F44" s="7"/>
      <c r="G44" s="23">
        <v>187887.18509575512</v>
      </c>
      <c r="H44" s="7"/>
      <c r="I44" s="39">
        <f t="shared" si="11"/>
        <v>242.20623238165581</v>
      </c>
      <c r="J44" s="7"/>
      <c r="K44" s="39">
        <f t="shared" si="12"/>
        <v>26.271690918501893</v>
      </c>
      <c r="L44" s="7"/>
      <c r="M44" s="39">
        <f t="shared" si="13"/>
        <v>0</v>
      </c>
      <c r="N44" s="7"/>
      <c r="O44" s="333">
        <v>6.9476763922816716</v>
      </c>
      <c r="P44" s="7"/>
      <c r="Q44" s="39">
        <v>0</v>
      </c>
      <c r="R44" s="7"/>
      <c r="S44" s="23">
        <f t="shared" si="5"/>
        <v>23244.370927877306</v>
      </c>
      <c r="T44" s="7"/>
      <c r="U44" s="23">
        <f t="shared" si="0"/>
        <v>17485.327706698299</v>
      </c>
      <c r="V44" s="7"/>
      <c r="W44" s="23">
        <f t="shared" si="1"/>
        <v>5759.0432211790067</v>
      </c>
      <c r="X44" s="7"/>
      <c r="Y44" s="334">
        <f t="shared" si="6"/>
        <v>30.651602014495872</v>
      </c>
      <c r="Z44" s="290"/>
      <c r="AB44" s="182">
        <f>+IF(AB43&gt;$G$13+$G$14,XX,AB43+1)</f>
        <v>2024</v>
      </c>
      <c r="AC44" s="152"/>
      <c r="AD44" s="187">
        <f t="shared" si="2"/>
        <v>187887.18509575512</v>
      </c>
      <c r="AE44" s="4"/>
      <c r="AF44" s="190">
        <f t="shared" si="14"/>
        <v>77.910919380348602</v>
      </c>
      <c r="AG44" s="4"/>
      <c r="AH44" s="190">
        <f t="shared" si="15"/>
        <v>10.98418395775427</v>
      </c>
      <c r="AI44" s="4"/>
      <c r="AJ44" s="190">
        <f t="shared" si="16"/>
        <v>3.0877149979279821</v>
      </c>
      <c r="AK44" s="4"/>
      <c r="AL44" s="189">
        <f t="shared" si="7"/>
        <v>4485.5404174236619</v>
      </c>
      <c r="AM44" s="4"/>
      <c r="AN44" s="190">
        <f>INDEX('(2.2)_Forward_Price_Curve'!$I:$I,MATCH($AB44,'(2.2)_Forward_Price_Curve'!$C:$C,0),1)</f>
        <v>10.883589278444866</v>
      </c>
      <c r="AO44" s="4"/>
      <c r="AP44" s="190">
        <f t="shared" si="8"/>
        <v>79.080391851141073</v>
      </c>
      <c r="AQ44" s="4"/>
      <c r="AR44" s="190">
        <f t="shared" si="17"/>
        <v>3.196162224009341</v>
      </c>
      <c r="AS44" s="190"/>
      <c r="AT44" s="189">
        <f t="shared" si="3"/>
        <v>2026.6175621396083</v>
      </c>
      <c r="AU44" s="4"/>
      <c r="AV44" s="189">
        <f t="shared" si="4"/>
        <v>15458.71014455869</v>
      </c>
      <c r="AW44" s="337"/>
      <c r="AX44" s="191">
        <f t="shared" si="9"/>
        <v>17485.327706698299</v>
      </c>
      <c r="AZ44" s="182">
        <f>+IF(AZ43&gt;$G$13+$G$14,XX,AZ43+1)</f>
        <v>2024</v>
      </c>
      <c r="BA44" s="152"/>
      <c r="BB44" s="190">
        <f t="shared" si="18"/>
        <v>52.498203731376428</v>
      </c>
      <c r="BC44" s="4"/>
      <c r="BD44" s="190">
        <f t="shared" si="19"/>
        <v>7.9819946865639944</v>
      </c>
      <c r="BE44" s="4"/>
      <c r="BF44" s="189">
        <f t="shared" si="10"/>
        <v>2458.9228552840536</v>
      </c>
      <c r="BG44" s="4"/>
      <c r="BH44" s="193"/>
    </row>
    <row r="45" spans="2:60" ht="12">
      <c r="B45" s="3"/>
      <c r="C45" s="7">
        <f>+IF(C44&gt;$G$13+$G$14,XX,C44+1)</f>
        <v>2025</v>
      </c>
      <c r="D45" s="7"/>
      <c r="E45" s="330">
        <v>1.9E-2</v>
      </c>
      <c r="F45" s="7"/>
      <c r="G45" s="23">
        <v>187222.92451008921</v>
      </c>
      <c r="H45" s="7"/>
      <c r="I45" s="39">
        <f t="shared" si="11"/>
        <v>246.80815079690726</v>
      </c>
      <c r="J45" s="7"/>
      <c r="K45" s="39">
        <f t="shared" si="12"/>
        <v>26.770853045953427</v>
      </c>
      <c r="L45" s="7"/>
      <c r="M45" s="39">
        <f t="shared" si="13"/>
        <v>0</v>
      </c>
      <c r="N45" s="7"/>
      <c r="O45" s="333">
        <v>7.0796822437350224</v>
      </c>
      <c r="P45" s="7"/>
      <c r="Q45" s="39">
        <v>0</v>
      </c>
      <c r="R45" s="7"/>
      <c r="S45" s="23">
        <f t="shared" si="5"/>
        <v>23663.528399110339</v>
      </c>
      <c r="T45" s="7"/>
      <c r="U45" s="23">
        <f t="shared" si="0"/>
        <v>17759.425488631226</v>
      </c>
      <c r="V45" s="7"/>
      <c r="W45" s="23">
        <f t="shared" si="1"/>
        <v>5904.1029104791123</v>
      </c>
      <c r="X45" s="7"/>
      <c r="Y45" s="334">
        <f t="shared" si="6"/>
        <v>31.535149479843465</v>
      </c>
      <c r="Z45" s="290"/>
      <c r="AB45" s="182">
        <f>+IF(AB44&gt;$G$13+$G$14,XX,AB44+1)</f>
        <v>2025</v>
      </c>
      <c r="AC45" s="152"/>
      <c r="AD45" s="187">
        <f t="shared" si="2"/>
        <v>187222.92451008921</v>
      </c>
      <c r="AE45" s="4"/>
      <c r="AF45" s="190">
        <f t="shared" si="14"/>
        <v>79.391226848575215</v>
      </c>
      <c r="AG45" s="4"/>
      <c r="AH45" s="190">
        <f t="shared" si="15"/>
        <v>11.1928834529516</v>
      </c>
      <c r="AI45" s="4"/>
      <c r="AJ45" s="190">
        <f t="shared" si="16"/>
        <v>3.1463815828886132</v>
      </c>
      <c r="AK45" s="4"/>
      <c r="AL45" s="189">
        <f t="shared" si="7"/>
        <v>4568.6756680817334</v>
      </c>
      <c r="AM45" s="4"/>
      <c r="AN45" s="190">
        <f>INDEX('(2.2)_Forward_Price_Curve'!$I:$I,MATCH($AB45,'(2.2)_Forward_Price_Curve'!$C:$C,0),1)</f>
        <v>11.090126110825569</v>
      </c>
      <c r="AO45" s="4"/>
      <c r="AP45" s="190">
        <f t="shared" si="8"/>
        <v>80.581092880782762</v>
      </c>
      <c r="AQ45" s="4"/>
      <c r="AR45" s="190">
        <f t="shared" si="17"/>
        <v>3.2568893062655184</v>
      </c>
      <c r="AS45" s="190"/>
      <c r="AT45" s="189">
        <f t="shared" si="3"/>
        <v>2063.0332785472829</v>
      </c>
      <c r="AU45" s="4"/>
      <c r="AV45" s="189">
        <f t="shared" si="4"/>
        <v>15696.392210083945</v>
      </c>
      <c r="AW45" s="337"/>
      <c r="AX45" s="191">
        <f t="shared" si="9"/>
        <v>17759.425488631226</v>
      </c>
      <c r="AZ45" s="182">
        <f>+IF(AZ44&gt;$G$13+$G$14,XX,AZ44+1)</f>
        <v>2025</v>
      </c>
      <c r="BA45" s="152"/>
      <c r="BB45" s="190">
        <f t="shared" si="18"/>
        <v>53.495669602272578</v>
      </c>
      <c r="BC45" s="4"/>
      <c r="BD45" s="190">
        <f t="shared" si="19"/>
        <v>8.1336525856087096</v>
      </c>
      <c r="BE45" s="4"/>
      <c r="BF45" s="189">
        <f t="shared" si="10"/>
        <v>2505.6423895344506</v>
      </c>
      <c r="BG45" s="4"/>
      <c r="BH45" s="193"/>
    </row>
    <row r="46" spans="2:60" ht="12">
      <c r="B46" s="3"/>
      <c r="C46" s="7">
        <f>+IF(C45&gt;$G$13+$G$14,XX,C45+1)</f>
        <v>2026</v>
      </c>
      <c r="D46" s="7"/>
      <c r="E46" s="330">
        <v>1.9E-2</v>
      </c>
      <c r="F46" s="7"/>
      <c r="G46" s="23">
        <v>187222.92451008921</v>
      </c>
      <c r="H46" s="7"/>
      <c r="I46" s="39">
        <f t="shared" si="11"/>
        <v>251.49750566204847</v>
      </c>
      <c r="J46" s="7"/>
      <c r="K46" s="39">
        <f t="shared" si="12"/>
        <v>27.27949925382654</v>
      </c>
      <c r="L46" s="7"/>
      <c r="M46" s="39">
        <f t="shared" si="13"/>
        <v>0</v>
      </c>
      <c r="N46" s="7"/>
      <c r="O46" s="333">
        <v>7.2141962063659868</v>
      </c>
      <c r="P46" s="7"/>
      <c r="Q46" s="39">
        <v>0</v>
      </c>
      <c r="R46" s="7"/>
      <c r="S46" s="23">
        <f t="shared" si="5"/>
        <v>24113.135438693433</v>
      </c>
      <c r="T46" s="7"/>
      <c r="U46" s="23">
        <f t="shared" si="0"/>
        <v>18094.511174852796</v>
      </c>
      <c r="V46" s="7"/>
      <c r="W46" s="23">
        <f t="shared" si="1"/>
        <v>6018.6242638406366</v>
      </c>
      <c r="X46" s="7"/>
      <c r="Y46" s="334">
        <f t="shared" si="6"/>
        <v>32.146833939218268</v>
      </c>
      <c r="Z46" s="290"/>
      <c r="AB46" s="182">
        <f>+IF(AB45&gt;$G$13+$G$14,XX,AB45+1)</f>
        <v>2026</v>
      </c>
      <c r="AC46" s="152"/>
      <c r="AD46" s="187">
        <f t="shared" si="2"/>
        <v>187222.92451008921</v>
      </c>
      <c r="AE46" s="4"/>
      <c r="AF46" s="190">
        <f t="shared" si="14"/>
        <v>80.89966015869814</v>
      </c>
      <c r="AG46" s="4"/>
      <c r="AH46" s="190">
        <f t="shared" si="15"/>
        <v>11.40554823855768</v>
      </c>
      <c r="AI46" s="4"/>
      <c r="AJ46" s="190">
        <f t="shared" si="16"/>
        <v>3.2061628329634968</v>
      </c>
      <c r="AK46" s="4"/>
      <c r="AL46" s="189">
        <f t="shared" si="7"/>
        <v>4655.4805057752856</v>
      </c>
      <c r="AM46" s="4"/>
      <c r="AN46" s="190">
        <f>INDEX('(2.2)_Forward_Price_Curve'!$I:$I,MATCH($AB46,'(2.2)_Forward_Price_Curve'!$C:$C,0),1)</f>
        <v>11.299115883408938</v>
      </c>
      <c r="AO46" s="4"/>
      <c r="AP46" s="190">
        <f t="shared" si="8"/>
        <v>82.099617026259821</v>
      </c>
      <c r="AQ46" s="4"/>
      <c r="AR46" s="190">
        <f t="shared" si="17"/>
        <v>3.3187702030845632</v>
      </c>
      <c r="AS46" s="190"/>
      <c r="AT46" s="189">
        <f t="shared" si="3"/>
        <v>2102.2309108396807</v>
      </c>
      <c r="AU46" s="4"/>
      <c r="AV46" s="189">
        <f t="shared" si="4"/>
        <v>15992.280264013114</v>
      </c>
      <c r="AW46" s="337"/>
      <c r="AX46" s="191">
        <f t="shared" si="9"/>
        <v>18094.511174852796</v>
      </c>
      <c r="AZ46" s="182">
        <f>+IF(AZ45&gt;$G$13+$G$14,XX,AZ45+1)</f>
        <v>2026</v>
      </c>
      <c r="BA46" s="152"/>
      <c r="BB46" s="190">
        <f t="shared" si="18"/>
        <v>54.51208732471575</v>
      </c>
      <c r="BC46" s="4"/>
      <c r="BD46" s="190">
        <f t="shared" si="19"/>
        <v>8.2881919847352741</v>
      </c>
      <c r="BE46" s="4"/>
      <c r="BF46" s="189">
        <f t="shared" si="10"/>
        <v>2553.2495949356048</v>
      </c>
      <c r="BG46" s="4"/>
      <c r="BH46" s="193"/>
    </row>
    <row r="47" spans="2:60" ht="12">
      <c r="B47" s="3"/>
      <c r="C47" s="7">
        <f>+IF(C46&gt;$G$13+$G$14,XX,C46+1)</f>
        <v>2027</v>
      </c>
      <c r="D47" s="7"/>
      <c r="E47" s="330">
        <v>1.9E-2</v>
      </c>
      <c r="F47" s="7"/>
      <c r="G47" s="23">
        <v>187222.92451008921</v>
      </c>
      <c r="H47" s="7"/>
      <c r="I47" s="39">
        <f t="shared" si="11"/>
        <v>256.27595826962738</v>
      </c>
      <c r="J47" s="7"/>
      <c r="K47" s="39">
        <f t="shared" si="12"/>
        <v>27.797809739649242</v>
      </c>
      <c r="L47" s="7"/>
      <c r="M47" s="39">
        <f t="shared" si="13"/>
        <v>0</v>
      </c>
      <c r="N47" s="7"/>
      <c r="O47" s="333">
        <v>7.35126593428694</v>
      </c>
      <c r="P47" s="7"/>
      <c r="Q47" s="39">
        <v>0</v>
      </c>
      <c r="R47" s="7"/>
      <c r="S47" s="23">
        <f t="shared" si="5"/>
        <v>24571.285012028613</v>
      </c>
      <c r="T47" s="7"/>
      <c r="U47" s="23">
        <f t="shared" si="0"/>
        <v>18436.705057020976</v>
      </c>
      <c r="V47" s="7"/>
      <c r="W47" s="23">
        <f t="shared" si="1"/>
        <v>6134.5799550076372</v>
      </c>
      <c r="X47" s="7"/>
      <c r="Y47" s="334">
        <f t="shared" si="6"/>
        <v>32.766179521338756</v>
      </c>
      <c r="Z47" s="290"/>
      <c r="AB47" s="182">
        <f>+IF(AB46&gt;$G$13+$G$14,XX,AB46+1)</f>
        <v>2027</v>
      </c>
      <c r="AC47" s="152"/>
      <c r="AD47" s="187">
        <f t="shared" si="2"/>
        <v>187222.92451008921</v>
      </c>
      <c r="AE47" s="4"/>
      <c r="AF47" s="190">
        <f t="shared" si="14"/>
        <v>82.4367537017134</v>
      </c>
      <c r="AG47" s="4"/>
      <c r="AH47" s="190">
        <f t="shared" si="15"/>
        <v>11.622253655090274</v>
      </c>
      <c r="AI47" s="4"/>
      <c r="AJ47" s="190">
        <f t="shared" si="16"/>
        <v>3.267079926789803</v>
      </c>
      <c r="AK47" s="4"/>
      <c r="AL47" s="189">
        <f t="shared" si="7"/>
        <v>4743.934635385016</v>
      </c>
      <c r="AM47" s="4"/>
      <c r="AN47" s="190">
        <f>INDEX('(2.2)_Forward_Price_Curve'!$I:$I,MATCH($AB47,'(2.2)_Forward_Price_Curve'!$C:$C,0),1)</f>
        <v>11.51262158558478</v>
      </c>
      <c r="AO47" s="4"/>
      <c r="AP47" s="190">
        <f t="shared" si="8"/>
        <v>83.650954012483467</v>
      </c>
      <c r="AQ47" s="4"/>
      <c r="AR47" s="190">
        <f t="shared" si="17"/>
        <v>3.3818268369431697</v>
      </c>
      <c r="AS47" s="190"/>
      <c r="AT47" s="189">
        <f t="shared" si="3"/>
        <v>2142.1732981456348</v>
      </c>
      <c r="AU47" s="4"/>
      <c r="AV47" s="189">
        <f t="shared" si="4"/>
        <v>16294.531758875342</v>
      </c>
      <c r="AW47" s="337"/>
      <c r="AX47" s="191">
        <f t="shared" si="9"/>
        <v>18436.705057020976</v>
      </c>
      <c r="AZ47" s="182">
        <f>+IF(AZ46&gt;$G$13+$G$14,XX,AZ46+1)</f>
        <v>2027</v>
      </c>
      <c r="BA47" s="152"/>
      <c r="BB47" s="190">
        <f t="shared" si="18"/>
        <v>55.547816983885347</v>
      </c>
      <c r="BC47" s="4"/>
      <c r="BD47" s="190">
        <f t="shared" si="19"/>
        <v>8.4456676324452431</v>
      </c>
      <c r="BE47" s="4"/>
      <c r="BF47" s="189">
        <f t="shared" si="10"/>
        <v>2601.7613372393812</v>
      </c>
      <c r="BG47" s="4"/>
      <c r="BH47" s="193"/>
    </row>
    <row r="48" spans="2:60" ht="12">
      <c r="B48" s="3"/>
      <c r="C48" s="7">
        <f>+IF(C47&gt;$G$13+$G$14,XX,C47+1)</f>
        <v>2028</v>
      </c>
      <c r="D48" s="7"/>
      <c r="E48" s="330">
        <v>1.9E-2</v>
      </c>
      <c r="F48" s="7"/>
      <c r="G48" s="23">
        <v>187887.18509575512</v>
      </c>
      <c r="H48" s="7"/>
      <c r="I48" s="39">
        <f t="shared" si="11"/>
        <v>261.14520147675029</v>
      </c>
      <c r="J48" s="7"/>
      <c r="K48" s="39">
        <f t="shared" si="12"/>
        <v>28.325968124702577</v>
      </c>
      <c r="L48" s="7"/>
      <c r="M48" s="39">
        <f t="shared" si="13"/>
        <v>0</v>
      </c>
      <c r="N48" s="7"/>
      <c r="O48" s="333">
        <v>7.4909399870383915</v>
      </c>
      <c r="P48" s="7"/>
      <c r="Q48" s="39">
        <v>0</v>
      </c>
      <c r="R48" s="7"/>
      <c r="S48" s="23">
        <f t="shared" si="5"/>
        <v>25061.931187616203</v>
      </c>
      <c r="T48" s="7"/>
      <c r="U48" s="23">
        <f t="shared" si="0"/>
        <v>18850.683718718268</v>
      </c>
      <c r="V48" s="7"/>
      <c r="W48" s="23">
        <f t="shared" si="1"/>
        <v>6211.2474688979346</v>
      </c>
      <c r="X48" s="7"/>
      <c r="Y48" s="334">
        <f t="shared" si="6"/>
        <v>33.058388020089957</v>
      </c>
      <c r="Z48" s="290"/>
      <c r="AB48" s="182">
        <f>+IF(AB47&gt;$G$13+$G$14,XX,AB47+1)</f>
        <v>2028</v>
      </c>
      <c r="AC48" s="152"/>
      <c r="AD48" s="187">
        <f t="shared" si="2"/>
        <v>187887.18509575512</v>
      </c>
      <c r="AE48" s="4"/>
      <c r="AF48" s="190">
        <f t="shared" si="14"/>
        <v>84.003052022045949</v>
      </c>
      <c r="AG48" s="4"/>
      <c r="AH48" s="190">
        <f t="shared" si="15"/>
        <v>11.843076474536989</v>
      </c>
      <c r="AI48" s="4"/>
      <c r="AJ48" s="190">
        <f t="shared" si="16"/>
        <v>3.3291544453988089</v>
      </c>
      <c r="AK48" s="4"/>
      <c r="AL48" s="189">
        <f t="shared" si="7"/>
        <v>4836.2808195390044</v>
      </c>
      <c r="AM48" s="4"/>
      <c r="AN48" s="190">
        <f>INDEX('(2.2)_Forward_Price_Curve'!$I:$I,MATCH($AB48,'(2.2)_Forward_Price_Curve'!$C:$C,0),1)</f>
        <v>11.7332358254813</v>
      </c>
      <c r="AO48" s="4"/>
      <c r="AP48" s="190">
        <f t="shared" si="8"/>
        <v>85.253941785415222</v>
      </c>
      <c r="AQ48" s="4"/>
      <c r="AR48" s="190">
        <f t="shared" si="17"/>
        <v>3.4460815468450896</v>
      </c>
      <c r="AS48" s="190"/>
      <c r="AT48" s="189">
        <f t="shared" si="3"/>
        <v>2185.0860168920753</v>
      </c>
      <c r="AU48" s="4"/>
      <c r="AV48" s="189">
        <f t="shared" si="4"/>
        <v>16665.597701826191</v>
      </c>
      <c r="AW48" s="337"/>
      <c r="AX48" s="191">
        <f t="shared" si="9"/>
        <v>18850.683718718268</v>
      </c>
      <c r="AZ48" s="182">
        <f>+IF(AZ47&gt;$G$13+$G$14,XX,AZ47+1)</f>
        <v>2028</v>
      </c>
      <c r="BA48" s="152"/>
      <c r="BB48" s="190">
        <f t="shared" si="18"/>
        <v>56.603225506579165</v>
      </c>
      <c r="BC48" s="4"/>
      <c r="BD48" s="190">
        <f t="shared" si="19"/>
        <v>8.6061353174617015</v>
      </c>
      <c r="BE48" s="4"/>
      <c r="BF48" s="189">
        <f t="shared" si="10"/>
        <v>2651.194802646929</v>
      </c>
      <c r="BG48" s="4"/>
      <c r="BH48" s="193"/>
    </row>
    <row r="49" spans="2:60" ht="12">
      <c r="B49" s="3"/>
      <c r="C49" s="7">
        <f>+IF(C48&gt;$G$13+$G$14,XX,C48+1)</f>
        <v>2029</v>
      </c>
      <c r="D49" s="7"/>
      <c r="E49" s="330">
        <v>1.9E-2</v>
      </c>
      <c r="F49" s="7"/>
      <c r="G49" s="23">
        <v>187222.92451008921</v>
      </c>
      <c r="H49" s="7"/>
      <c r="I49" s="39">
        <f t="shared" si="11"/>
        <v>266.10696030480852</v>
      </c>
      <c r="J49" s="7"/>
      <c r="K49" s="39">
        <f t="shared" si="12"/>
        <v>28.864161519071924</v>
      </c>
      <c r="L49" s="7"/>
      <c r="M49" s="39">
        <f t="shared" si="13"/>
        <v>0</v>
      </c>
      <c r="N49" s="7"/>
      <c r="O49" s="333">
        <v>7.63326784679212</v>
      </c>
      <c r="P49" s="7"/>
      <c r="Q49" s="39">
        <v>0</v>
      </c>
      <c r="R49" s="7"/>
      <c r="S49" s="23">
        <f t="shared" si="5"/>
        <v>25513.864076375037</v>
      </c>
      <c r="T49" s="7"/>
      <c r="U49" s="23">
        <f t="shared" si="0"/>
        <v>19142.161755989859</v>
      </c>
      <c r="V49" s="7"/>
      <c r="W49" s="23">
        <f t="shared" si="1"/>
        <v>6371.7023203851786</v>
      </c>
      <c r="X49" s="7"/>
      <c r="Y49" s="334">
        <f t="shared" si="6"/>
        <v>34.032703725028156</v>
      </c>
      <c r="Z49" s="290"/>
      <c r="AB49" s="182">
        <f>+IF(AB48&gt;$G$13+$G$14,XX,AB48+1)</f>
        <v>2029</v>
      </c>
      <c r="AC49" s="152"/>
      <c r="AD49" s="187">
        <f t="shared" si="2"/>
        <v>187222.92451008921</v>
      </c>
      <c r="AE49" s="4"/>
      <c r="AF49" s="190">
        <f t="shared" si="14"/>
        <v>85.599110010464813</v>
      </c>
      <c r="AG49" s="4"/>
      <c r="AH49" s="190">
        <f t="shared" si="15"/>
        <v>12.06809492755319</v>
      </c>
      <c r="AI49" s="4"/>
      <c r="AJ49" s="190">
        <f t="shared" si="16"/>
        <v>3.392408379861386</v>
      </c>
      <c r="AK49" s="4"/>
      <c r="AL49" s="189">
        <f t="shared" si="7"/>
        <v>4925.9167119330195</v>
      </c>
      <c r="AM49" s="4"/>
      <c r="AN49" s="190">
        <f>INDEX('(2.2)_Forward_Price_Curve'!$I:$I,MATCH($AB49,'(2.2)_Forward_Price_Curve'!$C:$C,0),1)</f>
        <v>11.952938687642925</v>
      </c>
      <c r="AO49" s="4"/>
      <c r="AP49" s="190">
        <f t="shared" si="8"/>
        <v>86.850307468284981</v>
      </c>
      <c r="AQ49" s="4"/>
      <c r="AR49" s="190">
        <f t="shared" si="17"/>
        <v>3.5115570962351459</v>
      </c>
      <c r="AS49" s="190"/>
      <c r="AT49" s="189">
        <f t="shared" si="3"/>
        <v>2224.3492080357987</v>
      </c>
      <c r="AU49" s="4"/>
      <c r="AV49" s="189">
        <f t="shared" si="4"/>
        <v>16917.812547954061</v>
      </c>
      <c r="AW49" s="337"/>
      <c r="AX49" s="191">
        <f t="shared" si="9"/>
        <v>19142.161755989859</v>
      </c>
      <c r="AZ49" s="182">
        <f>+IF(AZ48&gt;$G$13+$G$14,XX,AZ48+1)</f>
        <v>2029</v>
      </c>
      <c r="BA49" s="152"/>
      <c r="BB49" s="190">
        <f t="shared" si="18"/>
        <v>57.678686791204164</v>
      </c>
      <c r="BC49" s="4"/>
      <c r="BD49" s="190">
        <f t="shared" si="19"/>
        <v>8.7696518884934722</v>
      </c>
      <c r="BE49" s="4"/>
      <c r="BF49" s="189">
        <f t="shared" si="10"/>
        <v>2701.5675038972208</v>
      </c>
      <c r="BG49" s="4"/>
      <c r="BH49" s="193"/>
    </row>
    <row r="50" spans="2:60" ht="12">
      <c r="B50" s="3"/>
      <c r="C50" s="7">
        <f>+IF(C49&gt;$G$13+$G$14,XX,C49+1)</f>
        <v>2030</v>
      </c>
      <c r="D50" s="7"/>
      <c r="E50" s="330">
        <v>0.02</v>
      </c>
      <c r="F50" s="7"/>
      <c r="G50" s="23">
        <v>187222.92451008921</v>
      </c>
      <c r="H50" s="7"/>
      <c r="I50" s="39">
        <f t="shared" si="11"/>
        <v>271.42909951090468</v>
      </c>
      <c r="J50" s="7"/>
      <c r="K50" s="39">
        <f t="shared" si="12"/>
        <v>29.441444749453364</v>
      </c>
      <c r="L50" s="7"/>
      <c r="M50" s="39">
        <f t="shared" si="13"/>
        <v>0</v>
      </c>
      <c r="N50" s="7"/>
      <c r="O50" s="333">
        <v>7.7859332037279625</v>
      </c>
      <c r="P50" s="7"/>
      <c r="Q50" s="39">
        <v>0</v>
      </c>
      <c r="R50" s="7"/>
      <c r="S50" s="23">
        <f t="shared" si="5"/>
        <v>26024.141357902539</v>
      </c>
      <c r="T50" s="7"/>
      <c r="U50" s="23">
        <f t="shared" si="0"/>
        <v>19526.064699694067</v>
      </c>
      <c r="V50" s="7"/>
      <c r="W50" s="23">
        <f t="shared" si="1"/>
        <v>6498.0766582084725</v>
      </c>
      <c r="X50" s="7"/>
      <c r="Y50" s="334">
        <f t="shared" si="6"/>
        <v>34.707697656214634</v>
      </c>
      <c r="Z50" s="290"/>
      <c r="AB50" s="182">
        <f>+IF(AB49&gt;$G$13+$G$14,XX,AB49+1)</f>
        <v>2030</v>
      </c>
      <c r="AC50" s="152"/>
      <c r="AD50" s="187">
        <f t="shared" si="2"/>
        <v>187222.92451008921</v>
      </c>
      <c r="AE50" s="4"/>
      <c r="AF50" s="190">
        <f t="shared" si="14"/>
        <v>87.311092210674104</v>
      </c>
      <c r="AG50" s="4"/>
      <c r="AH50" s="190">
        <f t="shared" si="15"/>
        <v>12.309456826104254</v>
      </c>
      <c r="AI50" s="4"/>
      <c r="AJ50" s="190">
        <f t="shared" si="16"/>
        <v>3.4602565474586138</v>
      </c>
      <c r="AK50" s="4"/>
      <c r="AL50" s="189">
        <f t="shared" si="7"/>
        <v>5024.4350461716795</v>
      </c>
      <c r="AM50" s="4"/>
      <c r="AN50" s="190">
        <f>INDEX('(2.2)_Forward_Price_Curve'!$I:$I,MATCH($AB50,'(2.2)_Forward_Price_Curve'!$C:$C,0),1)</f>
        <v>12.192776449380618</v>
      </c>
      <c r="AO50" s="4"/>
      <c r="AP50" s="190">
        <f t="shared" si="8"/>
        <v>88.592973760964796</v>
      </c>
      <c r="AQ50" s="4"/>
      <c r="AR50" s="190">
        <f t="shared" si="17"/>
        <v>3.5817882381598487</v>
      </c>
      <c r="AS50" s="190"/>
      <c r="AT50" s="189">
        <f t="shared" si="3"/>
        <v>2268.8361921965147</v>
      </c>
      <c r="AU50" s="4"/>
      <c r="AV50" s="189">
        <f t="shared" si="4"/>
        <v>17257.228507497552</v>
      </c>
      <c r="AW50" s="337"/>
      <c r="AX50" s="191">
        <f t="shared" si="9"/>
        <v>19526.064699694067</v>
      </c>
      <c r="AZ50" s="182">
        <f>+IF(AZ49&gt;$G$13+$G$14,XX,AZ49+1)</f>
        <v>2030</v>
      </c>
      <c r="BA50" s="152"/>
      <c r="BB50" s="190">
        <f t="shared" si="18"/>
        <v>58.832260527028247</v>
      </c>
      <c r="BC50" s="4"/>
      <c r="BD50" s="190">
        <f t="shared" si="19"/>
        <v>8.9450449262633427</v>
      </c>
      <c r="BE50" s="4"/>
      <c r="BF50" s="189">
        <f t="shared" si="10"/>
        <v>2755.5988539751647</v>
      </c>
      <c r="BG50" s="4"/>
      <c r="BH50" s="193"/>
    </row>
    <row r="51" spans="2:60" ht="12">
      <c r="B51" s="3"/>
      <c r="C51" s="7">
        <f>+IF(C50&gt;$G$13+$G$14,XX,C50+1)</f>
        <v>2031</v>
      </c>
      <c r="D51" s="7"/>
      <c r="E51" s="330">
        <v>0.02</v>
      </c>
      <c r="F51" s="7"/>
      <c r="G51" s="23">
        <v>187222.92451008921</v>
      </c>
      <c r="H51" s="7"/>
      <c r="I51" s="39">
        <f t="shared" si="11"/>
        <v>276.85768150112278</v>
      </c>
      <c r="J51" s="7"/>
      <c r="K51" s="39">
        <f t="shared" si="12"/>
        <v>30.030273644442431</v>
      </c>
      <c r="L51" s="7"/>
      <c r="M51" s="39">
        <f t="shared" si="13"/>
        <v>0</v>
      </c>
      <c r="N51" s="7"/>
      <c r="O51" s="333">
        <v>7.9416518678025216</v>
      </c>
      <c r="P51" s="7"/>
      <c r="Q51" s="39">
        <v>0</v>
      </c>
      <c r="R51" s="7"/>
      <c r="S51" s="23">
        <f t="shared" si="5"/>
        <v>26544.624185060591</v>
      </c>
      <c r="T51" s="7"/>
      <c r="U51" s="23">
        <f t="shared" si="0"/>
        <v>19913.451020770171</v>
      </c>
      <c r="V51" s="7"/>
      <c r="W51" s="23">
        <f t="shared" si="1"/>
        <v>6631.1731642904197</v>
      </c>
      <c r="X51" s="7"/>
      <c r="Y51" s="334">
        <f t="shared" si="6"/>
        <v>35.418596208997229</v>
      </c>
      <c r="Z51" s="290"/>
      <c r="AB51" s="182">
        <f>+IF(AB50&gt;$G$13+$G$14,XX,AB50+1)</f>
        <v>2031</v>
      </c>
      <c r="AC51" s="152"/>
      <c r="AD51" s="187">
        <f t="shared" si="2"/>
        <v>187222.92451008921</v>
      </c>
      <c r="AE51" s="4"/>
      <c r="AF51" s="190">
        <f t="shared" si="14"/>
        <v>89.057314054887584</v>
      </c>
      <c r="AG51" s="4"/>
      <c r="AH51" s="190">
        <f t="shared" si="15"/>
        <v>12.55564596262634</v>
      </c>
      <c r="AI51" s="4"/>
      <c r="AJ51" s="190">
        <f t="shared" si="16"/>
        <v>3.5294616784077859</v>
      </c>
      <c r="AK51" s="4"/>
      <c r="AL51" s="189">
        <f t="shared" si="7"/>
        <v>5124.9237470951139</v>
      </c>
      <c r="AM51" s="4"/>
      <c r="AN51" s="190">
        <f>INDEX('(2.2)_Forward_Price_Curve'!$I:$I,MATCH($AB51,'(2.2)_Forward_Price_Curve'!$C:$C,0),1)</f>
        <v>12.434327471004936</v>
      </c>
      <c r="AO51" s="4"/>
      <c r="AP51" s="190">
        <f t="shared" si="8"/>
        <v>90.348088636525773</v>
      </c>
      <c r="AQ51" s="4"/>
      <c r="AR51" s="190">
        <f t="shared" si="17"/>
        <v>3.6534240029230456</v>
      </c>
      <c r="AS51" s="190"/>
      <c r="AT51" s="189">
        <f t="shared" si="3"/>
        <v>2314.2129160404461</v>
      </c>
      <c r="AU51" s="4"/>
      <c r="AV51" s="189">
        <f t="shared" si="4"/>
        <v>17599.238104729724</v>
      </c>
      <c r="AW51" s="337"/>
      <c r="AX51" s="191">
        <f t="shared" si="9"/>
        <v>19913.451020770171</v>
      </c>
      <c r="AZ51" s="182">
        <f>+IF(AZ50&gt;$G$13+$G$14,XX,AZ50+1)</f>
        <v>2031</v>
      </c>
      <c r="BA51" s="152"/>
      <c r="BB51" s="190">
        <f t="shared" si="18"/>
        <v>60.00890573756881</v>
      </c>
      <c r="BC51" s="4"/>
      <c r="BD51" s="190">
        <f t="shared" si="19"/>
        <v>9.1239458247886098</v>
      </c>
      <c r="BE51" s="4"/>
      <c r="BF51" s="189">
        <f t="shared" si="10"/>
        <v>2810.7108310546678</v>
      </c>
      <c r="BG51" s="4"/>
      <c r="BH51" s="193"/>
    </row>
    <row r="52" spans="2:60" ht="12">
      <c r="B52" s="3"/>
      <c r="C52" s="7">
        <f>+IF(C51&gt;$G$13+$G$14,XX,C51+1)</f>
        <v>2032</v>
      </c>
      <c r="D52" s="7"/>
      <c r="E52" s="330">
        <v>2.1000000000000001E-2</v>
      </c>
      <c r="F52" s="7"/>
      <c r="G52" s="23">
        <v>187887.18509575512</v>
      </c>
      <c r="H52" s="7"/>
      <c r="I52" s="39">
        <f t="shared" si="11"/>
        <v>282.67169281264631</v>
      </c>
      <c r="J52" s="7"/>
      <c r="K52" s="39">
        <f t="shared" si="12"/>
        <v>30.660909390975718</v>
      </c>
      <c r="L52" s="7"/>
      <c r="M52" s="39">
        <f t="shared" si="13"/>
        <v>0</v>
      </c>
      <c r="N52" s="7"/>
      <c r="O52" s="333">
        <v>8.1084265570263732</v>
      </c>
      <c r="P52" s="7"/>
      <c r="Q52" s="39">
        <v>0</v>
      </c>
      <c r="R52" s="7"/>
      <c r="S52" s="23">
        <f t="shared" si="5"/>
        <v>27127.814234749556</v>
      </c>
      <c r="T52" s="7"/>
      <c r="U52" s="23">
        <f t="shared" si="0"/>
        <v>20401.463400675424</v>
      </c>
      <c r="V52" s="7"/>
      <c r="W52" s="23">
        <f t="shared" si="1"/>
        <v>6726.3508340741319</v>
      </c>
      <c r="X52" s="7"/>
      <c r="Y52" s="334">
        <f t="shared" si="6"/>
        <v>35.799944688330413</v>
      </c>
      <c r="Z52" s="290"/>
      <c r="AB52" s="182">
        <f>+IF(AB51&gt;$G$13+$G$14,XX,AB51+1)</f>
        <v>2032</v>
      </c>
      <c r="AC52" s="152"/>
      <c r="AD52" s="187">
        <f t="shared" si="2"/>
        <v>187887.18509575512</v>
      </c>
      <c r="AE52" s="4"/>
      <c r="AF52" s="190">
        <f t="shared" si="14"/>
        <v>90.927517650040215</v>
      </c>
      <c r="AG52" s="4"/>
      <c r="AH52" s="190">
        <f t="shared" si="15"/>
        <v>12.819314527841492</v>
      </c>
      <c r="AI52" s="4"/>
      <c r="AJ52" s="190">
        <f t="shared" si="16"/>
        <v>3.6035803736543492</v>
      </c>
      <c r="AK52" s="4"/>
      <c r="AL52" s="189">
        <f t="shared" si="7"/>
        <v>5234.9408621936091</v>
      </c>
      <c r="AM52" s="4"/>
      <c r="AN52" s="190">
        <f>INDEX('(2.2)_Forward_Price_Curve'!$I:$I,MATCH($AB52,'(2.2)_Forward_Price_Curve'!$C:$C,0),1)</f>
        <v>12.698146444521699</v>
      </c>
      <c r="AO52" s="4"/>
      <c r="AP52" s="190">
        <f t="shared" si="8"/>
        <v>92.265002925526986</v>
      </c>
      <c r="AQ52" s="4"/>
      <c r="AR52" s="190">
        <f t="shared" si="17"/>
        <v>3.7301459069844292</v>
      </c>
      <c r="AS52" s="190"/>
      <c r="AT52" s="189">
        <f t="shared" si="3"/>
        <v>2365.2051036867929</v>
      </c>
      <c r="AU52" s="4"/>
      <c r="AV52" s="189">
        <f t="shared" si="4"/>
        <v>18036.258296988632</v>
      </c>
      <c r="AW52" s="337"/>
      <c r="AX52" s="191">
        <f t="shared" si="9"/>
        <v>20401.463400675424</v>
      </c>
      <c r="AZ52" s="182">
        <f>+IF(AZ51&gt;$G$13+$G$14,XX,AZ51+1)</f>
        <v>2032</v>
      </c>
      <c r="BA52" s="152"/>
      <c r="BB52" s="190">
        <f t="shared" si="18"/>
        <v>61.269092758057752</v>
      </c>
      <c r="BC52" s="4"/>
      <c r="BD52" s="190">
        <f t="shared" si="19"/>
        <v>9.3155486871091693</v>
      </c>
      <c r="BE52" s="4"/>
      <c r="BF52" s="189">
        <f>(BB52+BD52)*$BD$11</f>
        <v>2869.7357585068162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7.32%</v>
      </c>
      <c r="E54" s="210"/>
      <c r="F54" s="4"/>
      <c r="G54" s="23">
        <f>+-PMT($G$18,$G$14,NPV($G$18,G28:G52))</f>
        <v>187414.22444855821</v>
      </c>
      <c r="H54" s="7"/>
      <c r="I54" s="39">
        <f>+-PMT($G$18,$G$14,NPV($G$18,I28:I52))</f>
        <v>212.94957431360362</v>
      </c>
      <c r="J54" s="39"/>
      <c r="K54" s="39">
        <f>+-PMT($G$18,$G$14,NPV($G$18,K28:K52))</f>
        <v>23.098271842889453</v>
      </c>
      <c r="L54" s="7"/>
      <c r="M54" s="39">
        <f>+-PMT($G$18,$G$14,NPV($G$18,M28:M52))</f>
        <v>0</v>
      </c>
      <c r="N54" s="7"/>
      <c r="O54" s="39">
        <f>+-PMT($G$18,$G$14,NPV($G$18,O28:O52))</f>
        <v>6.1084502890649341</v>
      </c>
      <c r="P54" s="7"/>
      <c r="Q54" s="39">
        <f>+-PMT($G$18,$G$14,NPV($G$18,Q28:Q52))</f>
        <v>-21.083343367200708</v>
      </c>
      <c r="R54" s="7"/>
      <c r="S54" s="23">
        <f>+-PMT($G$18,$G$14,NPV($G$18,S28:S52))</f>
        <v>16471.141688628581</v>
      </c>
      <c r="T54" s="7"/>
      <c r="U54" s="23">
        <f>+-PMT($G$18,$G$14,NPV($G$18,U28:U52))</f>
        <v>14202.225403499042</v>
      </c>
      <c r="V54" s="4"/>
      <c r="W54" s="23">
        <f>+-PMT($G$18,$G$14,NPV($G$18,W28:W52))</f>
        <v>2268.9162851295418</v>
      </c>
      <c r="X54" s="4"/>
      <c r="Y54" s="334">
        <f>+W54/G54*1000</f>
        <v>12.106425175599828</v>
      </c>
      <c r="Z54" s="290"/>
      <c r="AB54" s="3"/>
      <c r="AC54" s="4"/>
      <c r="AD54" s="187">
        <f>+-PMT($G$18,$G$14,NPV($G$18,AD28:AD52))</f>
        <v>187414.22444855821</v>
      </c>
      <c r="AE54" s="4"/>
      <c r="AF54" s="190">
        <f>+-PMT($G$18,$G$14,NPV($G$18,AF28:AF52))</f>
        <v>68.499876957267318</v>
      </c>
      <c r="AG54" s="4"/>
      <c r="AH54" s="190">
        <f>+-PMT($G$18,$G$14,NPV($G$18,AH28:AH52))</f>
        <v>9.6573786520087967</v>
      </c>
      <c r="AI54" s="4"/>
      <c r="AJ54" s="190">
        <f>+-PMT($G$18,$G$14,NPV($G$18,AJ28:AJ52))</f>
        <v>2.7147426717508885</v>
      </c>
      <c r="AK54" s="4"/>
      <c r="AL54" s="189">
        <f>+-PMT($G$18,$G$14,NPV($G$18,AL28:AL52))</f>
        <v>3942.4314071062799</v>
      </c>
      <c r="AM54" s="4"/>
      <c r="AN54" s="190">
        <f>+-PMT($G$18,$G$14,NPV($G$18,AN28:AN52))</f>
        <v>8.735091274734982</v>
      </c>
      <c r="AO54" s="4"/>
      <c r="AP54" s="190">
        <f>+-PMT($G$18,$G$14,NPV($G$18,AP28:AP52))</f>
        <v>63.469359527340494</v>
      </c>
      <c r="AQ54" s="4"/>
      <c r="AR54" s="190">
        <f>+-PMT($G$18,$G$14,NPV($G$18,AR28:AR52))</f>
        <v>2.8100903034052487</v>
      </c>
      <c r="AS54" s="190"/>
      <c r="AT54" s="189">
        <f>+-PMT($G$18,$G$14,NPV($G$18,AT28:AT52))</f>
        <v>1780.5276024278494</v>
      </c>
      <c r="AU54" s="4"/>
      <c r="AV54" s="189">
        <f>+-PMT($G$18,$G$14,NPV($G$18,AV28:AV52))</f>
        <v>12421.69780107119</v>
      </c>
      <c r="AW54" s="337"/>
      <c r="AX54" s="191">
        <f>+-PMT($G$18,$G$14,NPV($G$18,AX28:AX52))</f>
        <v>14202.225403499042</v>
      </c>
      <c r="AZ54" s="3"/>
      <c r="BA54" s="4"/>
      <c r="BB54" s="190">
        <f>+-PMT($G$18,$G$14,NPV($G$18,BB28:BB52))</f>
        <v>46.156822749339604</v>
      </c>
      <c r="BC54" s="4"/>
      <c r="BD54" s="190">
        <f>+-PMT($G$18,$G$14,NPV($G$18,BD28:BD52))</f>
        <v>7.01783085415759</v>
      </c>
      <c r="BE54" s="4"/>
      <c r="BF54" s="189">
        <f>+-PMT($G$18,$G$14,NPV($G$18,BF28:BF52))</f>
        <v>2161.9038046784303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A2B5673FA0501147ACAABB0ECE39764D" ma:contentTypeVersion="52" ma:contentTypeDescription="" ma:contentTypeScope="" ma:versionID="66cf1b85f12af691bb24db10aa61b647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140</IndustryCode>
    <CaseStatus xmlns="dc463f71-b30c-4ab2-9473-d307f9d35888">Closed</CaseStatus>
    <OpenedDate xmlns="dc463f71-b30c-4ab2-9473-d307f9d35888">2020-06-01T07:00:00+00:00</OpenedDate>
    <SignificantOrder xmlns="dc463f71-b30c-4ab2-9473-d307f9d35888">false</SignificantOrder>
    <Date1 xmlns="dc463f71-b30c-4ab2-9473-d307f9d35888">2020-07-20T07:00:00+00:00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PacifiCorp</CaseCompanyNames>
    <Nickname xmlns="http://schemas.microsoft.com/sharepoint/v3" xsi:nil="true"/>
    <DocketNumber xmlns="dc463f71-b30c-4ab2-9473-d307f9d35888">200506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24DB8989-C842-4403-AD6C-E34EA619C66B}"/>
</file>

<file path=customXml/itemProps2.xml><?xml version="1.0" encoding="utf-8"?>
<ds:datastoreItem xmlns:ds="http://schemas.openxmlformats.org/officeDocument/2006/customXml" ds:itemID="{21291734-86AC-4A97-BBEE-5037AE5012EF}"/>
</file>

<file path=customXml/itemProps3.xml><?xml version="1.0" encoding="utf-8"?>
<ds:datastoreItem xmlns:ds="http://schemas.openxmlformats.org/officeDocument/2006/customXml" ds:itemID="{F1C1394A-F2FA-4631-B567-05AD4011AA9E}"/>
</file>

<file path=customXml/itemProps4.xml><?xml version="1.0" encoding="utf-8"?>
<ds:datastoreItem xmlns:ds="http://schemas.openxmlformats.org/officeDocument/2006/customXml" ds:itemID="{C23906E6-9FDE-4D07-9E2C-BE138FE77F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</vt:i4>
      </vt:variant>
    </vt:vector>
  </HeadingPairs>
  <TitlesOfParts>
    <vt:vector size="19" baseType="lpstr">
      <vt:lpstr>Workpaper Index</vt:lpstr>
      <vt:lpstr>(1.1)_Summary</vt:lpstr>
      <vt:lpstr>(1.2)_Lvl_Resource_Cost</vt:lpstr>
      <vt:lpstr>(2.1)_Resources</vt:lpstr>
      <vt:lpstr>(2.2)_Forward_Price_Curve</vt:lpstr>
      <vt:lpstr>(3.1a)_Goodnoe_Hills-orig</vt:lpstr>
      <vt:lpstr>(3.1b)_Goodnoe_Hills - Repower</vt:lpstr>
      <vt:lpstr>(3.2)_Marengo</vt:lpstr>
      <vt:lpstr>(3.3)_Marengo 2</vt:lpstr>
      <vt:lpstr>(3.4a)_Leaning Juniper-orig</vt:lpstr>
      <vt:lpstr>(3.4b)_Leaning Juniper -Repower</vt:lpstr>
      <vt:lpstr>(3.5)_Lemolo 1 (2003IRP)</vt:lpstr>
      <vt:lpstr>(3.6)_Lemolo 2 (2008 IRP)</vt:lpstr>
      <vt:lpstr>(3.7)_JC Boyle (2004 IRP)</vt:lpstr>
      <vt:lpstr>(3.8)_Prospect 2 (2003 IRP)</vt:lpstr>
      <vt:lpstr>(3.9)_WCA Wind Weighted Average</vt:lpstr>
      <vt:lpstr>'(2.1)_Resources'!Print_Area</vt:lpstr>
      <vt:lpstr>'(2.2)_Forward_Price_Curve'!Print_Area</vt:lpstr>
      <vt:lpstr>'(2.2)_Forward_Price_Curve'!Print_Titles</vt:lpstr>
    </vt:vector>
  </TitlesOfParts>
  <Company>PacifiCorp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Kishore, Pooja</dc:creator>
  <cp:lastModifiedBy>Zahnow, Jessica</cp:lastModifiedBy>
  <dcterms:created xsi:type="dcterms:W3CDTF">2015-05-22T20:59:26Z</dcterms:created>
  <dcterms:modified xsi:type="dcterms:W3CDTF">2020-07-17T23:11:29Z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0x0101006E56B4D1795A2E4DB2F0B01679ED314A00A2B5673FA0501147ACAABB0ECE39764D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