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95" yWindow="2715" windowWidth="16335" windowHeight="8535" tabRatio="883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calcPr calcId="145621"/>
</workbook>
</file>

<file path=xl/calcChain.xml><?xml version="1.0" encoding="utf-8"?>
<calcChain xmlns="http://schemas.openxmlformats.org/spreadsheetml/2006/main">
  <c r="E26" i="83" l="1"/>
  <c r="B3" i="29" l="1"/>
  <c r="A2" i="7"/>
  <c r="B3" i="71"/>
  <c r="B3" i="21"/>
  <c r="B4" i="2"/>
  <c r="F14" i="83"/>
  <c r="F20" i="21"/>
  <c r="I35" i="71"/>
  <c r="J31" i="21"/>
  <c r="D14" i="83"/>
  <c r="O42" i="1" l="1"/>
  <c r="O41" i="1"/>
  <c r="O40" i="1" l="1"/>
  <c r="G29" i="71" l="1"/>
  <c r="C15" i="71"/>
  <c r="C13" i="71"/>
  <c r="N41" i="1" l="1"/>
  <c r="N40" i="1"/>
  <c r="N42" i="1"/>
  <c r="M41" i="1"/>
  <c r="M40" i="1"/>
  <c r="M42" i="1"/>
  <c r="L42" i="1"/>
  <c r="K42" i="1"/>
  <c r="J42" i="1"/>
  <c r="I42" i="1"/>
  <c r="H42" i="1"/>
  <c r="G42" i="1"/>
  <c r="E42" i="1"/>
  <c r="L41" i="1"/>
  <c r="K41" i="1"/>
  <c r="G41" i="1"/>
  <c r="L40" i="1"/>
  <c r="K40" i="1"/>
  <c r="J40" i="1"/>
  <c r="I40" i="1"/>
  <c r="H40" i="1"/>
  <c r="G40" i="1"/>
  <c r="F40" i="1"/>
  <c r="E40" i="1"/>
  <c r="D40" i="1"/>
  <c r="C40" i="1"/>
  <c r="K12" i="1"/>
  <c r="J12" i="1"/>
  <c r="I12" i="1"/>
  <c r="H12" i="1"/>
  <c r="G12" i="1"/>
  <c r="F12" i="1"/>
  <c r="E12" i="1"/>
  <c r="D12" i="1"/>
  <c r="C12" i="1"/>
  <c r="E26" i="21"/>
  <c r="G26" i="21"/>
  <c r="H26" i="21" s="1"/>
  <c r="A27" i="21"/>
  <c r="A28" i="21" s="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J26" i="21" l="1"/>
  <c r="F13" i="21" s="1"/>
  <c r="I22" i="7" l="1"/>
  <c r="H24" i="7" l="1"/>
  <c r="X24" i="7" s="1"/>
  <c r="F24" i="7"/>
  <c r="C27" i="71"/>
  <c r="D27" i="71"/>
  <c r="E27" i="71"/>
  <c r="F27" i="71"/>
  <c r="G27" i="71"/>
  <c r="H27" i="71"/>
  <c r="I24" i="7" l="1"/>
  <c r="V27" i="7" l="1"/>
  <c r="U27" i="7"/>
  <c r="T27" i="7"/>
  <c r="Q7" i="1" l="1"/>
  <c r="Q40" i="1" l="1"/>
  <c r="Q34" i="1"/>
  <c r="G27" i="21"/>
  <c r="Q36" i="1" l="1"/>
  <c r="Q41" i="1"/>
  <c r="Q14" i="1"/>
  <c r="M38" i="1"/>
  <c r="H22" i="7" l="1"/>
  <c r="X22" i="7" s="1"/>
  <c r="M43" i="1"/>
  <c r="N43" i="1"/>
  <c r="O43" i="1"/>
  <c r="N38" i="1"/>
  <c r="O38" i="1"/>
  <c r="O16" i="1"/>
  <c r="N16" i="1"/>
  <c r="M16" i="1"/>
  <c r="M10" i="1"/>
  <c r="N10" i="1"/>
  <c r="O10" i="1"/>
  <c r="Q9" i="1"/>
  <c r="Q8" i="1"/>
  <c r="E16" i="2"/>
  <c r="D16" i="2"/>
  <c r="C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H27" i="21"/>
  <c r="E12" i="21"/>
  <c r="E11" i="21"/>
  <c r="I24" i="29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6" i="7"/>
  <c r="T5" i="7"/>
  <c r="U5" i="7"/>
  <c r="V5" i="7"/>
  <c r="H31" i="71"/>
  <c r="G31" i="71"/>
  <c r="F31" i="71"/>
  <c r="D31" i="71"/>
  <c r="E31" i="71"/>
  <c r="C16" i="1"/>
  <c r="D16" i="1"/>
  <c r="E16" i="1"/>
  <c r="F16" i="1"/>
  <c r="H16" i="1"/>
  <c r="I16" i="1"/>
  <c r="J16" i="1"/>
  <c r="L43" i="1"/>
  <c r="K43" i="1"/>
  <c r="J43" i="1"/>
  <c r="L16" i="1"/>
  <c r="K16" i="1"/>
  <c r="Q42" i="1"/>
  <c r="I43" i="1"/>
  <c r="H43" i="1"/>
  <c r="G43" i="1"/>
  <c r="F43" i="1"/>
  <c r="G16" i="1"/>
  <c r="E43" i="1"/>
  <c r="A9" i="83"/>
  <c r="A10" i="83" s="1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J38" i="1"/>
  <c r="J44" i="1" s="1"/>
  <c r="J20" i="1" s="1"/>
  <c r="I38" i="1"/>
  <c r="I44" i="1" s="1"/>
  <c r="I20" i="1" s="1"/>
  <c r="H38" i="1"/>
  <c r="G38" i="1"/>
  <c r="F38" i="1"/>
  <c r="E38" i="1"/>
  <c r="D38" i="1"/>
  <c r="C38" i="1"/>
  <c r="K10" i="1"/>
  <c r="J10" i="1"/>
  <c r="I10" i="1"/>
  <c r="H10" i="1"/>
  <c r="G10" i="1"/>
  <c r="F10" i="1"/>
  <c r="E10" i="1"/>
  <c r="D10" i="1"/>
  <c r="C10" i="1"/>
  <c r="J32" i="21"/>
  <c r="H23" i="7"/>
  <c r="L38" i="1"/>
  <c r="L10" i="1"/>
  <c r="A27" i="71"/>
  <c r="E15" i="2"/>
  <c r="D15" i="2" s="1"/>
  <c r="A21" i="21"/>
  <c r="A22" i="21" s="1"/>
  <c r="A23" i="21" s="1"/>
  <c r="A24" i="21" s="1"/>
  <c r="A25" i="21" s="1"/>
  <c r="H12" i="7"/>
  <c r="X12" i="7" s="1"/>
  <c r="H11" i="7"/>
  <c r="D21" i="29"/>
  <c r="C15" i="2"/>
  <c r="C13" i="2"/>
  <c r="E13" i="2"/>
  <c r="H21" i="7"/>
  <c r="X21" i="7" s="1"/>
  <c r="H20" i="7"/>
  <c r="X20" i="7" s="1"/>
  <c r="H19" i="7"/>
  <c r="X19" i="7" s="1"/>
  <c r="I25" i="29"/>
  <c r="I31" i="29" s="1"/>
  <c r="I26" i="7" s="1"/>
  <c r="X26" i="7" s="1"/>
  <c r="H18" i="7"/>
  <c r="X18" i="7" s="1"/>
  <c r="H17" i="7"/>
  <c r="I17" i="7" s="1"/>
  <c r="H6" i="7"/>
  <c r="H7" i="7"/>
  <c r="H8" i="7"/>
  <c r="X8" i="7" s="1"/>
  <c r="H9" i="7"/>
  <c r="X9" i="7" s="1"/>
  <c r="H10" i="7"/>
  <c r="I10" i="7" s="1"/>
  <c r="H13" i="7"/>
  <c r="I13" i="7" s="1"/>
  <c r="H14" i="7"/>
  <c r="I14" i="7" s="1"/>
  <c r="H15" i="7"/>
  <c r="I15" i="7" s="1"/>
  <c r="H16" i="7"/>
  <c r="D20" i="29"/>
  <c r="D19" i="29"/>
  <c r="D18" i="29"/>
  <c r="H13" i="29"/>
  <c r="H12" i="29"/>
  <c r="S27" i="7"/>
  <c r="X28" i="7"/>
  <c r="A6" i="21"/>
  <c r="A7" i="21" s="1"/>
  <c r="A8" i="21" s="1"/>
  <c r="A9" i="21" s="1"/>
  <c r="A10" i="21" s="1"/>
  <c r="A11" i="21" s="1"/>
  <c r="A12" i="21" s="1"/>
  <c r="A9" i="71"/>
  <c r="A10" i="7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6" i="1"/>
  <c r="A7" i="1" s="1"/>
  <c r="A8" i="1" s="1"/>
  <c r="A9" i="1" s="1"/>
  <c r="A10" i="1" s="1"/>
  <c r="A12" i="1" s="1"/>
  <c r="A14" i="1" s="1"/>
  <c r="A16" i="1" s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9" i="2"/>
  <c r="A10" i="2" s="1"/>
  <c r="A11" i="2" s="1"/>
  <c r="A12" i="2" s="1"/>
  <c r="A13" i="2" s="1"/>
  <c r="A14" i="2" s="1"/>
  <c r="Q27" i="7"/>
  <c r="R27" i="7"/>
  <c r="P27" i="7"/>
  <c r="O27" i="7"/>
  <c r="N27" i="7"/>
  <c r="M27" i="7"/>
  <c r="L27" i="7"/>
  <c r="K27" i="7"/>
  <c r="J27" i="7"/>
  <c r="M42" i="7"/>
  <c r="N42" i="7"/>
  <c r="O42" i="7"/>
  <c r="P42" i="7"/>
  <c r="Q42" i="7"/>
  <c r="R42" i="7"/>
  <c r="S42" i="7"/>
  <c r="J42" i="7"/>
  <c r="K42" i="7"/>
  <c r="L42" i="7"/>
  <c r="D13" i="29"/>
  <c r="D12" i="29"/>
  <c r="E14" i="2"/>
  <c r="D14" i="2" s="1"/>
  <c r="D16" i="21"/>
  <c r="C16" i="21"/>
  <c r="E16" i="21" s="1"/>
  <c r="C14" i="2"/>
  <c r="A28" i="71"/>
  <c r="A29" i="71" s="1"/>
  <c r="A30" i="71" s="1"/>
  <c r="A31" i="71" s="1"/>
  <c r="A32" i="71" s="1"/>
  <c r="A33" i="71" s="1"/>
  <c r="A34" i="71" s="1"/>
  <c r="A35" i="71" s="1"/>
  <c r="X23" i="7"/>
  <c r="D43" i="1"/>
  <c r="F44" i="1" l="1"/>
  <c r="E17" i="2"/>
  <c r="G44" i="1"/>
  <c r="I16" i="7"/>
  <c r="D13" i="2"/>
  <c r="C17" i="2"/>
  <c r="F31" i="7" s="1"/>
  <c r="H44" i="1"/>
  <c r="H20" i="1" s="1"/>
  <c r="H22" i="1" s="1"/>
  <c r="H27" i="1" s="1"/>
  <c r="K44" i="1"/>
  <c r="K20" i="1" s="1"/>
  <c r="K22" i="1" s="1"/>
  <c r="K28" i="1" s="1"/>
  <c r="I18" i="7"/>
  <c r="I23" i="7"/>
  <c r="I19" i="7"/>
  <c r="X14" i="7"/>
  <c r="I9" i="7"/>
  <c r="I7" i="7"/>
  <c r="I11" i="7"/>
  <c r="I6" i="7"/>
  <c r="F27" i="7"/>
  <c r="F29" i="7" s="1"/>
  <c r="J27" i="21"/>
  <c r="F14" i="21" s="1"/>
  <c r="E44" i="1"/>
  <c r="E20" i="1" s="1"/>
  <c r="E22" i="1" s="1"/>
  <c r="X16" i="7"/>
  <c r="X17" i="7"/>
  <c r="I12" i="7"/>
  <c r="I21" i="7"/>
  <c r="I20" i="7"/>
  <c r="X7" i="7"/>
  <c r="O44" i="1"/>
  <c r="O20" i="1" s="1"/>
  <c r="O22" i="1" s="1"/>
  <c r="O28" i="1" s="1"/>
  <c r="L44" i="1"/>
  <c r="L20" i="1" s="1"/>
  <c r="L22" i="1" s="1"/>
  <c r="L28" i="1" s="1"/>
  <c r="N44" i="1"/>
  <c r="N20" i="1" s="1"/>
  <c r="N22" i="1" s="1"/>
  <c r="N25" i="1" s="1"/>
  <c r="J22" i="1"/>
  <c r="J27" i="1" s="1"/>
  <c r="D44" i="1"/>
  <c r="D20" i="1" s="1"/>
  <c r="D22" i="1" s="1"/>
  <c r="D25" i="1" s="1"/>
  <c r="I22" i="1"/>
  <c r="I28" i="1" s="1"/>
  <c r="I27" i="71"/>
  <c r="E21" i="2" s="1"/>
  <c r="C31" i="71"/>
  <c r="I8" i="7"/>
  <c r="X13" i="7"/>
  <c r="X6" i="7"/>
  <c r="X25" i="7" s="1"/>
  <c r="X10" i="7"/>
  <c r="X11" i="7"/>
  <c r="X15" i="7"/>
  <c r="F20" i="1"/>
  <c r="Q10" i="1"/>
  <c r="Q38" i="1"/>
  <c r="G20" i="1"/>
  <c r="C43" i="1"/>
  <c r="C44" i="1" s="1"/>
  <c r="Q12" i="1"/>
  <c r="Q16" i="1" s="1"/>
  <c r="M44" i="1"/>
  <c r="C23" i="2" l="1"/>
  <c r="J28" i="21"/>
  <c r="Q43" i="1"/>
  <c r="F21" i="2"/>
  <c r="I29" i="7"/>
  <c r="H29" i="7" s="1"/>
  <c r="E16" i="83" s="1"/>
  <c r="F33" i="7"/>
  <c r="K24" i="1"/>
  <c r="H28" i="1"/>
  <c r="K25" i="1"/>
  <c r="K27" i="1"/>
  <c r="H24" i="1"/>
  <c r="X27" i="7"/>
  <c r="H25" i="1"/>
  <c r="J25" i="1"/>
  <c r="I27" i="7"/>
  <c r="H27" i="7" s="1"/>
  <c r="J24" i="1"/>
  <c r="J28" i="1"/>
  <c r="D27" i="1"/>
  <c r="D24" i="1"/>
  <c r="D26" i="1" s="1"/>
  <c r="D28" i="1"/>
  <c r="C14" i="83"/>
  <c r="F22" i="1"/>
  <c r="F28" i="1" s="1"/>
  <c r="E24" i="1"/>
  <c r="E27" i="1"/>
  <c r="E25" i="1"/>
  <c r="G22" i="1"/>
  <c r="G28" i="1" s="1"/>
  <c r="I24" i="1"/>
  <c r="I25" i="1"/>
  <c r="I27" i="1"/>
  <c r="O27" i="1"/>
  <c r="L25" i="1"/>
  <c r="L27" i="1"/>
  <c r="I31" i="7"/>
  <c r="F17" i="2"/>
  <c r="D17" i="2"/>
  <c r="C16" i="83"/>
  <c r="L24" i="1"/>
  <c r="Q44" i="1"/>
  <c r="C20" i="1"/>
  <c r="E28" i="1"/>
  <c r="M20" i="1"/>
  <c r="O24" i="1"/>
  <c r="O25" i="1"/>
  <c r="N27" i="1"/>
  <c r="N28" i="1"/>
  <c r="N24" i="1"/>
  <c r="N26" i="1" s="1"/>
  <c r="K26" i="1" l="1"/>
  <c r="K30" i="1" s="1"/>
  <c r="Y27" i="7"/>
  <c r="H26" i="1"/>
  <c r="H30" i="1" s="1"/>
  <c r="J26" i="1"/>
  <c r="J30" i="1" s="1"/>
  <c r="E26" i="1"/>
  <c r="E30" i="1" s="1"/>
  <c r="C26" i="83"/>
  <c r="D30" i="1"/>
  <c r="I26" i="1"/>
  <c r="I30" i="1" s="1"/>
  <c r="F27" i="1"/>
  <c r="F24" i="1"/>
  <c r="F25" i="1"/>
  <c r="G24" i="1"/>
  <c r="G27" i="1"/>
  <c r="G25" i="1"/>
  <c r="L26" i="1"/>
  <c r="L30" i="1" s="1"/>
  <c r="C22" i="1"/>
  <c r="C28" i="1" s="1"/>
  <c r="H31" i="7"/>
  <c r="E14" i="83" s="1"/>
  <c r="I33" i="7"/>
  <c r="H33" i="7" s="1"/>
  <c r="E18" i="83" s="1"/>
  <c r="Q20" i="1"/>
  <c r="M22" i="1"/>
  <c r="O26" i="1"/>
  <c r="O30" i="1" s="1"/>
  <c r="N30" i="1"/>
  <c r="C25" i="1" l="1"/>
  <c r="C27" i="1"/>
  <c r="C24" i="1"/>
  <c r="F26" i="1"/>
  <c r="F30" i="1" s="1"/>
  <c r="G26" i="1"/>
  <c r="G30" i="1" s="1"/>
  <c r="Q22" i="1"/>
  <c r="C28" i="83"/>
  <c r="C30" i="83" s="1"/>
  <c r="M28" i="1"/>
  <c r="M27" i="1"/>
  <c r="M24" i="1"/>
  <c r="M25" i="1"/>
  <c r="C26" i="1" l="1"/>
  <c r="C30" i="1" s="1"/>
  <c r="M26" i="1"/>
  <c r="M30" i="1" s="1"/>
  <c r="Q24" i="1"/>
  <c r="Q25" i="1"/>
  <c r="Q27" i="1"/>
  <c r="Q28" i="1"/>
  <c r="D28" i="83"/>
  <c r="F28" i="83" s="1"/>
  <c r="F30" i="83" s="1"/>
  <c r="D18" i="83"/>
  <c r="D26" i="83" s="1"/>
  <c r="F18" i="21"/>
  <c r="D16" i="83"/>
  <c r="F16" i="83" s="1"/>
  <c r="I33" i="71"/>
  <c r="I33" i="29"/>
  <c r="I35" i="29" s="1"/>
  <c r="F24" i="83" s="1"/>
  <c r="F18" i="83" l="1"/>
  <c r="F22" i="83"/>
  <c r="Q26" i="1"/>
  <c r="Q30" i="1" s="1"/>
  <c r="D30" i="83"/>
  <c r="F15" i="21" l="1"/>
  <c r="F16" i="21" s="1"/>
  <c r="F20" i="83" l="1"/>
  <c r="F26" i="83" s="1"/>
  <c r="E19" i="2"/>
  <c r="E23" i="2" l="1"/>
  <c r="F19" i="2"/>
  <c r="F23" i="2" l="1"/>
</calcChain>
</file>

<file path=xl/comments1.xml><?xml version="1.0" encoding="utf-8"?>
<comments xmlns="http://schemas.openxmlformats.org/spreadsheetml/2006/main">
  <authors>
    <author>jsant</author>
  </authors>
  <commentList>
    <comment ref="B34" author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jsant</author>
    <author>Puget Sound Energy</author>
  </authors>
  <commentList>
    <comment ref="C9" authorId="0">
      <text>
        <r>
          <rPr>
            <sz val="8"/>
            <color indexed="81"/>
            <rFont val="Tahoma"/>
            <family val="2"/>
          </rPr>
          <t xml:space="preserve">Based on daily balances outstanding
</t>
        </r>
      </text>
    </comment>
    <comment ref="F9" authorId="0">
      <text>
        <r>
          <rPr>
            <sz val="8"/>
            <color indexed="81"/>
            <rFont val="Tahoma"/>
            <family val="2"/>
          </rPr>
          <t>Includes Credit Facility and Letter of Credit Fees.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1" authorId="1">
      <text>
        <r>
          <rPr>
            <b/>
            <sz val="8"/>
            <color indexed="81"/>
            <rFont val="Tahoma"/>
            <family val="2"/>
          </rPr>
          <t>Puget Sound Energy:</t>
        </r>
        <r>
          <rPr>
            <sz val="8"/>
            <color indexed="81"/>
            <rFont val="Tahoma"/>
            <family val="2"/>
          </rPr>
          <t xml:space="preserve">
Added $12.92 monthly to cover cost of annual amendment fees</t>
        </r>
      </text>
    </comment>
  </commentList>
</comments>
</file>

<file path=xl/comments3.xml><?xml version="1.0" encoding="utf-8"?>
<comments xmlns="http://schemas.openxmlformats.org/spreadsheetml/2006/main">
  <authors>
    <author>Patrick McConnell</author>
  </authors>
  <commentList>
    <comment ref="I22" authorId="0">
      <text>
        <r>
          <rPr>
            <b/>
            <sz val="9"/>
            <color indexed="81"/>
            <rFont val="Tahoma"/>
            <family val="2"/>
          </rPr>
          <t>Patrick McConnell:</t>
        </r>
        <r>
          <rPr>
            <sz val="9"/>
            <color indexed="81"/>
            <rFont val="Tahoma"/>
            <family val="2"/>
          </rPr>
          <t xml:space="preserve">
Notes went to floating rate on 12/1/17.  Annual charge is 6 mths at Cost Rate, plus Dec - Feb at first floating rate, plus full amt for 19 days of March at 2nd floating rate, plus remaining balance after tender at 2nd floating rate for 38
days</t>
        </r>
      </text>
    </comment>
  </commentList>
</comments>
</file>

<file path=xl/comments4.xml><?xml version="1.0" encoding="utf-8"?>
<comments xmlns="http://schemas.openxmlformats.org/spreadsheetml/2006/main">
  <authors>
    <author>jsant</author>
  </authors>
  <commentList>
    <comment ref="I31" authorId="0">
      <text>
        <r>
          <rPr>
            <sz val="8"/>
            <color indexed="81"/>
            <rFont val="Tahoma"/>
            <family val="2"/>
          </rPr>
          <t>Flows to Cost of Debt Tab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<sst xmlns="http://schemas.openxmlformats.org/spreadsheetml/2006/main" count="332" uniqueCount="203">
  <si>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</si>
  <si>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</si>
  <si>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</si>
  <si>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</si>
  <si>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</si>
  <si>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</si>
  <si>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</si>
  <si>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</si>
  <si>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</si>
  <si>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</si>
  <si>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</si>
  <si>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</si>
  <si>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</si>
  <si>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</si>
  <si>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</si>
  <si>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</si>
  <si>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</si>
  <si>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</si>
  <si>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</si>
  <si>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</si>
  <si>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</si>
  <si>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</si>
  <si>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</si>
  <si>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</si>
  <si>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</si>
  <si>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</si>
  <si>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</si>
  <si>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</si>
  <si>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</si>
  <si>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</si>
  <si>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</si>
  <si>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</si>
  <si>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</si>
  <si>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</si>
  <si>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</si>
  <si>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</si>
  <si>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</si>
  <si>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</si>
  <si>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</si>
  <si>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</si>
  <si>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</si>
  <si>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</si>
  <si>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</si>
  <si>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</si>
  <si>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</si>
  <si>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</si>
  <si>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</si>
  <si>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</si>
  <si>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</si>
  <si>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</si>
  <si>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</si>
  <si>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</si>
  <si>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</si>
  <si>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</si>
  <si>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</si>
  <si>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</si>
  <si>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</si>
  <si>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</si>
  <si>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</si>
  <si>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</si>
  <si>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</si>
  <si>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</si>
  <si>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</si>
  <si>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</si>
  <si>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</si>
  <si>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</si>
  <si>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</si>
  <si>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</si>
  <si>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</si>
  <si>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</si>
  <si>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</si>
  <si>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</si>
  <si>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</si>
  <si>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</si>
  <si>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</si>
  <si>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</si>
  <si>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</si>
  <si>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</si>
  <si>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</si>
  <si>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</si>
  <si>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</si>
  <si>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</si>
  <si>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</si>
  <si>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</si>
  <si>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</si>
  <si>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</si>
  <si>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</si>
  <si>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</si>
  <si>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</si>
  <si>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</si>
  <si>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</si>
  <si>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</si>
  <si>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</si>
  <si>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</si>
  <si>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</si>
  <si>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</si>
  <si>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</si>
  <si>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</si>
  <si>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</si>
  <si>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</si>
  <si>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</si>
  <si>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</si>
  <si>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</si>
  <si>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</si>
  <si>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</si>
  <si>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</si>
  <si>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</si>
  <si>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</si>
  <si>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</si>
  <si>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</si>
  <si>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</si>
  <si>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</si>
  <si>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</si>
  <si>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</si>
  <si>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</si>
  <si>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</si>
  <si>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</si>
  <si>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</si>
  <si>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</si>
  <si>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</si>
  <si>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JrSubN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</si>
  <si>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</si>
  <si>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</si>
  <si>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</si>
  <si>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</si>
  <si>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</si>
  <si>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</si>
  <si>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</si>
  <si>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</si>
  <si>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</si>
  <si>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</si>
  <si>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</si>
  <si>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</si>
  <si>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</si>
  <si>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</si>
  <si>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</si>
  <si>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</si>
  <si>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</si>
  <si>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</si>
  <si>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</si>
  <si>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</si>
  <si>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</si>
  <si>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</si>
  <si>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</si>
  <si>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</si>
  <si>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</si>
  <si>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</si>
  <si>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</si>
  <si>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</si>
  <si>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</si>
  <si>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</si>
  <si>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</si>
  <si>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</si>
  <si>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</si>
  <si>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</si>
  <si>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</si>
  <si>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</si>
  <si>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$400 million</t>
  </si>
  <si>
    <t>Working Cap Fac</t>
  </si>
  <si>
    <t>TOTAL</t>
  </si>
  <si>
    <t>AMORTIZATION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</si>
  <si>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</si>
  <si>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</si>
  <si>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</si>
  <si>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</si>
  <si>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</si>
  <si>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</si>
  <si>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</si>
  <si>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</si>
  <si>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</si>
  <si>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</si>
  <si>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</si>
  <si>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</si>
  <si>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</si>
  <si>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</si>
  <si>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</si>
  <si>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</si>
  <si>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</si>
  <si>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</si>
  <si>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SAP FS10N</t>
  </si>
  <si>
    <t>Capex Fac</t>
  </si>
  <si>
    <t>18101083/18900403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</si>
  <si>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</si>
  <si>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</si>
  <si>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</si>
  <si>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</si>
  <si>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</si>
  <si>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</si>
  <si>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</si>
  <si>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</si>
  <si>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</si>
  <si>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</si>
  <si>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</si>
  <si>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</si>
  <si>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</si>
  <si>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</si>
  <si>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</si>
  <si>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</si>
  <si>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</si>
  <si>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December 31, 2017 Through December 31, 2018</t>
  </si>
  <si>
    <t>As of: 12/31/17</t>
  </si>
  <si>
    <t>Total Amortization for 12 months ended 12/31/18</t>
  </si>
  <si>
    <t>For The 12 Months Ending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</si>
</sst>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0.0_);[Red]\(0.0\)"/>
    <numFmt numFmtId="189" formatCode="_(* #,##0.000_);_(* \(#,##0.000\);_(* &quot;-&quot;??_);_(@_)"/>
  </numFmts>
  <fonts count="71">
    <font>
      <sz val="8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7">
    <xf numFmtId="37" fontId="0" fillId="0" borderId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2" fillId="16" borderId="1" applyNumberFormat="0" applyAlignment="0" applyProtection="0"/>
    <xf numFmtId="0" fontId="52" fillId="16" borderId="1" applyNumberFormat="0" applyAlignment="0" applyProtection="0"/>
    <xf numFmtId="0" fontId="53" fillId="17" borderId="2" applyNumberFormat="0" applyAlignment="0" applyProtection="0"/>
    <xf numFmtId="0" fontId="53" fillId="17" borderId="2" applyNumberFormat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6" fillId="0" borderId="3" applyNumberFormat="0" applyFill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7" borderId="1" applyNumberFormat="0" applyAlignment="0" applyProtection="0"/>
    <xf numFmtId="0" fontId="59" fillId="7" borderId="1" applyNumberFormat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177" fontId="24" fillId="0" borderId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1" fillId="0" borderId="0"/>
    <xf numFmtId="0" fontId="12" fillId="0" borderId="0"/>
    <xf numFmtId="0" fontId="12" fillId="0" borderId="0"/>
    <xf numFmtId="37" fontId="24" fillId="0" borderId="0"/>
    <xf numFmtId="37" fontId="15" fillId="0" borderId="0"/>
    <xf numFmtId="0" fontId="3" fillId="0" borderId="0"/>
    <xf numFmtId="37" fontId="3" fillId="0" borderId="0"/>
    <xf numFmtId="37" fontId="3" fillId="0" borderId="0"/>
    <xf numFmtId="37" fontId="3" fillId="0" borderId="0"/>
    <xf numFmtId="10" fontId="3" fillId="0" borderId="0"/>
    <xf numFmtId="0" fontId="3" fillId="0" borderId="0"/>
    <xf numFmtId="0" fontId="15" fillId="4" borderId="7" applyNumberFormat="0" applyFont="0" applyAlignment="0" applyProtection="0"/>
    <xf numFmtId="0" fontId="15" fillId="4" borderId="7" applyNumberFormat="0" applyFont="0" applyAlignment="0" applyProtection="0"/>
    <xf numFmtId="0" fontId="62" fillId="16" borderId="8" applyNumberFormat="0" applyAlignment="0" applyProtection="0"/>
    <xf numFmtId="0" fontId="62" fillId="16" borderId="8" applyNumberForma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460">
    <xf numFmtId="37" fontId="0" fillId="0" borderId="0" xfId="0"/>
    <xf numFmtId="0" fontId="4" fillId="0" borderId="0" xfId="88" applyFont="1"/>
    <xf numFmtId="0" fontId="4" fillId="0" borderId="0" xfId="88" applyFont="1" applyFill="1"/>
    <xf numFmtId="37" fontId="4" fillId="0" borderId="0" xfId="89" applyFont="1" applyAlignment="1" applyProtection="1">
      <alignment horizontal="center"/>
    </xf>
    <xf numFmtId="37" fontId="4" fillId="0" borderId="0" xfId="89" applyFont="1" applyProtection="1"/>
    <xf numFmtId="37" fontId="4" fillId="0" borderId="0" xfId="89" applyFont="1"/>
    <xf numFmtId="37" fontId="5" fillId="0" borderId="0" xfId="0" applyFont="1" applyAlignment="1">
      <alignment horizontal="centerContinuous"/>
    </xf>
    <xf numFmtId="37" fontId="4" fillId="0" borderId="0" xfId="89" applyFont="1" applyAlignment="1">
      <alignment horizontal="centerContinuous"/>
    </xf>
    <xf numFmtId="37" fontId="4" fillId="0" borderId="0" xfId="89" applyFont="1" applyAlignment="1" applyProtection="1">
      <alignment horizontal="left"/>
    </xf>
    <xf numFmtId="10" fontId="4" fillId="0" borderId="0" xfId="89" applyNumberFormat="1" applyFont="1" applyProtection="1"/>
    <xf numFmtId="37" fontId="4" fillId="0" borderId="0" xfId="89" applyNumberFormat="1" applyFont="1" applyProtection="1"/>
    <xf numFmtId="37" fontId="4" fillId="0" borderId="0" xfId="89" applyFont="1" applyAlignment="1">
      <alignment horizontal="center"/>
    </xf>
    <xf numFmtId="15" fontId="4" fillId="0" borderId="0" xfId="89" applyNumberFormat="1" applyFont="1" applyProtection="1"/>
    <xf numFmtId="7" fontId="4" fillId="0" borderId="0" xfId="89" applyNumberFormat="1" applyFont="1" applyProtection="1"/>
    <xf numFmtId="168" fontId="4" fillId="0" borderId="0" xfId="89" applyNumberFormat="1" applyFont="1" applyProtection="1"/>
    <xf numFmtId="1" fontId="4" fillId="0" borderId="0" xfId="92" applyNumberFormat="1" applyFont="1" applyProtection="1"/>
    <xf numFmtId="10" fontId="4" fillId="0" borderId="0" xfId="92" applyFont="1"/>
    <xf numFmtId="10" fontId="4" fillId="0" borderId="0" xfId="92" applyFont="1" applyAlignment="1">
      <alignment horizontal="centerContinuous"/>
    </xf>
    <xf numFmtId="1" fontId="4" fillId="0" borderId="0" xfId="92" applyNumberFormat="1" applyFont="1" applyAlignment="1" applyProtection="1">
      <alignment horizontal="center"/>
    </xf>
    <xf numFmtId="37" fontId="4" fillId="0" borderId="0" xfId="0" applyFont="1"/>
    <xf numFmtId="5" fontId="4" fillId="0" borderId="0" xfId="92" applyNumberFormat="1" applyFont="1" applyProtection="1"/>
    <xf numFmtId="165" fontId="4" fillId="0" borderId="0" xfId="92" applyNumberFormat="1" applyFont="1" applyProtection="1"/>
    <xf numFmtId="10" fontId="4" fillId="0" borderId="0" xfId="92" applyNumberFormat="1" applyFont="1" applyProtection="1"/>
    <xf numFmtId="37" fontId="4" fillId="0" borderId="0" xfId="90" applyFont="1"/>
    <xf numFmtId="37" fontId="4" fillId="0" borderId="0" xfId="90" applyFont="1" applyAlignment="1" applyProtection="1">
      <alignment horizontal="center"/>
    </xf>
    <xf numFmtId="37" fontId="6" fillId="0" borderId="0" xfId="90" applyFont="1" applyAlignment="1">
      <alignment horizontal="center"/>
    </xf>
    <xf numFmtId="5" fontId="4" fillId="0" borderId="0" xfId="90" applyNumberFormat="1" applyFont="1"/>
    <xf numFmtId="37" fontId="7" fillId="0" borderId="0" xfId="90" applyFont="1"/>
    <xf numFmtId="37" fontId="7" fillId="0" borderId="0" xfId="90" applyFont="1" applyFill="1"/>
    <xf numFmtId="15" fontId="4" fillId="0" borderId="0" xfId="90" applyNumberFormat="1" applyFont="1" applyProtection="1"/>
    <xf numFmtId="0" fontId="4" fillId="0" borderId="0" xfId="93" applyFont="1" applyAlignment="1" applyProtection="1">
      <alignment horizontal="left"/>
    </xf>
    <xf numFmtId="0" fontId="9" fillId="0" borderId="0" xfId="93" applyFont="1"/>
    <xf numFmtId="0" fontId="5" fillId="0" borderId="0" xfId="93" applyFont="1"/>
    <xf numFmtId="5" fontId="5" fillId="0" borderId="0" xfId="93" applyNumberFormat="1" applyFont="1" applyProtection="1"/>
    <xf numFmtId="37" fontId="2" fillId="0" borderId="0" xfId="89" applyFont="1" applyAlignment="1" applyProtection="1">
      <alignment horizontal="centerContinuous"/>
    </xf>
    <xf numFmtId="37" fontId="15" fillId="0" borderId="0" xfId="0" applyFont="1"/>
    <xf numFmtId="37" fontId="17" fillId="0" borderId="0" xfId="0" applyFont="1"/>
    <xf numFmtId="15" fontId="15" fillId="0" borderId="0" xfId="0" applyNumberFormat="1" applyFont="1" applyAlignment="1">
      <alignment horizontal="left"/>
    </xf>
    <xf numFmtId="37" fontId="15" fillId="0" borderId="0" xfId="0" applyFont="1" applyBorder="1"/>
    <xf numFmtId="37" fontId="19" fillId="0" borderId="0" xfId="0" applyFont="1" applyBorder="1" applyAlignment="1">
      <alignment horizontal="right"/>
    </xf>
    <xf numFmtId="37" fontId="19" fillId="0" borderId="0" xfId="0" applyFont="1" applyBorder="1" applyAlignment="1">
      <alignment horizontal="center"/>
    </xf>
    <xf numFmtId="14" fontId="15" fillId="0" borderId="0" xfId="0" applyNumberFormat="1" applyFont="1" applyFill="1" applyBorder="1"/>
    <xf numFmtId="170" fontId="15" fillId="0" borderId="0" xfId="55" applyNumberFormat="1" applyFont="1" applyBorder="1"/>
    <xf numFmtId="166" fontId="17" fillId="0" borderId="0" xfId="0" applyNumberFormat="1" applyFont="1" applyAlignment="1">
      <alignment horizontal="left"/>
    </xf>
    <xf numFmtId="37" fontId="11" fillId="0" borderId="0" xfId="90" applyFont="1" applyFill="1" applyAlignment="1">
      <alignment horizontal="center"/>
    </xf>
    <xf numFmtId="5" fontId="7" fillId="0" borderId="0" xfId="90" applyNumberFormat="1" applyFont="1" applyFill="1"/>
    <xf numFmtId="37" fontId="7" fillId="0" borderId="0" xfId="90" applyFont="1" applyFill="1" applyAlignment="1">
      <alignment horizontal="center"/>
    </xf>
    <xf numFmtId="37" fontId="7" fillId="0" borderId="0" xfId="0" applyFont="1" applyFill="1"/>
    <xf numFmtId="10" fontId="7" fillId="0" borderId="0" xfId="0" applyNumberFormat="1" applyFont="1" applyFill="1" applyAlignment="1">
      <alignment horizontal="left"/>
    </xf>
    <xf numFmtId="15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/>
    <xf numFmtId="2" fontId="7" fillId="0" borderId="0" xfId="0" applyNumberFormat="1" applyFont="1" applyFill="1"/>
    <xf numFmtId="10" fontId="7" fillId="0" borderId="0" xfId="0" applyNumberFormat="1" applyFont="1" applyFill="1"/>
    <xf numFmtId="5" fontId="7" fillId="0" borderId="0" xfId="90" applyNumberFormat="1" applyFont="1" applyFill="1" applyProtection="1"/>
    <xf numFmtId="37" fontId="11" fillId="0" borderId="0" xfId="90" applyFont="1" applyFill="1" applyAlignment="1" applyProtection="1">
      <alignment horizontal="center"/>
    </xf>
    <xf numFmtId="10" fontId="7" fillId="0" borderId="0" xfId="90" applyNumberFormat="1" applyFont="1" applyFill="1" applyProtection="1"/>
    <xf numFmtId="168" fontId="7" fillId="0" borderId="0" xfId="90" applyNumberFormat="1" applyFont="1" applyFill="1" applyAlignment="1" applyProtection="1">
      <alignment horizontal="fill"/>
    </xf>
    <xf numFmtId="166" fontId="4" fillId="0" borderId="0" xfId="90" applyNumberFormat="1" applyFont="1" applyFill="1"/>
    <xf numFmtId="0" fontId="15" fillId="0" borderId="0" xfId="93" applyFont="1"/>
    <xf numFmtId="0" fontId="16" fillId="0" borderId="0" xfId="93" quotePrefix="1" applyFont="1" applyFill="1" applyAlignment="1" applyProtection="1">
      <alignment horizontal="center"/>
    </xf>
    <xf numFmtId="0" fontId="15" fillId="0" borderId="0" xfId="93" applyFont="1" applyFill="1"/>
    <xf numFmtId="0" fontId="17" fillId="0" borderId="0" xfId="93" applyFont="1" applyFill="1" applyAlignment="1" applyProtection="1">
      <alignment horizontal="center"/>
    </xf>
    <xf numFmtId="14" fontId="15" fillId="0" borderId="0" xfId="93" applyNumberFormat="1" applyFont="1" applyFill="1"/>
    <xf numFmtId="0" fontId="23" fillId="0" borderId="10" xfId="93" applyFont="1" applyFill="1" applyBorder="1" applyAlignment="1" applyProtection="1">
      <alignment horizontal="center" wrapText="1"/>
    </xf>
    <xf numFmtId="0" fontId="22" fillId="0" borderId="10" xfId="93" applyFont="1" applyFill="1" applyBorder="1" applyAlignment="1">
      <alignment horizontal="center"/>
    </xf>
    <xf numFmtId="7" fontId="15" fillId="0" borderId="0" xfId="93" applyNumberFormat="1" applyFont="1" applyFill="1"/>
    <xf numFmtId="0" fontId="17" fillId="0" borderId="0" xfId="93" quotePrefix="1" applyFont="1" applyFill="1" applyAlignment="1" applyProtection="1">
      <alignment horizontal="left"/>
    </xf>
    <xf numFmtId="37" fontId="12" fillId="0" borderId="0" xfId="89" applyFont="1"/>
    <xf numFmtId="37" fontId="14" fillId="0" borderId="0" xfId="89" applyFont="1"/>
    <xf numFmtId="37" fontId="14" fillId="0" borderId="0" xfId="89" applyFont="1" applyAlignment="1" applyProtection="1">
      <alignment horizontal="center"/>
    </xf>
    <xf numFmtId="37" fontId="26" fillId="0" borderId="0" xfId="89" applyFont="1" applyAlignment="1" applyProtection="1">
      <alignment horizontal="center"/>
    </xf>
    <xf numFmtId="37" fontId="12" fillId="0" borderId="0" xfId="89" applyFont="1" applyAlignment="1" applyProtection="1">
      <alignment horizontal="left"/>
    </xf>
    <xf numFmtId="37" fontId="12" fillId="0" borderId="0" xfId="89" applyFont="1" applyAlignment="1" applyProtection="1">
      <alignment horizontal="fill"/>
    </xf>
    <xf numFmtId="37" fontId="12" fillId="0" borderId="0" xfId="89" applyFont="1" applyAlignment="1" applyProtection="1">
      <alignment horizontal="center"/>
    </xf>
    <xf numFmtId="10" fontId="12" fillId="0" borderId="0" xfId="89" applyNumberFormat="1" applyFont="1" applyProtection="1"/>
    <xf numFmtId="37" fontId="12" fillId="0" borderId="0" xfId="89" applyNumberFormat="1" applyFont="1" applyProtection="1"/>
    <xf numFmtId="5" fontId="12" fillId="0" borderId="0" xfId="89" applyNumberFormat="1" applyFont="1" applyProtection="1"/>
    <xf numFmtId="5" fontId="12" fillId="0" borderId="0" xfId="89" applyNumberFormat="1" applyFont="1"/>
    <xf numFmtId="5" fontId="28" fillId="0" borderId="0" xfId="89" applyNumberFormat="1" applyFont="1"/>
    <xf numFmtId="5" fontId="28" fillId="0" borderId="0" xfId="89" applyNumberFormat="1" applyFont="1" applyProtection="1"/>
    <xf numFmtId="37" fontId="14" fillId="0" borderId="11" xfId="89" applyFont="1" applyBorder="1" applyAlignment="1" applyProtection="1">
      <alignment horizontal="left"/>
    </xf>
    <xf numFmtId="5" fontId="14" fillId="0" borderId="12" xfId="89" applyNumberFormat="1" applyFont="1" applyBorder="1" applyProtection="1"/>
    <xf numFmtId="5" fontId="14" fillId="0" borderId="12" xfId="89" applyNumberFormat="1" applyFont="1" applyBorder="1"/>
    <xf numFmtId="5" fontId="29" fillId="0" borderId="0" xfId="89" applyNumberFormat="1" applyFont="1" applyFill="1" applyProtection="1"/>
    <xf numFmtId="5" fontId="29" fillId="0" borderId="0" xfId="89" applyNumberFormat="1" applyFont="1" applyProtection="1"/>
    <xf numFmtId="5" fontId="29" fillId="0" borderId="0" xfId="89" applyNumberFormat="1" applyFont="1"/>
    <xf numFmtId="170" fontId="29" fillId="0" borderId="0" xfId="55" applyNumberFormat="1" applyFont="1"/>
    <xf numFmtId="5" fontId="30" fillId="0" borderId="0" xfId="89" applyNumberFormat="1" applyFont="1"/>
    <xf numFmtId="5" fontId="30" fillId="0" borderId="0" xfId="89" applyNumberFormat="1" applyFont="1" applyProtection="1"/>
    <xf numFmtId="37" fontId="0" fillId="0" borderId="0" xfId="0" applyBorder="1"/>
    <xf numFmtId="0" fontId="8" fillId="0" borderId="0" xfId="88" applyFont="1"/>
    <xf numFmtId="0" fontId="8" fillId="0" borderId="0" xfId="88" applyFont="1" applyFill="1"/>
    <xf numFmtId="164" fontId="8" fillId="0" borderId="0" xfId="88" applyNumberFormat="1" applyFont="1"/>
    <xf numFmtId="175" fontId="8" fillId="0" borderId="0" xfId="88" applyNumberFormat="1" applyFont="1" applyFill="1" applyBorder="1" applyProtection="1"/>
    <xf numFmtId="0" fontId="8" fillId="0" borderId="0" xfId="88" applyFont="1" applyBorder="1"/>
    <xf numFmtId="0" fontId="4" fillId="0" borderId="0" xfId="88" applyFont="1" applyBorder="1"/>
    <xf numFmtId="164" fontId="33" fillId="0" borderId="0" xfId="88" applyNumberFormat="1" applyFont="1" applyFill="1" applyProtection="1"/>
    <xf numFmtId="175" fontId="33" fillId="0" borderId="0" xfId="88" applyNumberFormat="1" applyFont="1" applyFill="1" applyProtection="1"/>
    <xf numFmtId="164" fontId="33" fillId="0" borderId="0" xfId="88" applyNumberFormat="1" applyFont="1" applyFill="1" applyBorder="1" applyProtection="1"/>
    <xf numFmtId="175" fontId="33" fillId="0" borderId="0" xfId="88" applyNumberFormat="1" applyFont="1" applyFill="1" applyBorder="1" applyProtection="1"/>
    <xf numFmtId="17" fontId="18" fillId="0" borderId="0" xfId="88" applyNumberFormat="1" applyFont="1" applyFill="1" applyAlignment="1" applyProtection="1">
      <alignment horizontal="center"/>
    </xf>
    <xf numFmtId="0" fontId="18" fillId="0" borderId="0" xfId="88" applyFont="1" applyAlignment="1" applyProtection="1">
      <alignment horizontal="center" wrapText="1"/>
    </xf>
    <xf numFmtId="0" fontId="17" fillId="0" borderId="0" xfId="88" applyFont="1" applyAlignment="1">
      <alignment horizontal="centerContinuous"/>
    </xf>
    <xf numFmtId="10" fontId="14" fillId="0" borderId="0" xfId="92" applyFont="1" applyAlignment="1">
      <alignment horizontal="centerContinuous"/>
    </xf>
    <xf numFmtId="10" fontId="12" fillId="0" borderId="0" xfId="92" applyFont="1"/>
    <xf numFmtId="10" fontId="12" fillId="0" borderId="0" xfId="92" applyFont="1" applyAlignment="1">
      <alignment horizontal="center"/>
    </xf>
    <xf numFmtId="10" fontId="14" fillId="0" borderId="0" xfId="92" applyFont="1" applyAlignment="1">
      <alignment horizontal="center"/>
    </xf>
    <xf numFmtId="10" fontId="14" fillId="0" borderId="0" xfId="92" applyFont="1" applyAlignment="1" applyProtection="1">
      <alignment horizontal="center"/>
    </xf>
    <xf numFmtId="10" fontId="26" fillId="0" borderId="0" xfId="92" applyFont="1" applyAlignment="1" applyProtection="1">
      <alignment horizontal="center"/>
    </xf>
    <xf numFmtId="10" fontId="12" fillId="0" borderId="0" xfId="92" applyFont="1" applyAlignment="1" applyProtection="1">
      <alignment horizontal="left"/>
    </xf>
    <xf numFmtId="10" fontId="14" fillId="0" borderId="0" xfId="92" applyFont="1" applyAlignment="1" applyProtection="1">
      <alignment horizontal="left"/>
    </xf>
    <xf numFmtId="10" fontId="14" fillId="0" borderId="0" xfId="92" applyFont="1"/>
    <xf numFmtId="10" fontId="12" fillId="0" borderId="0" xfId="92" applyFont="1" applyBorder="1"/>
    <xf numFmtId="0" fontId="17" fillId="0" borderId="0" xfId="93" quotePrefix="1" applyFont="1" applyFill="1" applyBorder="1" applyAlignment="1" applyProtection="1">
      <alignment horizontal="left"/>
    </xf>
    <xf numFmtId="0" fontId="23" fillId="0" borderId="10" xfId="93" applyFont="1" applyFill="1" applyBorder="1" applyAlignment="1" applyProtection="1">
      <alignment horizontal="left"/>
    </xf>
    <xf numFmtId="168" fontId="15" fillId="0" borderId="0" xfId="93" applyNumberFormat="1" applyFont="1" applyFill="1" applyAlignment="1">
      <alignment horizontal="left"/>
    </xf>
    <xf numFmtId="15" fontId="15" fillId="0" borderId="0" xfId="93" applyNumberFormat="1" applyFont="1" applyFill="1" applyAlignment="1">
      <alignment horizontal="center"/>
    </xf>
    <xf numFmtId="174" fontId="15" fillId="0" borderId="0" xfId="93" applyNumberFormat="1" applyFont="1" applyFill="1"/>
    <xf numFmtId="15" fontId="32" fillId="0" borderId="0" xfId="93" applyNumberFormat="1" applyFont="1" applyBorder="1" applyAlignment="1">
      <alignment horizontal="left"/>
    </xf>
    <xf numFmtId="0" fontId="21" fillId="0" borderId="0" xfId="93" applyFont="1"/>
    <xf numFmtId="0" fontId="32" fillId="0" borderId="0" xfId="93" quotePrefix="1" applyFont="1" applyAlignment="1">
      <alignment horizontal="left"/>
    </xf>
    <xf numFmtId="37" fontId="32" fillId="0" borderId="0" xfId="0" applyFont="1" applyBorder="1"/>
    <xf numFmtId="37" fontId="21" fillId="0" borderId="0" xfId="0" applyFont="1" applyBorder="1"/>
    <xf numFmtId="0" fontId="34" fillId="0" borderId="0" xfId="88" applyFont="1" applyAlignment="1" applyProtection="1">
      <alignment horizontal="center" wrapText="1"/>
    </xf>
    <xf numFmtId="172" fontId="17" fillId="0" borderId="0" xfId="93" applyNumberFormat="1" applyFont="1" applyFill="1" applyAlignment="1">
      <alignment horizontal="left"/>
    </xf>
    <xf numFmtId="39" fontId="0" fillId="0" borderId="0" xfId="0" applyNumberFormat="1"/>
    <xf numFmtId="37" fontId="24" fillId="0" borderId="13" xfId="0" applyFont="1" applyBorder="1"/>
    <xf numFmtId="37" fontId="17" fillId="0" borderId="0" xfId="0" applyFont="1" applyBorder="1" applyAlignment="1">
      <alignment horizontal="left"/>
    </xf>
    <xf numFmtId="37" fontId="23" fillId="0" borderId="0" xfId="89" applyFont="1" applyAlignment="1" applyProtection="1">
      <alignment horizontal="center"/>
    </xf>
    <xf numFmtId="37" fontId="24" fillId="0" borderId="0" xfId="91" applyFont="1" applyBorder="1" applyAlignment="1" applyProtection="1">
      <alignment horizontal="left"/>
    </xf>
    <xf numFmtId="1" fontId="15" fillId="0" borderId="0" xfId="92" applyNumberFormat="1" applyFont="1" applyAlignment="1" applyProtection="1">
      <alignment horizontal="center"/>
    </xf>
    <xf numFmtId="37" fontId="17" fillId="0" borderId="0" xfId="89" applyFont="1" applyAlignment="1" applyProtection="1">
      <alignment horizontal="left"/>
    </xf>
    <xf numFmtId="37" fontId="25" fillId="0" borderId="0" xfId="89" applyFont="1" applyAlignment="1" applyProtection="1">
      <alignment horizontal="left"/>
    </xf>
    <xf numFmtId="37" fontId="24" fillId="0" borderId="0" xfId="90" applyNumberFormat="1" applyFont="1" applyAlignment="1">
      <alignment horizontal="center"/>
    </xf>
    <xf numFmtId="37" fontId="36" fillId="0" borderId="0" xfId="90" applyFont="1"/>
    <xf numFmtId="37" fontId="23" fillId="0" borderId="0" xfId="90" applyNumberFormat="1" applyFont="1"/>
    <xf numFmtId="37" fontId="24" fillId="0" borderId="0" xfId="90" applyNumberFormat="1" applyFont="1"/>
    <xf numFmtId="37" fontId="24" fillId="0" borderId="0" xfId="0" applyNumberFormat="1" applyFont="1"/>
    <xf numFmtId="171" fontId="24" fillId="0" borderId="0" xfId="0" applyNumberFormat="1" applyFont="1"/>
    <xf numFmtId="37" fontId="23" fillId="0" borderId="0" xfId="90" applyNumberFormat="1" applyFont="1" applyAlignment="1" applyProtection="1">
      <alignment horizontal="left"/>
    </xf>
    <xf numFmtId="38" fontId="12" fillId="0" borderId="0" xfId="92" applyNumberFormat="1" applyFont="1"/>
    <xf numFmtId="0" fontId="24" fillId="0" borderId="0" xfId="88" applyFont="1" applyAlignment="1" applyProtection="1">
      <alignment horizontal="left"/>
    </xf>
    <xf numFmtId="0" fontId="24" fillId="0" borderId="0" xfId="88" applyFont="1"/>
    <xf numFmtId="0" fontId="23" fillId="0" borderId="0" xfId="88" applyFont="1" applyAlignment="1" applyProtection="1">
      <alignment horizontal="left"/>
    </xf>
    <xf numFmtId="0" fontId="23" fillId="0" borderId="0" xfId="88" applyFont="1" applyAlignment="1" applyProtection="1">
      <alignment horizontal="centerContinuous"/>
    </xf>
    <xf numFmtId="0" fontId="36" fillId="0" borderId="0" xfId="88" applyFont="1" applyFill="1" applyAlignment="1">
      <alignment horizontal="centerContinuous"/>
    </xf>
    <xf numFmtId="0" fontId="36" fillId="0" borderId="0" xfId="88" applyFont="1" applyAlignment="1">
      <alignment horizontal="centerContinuous"/>
    </xf>
    <xf numFmtId="37" fontId="15" fillId="0" borderId="14" xfId="0" applyFont="1" applyBorder="1" applyAlignment="1">
      <alignment horizontal="centerContinuous"/>
    </xf>
    <xf numFmtId="7" fontId="15" fillId="0" borderId="0" xfId="59" applyNumberFormat="1" applyFont="1" applyBorder="1"/>
    <xf numFmtId="5" fontId="15" fillId="0" borderId="0" xfId="93" applyNumberFormat="1" applyFont="1" applyProtection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4" fillId="0" borderId="0" xfId="90" applyNumberFormat="1" applyFont="1" applyAlignment="1" applyProtection="1">
      <alignment horizontal="centerContinuous"/>
    </xf>
    <xf numFmtId="37" fontId="24" fillId="0" borderId="0" xfId="90" applyNumberFormat="1" applyFont="1" applyAlignment="1">
      <alignment horizontal="centerContinuous"/>
    </xf>
    <xf numFmtId="37" fontId="24" fillId="0" borderId="0" xfId="0" applyNumberFormat="1" applyFont="1" applyAlignment="1">
      <alignment horizontal="centerContinuous"/>
    </xf>
    <xf numFmtId="166" fontId="24" fillId="0" borderId="0" xfId="90" applyNumberFormat="1" applyFont="1" applyFill="1" applyAlignment="1">
      <alignment horizontal="centerContinuous"/>
    </xf>
    <xf numFmtId="166" fontId="24" fillId="0" borderId="0" xfId="0" applyNumberFormat="1" applyFont="1" applyFill="1" applyAlignment="1">
      <alignment horizontal="centerContinuous"/>
    </xf>
    <xf numFmtId="166" fontId="24" fillId="0" borderId="0" xfId="90" applyNumberFormat="1" applyFont="1" applyFill="1" applyAlignment="1" applyProtection="1">
      <alignment horizontal="centerContinuous"/>
    </xf>
    <xf numFmtId="37" fontId="24" fillId="0" borderId="0" xfId="0" applyFont="1"/>
    <xf numFmtId="14" fontId="24" fillId="0" borderId="0" xfId="0" applyNumberFormat="1" applyFont="1" applyBorder="1"/>
    <xf numFmtId="37" fontId="23" fillId="0" borderId="0" xfId="0" applyFont="1" applyBorder="1"/>
    <xf numFmtId="175" fontId="33" fillId="0" borderId="19" xfId="88" applyNumberFormat="1" applyFont="1" applyFill="1" applyBorder="1" applyProtection="1"/>
    <xf numFmtId="164" fontId="33" fillId="0" borderId="19" xfId="88" applyNumberFormat="1" applyFont="1" applyFill="1" applyBorder="1" applyProtection="1"/>
    <xf numFmtId="175" fontId="33" fillId="0" borderId="20" xfId="88" applyNumberFormat="1" applyFont="1" applyFill="1" applyBorder="1" applyProtection="1"/>
    <xf numFmtId="5" fontId="12" fillId="0" borderId="0" xfId="55" applyNumberFormat="1" applyFont="1" applyAlignment="1" applyProtection="1"/>
    <xf numFmtId="10" fontId="12" fillId="0" borderId="0" xfId="92" applyFont="1" applyAlignment="1" applyProtection="1"/>
    <xf numFmtId="5" fontId="12" fillId="0" borderId="0" xfId="92" applyNumberFormat="1" applyFont="1" applyAlignment="1" applyProtection="1"/>
    <xf numFmtId="10" fontId="12" fillId="0" borderId="0" xfId="92" applyFont="1" applyBorder="1" applyAlignment="1" applyProtection="1"/>
    <xf numFmtId="5" fontId="12" fillId="0" borderId="0" xfId="92" applyNumberFormat="1" applyFont="1" applyAlignment="1"/>
    <xf numFmtId="165" fontId="12" fillId="0" borderId="0" xfId="92" applyNumberFormat="1" applyFont="1" applyBorder="1" applyAlignment="1" applyProtection="1"/>
    <xf numFmtId="10" fontId="35" fillId="0" borderId="0" xfId="92" applyFont="1" applyBorder="1" applyAlignment="1"/>
    <xf numFmtId="5" fontId="33" fillId="0" borderId="0" xfId="88" applyNumberFormat="1" applyFont="1" applyFill="1" applyProtection="1"/>
    <xf numFmtId="37" fontId="24" fillId="0" borderId="0" xfId="90" applyNumberFormat="1" applyFont="1" applyAlignment="1">
      <alignment horizontal="right"/>
    </xf>
    <xf numFmtId="37" fontId="38" fillId="0" borderId="0" xfId="89" applyFont="1" applyAlignment="1" applyProtection="1">
      <alignment horizontal="center"/>
    </xf>
    <xf numFmtId="37" fontId="33" fillId="0" borderId="0" xfId="88" applyNumberFormat="1" applyFont="1" applyFill="1" applyProtection="1"/>
    <xf numFmtId="10" fontId="12" fillId="0" borderId="0" xfId="92" applyNumberFormat="1" applyFont="1" applyAlignment="1" applyProtection="1"/>
    <xf numFmtId="10" fontId="24" fillId="0" borderId="0" xfId="0" applyNumberFormat="1" applyFont="1"/>
    <xf numFmtId="37" fontId="17" fillId="0" borderId="0" xfId="0" applyFont="1" applyFill="1" applyBorder="1" applyAlignment="1">
      <alignment horizontal="left"/>
    </xf>
    <xf numFmtId="37" fontId="15" fillId="0" borderId="15" xfId="0" applyFont="1" applyBorder="1" applyAlignment="1">
      <alignment horizontal="centerContinuous"/>
    </xf>
    <xf numFmtId="37" fontId="17" fillId="0" borderId="16" xfId="0" applyFont="1" applyFill="1" applyBorder="1" applyAlignment="1">
      <alignment horizontal="left"/>
    </xf>
    <xf numFmtId="170" fontId="15" fillId="0" borderId="17" xfId="55" applyNumberFormat="1" applyFont="1" applyBorder="1"/>
    <xf numFmtId="37" fontId="23" fillId="0" borderId="17" xfId="0" applyFont="1" applyBorder="1"/>
    <xf numFmtId="37" fontId="0" fillId="0" borderId="21" xfId="0" applyBorder="1"/>
    <xf numFmtId="37" fontId="17" fillId="0" borderId="18" xfId="0" applyFont="1" applyFill="1" applyBorder="1" applyAlignment="1">
      <alignment horizontal="left"/>
    </xf>
    <xf numFmtId="7" fontId="15" fillId="0" borderId="18" xfId="59" applyNumberFormat="1" applyFont="1" applyBorder="1"/>
    <xf numFmtId="10" fontId="14" fillId="0" borderId="0" xfId="89" applyNumberFormat="1" applyFont="1" applyProtection="1"/>
    <xf numFmtId="37" fontId="24" fillId="0" borderId="0" xfId="89" applyFont="1" applyAlignment="1" applyProtection="1">
      <alignment horizontal="center"/>
    </xf>
    <xf numFmtId="1" fontId="24" fillId="0" borderId="0" xfId="92" applyNumberFormat="1" applyFont="1" applyAlignment="1" applyProtection="1">
      <alignment horizontal="center"/>
    </xf>
    <xf numFmtId="5" fontId="12" fillId="0" borderId="0" xfId="92" applyNumberFormat="1" applyFont="1"/>
    <xf numFmtId="10" fontId="4" fillId="0" borderId="0" xfId="92" applyFont="1" applyBorder="1"/>
    <xf numFmtId="1" fontId="15" fillId="0" borderId="0" xfId="92" applyNumberFormat="1" applyFont="1" applyFill="1" applyAlignment="1" applyProtection="1">
      <alignment horizontal="center"/>
    </xf>
    <xf numFmtId="164" fontId="33" fillId="0" borderId="22" xfId="88" applyNumberFormat="1" applyFont="1" applyFill="1" applyBorder="1" applyProtection="1"/>
    <xf numFmtId="17" fontId="43" fillId="0" borderId="0" xfId="88" applyNumberFormat="1" applyFont="1" applyFill="1" applyAlignment="1" applyProtection="1">
      <alignment horizontal="center"/>
    </xf>
    <xf numFmtId="175" fontId="42" fillId="0" borderId="0" xfId="88" applyNumberFormat="1" applyFont="1" applyFill="1" applyBorder="1" applyProtection="1"/>
    <xf numFmtId="164" fontId="24" fillId="0" borderId="0" xfId="88" applyNumberFormat="1" applyFont="1" applyFill="1" applyBorder="1" applyProtection="1"/>
    <xf numFmtId="0" fontId="17" fillId="0" borderId="0" xfId="93" quotePrefix="1" applyFont="1" applyFill="1" applyBorder="1" applyAlignment="1" applyProtection="1">
      <alignment horizontal="centerContinuous" vertical="center" wrapText="1"/>
    </xf>
    <xf numFmtId="172" fontId="43" fillId="0" borderId="0" xfId="93" quotePrefix="1" applyNumberFormat="1" applyFont="1" applyFill="1" applyBorder="1" applyAlignment="1" applyProtection="1">
      <alignment horizontal="centerContinuous" vertical="center" wrapText="1"/>
    </xf>
    <xf numFmtId="168" fontId="15" fillId="0" borderId="0" xfId="98" applyNumberFormat="1" applyFont="1"/>
    <xf numFmtId="178" fontId="15" fillId="0" borderId="0" xfId="98" applyNumberFormat="1" applyFont="1"/>
    <xf numFmtId="37" fontId="15" fillId="0" borderId="16" xfId="0" applyFont="1" applyFill="1" applyBorder="1"/>
    <xf numFmtId="37" fontId="15" fillId="0" borderId="0" xfId="0" applyFont="1" applyFill="1" applyBorder="1"/>
    <xf numFmtId="44" fontId="20" fillId="0" borderId="0" xfId="59" applyFont="1" applyFill="1" applyBorder="1"/>
    <xf numFmtId="167" fontId="20" fillId="0" borderId="0" xfId="0" applyNumberFormat="1" applyFont="1" applyFill="1" applyBorder="1"/>
    <xf numFmtId="37" fontId="15" fillId="0" borderId="18" xfId="0" applyFont="1" applyFill="1" applyBorder="1"/>
    <xf numFmtId="170" fontId="15" fillId="0" borderId="0" xfId="55" applyNumberFormat="1" applyFont="1" applyFill="1" applyBorder="1"/>
    <xf numFmtId="168" fontId="29" fillId="0" borderId="0" xfId="89" applyNumberFormat="1" applyFont="1" applyProtection="1"/>
    <xf numFmtId="168" fontId="29" fillId="0" borderId="0" xfId="89" applyNumberFormat="1" applyFont="1"/>
    <xf numFmtId="37" fontId="15" fillId="0" borderId="0" xfId="0" applyFont="1" applyFill="1" applyBorder="1" applyAlignment="1">
      <alignment horizontal="center"/>
    </xf>
    <xf numFmtId="37" fontId="19" fillId="0" borderId="0" xfId="0" applyFont="1" applyFill="1" applyBorder="1" applyAlignment="1">
      <alignment horizontal="center"/>
    </xf>
    <xf numFmtId="10" fontId="23" fillId="18" borderId="23" xfId="90" applyNumberFormat="1" applyFont="1" applyFill="1" applyBorder="1" applyProtection="1"/>
    <xf numFmtId="10" fontId="14" fillId="18" borderId="23" xfId="89" applyNumberFormat="1" applyFont="1" applyFill="1" applyBorder="1" applyAlignment="1" applyProtection="1">
      <alignment horizontal="center"/>
    </xf>
    <xf numFmtId="175" fontId="34" fillId="18" borderId="23" xfId="88" applyNumberFormat="1" applyFont="1" applyFill="1" applyBorder="1" applyProtection="1"/>
    <xf numFmtId="164" fontId="34" fillId="18" borderId="23" xfId="88" applyNumberFormat="1" applyFont="1" applyFill="1" applyBorder="1" applyProtection="1"/>
    <xf numFmtId="37" fontId="15" fillId="0" borderId="0" xfId="0" applyFont="1" applyBorder="1" applyAlignment="1">
      <alignment horizontal="center"/>
    </xf>
    <xf numFmtId="37" fontId="11" fillId="0" borderId="0" xfId="90" applyFont="1" applyAlignment="1">
      <alignment horizontal="center"/>
    </xf>
    <xf numFmtId="37" fontId="37" fillId="0" borderId="0" xfId="0" applyFont="1" applyAlignment="1">
      <alignment horizontal="right"/>
    </xf>
    <xf numFmtId="0" fontId="23" fillId="0" borderId="0" xfId="93" applyFont="1" applyFill="1" applyBorder="1" applyAlignment="1" applyProtection="1">
      <alignment horizontal="center" wrapText="1"/>
    </xf>
    <xf numFmtId="37" fontId="23" fillId="0" borderId="0" xfId="0" applyFont="1" applyFill="1" applyBorder="1"/>
    <xf numFmtId="0" fontId="47" fillId="0" borderId="0" xfId="93" applyFont="1"/>
    <xf numFmtId="0" fontId="8" fillId="0" borderId="0" xfId="88" applyFont="1" applyFill="1" applyBorder="1"/>
    <xf numFmtId="37" fontId="8" fillId="0" borderId="0" xfId="88" applyNumberFormat="1" applyFont="1" applyFill="1" applyBorder="1"/>
    <xf numFmtId="10" fontId="35" fillId="0" borderId="0" xfId="92" applyNumberFormat="1" applyFont="1" applyBorder="1" applyAlignment="1" applyProtection="1"/>
    <xf numFmtId="0" fontId="24" fillId="0" borderId="12" xfId="88" applyFont="1" applyBorder="1" applyAlignment="1" applyProtection="1">
      <alignment horizontal="left"/>
    </xf>
    <xf numFmtId="0" fontId="24" fillId="0" borderId="0" xfId="88" applyFont="1" applyBorder="1" applyAlignment="1" applyProtection="1">
      <alignment horizontal="left"/>
    </xf>
    <xf numFmtId="175" fontId="24" fillId="0" borderId="12" xfId="88" applyNumberFormat="1" applyFont="1" applyFill="1" applyBorder="1" applyProtection="1"/>
    <xf numFmtId="0" fontId="24" fillId="0" borderId="0" xfId="88" applyFont="1" applyBorder="1" applyAlignment="1" applyProtection="1">
      <alignment horizontal="left" indent="1"/>
    </xf>
    <xf numFmtId="0" fontId="24" fillId="0" borderId="12" xfId="88" applyFont="1" applyBorder="1" applyAlignment="1" applyProtection="1">
      <alignment horizontal="left" indent="2"/>
    </xf>
    <xf numFmtId="37" fontId="17" fillId="0" borderId="0" xfId="90" applyNumberFormat="1" applyFont="1" applyAlignment="1" applyProtection="1">
      <alignment horizontal="centerContinuous"/>
    </xf>
    <xf numFmtId="0" fontId="17" fillId="0" borderId="0" xfId="93" applyFont="1" applyFill="1" applyAlignment="1" applyProtection="1">
      <alignment horizontal="left"/>
    </xf>
    <xf numFmtId="0" fontId="5" fillId="0" borderId="0" xfId="93" applyFont="1" applyFill="1"/>
    <xf numFmtId="1" fontId="15" fillId="0" borderId="0" xfId="93" applyNumberFormat="1" applyFont="1" applyFill="1" applyAlignment="1" applyProtection="1">
      <alignment horizontal="center"/>
    </xf>
    <xf numFmtId="0" fontId="5" fillId="0" borderId="0" xfId="93" applyFont="1" applyAlignment="1">
      <alignment horizontal="center"/>
    </xf>
    <xf numFmtId="37" fontId="4" fillId="0" borderId="0" xfId="92" applyNumberFormat="1" applyFont="1"/>
    <xf numFmtId="37" fontId="19" fillId="0" borderId="0" xfId="0" applyFont="1"/>
    <xf numFmtId="167" fontId="4" fillId="0" borderId="0" xfId="92" applyNumberFormat="1" applyFont="1"/>
    <xf numFmtId="10" fontId="7" fillId="0" borderId="0" xfId="92" applyFont="1"/>
    <xf numFmtId="14" fontId="15" fillId="0" borderId="16" xfId="0" applyNumberFormat="1" applyFont="1" applyFill="1" applyBorder="1"/>
    <xf numFmtId="10" fontId="35" fillId="0" borderId="0" xfId="92" applyNumberFormat="1" applyFont="1" applyFill="1" applyBorder="1" applyAlignment="1" applyProtection="1"/>
    <xf numFmtId="10" fontId="23" fillId="0" borderId="0" xfId="90" applyNumberFormat="1" applyFont="1" applyFill="1" applyBorder="1" applyProtection="1"/>
    <xf numFmtId="175" fontId="34" fillId="0" borderId="19" xfId="88" applyNumberFormat="1" applyFont="1" applyFill="1" applyBorder="1" applyProtection="1"/>
    <xf numFmtId="164" fontId="34" fillId="0" borderId="24" xfId="88" applyNumberFormat="1" applyFont="1" applyFill="1" applyBorder="1" applyProtection="1"/>
    <xf numFmtId="0" fontId="23" fillId="0" borderId="0" xfId="93" applyFont="1" applyFill="1" applyAlignment="1" applyProtection="1">
      <alignment horizontal="center"/>
    </xf>
    <xf numFmtId="0" fontId="23" fillId="0" borderId="0" xfId="93" applyFont="1" applyFill="1" applyAlignment="1">
      <alignment horizontal="center"/>
    </xf>
    <xf numFmtId="10" fontId="44" fillId="0" borderId="0" xfId="92" applyFont="1" applyBorder="1"/>
    <xf numFmtId="37" fontId="4" fillId="0" borderId="0" xfId="92" applyNumberFormat="1" applyFont="1" applyBorder="1"/>
    <xf numFmtId="182" fontId="27" fillId="0" borderId="0" xfId="92" applyNumberFormat="1" applyFont="1" applyBorder="1" applyAlignment="1">
      <alignment horizontal="center"/>
    </xf>
    <xf numFmtId="37" fontId="12" fillId="0" borderId="0" xfId="92" applyNumberFormat="1" applyFont="1" applyBorder="1" applyAlignment="1">
      <alignment horizontal="center"/>
    </xf>
    <xf numFmtId="10" fontId="27" fillId="0" borderId="0" xfId="92" applyFont="1" applyBorder="1" applyAlignment="1" applyProtection="1"/>
    <xf numFmtId="10" fontId="12" fillId="0" borderId="0" xfId="92" applyNumberFormat="1" applyFont="1" applyBorder="1" applyAlignment="1" applyProtection="1"/>
    <xf numFmtId="181" fontId="40" fillId="0" borderId="0" xfId="92" applyNumberFormat="1" applyFont="1" applyBorder="1" applyAlignment="1" applyProtection="1">
      <alignment horizontal="centerContinuous" vertical="center" wrapText="1"/>
    </xf>
    <xf numFmtId="166" fontId="17" fillId="0" borderId="0" xfId="0" applyNumberFormat="1" applyFont="1" applyFill="1" applyBorder="1" applyAlignment="1">
      <alignment horizontal="centerContinuous" vertical="center" wrapText="1"/>
    </xf>
    <xf numFmtId="37" fontId="15" fillId="0" borderId="0" xfId="0" applyFont="1" applyFill="1" applyBorder="1" applyAlignment="1">
      <alignment horizontal="centerContinuous" vertical="center" wrapText="1"/>
    </xf>
    <xf numFmtId="37" fontId="15" fillId="0" borderId="0" xfId="0" applyFont="1" applyBorder="1" applyAlignment="1">
      <alignment horizontal="left" vertical="center" wrapText="1"/>
    </xf>
    <xf numFmtId="5" fontId="15" fillId="0" borderId="0" xfId="59" applyNumberFormat="1" applyFont="1" applyFill="1" applyBorder="1"/>
    <xf numFmtId="179" fontId="33" fillId="0" borderId="0" xfId="88" applyNumberFormat="1" applyFont="1" applyFill="1" applyProtection="1"/>
    <xf numFmtId="37" fontId="23" fillId="0" borderId="0" xfId="89" quotePrefix="1" applyFont="1" applyAlignment="1" applyProtection="1">
      <alignment horizontal="center"/>
    </xf>
    <xf numFmtId="14" fontId="17" fillId="0" borderId="16" xfId="0" applyNumberFormat="1" applyFont="1" applyFill="1" applyBorder="1"/>
    <xf numFmtId="14" fontId="15" fillId="0" borderId="16" xfId="0" applyNumberFormat="1" applyFont="1" applyFill="1" applyBorder="1" applyAlignment="1">
      <alignment horizontal="left" indent="1"/>
    </xf>
    <xf numFmtId="0" fontId="17" fillId="0" borderId="0" xfId="93" applyFont="1" applyAlignment="1" applyProtection="1">
      <alignment horizontal="left"/>
    </xf>
    <xf numFmtId="181" fontId="14" fillId="0" borderId="0" xfId="92" applyNumberFormat="1" applyFont="1" applyBorder="1" applyAlignment="1" applyProtection="1">
      <alignment horizontal="centerContinuous" vertical="center" wrapText="1"/>
    </xf>
    <xf numFmtId="181" fontId="17" fillId="0" borderId="0" xfId="90" applyNumberFormat="1" applyFont="1" applyFill="1" applyAlignment="1" applyProtection="1">
      <alignment horizontal="centerContinuous"/>
    </xf>
    <xf numFmtId="168" fontId="15" fillId="0" borderId="0" xfId="0" applyNumberFormat="1" applyFont="1" applyFill="1" applyBorder="1" applyAlignment="1">
      <alignment horizontal="center"/>
    </xf>
    <xf numFmtId="183" fontId="33" fillId="0" borderId="0" xfId="88" applyNumberFormat="1" applyFont="1" applyFill="1" applyProtection="1"/>
    <xf numFmtId="5" fontId="36" fillId="0" borderId="0" xfId="90" applyNumberFormat="1" applyFont="1" applyFill="1"/>
    <xf numFmtId="5" fontId="4" fillId="0" borderId="0" xfId="90" applyNumberFormat="1" applyFont="1" applyFill="1"/>
    <xf numFmtId="175" fontId="24" fillId="0" borderId="0" xfId="88" applyNumberFormat="1" applyFont="1" applyFill="1" applyProtection="1"/>
    <xf numFmtId="175" fontId="23" fillId="0" borderId="0" xfId="88" applyNumberFormat="1" applyFont="1" applyFill="1" applyProtection="1"/>
    <xf numFmtId="37" fontId="45" fillId="0" borderId="0" xfId="0" applyFont="1"/>
    <xf numFmtId="175" fontId="24" fillId="0" borderId="0" xfId="88" applyNumberFormat="1" applyFont="1" applyFill="1" applyBorder="1" applyProtection="1"/>
    <xf numFmtId="37" fontId="24" fillId="0" borderId="0" xfId="0" applyFont="1" applyFill="1" applyBorder="1"/>
    <xf numFmtId="37" fontId="25" fillId="0" borderId="0" xfId="0" applyNumberFormat="1" applyFont="1" applyFill="1" applyBorder="1" applyAlignment="1">
      <alignment horizontal="center"/>
    </xf>
    <xf numFmtId="37" fontId="46" fillId="0" borderId="0" xfId="0" applyFont="1" applyFill="1" applyBorder="1"/>
    <xf numFmtId="170" fontId="25" fillId="0" borderId="0" xfId="59" applyNumberFormat="1" applyFont="1" applyBorder="1"/>
    <xf numFmtId="14" fontId="25" fillId="0" borderId="0" xfId="0" applyNumberFormat="1" applyFont="1" applyFill="1" applyBorder="1"/>
    <xf numFmtId="168" fontId="24" fillId="0" borderId="0" xfId="0" applyNumberFormat="1" applyFont="1"/>
    <xf numFmtId="17" fontId="24" fillId="0" borderId="0" xfId="0" applyNumberFormat="1" applyFont="1" applyAlignment="1">
      <alignment horizontal="center"/>
    </xf>
    <xf numFmtId="39" fontId="24" fillId="0" borderId="0" xfId="0" applyNumberFormat="1" applyFont="1" applyFill="1" applyAlignment="1">
      <alignment horizontal="center"/>
    </xf>
    <xf numFmtId="37" fontId="24" fillId="0" borderId="0" xfId="90" applyNumberFormat="1" applyFont="1" applyAlignment="1" applyProtection="1"/>
    <xf numFmtId="17" fontId="24" fillId="0" borderId="0" xfId="90" applyNumberFormat="1" applyFont="1" applyProtection="1"/>
    <xf numFmtId="17" fontId="24" fillId="0" borderId="0" xfId="90" applyNumberFormat="1" applyFont="1" applyAlignment="1" applyProtection="1">
      <alignment horizontal="center"/>
    </xf>
    <xf numFmtId="171" fontId="24" fillId="0" borderId="0" xfId="0" applyNumberFormat="1" applyFont="1" applyFill="1" applyAlignment="1">
      <alignment horizontal="center"/>
    </xf>
    <xf numFmtId="175" fontId="23" fillId="0" borderId="12" xfId="88" applyNumberFormat="1" applyFont="1" applyFill="1" applyBorder="1" applyProtection="1"/>
    <xf numFmtId="171" fontId="24" fillId="0" borderId="0" xfId="0" applyNumberFormat="1" applyFont="1" applyFill="1"/>
    <xf numFmtId="175" fontId="23" fillId="0" borderId="0" xfId="88" applyNumberFormat="1" applyFont="1" applyFill="1" applyBorder="1" applyProtection="1"/>
    <xf numFmtId="2" fontId="24" fillId="0" borderId="0" xfId="0" applyNumberFormat="1" applyFont="1" applyFill="1" applyBorder="1" applyAlignment="1">
      <alignment horizontal="center"/>
    </xf>
    <xf numFmtId="175" fontId="23" fillId="0" borderId="25" xfId="88" applyNumberFormat="1" applyFont="1" applyFill="1" applyBorder="1" applyProtection="1"/>
    <xf numFmtId="37" fontId="46" fillId="0" borderId="0" xfId="90" applyNumberFormat="1" applyFont="1"/>
    <xf numFmtId="37" fontId="46" fillId="0" borderId="0" xfId="90" applyNumberFormat="1" applyFont="1" applyAlignment="1">
      <alignment horizontal="right"/>
    </xf>
    <xf numFmtId="175" fontId="46" fillId="0" borderId="0" xfId="88" applyNumberFormat="1" applyFont="1" applyFill="1" applyProtection="1"/>
    <xf numFmtId="37" fontId="4" fillId="0" borderId="0" xfId="90" applyFont="1" applyFill="1"/>
    <xf numFmtId="37" fontId="24" fillId="0" borderId="0" xfId="0" applyNumberFormat="1" applyFont="1" applyFill="1"/>
    <xf numFmtId="15" fontId="15" fillId="0" borderId="0" xfId="93" applyNumberFormat="1" applyFont="1" applyFill="1" applyAlignment="1">
      <alignment horizontal="right"/>
    </xf>
    <xf numFmtId="5" fontId="15" fillId="0" borderId="0" xfId="93" applyNumberFormat="1" applyFont="1" applyFill="1"/>
    <xf numFmtId="168" fontId="15" fillId="0" borderId="0" xfId="93" applyNumberFormat="1" applyFont="1" applyFill="1" applyAlignment="1" applyProtection="1">
      <alignment horizontal="left"/>
    </xf>
    <xf numFmtId="15" fontId="15" fillId="0" borderId="0" xfId="93" applyNumberFormat="1" applyFont="1" applyFill="1" applyAlignment="1" applyProtection="1">
      <alignment horizontal="center"/>
    </xf>
    <xf numFmtId="5" fontId="19" fillId="0" borderId="0" xfId="93" applyNumberFormat="1" applyFont="1" applyFill="1"/>
    <xf numFmtId="174" fontId="25" fillId="0" borderId="0" xfId="93" applyNumberFormat="1" applyFont="1" applyFill="1"/>
    <xf numFmtId="5" fontId="17" fillId="0" borderId="25" xfId="93" applyNumberFormat="1" applyFont="1" applyFill="1" applyBorder="1" applyAlignment="1" applyProtection="1">
      <alignment horizontal="right"/>
    </xf>
    <xf numFmtId="43" fontId="42" fillId="0" borderId="0" xfId="88" applyNumberFormat="1" applyFont="1" applyFill="1" applyProtection="1"/>
    <xf numFmtId="164" fontId="33" fillId="0" borderId="26" xfId="88" applyNumberFormat="1" applyFont="1" applyFill="1" applyBorder="1" applyProtection="1"/>
    <xf numFmtId="175" fontId="33" fillId="0" borderId="10" xfId="88" applyNumberFormat="1" applyFont="1" applyFill="1" applyBorder="1" applyProtection="1"/>
    <xf numFmtId="164" fontId="33" fillId="0" borderId="25" xfId="88" applyNumberFormat="1" applyFont="1" applyFill="1" applyBorder="1" applyProtection="1"/>
    <xf numFmtId="165" fontId="33" fillId="0" borderId="0" xfId="88" applyNumberFormat="1" applyFont="1" applyFill="1" applyProtection="1"/>
    <xf numFmtId="165" fontId="33" fillId="0" borderId="19" xfId="88" applyNumberFormat="1" applyFont="1" applyFill="1" applyBorder="1" applyProtection="1"/>
    <xf numFmtId="165" fontId="33" fillId="0" borderId="10" xfId="88" applyNumberFormat="1" applyFont="1" applyFill="1" applyBorder="1" applyProtection="1"/>
    <xf numFmtId="165" fontId="33" fillId="0" borderId="20" xfId="88" applyNumberFormat="1" applyFont="1" applyFill="1" applyBorder="1" applyProtection="1"/>
    <xf numFmtId="0" fontId="33" fillId="0" borderId="0" xfId="88" applyFont="1" applyFill="1"/>
    <xf numFmtId="37" fontId="23" fillId="0" borderId="0" xfId="89" applyFont="1" applyFill="1" applyAlignment="1" applyProtection="1">
      <alignment horizontal="center"/>
    </xf>
    <xf numFmtId="165" fontId="33" fillId="0" borderId="0" xfId="88" applyNumberFormat="1" applyFont="1" applyFill="1"/>
    <xf numFmtId="0" fontId="33" fillId="0" borderId="19" xfId="88" applyFont="1" applyFill="1" applyBorder="1"/>
    <xf numFmtId="165" fontId="33" fillId="0" borderId="27" xfId="88" applyNumberFormat="1" applyFont="1" applyFill="1" applyBorder="1" applyProtection="1"/>
    <xf numFmtId="165" fontId="33" fillId="0" borderId="28" xfId="88" applyNumberFormat="1" applyFont="1" applyFill="1" applyBorder="1" applyProtection="1"/>
    <xf numFmtId="164" fontId="42" fillId="0" borderId="0" xfId="88" applyNumberFormat="1" applyFont="1" applyFill="1" applyBorder="1" applyProtection="1"/>
    <xf numFmtId="164" fontId="24" fillId="0" borderId="12" xfId="88" applyNumberFormat="1" applyFont="1" applyFill="1" applyBorder="1" applyProtection="1"/>
    <xf numFmtId="37" fontId="11" fillId="0" borderId="0" xfId="90" applyFont="1" applyAlignment="1">
      <alignment horizontal="right"/>
    </xf>
    <xf numFmtId="5" fontId="45" fillId="0" borderId="0" xfId="59" applyNumberFormat="1" applyFont="1" applyFill="1" applyBorder="1"/>
    <xf numFmtId="180" fontId="45" fillId="0" borderId="0" xfId="0" applyNumberFormat="1" applyFont="1" applyFill="1" applyBorder="1"/>
    <xf numFmtId="169" fontId="45" fillId="0" borderId="0" xfId="0" applyNumberFormat="1" applyFont="1" applyFill="1" applyBorder="1"/>
    <xf numFmtId="10" fontId="45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37" fontId="0" fillId="0" borderId="0" xfId="0" applyFill="1" applyBorder="1"/>
    <xf numFmtId="37" fontId="12" fillId="0" borderId="0" xfId="89" applyFont="1" applyAlignment="1">
      <alignment horizontal="left" indent="1"/>
    </xf>
    <xf numFmtId="5" fontId="12" fillId="0" borderId="26" xfId="89" applyNumberFormat="1" applyFont="1" applyBorder="1" applyProtection="1"/>
    <xf numFmtId="5" fontId="29" fillId="0" borderId="26" xfId="89" applyNumberFormat="1" applyFont="1" applyBorder="1"/>
    <xf numFmtId="168" fontId="29" fillId="0" borderId="26" xfId="89" applyNumberFormat="1" applyFont="1" applyBorder="1" applyProtection="1"/>
    <xf numFmtId="14" fontId="17" fillId="0" borderId="16" xfId="0" applyNumberFormat="1" applyFont="1" applyFill="1" applyBorder="1" applyAlignment="1">
      <alignment horizontal="left" indent="2"/>
    </xf>
    <xf numFmtId="37" fontId="17" fillId="0" borderId="16" xfId="0" applyFont="1" applyFill="1" applyBorder="1" applyAlignment="1">
      <alignment horizontal="left" indent="1"/>
    </xf>
    <xf numFmtId="0" fontId="14" fillId="0" borderId="0" xfId="93" quotePrefix="1" applyFont="1" applyFill="1" applyBorder="1" applyAlignment="1" applyProtection="1">
      <alignment horizontal="centerContinuous" vertical="center" wrapText="1"/>
    </xf>
    <xf numFmtId="181" fontId="14" fillId="0" borderId="0" xfId="93" quotePrefix="1" applyNumberFormat="1" applyFont="1" applyFill="1" applyBorder="1" applyAlignment="1" applyProtection="1">
      <alignment horizontal="centerContinuous" vertical="center" wrapText="1"/>
    </xf>
    <xf numFmtId="37" fontId="48" fillId="0" borderId="0" xfId="0" applyFont="1" applyBorder="1" applyAlignment="1">
      <alignment horizontal="center"/>
    </xf>
    <xf numFmtId="10" fontId="28" fillId="0" borderId="0" xfId="92" applyNumberFormat="1" applyFont="1" applyFill="1" applyAlignment="1" applyProtection="1"/>
    <xf numFmtId="10" fontId="33" fillId="0" borderId="0" xfId="98" applyNumberFormat="1" applyFont="1" applyFill="1" applyBorder="1" applyProtection="1"/>
    <xf numFmtId="10" fontId="33" fillId="0" borderId="10" xfId="88" applyNumberFormat="1" applyFont="1" applyFill="1" applyBorder="1" applyProtection="1"/>
    <xf numFmtId="37" fontId="42" fillId="0" borderId="0" xfId="88" applyNumberFormat="1" applyFont="1" applyFill="1" applyBorder="1" applyProtection="1"/>
    <xf numFmtId="184" fontId="33" fillId="0" borderId="0" xfId="88" applyNumberFormat="1" applyFont="1" applyFill="1" applyBorder="1" applyProtection="1"/>
    <xf numFmtId="0" fontId="31" fillId="0" borderId="0" xfId="88" applyFont="1" applyBorder="1" applyAlignment="1" applyProtection="1">
      <alignment horizontal="centerContinuous" vertical="center" wrapText="1"/>
    </xf>
    <xf numFmtId="10" fontId="31" fillId="0" borderId="0" xfId="92" applyFont="1" applyBorder="1" applyAlignment="1" applyProtection="1">
      <alignment horizontal="centerContinuous" vertical="center" wrapText="1"/>
    </xf>
    <xf numFmtId="172" fontId="31" fillId="0" borderId="0" xfId="92" applyNumberFormat="1" applyFont="1" applyBorder="1" applyAlignment="1" applyProtection="1">
      <alignment horizontal="centerContinuous" vertical="center" wrapText="1"/>
    </xf>
    <xf numFmtId="180" fontId="48" fillId="0" borderId="0" xfId="0" applyNumberFormat="1" applyFont="1" applyFill="1" applyBorder="1" applyAlignment="1">
      <alignment horizontal="left" indent="1"/>
    </xf>
    <xf numFmtId="1" fontId="15" fillId="0" borderId="0" xfId="0" applyNumberFormat="1" applyFont="1" applyFill="1" applyBorder="1" applyAlignment="1">
      <alignment horizontal="center"/>
    </xf>
    <xf numFmtId="37" fontId="23" fillId="0" borderId="13" xfId="0" applyFont="1" applyFill="1" applyBorder="1"/>
    <xf numFmtId="5" fontId="12" fillId="0" borderId="0" xfId="89" applyNumberFormat="1" applyFont="1" applyFill="1" applyProtection="1"/>
    <xf numFmtId="10" fontId="12" fillId="0" borderId="0" xfId="92" applyFont="1" applyFill="1" applyAlignment="1" applyProtection="1"/>
    <xf numFmtId="37" fontId="14" fillId="0" borderId="0" xfId="89" applyFont="1" applyBorder="1" applyAlignment="1" applyProtection="1">
      <alignment horizontal="center"/>
    </xf>
    <xf numFmtId="37" fontId="39" fillId="0" borderId="29" xfId="0" applyFont="1" applyFill="1" applyBorder="1"/>
    <xf numFmtId="37" fontId="15" fillId="0" borderId="15" xfId="0" applyFont="1" applyFill="1" applyBorder="1"/>
    <xf numFmtId="37" fontId="0" fillId="0" borderId="14" xfId="0" applyBorder="1"/>
    <xf numFmtId="37" fontId="15" fillId="0" borderId="17" xfId="0" applyFont="1" applyBorder="1"/>
    <xf numFmtId="37" fontId="15" fillId="0" borderId="18" xfId="0" applyFont="1" applyBorder="1"/>
    <xf numFmtId="37" fontId="15" fillId="0" borderId="21" xfId="0" applyFont="1" applyBorder="1"/>
    <xf numFmtId="10" fontId="12" fillId="0" borderId="0" xfId="92" applyNumberFormat="1" applyFont="1" applyAlignment="1"/>
    <xf numFmtId="10" fontId="28" fillId="0" borderId="0" xfId="92" applyNumberFormat="1" applyFont="1" applyAlignment="1" applyProtection="1"/>
    <xf numFmtId="37" fontId="24" fillId="0" borderId="0" xfId="90" applyNumberFormat="1" applyFont="1" applyBorder="1" applyAlignment="1">
      <alignment horizontal="center"/>
    </xf>
    <xf numFmtId="37" fontId="23" fillId="0" borderId="0" xfId="90" applyNumberFormat="1" applyFont="1" applyBorder="1" applyAlignment="1" applyProtection="1">
      <alignment horizontal="center" wrapText="1"/>
    </xf>
    <xf numFmtId="17" fontId="17" fillId="0" borderId="0" xfId="88" applyNumberFormat="1" applyFont="1" applyFill="1" applyAlignment="1" applyProtection="1">
      <alignment horizontal="right"/>
    </xf>
    <xf numFmtId="164" fontId="24" fillId="0" borderId="0" xfId="88" applyNumberFormat="1" applyFont="1" applyFill="1" applyProtection="1"/>
    <xf numFmtId="164" fontId="24" fillId="0" borderId="26" xfId="88" applyNumberFormat="1" applyFont="1" applyFill="1" applyBorder="1" applyProtection="1"/>
    <xf numFmtId="39" fontId="42" fillId="0" borderId="0" xfId="0" applyNumberFormat="1" applyFont="1"/>
    <xf numFmtId="168" fontId="45" fillId="0" borderId="0" xfId="98" applyNumberFormat="1" applyFont="1" applyFill="1" applyBorder="1"/>
    <xf numFmtId="168" fontId="15" fillId="0" borderId="0" xfId="98" applyNumberFormat="1" applyFont="1" applyFill="1" applyBorder="1" applyAlignment="1">
      <alignment horizontal="left"/>
    </xf>
    <xf numFmtId="169" fontId="45" fillId="0" borderId="0" xfId="0" applyNumberFormat="1" applyFont="1" applyFill="1" applyBorder="1" applyAlignment="1">
      <alignment horizontal="center"/>
    </xf>
    <xf numFmtId="5" fontId="15" fillId="0" borderId="25" xfId="59" applyNumberFormat="1" applyFont="1" applyBorder="1"/>
    <xf numFmtId="5" fontId="15" fillId="0" borderId="25" xfId="55" applyNumberFormat="1" applyFont="1" applyFill="1" applyBorder="1"/>
    <xf numFmtId="168" fontId="15" fillId="0" borderId="25" xfId="98" applyNumberFormat="1" applyFont="1" applyFill="1" applyBorder="1" applyAlignment="1">
      <alignment horizontal="center"/>
    </xf>
    <xf numFmtId="5" fontId="17" fillId="0" borderId="25" xfId="55" applyNumberFormat="1" applyFont="1" applyFill="1" applyBorder="1"/>
    <xf numFmtId="10" fontId="17" fillId="0" borderId="0" xfId="92" applyFont="1" applyAlignment="1" applyProtection="1">
      <alignment horizontal="left"/>
    </xf>
    <xf numFmtId="176" fontId="42" fillId="0" borderId="0" xfId="88" applyNumberFormat="1" applyFont="1" applyFill="1" applyProtection="1"/>
    <xf numFmtId="164" fontId="42" fillId="0" borderId="0" xfId="88" applyNumberFormat="1" applyFont="1" applyFill="1" applyProtection="1"/>
    <xf numFmtId="175" fontId="42" fillId="0" borderId="0" xfId="88" applyNumberFormat="1" applyFont="1" applyFill="1" applyProtection="1"/>
    <xf numFmtId="0" fontId="42" fillId="0" borderId="0" xfId="88" applyFont="1" applyFill="1"/>
    <xf numFmtId="5" fontId="45" fillId="0" borderId="0" xfId="55" applyNumberFormat="1" applyFont="1" applyFill="1" applyBorder="1"/>
    <xf numFmtId="168" fontId="45" fillId="0" borderId="0" xfId="0" applyNumberFormat="1" applyFont="1" applyFill="1" applyBorder="1" applyAlignment="1">
      <alignment horizontal="center"/>
    </xf>
    <xf numFmtId="37" fontId="25" fillId="0" borderId="0" xfId="0" applyFont="1"/>
    <xf numFmtId="37" fontId="17" fillId="0" borderId="0" xfId="89" applyFont="1" applyAlignment="1" applyProtection="1">
      <alignment horizontal="center"/>
    </xf>
    <xf numFmtId="37" fontId="17" fillId="0" borderId="10" xfId="0" applyFont="1" applyBorder="1"/>
    <xf numFmtId="37" fontId="17" fillId="0" borderId="0" xfId="0" applyFont="1" applyBorder="1"/>
    <xf numFmtId="37" fontId="17" fillId="0" borderId="0" xfId="0" applyFont="1" applyFill="1" applyBorder="1" applyAlignment="1">
      <alignment horizontal="center"/>
    </xf>
    <xf numFmtId="37" fontId="17" fillId="0" borderId="0" xfId="0" applyFont="1" applyBorder="1" applyAlignment="1">
      <alignment horizontal="center"/>
    </xf>
    <xf numFmtId="37" fontId="17" fillId="0" borderId="0" xfId="0" applyFont="1" applyAlignment="1">
      <alignment horizontal="center"/>
    </xf>
    <xf numFmtId="174" fontId="17" fillId="0" borderId="10" xfId="93" applyNumberFormat="1" applyFont="1" applyFill="1" applyBorder="1" applyAlignment="1">
      <alignment horizontal="center"/>
    </xf>
    <xf numFmtId="174" fontId="17" fillId="0" borderId="0" xfId="93" applyNumberFormat="1" applyFont="1" applyFill="1" applyBorder="1" applyAlignment="1">
      <alignment horizontal="center"/>
    </xf>
    <xf numFmtId="37" fontId="25" fillId="0" borderId="0" xfId="0" applyFont="1" applyFill="1" applyBorder="1"/>
    <xf numFmtId="37" fontId="25" fillId="0" borderId="0" xfId="0" applyNumberFormat="1" applyFont="1"/>
    <xf numFmtId="37" fontId="45" fillId="0" borderId="0" xfId="0" applyNumberFormat="1" applyFont="1"/>
    <xf numFmtId="37" fontId="15" fillId="0" borderId="0" xfId="0" applyNumberFormat="1" applyFont="1"/>
    <xf numFmtId="37" fontId="45" fillId="0" borderId="0" xfId="0" applyNumberFormat="1" applyFont="1" applyFill="1"/>
    <xf numFmtId="37" fontId="17" fillId="0" borderId="12" xfId="0" applyFont="1" applyFill="1" applyBorder="1"/>
    <xf numFmtId="37" fontId="25" fillId="0" borderId="0" xfId="0" applyNumberFormat="1" applyFont="1" applyBorder="1"/>
    <xf numFmtId="37" fontId="25" fillId="0" borderId="0" xfId="0" applyFont="1" applyFill="1" applyBorder="1" applyAlignment="1">
      <alignment horizontal="left" indent="1"/>
    </xf>
    <xf numFmtId="37" fontId="15" fillId="0" borderId="0" xfId="0" applyFont="1" applyFill="1" applyBorder="1" applyAlignment="1">
      <alignment horizontal="left" indent="1"/>
    </xf>
    <xf numFmtId="37" fontId="17" fillId="0" borderId="0" xfId="0" applyFont="1" applyFill="1" applyBorder="1"/>
    <xf numFmtId="39" fontId="15" fillId="0" borderId="0" xfId="0" applyNumberFormat="1" applyFont="1"/>
    <xf numFmtId="5" fontId="17" fillId="0" borderId="12" xfId="59" applyNumberFormat="1" applyFont="1" applyFill="1" applyBorder="1"/>
    <xf numFmtId="5" fontId="17" fillId="0" borderId="23" xfId="59" applyNumberFormat="1" applyFont="1" applyFill="1" applyBorder="1"/>
    <xf numFmtId="5" fontId="15" fillId="0" borderId="25" xfId="59" applyNumberFormat="1" applyFont="1" applyFill="1" applyBorder="1"/>
    <xf numFmtId="173" fontId="45" fillId="0" borderId="0" xfId="0" applyNumberFormat="1" applyFont="1" applyBorder="1" applyAlignment="1">
      <alignment horizontal="left" indent="1"/>
    </xf>
    <xf numFmtId="1" fontId="45" fillId="0" borderId="0" xfId="0" applyNumberFormat="1" applyFont="1" applyFill="1" applyBorder="1" applyAlignment="1">
      <alignment horizontal="center"/>
    </xf>
    <xf numFmtId="37" fontId="23" fillId="0" borderId="0" xfId="89" applyFont="1" applyAlignment="1" applyProtection="1">
      <alignment horizontal="left"/>
    </xf>
    <xf numFmtId="37" fontId="23" fillId="0" borderId="10" xfId="90" applyNumberFormat="1" applyFont="1" applyBorder="1" applyAlignment="1" applyProtection="1">
      <alignment horizontal="center" wrapText="1"/>
    </xf>
    <xf numFmtId="175" fontId="34" fillId="0" borderId="12" xfId="88" applyNumberFormat="1" applyFont="1" applyFill="1" applyBorder="1" applyProtection="1"/>
    <xf numFmtId="10" fontId="23" fillId="19" borderId="23" xfId="90" applyNumberFormat="1" applyFont="1" applyFill="1" applyBorder="1" applyProtection="1"/>
    <xf numFmtId="186" fontId="42" fillId="0" borderId="0" xfId="88" applyNumberFormat="1" applyFont="1" applyFill="1" applyBorder="1" applyProtection="1"/>
    <xf numFmtId="188" fontId="45" fillId="0" borderId="0" xfId="93" applyNumberFormat="1" applyFont="1" applyFill="1"/>
    <xf numFmtId="5" fontId="15" fillId="0" borderId="0" xfId="55" applyNumberFormat="1" applyFont="1" applyFill="1" applyBorder="1"/>
    <xf numFmtId="179" fontId="42" fillId="0" borderId="0" xfId="88" applyNumberFormat="1" applyFont="1" applyFill="1" applyBorder="1" applyProtection="1"/>
    <xf numFmtId="176" fontId="18" fillId="0" borderId="0" xfId="88" applyNumberFormat="1" applyFont="1" applyAlignment="1" applyProtection="1">
      <alignment horizontal="center" wrapText="1"/>
    </xf>
    <xf numFmtId="0" fontId="65" fillId="0" borderId="0" xfId="88" applyFont="1"/>
    <xf numFmtId="10" fontId="27" fillId="0" borderId="0" xfId="92" applyNumberFormat="1" applyFont="1" applyFill="1" applyBorder="1" applyAlignment="1" applyProtection="1"/>
    <xf numFmtId="181" fontId="17" fillId="0" borderId="0" xfId="0" applyNumberFormat="1" applyFont="1" applyBorder="1" applyAlignment="1">
      <alignment horizontal="left"/>
    </xf>
    <xf numFmtId="5" fontId="5" fillId="0" borderId="0" xfId="93" applyNumberFormat="1" applyFont="1"/>
    <xf numFmtId="10" fontId="67" fillId="0" borderId="0" xfId="92" applyNumberFormat="1" applyFont="1" applyFill="1" applyAlignment="1" applyProtection="1"/>
    <xf numFmtId="10" fontId="8" fillId="0" borderId="0" xfId="98" applyNumberFormat="1" applyFont="1"/>
    <xf numFmtId="10" fontId="12" fillId="0" borderId="0" xfId="89" applyNumberFormat="1" applyFont="1"/>
    <xf numFmtId="5" fontId="45" fillId="0" borderId="0" xfId="59" applyNumberFormat="1" applyFont="1" applyFill="1"/>
    <xf numFmtId="189" fontId="12" fillId="0" borderId="0" xfId="55" applyNumberFormat="1" applyFont="1" applyBorder="1" applyAlignment="1"/>
    <xf numFmtId="37" fontId="68" fillId="0" borderId="0" xfId="0" applyFont="1"/>
    <xf numFmtId="37" fontId="0" fillId="0" borderId="0" xfId="0" applyNumberFormat="1" applyFont="1"/>
    <xf numFmtId="10" fontId="20" fillId="0" borderId="0" xfId="98" applyNumberFormat="1" applyFont="1" applyFill="1" applyBorder="1"/>
    <xf numFmtId="10" fontId="15" fillId="0" borderId="0" xfId="98" applyNumberFormat="1" applyFont="1"/>
    <xf numFmtId="10" fontId="15" fillId="0" borderId="0" xfId="98" applyNumberFormat="1" applyFont="1" applyFill="1"/>
    <xf numFmtId="187" fontId="44" fillId="0" borderId="0" xfId="92" applyNumberFormat="1" applyFont="1" applyBorder="1"/>
    <xf numFmtId="5" fontId="18" fillId="0" borderId="0" xfId="59" applyNumberFormat="1" applyFont="1" applyFill="1" applyBorder="1"/>
    <xf numFmtId="37" fontId="17" fillId="0" borderId="16" xfId="0" applyFont="1" applyFill="1" applyBorder="1"/>
    <xf numFmtId="10" fontId="24" fillId="0" borderId="0" xfId="99" applyNumberFormat="1" applyFont="1" applyFill="1"/>
    <xf numFmtId="37" fontId="23" fillId="0" borderId="0" xfId="87" applyNumberFormat="1" applyFont="1" applyFill="1" applyBorder="1"/>
    <xf numFmtId="0" fontId="15" fillId="0" borderId="0" xfId="93" applyNumberFormat="1" applyFont="1" applyFill="1"/>
    <xf numFmtId="37" fontId="46" fillId="0" borderId="0" xfId="0" applyFont="1" applyBorder="1"/>
    <xf numFmtId="37" fontId="15" fillId="0" borderId="0" xfId="0" applyFont="1" applyBorder="1" applyAlignment="1">
      <alignment horizontal="right"/>
    </xf>
    <xf numFmtId="37" fontId="46" fillId="0" borderId="0" xfId="0" applyFont="1" applyFill="1" applyBorder="1" applyAlignment="1">
      <alignment horizontal="center"/>
    </xf>
    <xf numFmtId="170" fontId="15" fillId="0" borderId="25" xfId="59" applyNumberFormat="1" applyFont="1" applyBorder="1"/>
    <xf numFmtId="5" fontId="17" fillId="0" borderId="0" xfId="55" applyNumberFormat="1" applyFont="1" applyFill="1" applyBorder="1"/>
    <xf numFmtId="168" fontId="15" fillId="0" borderId="0" xfId="98" applyNumberFormat="1" applyFont="1" applyFill="1" applyBorder="1" applyAlignment="1">
      <alignment horizontal="center"/>
    </xf>
    <xf numFmtId="175" fontId="34" fillId="0" borderId="0" xfId="88" applyNumberFormat="1" applyFont="1" applyFill="1" applyBorder="1" applyProtection="1"/>
    <xf numFmtId="10" fontId="0" fillId="0" borderId="0" xfId="98" applyNumberFormat="1" applyFont="1"/>
    <xf numFmtId="10" fontId="21" fillId="0" borderId="0" xfId="98" applyNumberFormat="1" applyFont="1"/>
    <xf numFmtId="168" fontId="4" fillId="0" borderId="0" xfId="98" applyNumberFormat="1" applyFont="1"/>
    <xf numFmtId="37" fontId="24" fillId="0" borderId="0" xfId="90" applyNumberFormat="1" applyFont="1" applyFill="1" applyAlignment="1">
      <alignment horizontal="center"/>
    </xf>
    <xf numFmtId="168" fontId="24" fillId="0" borderId="0" xfId="0" applyNumberFormat="1" applyFont="1" applyFill="1"/>
    <xf numFmtId="17" fontId="24" fillId="0" borderId="0" xfId="0" applyNumberFormat="1" applyFont="1" applyFill="1" applyAlignment="1">
      <alignment horizontal="center"/>
    </xf>
    <xf numFmtId="10" fontId="24" fillId="0" borderId="0" xfId="0" applyNumberFormat="1" applyFont="1" applyFill="1"/>
    <xf numFmtId="10" fontId="12" fillId="0" borderId="0" xfId="92" applyFont="1" applyFill="1" applyBorder="1" applyAlignment="1" applyProtection="1"/>
    <xf numFmtId="14" fontId="4" fillId="0" borderId="0" xfId="90" applyNumberFormat="1" applyFont="1"/>
    <xf numFmtId="10" fontId="8" fillId="0" borderId="0" xfId="98" applyNumberFormat="1" applyFont="1" applyFill="1"/>
    <xf numFmtId="10" fontId="1" fillId="0" borderId="0" xfId="92" applyNumberFormat="1" applyFont="1" applyFill="1" applyBorder="1" applyAlignment="1" applyProtection="1"/>
    <xf numFmtId="168" fontId="12" fillId="0" borderId="0" xfId="92" applyNumberFormat="1" applyFont="1" applyAlignment="1" applyProtection="1"/>
    <xf numFmtId="5" fontId="12" fillId="0" borderId="0" xfId="92" applyNumberFormat="1" applyFont="1" applyFill="1" applyAlignment="1"/>
    <xf numFmtId="10" fontId="1" fillId="0" borderId="0" xfId="92" applyFont="1" applyFill="1" applyAlignment="1" applyProtection="1"/>
    <xf numFmtId="5" fontId="28" fillId="0" borderId="0" xfId="92" applyNumberFormat="1" applyFont="1" applyFill="1" applyBorder="1" applyAlignment="1" applyProtection="1"/>
    <xf numFmtId="5" fontId="35" fillId="0" borderId="0" xfId="92" applyNumberFormat="1" applyFont="1" applyFill="1" applyBorder="1" applyAlignment="1" applyProtection="1"/>
    <xf numFmtId="10" fontId="12" fillId="0" borderId="0" xfId="92" applyFont="1" applyFill="1" applyBorder="1"/>
    <xf numFmtId="10" fontId="12" fillId="0" borderId="0" xfId="92" applyFont="1" applyFill="1"/>
    <xf numFmtId="0" fontId="23" fillId="0" borderId="0" xfId="88" applyFont="1" applyAlignment="1" applyProtection="1">
      <alignment horizontal="center"/>
    </xf>
    <xf numFmtId="0" fontId="41" fillId="0" borderId="0" xfId="88" applyFont="1" applyFill="1" applyBorder="1" applyAlignment="1" applyProtection="1">
      <alignment horizontal="center" vertical="center" wrapText="1"/>
    </xf>
    <xf numFmtId="37" fontId="17" fillId="0" borderId="16" xfId="0" applyFont="1" applyFill="1" applyBorder="1" applyAlignment="1">
      <alignment horizontal="left"/>
    </xf>
    <xf numFmtId="37" fontId="17" fillId="0" borderId="0" xfId="0" applyFont="1" applyFill="1" applyBorder="1" applyAlignment="1">
      <alignment horizontal="left"/>
    </xf>
    <xf numFmtId="37" fontId="39" fillId="0" borderId="29" xfId="0" applyFont="1" applyFill="1" applyBorder="1" applyAlignment="1">
      <alignment horizontal="left"/>
    </xf>
    <xf numFmtId="37" fontId="39" fillId="0" borderId="15" xfId="0" applyFont="1" applyFill="1" applyBorder="1" applyAlignment="1">
      <alignment horizontal="left"/>
    </xf>
    <xf numFmtId="181" fontId="17" fillId="0" borderId="0" xfId="93" applyNumberFormat="1" applyFont="1" applyFill="1" applyAlignment="1">
      <alignment horizontal="left"/>
    </xf>
  </cellXfs>
  <cellStyles count="10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0" xfId="58"/>
    <cellStyle name="Currency" xfId="59" builtinId="4"/>
    <cellStyle name="Currency 2" xfId="60"/>
    <cellStyle name="Currency 3" xfId="61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3" xfId="100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C37" sqref="C37"/>
    </sheetView>
  </sheetViews>
  <sheetFormatPr defaultColWidth="11.5" defaultRowHeight="12.75"/>
  <cols>
    <col min="1" max="1" width="3.83203125" style="16" customWidth="1"/>
    <col min="2" max="2" width="37.33203125" style="16" customWidth="1"/>
    <col min="3" max="3" width="18.1640625" style="16" customWidth="1"/>
    <col min="4" max="4" width="13.5" style="16" customWidth="1"/>
    <col min="5" max="5" width="13.1640625" style="16" customWidth="1"/>
    <col min="6" max="6" width="13.5" style="16" customWidth="1"/>
    <col min="7" max="7" width="11.5" style="16" customWidth="1"/>
    <col min="8" max="8" width="13.83203125" style="16" customWidth="1"/>
    <col min="9" max="9" width="11.1640625" style="16" customWidth="1"/>
    <col min="10" max="10" width="8.5" style="16" customWidth="1"/>
    <col min="11" max="11" width="9" style="16" customWidth="1"/>
    <col min="12" max="12" width="8.6640625" style="16" customWidth="1"/>
    <col min="13" max="16384" width="11.5" style="16"/>
  </cols>
  <sheetData>
    <row r="1" spans="1:12" ht="15.75">
      <c r="B1" s="337" t="s">
        <v>4</v>
      </c>
      <c r="C1" s="337"/>
      <c r="D1" s="337"/>
      <c r="E1" s="337"/>
      <c r="F1" s="337"/>
    </row>
    <row r="2" spans="1:12">
      <c r="A2" s="103"/>
      <c r="B2" s="17"/>
      <c r="C2" s="17"/>
      <c r="D2" s="17"/>
      <c r="E2" s="17"/>
      <c r="F2" s="17"/>
    </row>
    <row r="3" spans="1:12" ht="15.75">
      <c r="B3" s="338" t="s">
        <v>6</v>
      </c>
      <c r="C3" s="338"/>
      <c r="D3" s="338"/>
      <c r="E3" s="338"/>
      <c r="F3" s="338"/>
    </row>
    <row r="4" spans="1:12" ht="15.75">
      <c r="B4" s="339" t="s">
        <v>58</v>
      </c>
      <c r="C4" s="339"/>
      <c r="D4" s="339"/>
      <c r="E4" s="339"/>
      <c r="F4" s="339"/>
      <c r="H4" s="234"/>
      <c r="L4" s="236"/>
    </row>
    <row r="5" spans="1:12">
      <c r="A5" s="104"/>
      <c r="B5" s="251" t="s">
        <v>202</v>
      </c>
      <c r="C5" s="251"/>
      <c r="D5" s="251"/>
      <c r="E5" s="251"/>
      <c r="F5" s="251"/>
      <c r="H5" s="234"/>
      <c r="L5" s="236"/>
    </row>
    <row r="6" spans="1:12">
      <c r="A6" s="18"/>
      <c r="C6" s="19"/>
      <c r="H6" s="234"/>
      <c r="L6" s="236"/>
    </row>
    <row r="7" spans="1:12">
      <c r="A7" s="18"/>
      <c r="B7" s="104"/>
      <c r="C7" s="104"/>
      <c r="D7" s="104"/>
      <c r="E7" s="104"/>
      <c r="F7" s="104"/>
      <c r="H7" s="234"/>
      <c r="L7" s="236"/>
    </row>
    <row r="8" spans="1:12">
      <c r="A8" s="189">
        <v>1</v>
      </c>
      <c r="B8" s="128" t="s">
        <v>5</v>
      </c>
      <c r="C8" s="128" t="s">
        <v>27</v>
      </c>
      <c r="D8" s="128" t="s">
        <v>52</v>
      </c>
      <c r="E8" s="128" t="s">
        <v>64</v>
      </c>
      <c r="F8" s="128" t="s">
        <v>65</v>
      </c>
      <c r="H8" s="234"/>
      <c r="L8" s="236"/>
    </row>
    <row r="9" spans="1:12">
      <c r="A9" s="189">
        <f>+A8+1</f>
        <v>2</v>
      </c>
      <c r="B9" s="104"/>
      <c r="C9" s="104"/>
      <c r="D9" s="104"/>
      <c r="E9" s="104"/>
      <c r="F9" s="104"/>
      <c r="H9" s="234"/>
      <c r="L9" s="236"/>
    </row>
    <row r="10" spans="1:12">
      <c r="A10" s="189">
        <f t="shared" ref="A10:A17" si="0">+A9+1</f>
        <v>3</v>
      </c>
      <c r="B10" s="105" t="s">
        <v>2</v>
      </c>
      <c r="C10" s="106"/>
      <c r="D10" s="106"/>
      <c r="E10" s="106"/>
      <c r="F10" s="106" t="s">
        <v>7</v>
      </c>
      <c r="H10" s="234"/>
      <c r="L10" s="236"/>
    </row>
    <row r="11" spans="1:12">
      <c r="A11" s="189">
        <f t="shared" si="0"/>
        <v>4</v>
      </c>
      <c r="B11" s="106"/>
      <c r="C11" s="107"/>
      <c r="D11" s="106"/>
      <c r="E11" s="106"/>
      <c r="F11" s="107" t="s">
        <v>8</v>
      </c>
      <c r="H11" s="234"/>
      <c r="L11" s="236"/>
    </row>
    <row r="12" spans="1:12">
      <c r="A12" s="189">
        <f t="shared" si="0"/>
        <v>5</v>
      </c>
      <c r="B12" s="108" t="s">
        <v>9</v>
      </c>
      <c r="C12" s="108" t="s">
        <v>79</v>
      </c>
      <c r="D12" s="108" t="s">
        <v>10</v>
      </c>
      <c r="E12" s="108" t="s">
        <v>11</v>
      </c>
      <c r="F12" s="108" t="s">
        <v>12</v>
      </c>
      <c r="H12" s="234"/>
      <c r="L12" s="236"/>
    </row>
    <row r="13" spans="1:12">
      <c r="A13" s="189">
        <f t="shared" si="0"/>
        <v>6</v>
      </c>
      <c r="B13" s="109"/>
      <c r="C13" s="109"/>
      <c r="D13" s="109"/>
      <c r="E13" s="109"/>
      <c r="F13" s="109"/>
      <c r="H13" s="234"/>
      <c r="L13" s="236"/>
    </row>
    <row r="14" spans="1:12">
      <c r="A14" s="189">
        <f t="shared" si="0"/>
        <v>7</v>
      </c>
      <c r="B14" s="109" t="s">
        <v>13</v>
      </c>
      <c r="C14" s="166">
        <f>'Pg 2 CapStructure'!Q10</f>
        <v>240409667</v>
      </c>
      <c r="D14" s="446">
        <f>ROUND(C14/$C$30,4)</f>
        <v>3.0599999999999999E-2</v>
      </c>
      <c r="E14" s="344">
        <f>'Pg 6 LTD Cost '!H31</f>
        <v>2.41E-2</v>
      </c>
      <c r="F14" s="177">
        <f>ROUND(D14*E14,4)</f>
        <v>6.9999999999999999E-4</v>
      </c>
      <c r="L14" s="234"/>
    </row>
    <row r="15" spans="1:12">
      <c r="A15" s="189">
        <f t="shared" si="0"/>
        <v>8</v>
      </c>
      <c r="B15" s="109"/>
      <c r="C15" s="168"/>
      <c r="D15" s="177"/>
      <c r="E15" s="167"/>
      <c r="F15" s="177"/>
      <c r="L15" s="234"/>
    </row>
    <row r="16" spans="1:12">
      <c r="A16" s="189">
        <f t="shared" si="0"/>
        <v>9</v>
      </c>
      <c r="B16" s="109" t="s">
        <v>14</v>
      </c>
      <c r="C16" s="168">
        <f>'Pg 2 CapStructure'!Q16</f>
        <v>3768263996</v>
      </c>
      <c r="D16" s="412">
        <f>ROUND(C16/$C$30,4)</f>
        <v>0.47939999999999999</v>
      </c>
      <c r="E16" s="169">
        <f>'Pg 6 LTD Cost '!H29</f>
        <v>5.8700000000000002E-2</v>
      </c>
      <c r="F16" s="177">
        <f>ROUND(D16*E16,4)</f>
        <v>2.81E-2</v>
      </c>
      <c r="L16" s="234"/>
    </row>
    <row r="17" spans="1:12">
      <c r="A17" s="189">
        <f t="shared" si="0"/>
        <v>10</v>
      </c>
      <c r="B17" s="111"/>
      <c r="C17" s="170"/>
      <c r="D17" s="177"/>
      <c r="E17" s="169"/>
      <c r="F17" s="352"/>
      <c r="H17" s="245"/>
      <c r="I17" s="191"/>
      <c r="J17" s="191"/>
      <c r="K17" s="191"/>
      <c r="L17" s="246"/>
    </row>
    <row r="18" spans="1:12">
      <c r="A18" s="189">
        <v>11</v>
      </c>
      <c r="B18" s="104" t="s">
        <v>188</v>
      </c>
      <c r="C18" s="170"/>
      <c r="D18" s="177">
        <f>ROUND((C14+C16)/C30,4)</f>
        <v>0.51</v>
      </c>
      <c r="E18" s="169">
        <f>'Pg 6 LTD Cost '!H33</f>
        <v>5.6899999999999999E-2</v>
      </c>
      <c r="F18" s="352">
        <f>F16+F14</f>
        <v>2.8799999999999999E-2</v>
      </c>
      <c r="H18" s="422"/>
      <c r="I18" s="191"/>
      <c r="J18" s="191"/>
      <c r="K18" s="191"/>
      <c r="L18" s="246"/>
    </row>
    <row r="19" spans="1:12">
      <c r="A19" s="189">
        <v>12</v>
      </c>
      <c r="B19" s="111"/>
      <c r="C19" s="170"/>
      <c r="D19" s="177"/>
      <c r="E19" s="169"/>
      <c r="F19" s="352"/>
      <c r="H19" s="245"/>
      <c r="I19" s="191"/>
      <c r="J19" s="191"/>
      <c r="K19" s="191"/>
      <c r="L19" s="246"/>
    </row>
    <row r="20" spans="1:12">
      <c r="A20" s="189">
        <v>13</v>
      </c>
      <c r="B20" s="104" t="s">
        <v>54</v>
      </c>
      <c r="C20" s="170"/>
      <c r="D20" s="177"/>
      <c r="E20" s="169"/>
      <c r="F20" s="352">
        <f>'Pg 4 STD OS &amp; Comm Fees'!F20</f>
        <v>2.0000000000000001E-4</v>
      </c>
      <c r="H20" s="245"/>
      <c r="I20" s="191"/>
      <c r="J20" s="191"/>
      <c r="K20" s="191"/>
      <c r="L20" s="246"/>
    </row>
    <row r="21" spans="1:12">
      <c r="A21" s="189">
        <v>14</v>
      </c>
      <c r="B21" s="111"/>
      <c r="C21" s="170"/>
      <c r="D21" s="177"/>
      <c r="E21" s="169"/>
      <c r="F21" s="352"/>
      <c r="H21" s="245"/>
      <c r="I21" s="191"/>
      <c r="J21" s="191"/>
      <c r="K21" s="191"/>
      <c r="L21" s="246"/>
    </row>
    <row r="22" spans="1:12">
      <c r="A22" s="189">
        <v>15</v>
      </c>
      <c r="B22" s="104" t="s">
        <v>189</v>
      </c>
      <c r="C22" s="170"/>
      <c r="D22" s="177"/>
      <c r="E22" s="169"/>
      <c r="F22" s="352">
        <f>'Pg 5 STD Amort'!I35</f>
        <v>1E-4</v>
      </c>
      <c r="H22" s="245"/>
      <c r="I22" s="191"/>
      <c r="J22" s="191"/>
      <c r="K22" s="191"/>
      <c r="L22" s="246"/>
    </row>
    <row r="23" spans="1:12">
      <c r="A23" s="189">
        <v>16</v>
      </c>
      <c r="B23" s="111"/>
      <c r="C23" s="170"/>
      <c r="D23" s="177"/>
      <c r="E23" s="169"/>
      <c r="F23" s="352"/>
      <c r="H23" s="245"/>
      <c r="I23" s="191"/>
      <c r="J23" s="191"/>
      <c r="K23" s="191"/>
      <c r="L23" s="246"/>
    </row>
    <row r="24" spans="1:12">
      <c r="A24" s="189">
        <v>17</v>
      </c>
      <c r="B24" s="104" t="s">
        <v>190</v>
      </c>
      <c r="C24" s="170"/>
      <c r="D24" s="177"/>
      <c r="E24" s="169"/>
      <c r="F24" s="352">
        <f>'Pg 7 Reacquired Debt'!I35</f>
        <v>2.9999999999999997E-4</v>
      </c>
      <c r="H24" s="245"/>
      <c r="I24" s="191"/>
      <c r="J24" s="191"/>
      <c r="K24" s="191"/>
      <c r="L24" s="246"/>
    </row>
    <row r="25" spans="1:12">
      <c r="A25" s="189">
        <v>18</v>
      </c>
      <c r="B25" s="111"/>
      <c r="C25" s="447"/>
      <c r="D25" s="177"/>
      <c r="E25" s="169"/>
      <c r="F25" s="352"/>
      <c r="H25"/>
      <c r="I25" s="191"/>
      <c r="J25" s="191"/>
      <c r="K25" s="191"/>
      <c r="L25" s="246"/>
    </row>
    <row r="26" spans="1:12">
      <c r="A26" s="189">
        <v>19</v>
      </c>
      <c r="B26" s="111" t="s">
        <v>191</v>
      </c>
      <c r="C26" s="447">
        <f>C16+C14</f>
        <v>4008673663</v>
      </c>
      <c r="D26" s="177">
        <f>D18</f>
        <v>0.51</v>
      </c>
      <c r="E26" s="448">
        <f>F26/D26</f>
        <v>5.7647058823529412E-2</v>
      </c>
      <c r="F26" s="442">
        <f>SUM(F18:F25)</f>
        <v>2.9399999999999999E-2</v>
      </c>
      <c r="G26" s="437"/>
      <c r="H26"/>
      <c r="I26" s="191"/>
      <c r="J26" s="191"/>
      <c r="K26" s="191"/>
      <c r="L26" s="246"/>
    </row>
    <row r="27" spans="1:12">
      <c r="A27" s="189">
        <v>20</v>
      </c>
      <c r="B27" s="111"/>
      <c r="C27" s="447"/>
      <c r="D27" s="177"/>
      <c r="E27" s="169"/>
      <c r="F27" s="352"/>
      <c r="H27"/>
      <c r="I27" s="191"/>
      <c r="J27" s="191"/>
      <c r="K27" s="191"/>
      <c r="L27" s="246"/>
    </row>
    <row r="28" spans="1:12">
      <c r="A28" s="189">
        <v>21</v>
      </c>
      <c r="B28" s="110" t="s">
        <v>15</v>
      </c>
      <c r="C28" s="449">
        <f>'Pg 2 CapStructure'!Q20</f>
        <v>3852191881</v>
      </c>
      <c r="D28" s="332">
        <f>ROUND(C28/$C$30,4)</f>
        <v>0.49</v>
      </c>
      <c r="E28" s="445">
        <v>9.5000000000000001E-2</v>
      </c>
      <c r="F28" s="353">
        <f>ROUND(D28*E28,4)</f>
        <v>4.6600000000000003E-2</v>
      </c>
      <c r="H28"/>
      <c r="I28" s="247"/>
      <c r="J28" s="248"/>
      <c r="K28" s="249"/>
      <c r="L28" s="169"/>
    </row>
    <row r="29" spans="1:12">
      <c r="A29" s="189">
        <v>22</v>
      </c>
      <c r="B29" s="111"/>
      <c r="C29" s="442"/>
      <c r="D29" s="171"/>
      <c r="E29" s="409"/>
      <c r="F29" s="169"/>
      <c r="H29"/>
      <c r="I29" s="247"/>
      <c r="J29" s="248"/>
      <c r="K29" s="249"/>
      <c r="L29" s="169"/>
    </row>
    <row r="30" spans="1:12">
      <c r="A30" s="189">
        <v>23</v>
      </c>
      <c r="B30" s="110" t="s">
        <v>16</v>
      </c>
      <c r="C30" s="450">
        <f>C28+C26</f>
        <v>7860865544</v>
      </c>
      <c r="D30" s="239">
        <f>D28+D18</f>
        <v>1</v>
      </c>
      <c r="E30" s="416"/>
      <c r="F30" s="223">
        <f>F28+F26</f>
        <v>7.5999999999999998E-2</v>
      </c>
      <c r="H30"/>
      <c r="I30" s="112"/>
      <c r="J30" s="248"/>
      <c r="K30" s="169"/>
      <c r="L30" s="250"/>
    </row>
    <row r="31" spans="1:12">
      <c r="A31" s="189">
        <v>24</v>
      </c>
      <c r="B31" s="104"/>
      <c r="C31" s="451"/>
      <c r="D31" s="112"/>
      <c r="E31" s="172"/>
      <c r="F31" s="112"/>
      <c r="H31"/>
      <c r="I31" s="104"/>
      <c r="J31" s="104"/>
    </row>
    <row r="32" spans="1:12">
      <c r="A32" s="189">
        <v>25</v>
      </c>
      <c r="B32" s="104"/>
      <c r="C32" s="452"/>
      <c r="D32" s="104"/>
      <c r="E32" s="112"/>
      <c r="F32" s="104"/>
      <c r="H32"/>
    </row>
    <row r="33" spans="1:8">
      <c r="A33" s="189">
        <v>26</v>
      </c>
      <c r="B33" s="367" t="s">
        <v>167</v>
      </c>
      <c r="C33" s="452"/>
      <c r="D33" s="104"/>
      <c r="E33" s="140"/>
      <c r="F33" s="104"/>
      <c r="G33" s="237"/>
      <c r="H33"/>
    </row>
    <row r="34" spans="1:8">
      <c r="A34" s="15"/>
      <c r="B34" s="104"/>
      <c r="C34" s="104"/>
      <c r="D34" s="104"/>
      <c r="E34" s="104"/>
      <c r="F34" s="104"/>
    </row>
    <row r="35" spans="1:8">
      <c r="A35" s="15"/>
      <c r="B35" s="104"/>
      <c r="C35" s="168"/>
      <c r="D35" s="104"/>
      <c r="E35" s="104"/>
      <c r="F35" s="104"/>
    </row>
    <row r="36" spans="1:8">
      <c r="A36" s="15"/>
      <c r="B36" s="104"/>
      <c r="C36" s="168"/>
      <c r="D36" s="104"/>
      <c r="E36" s="104"/>
      <c r="F36" s="104"/>
    </row>
    <row r="37" spans="1:8">
      <c r="A37" s="15"/>
      <c r="B37" s="104"/>
      <c r="C37" s="168"/>
      <c r="D37" s="104"/>
      <c r="E37" s="104"/>
      <c r="F37" s="104"/>
    </row>
    <row r="38" spans="1:8">
      <c r="A38" s="15"/>
      <c r="B38" s="104"/>
      <c r="D38" s="104"/>
      <c r="E38" s="104"/>
      <c r="F38" s="104"/>
    </row>
    <row r="39" spans="1:8">
      <c r="A39" s="15"/>
      <c r="B39" s="104"/>
      <c r="C39" s="190"/>
      <c r="D39" s="104"/>
      <c r="E39" s="104"/>
      <c r="F39" s="104"/>
    </row>
    <row r="40" spans="1:8">
      <c r="A40" s="15"/>
      <c r="B40" s="104"/>
      <c r="C40" s="104"/>
      <c r="D40" s="104"/>
      <c r="E40" s="104"/>
      <c r="F40" s="104"/>
    </row>
    <row r="41" spans="1:8">
      <c r="A41" s="15"/>
      <c r="B41" s="104"/>
      <c r="C41" s="104"/>
      <c r="D41" s="104"/>
      <c r="E41" s="104"/>
      <c r="F41" s="104"/>
    </row>
    <row r="42" spans="1:8">
      <c r="B42" s="104"/>
      <c r="C42" s="104"/>
      <c r="D42" s="104"/>
      <c r="E42" s="104"/>
      <c r="F42" s="104"/>
    </row>
    <row r="43" spans="1:8">
      <c r="B43" s="104"/>
      <c r="C43" s="104"/>
      <c r="D43" s="104"/>
      <c r="E43" s="104"/>
      <c r="F43" s="104"/>
    </row>
    <row r="44" spans="1:8">
      <c r="E44" s="104"/>
    </row>
    <row r="46" spans="1:8">
      <c r="C46" s="20"/>
      <c r="D46" s="21"/>
    </row>
    <row r="47" spans="1:8">
      <c r="D47" s="21"/>
    </row>
    <row r="48" spans="1:8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pageMargins left="0.7" right="0.7" top="0.75" bottom="0.75" header="0.3" footer="0.3"/>
  <pageSetup orientation="portrait" r:id="rId1"/>
  <headerFooter>
    <oddFooter>&amp;CPg 1 Cost of Capital&amp;R&amp;F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677"/>
  <sheetViews>
    <sheetView zoomScale="120" zoomScaleNormal="120" workbookViewId="0">
      <pane xSplit="2" ySplit="6" topLeftCell="C13" activePane="bottomRight" state="frozen"/>
      <selection activeCell="D18" sqref="D18"/>
      <selection pane="topRight" activeCell="D18" sqref="D18"/>
      <selection pane="bottomLeft" activeCell="D18" sqref="D18"/>
      <selection pane="bottomRight" activeCell="O56" sqref="O56"/>
    </sheetView>
  </sheetViews>
  <sheetFormatPr defaultColWidth="15.83203125" defaultRowHeight="12.75"/>
  <cols>
    <col min="1" max="1" width="3.33203125" style="1" customWidth="1"/>
    <col min="2" max="2" width="32.33203125" style="1" customWidth="1"/>
    <col min="3" max="3" width="10.83203125" style="2" customWidth="1"/>
    <col min="4" max="4" width="11" style="2" customWidth="1"/>
    <col min="5" max="5" width="11.1640625" style="2" customWidth="1"/>
    <col min="6" max="7" width="10.83203125" style="2" customWidth="1"/>
    <col min="8" max="9" width="10.5" style="2" customWidth="1"/>
    <col min="10" max="11" width="10.83203125" style="2" customWidth="1"/>
    <col min="12" max="16" width="10.6640625" style="2" customWidth="1"/>
    <col min="17" max="17" width="12.5" style="1" customWidth="1"/>
    <col min="18" max="18" width="10.33203125" style="1" customWidth="1"/>
    <col min="19" max="19" width="13" style="1" customWidth="1"/>
    <col min="20" max="21" width="10.33203125" style="1" customWidth="1"/>
    <col min="22" max="22" width="16.33203125" style="1" bestFit="1" customWidth="1"/>
    <col min="23" max="32" width="8.83203125" style="1" customWidth="1"/>
    <col min="33" max="33" width="10.1640625" style="1" customWidth="1"/>
    <col min="34" max="16384" width="15.83203125" style="1"/>
  </cols>
  <sheetData>
    <row r="1" spans="1:53">
      <c r="B1" s="144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</row>
    <row r="2" spans="1:53">
      <c r="B2" s="144" t="s">
        <v>35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6"/>
    </row>
    <row r="3" spans="1:53" ht="12.75" customHeight="1">
      <c r="B3" s="454" t="s">
        <v>199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</row>
    <row r="4" spans="1:53">
      <c r="B4" s="453" t="s">
        <v>59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</row>
    <row r="5" spans="1:53">
      <c r="A5" s="130">
        <v>1</v>
      </c>
      <c r="B5" s="128" t="s">
        <v>5</v>
      </c>
      <c r="C5" s="309" t="s">
        <v>27</v>
      </c>
      <c r="D5" s="309" t="s">
        <v>52</v>
      </c>
      <c r="E5" s="309" t="s">
        <v>64</v>
      </c>
      <c r="F5" s="309" t="s">
        <v>65</v>
      </c>
      <c r="G5" s="309" t="s">
        <v>66</v>
      </c>
      <c r="H5" s="309" t="s">
        <v>67</v>
      </c>
      <c r="I5" s="309" t="s">
        <v>68</v>
      </c>
      <c r="J5" s="309" t="s">
        <v>69</v>
      </c>
      <c r="K5" s="309" t="s">
        <v>71</v>
      </c>
      <c r="L5" s="309" t="s">
        <v>72</v>
      </c>
      <c r="M5" s="309" t="s">
        <v>73</v>
      </c>
      <c r="N5" s="309" t="s">
        <v>74</v>
      </c>
      <c r="O5" s="309" t="s">
        <v>75</v>
      </c>
      <c r="P5" s="309"/>
      <c r="Q5" s="128" t="s">
        <v>76</v>
      </c>
    </row>
    <row r="6" spans="1:53" ht="35.1" customHeight="1">
      <c r="A6" s="130">
        <f>+A5+1</f>
        <v>2</v>
      </c>
      <c r="B6" s="102" t="s">
        <v>1</v>
      </c>
      <c r="C6" s="194">
        <v>43100</v>
      </c>
      <c r="D6" s="194">
        <v>43131</v>
      </c>
      <c r="E6" s="194">
        <v>43159</v>
      </c>
      <c r="F6" s="194">
        <v>43190</v>
      </c>
      <c r="G6" s="194">
        <v>43220</v>
      </c>
      <c r="H6" s="194">
        <v>43251</v>
      </c>
      <c r="I6" s="194">
        <v>43281</v>
      </c>
      <c r="J6" s="194">
        <v>43312</v>
      </c>
      <c r="K6" s="194">
        <v>43343</v>
      </c>
      <c r="L6" s="194">
        <v>43373</v>
      </c>
      <c r="M6" s="194">
        <v>43404</v>
      </c>
      <c r="N6" s="194">
        <v>43434</v>
      </c>
      <c r="O6" s="194">
        <v>43465</v>
      </c>
      <c r="P6" s="194"/>
      <c r="Q6" s="123" t="s">
        <v>107</v>
      </c>
      <c r="R6" s="101"/>
      <c r="S6" s="9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</row>
    <row r="7" spans="1:53">
      <c r="A7" s="130">
        <f>+A6+1</f>
        <v>3</v>
      </c>
      <c r="B7" s="142" t="s">
        <v>36</v>
      </c>
      <c r="C7" s="368">
        <v>329463000</v>
      </c>
      <c r="D7" s="368">
        <v>255500000</v>
      </c>
      <c r="E7" s="368">
        <v>153050000</v>
      </c>
      <c r="F7" s="368">
        <v>370689000</v>
      </c>
      <c r="G7" s="368">
        <v>391000000</v>
      </c>
      <c r="H7" s="368">
        <v>366000000</v>
      </c>
      <c r="I7" s="368">
        <v>28000000</v>
      </c>
      <c r="J7" s="368">
        <v>80000000</v>
      </c>
      <c r="K7" s="368">
        <v>102000000</v>
      </c>
      <c r="L7" s="368">
        <v>206000000</v>
      </c>
      <c r="M7" s="368">
        <v>259000000</v>
      </c>
      <c r="N7" s="368">
        <v>319297000</v>
      </c>
      <c r="O7" s="368">
        <v>379297000</v>
      </c>
      <c r="P7" s="368"/>
      <c r="Q7" s="163">
        <f>ROUND(((C7+O7)+(SUM(D7:N7)*2))/24,0)</f>
        <v>240409667</v>
      </c>
      <c r="R7" s="407"/>
      <c r="S7" s="408"/>
      <c r="T7" s="408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</row>
    <row r="8" spans="1:53">
      <c r="A8" s="130">
        <f>+A7+1</f>
        <v>4</v>
      </c>
      <c r="B8" s="142" t="s">
        <v>163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163">
        <f>ROUND(((C8+L8)+(SUM(D8:N8)*2))/24,0)</f>
        <v>0</v>
      </c>
      <c r="R8" s="407"/>
      <c r="S8" s="408"/>
      <c r="T8" s="408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</row>
    <row r="9" spans="1:53" ht="13.5" thickBot="1">
      <c r="A9" s="130">
        <f>+A8+1</f>
        <v>5</v>
      </c>
      <c r="B9" s="142" t="s">
        <v>149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163">
        <f>ROUND(((C9+L9)+(SUM(D9:N9)*2))/24,0)</f>
        <v>0</v>
      </c>
      <c r="R9" s="101"/>
      <c r="T9" s="408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</row>
    <row r="10" spans="1:53" ht="13.5" thickBot="1">
      <c r="A10" s="130">
        <f>+A9+1</f>
        <v>6</v>
      </c>
      <c r="B10" s="143" t="s">
        <v>30</v>
      </c>
      <c r="C10" s="358">
        <f t="shared" ref="C10:H10" si="0">SUM(C7:C9)</f>
        <v>329463000</v>
      </c>
      <c r="D10" s="358">
        <f t="shared" si="0"/>
        <v>255500000</v>
      </c>
      <c r="E10" s="358">
        <f t="shared" si="0"/>
        <v>153050000</v>
      </c>
      <c r="F10" s="358">
        <f t="shared" si="0"/>
        <v>370689000</v>
      </c>
      <c r="G10" s="358">
        <f t="shared" si="0"/>
        <v>391000000</v>
      </c>
      <c r="H10" s="358">
        <f t="shared" si="0"/>
        <v>366000000</v>
      </c>
      <c r="I10" s="358">
        <f t="shared" ref="I10:Q10" si="1">SUM(I7:I9)</f>
        <v>28000000</v>
      </c>
      <c r="J10" s="358">
        <f t="shared" si="1"/>
        <v>80000000</v>
      </c>
      <c r="K10" s="358">
        <f t="shared" si="1"/>
        <v>102000000</v>
      </c>
      <c r="L10" s="358">
        <f t="shared" si="1"/>
        <v>206000000</v>
      </c>
      <c r="M10" s="358">
        <f t="shared" si="1"/>
        <v>259000000</v>
      </c>
      <c r="N10" s="358">
        <f t="shared" si="1"/>
        <v>319297000</v>
      </c>
      <c r="O10" s="358">
        <f t="shared" si="1"/>
        <v>379297000</v>
      </c>
      <c r="P10" s="196"/>
      <c r="Q10" s="214">
        <f t="shared" si="1"/>
        <v>240409667</v>
      </c>
      <c r="R10" s="97"/>
      <c r="T10" s="97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2"/>
      <c r="AG10" s="92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</row>
    <row r="11" spans="1:53" ht="6.95" customHeight="1" thickBot="1">
      <c r="A11" s="130"/>
      <c r="B11" s="141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163"/>
      <c r="R11" s="97"/>
      <c r="T11" s="97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2"/>
      <c r="AG11" s="92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</row>
    <row r="12" spans="1:53" ht="13.5" thickBot="1">
      <c r="A12" s="130">
        <f>+A10+1</f>
        <v>7</v>
      </c>
      <c r="B12" s="143" t="s">
        <v>122</v>
      </c>
      <c r="C12" s="369">
        <f>3523860000-24602220-1758560</f>
        <v>3497499220</v>
      </c>
      <c r="D12" s="369">
        <f>3523860000-24441336-1753206</f>
        <v>3497665458</v>
      </c>
      <c r="E12" s="369">
        <f>3523860000-24320009-1747851</f>
        <v>3497792140</v>
      </c>
      <c r="F12" s="369">
        <f>3523860000-24198682-1742497</f>
        <v>3497918821</v>
      </c>
      <c r="G12" s="369">
        <f>3523860000-24077356-1737143</f>
        <v>3498045501</v>
      </c>
      <c r="H12" s="369">
        <f>3523860000-23956029-1731788</f>
        <v>3498172183</v>
      </c>
      <c r="I12" s="369">
        <f>3923860000-24245951-6983726</f>
        <v>3892630323</v>
      </c>
      <c r="J12" s="369">
        <f>3923860000-24988076-6949205</f>
        <v>3891922719</v>
      </c>
      <c r="K12" s="369">
        <f>3923860000-24987492-6929267</f>
        <v>3891943241</v>
      </c>
      <c r="L12" s="369">
        <v>3892076008</v>
      </c>
      <c r="M12" s="369">
        <v>3892170221</v>
      </c>
      <c r="N12" s="369">
        <v>3892307056</v>
      </c>
      <c r="O12" s="369">
        <v>3892443356</v>
      </c>
      <c r="P12" s="369"/>
      <c r="Q12" s="214">
        <f>ROUND(((C12+O12)+(SUM(D12:N12)*2))/24,0)</f>
        <v>3711467913</v>
      </c>
      <c r="R12" s="97"/>
      <c r="S12" s="408"/>
      <c r="T12" s="408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2"/>
      <c r="AG12" s="92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</row>
    <row r="13" spans="1:53" ht="6" customHeight="1">
      <c r="A13" s="130"/>
      <c r="B13" s="143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164"/>
      <c r="R13" s="97"/>
      <c r="T13" s="97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</row>
    <row r="14" spans="1:53" ht="13.5" customHeight="1">
      <c r="A14" s="130">
        <f>+A12+1</f>
        <v>8</v>
      </c>
      <c r="B14" s="143" t="s">
        <v>116</v>
      </c>
      <c r="C14" s="370">
        <v>250000000</v>
      </c>
      <c r="D14" s="370">
        <v>250000000</v>
      </c>
      <c r="E14" s="370">
        <v>250000000</v>
      </c>
      <c r="F14" s="370">
        <v>56553000</v>
      </c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241">
        <f>ROUND(((C14+O14)+(SUM(D14:N14)*2))/24,0)</f>
        <v>56796083</v>
      </c>
      <c r="R14" s="97"/>
      <c r="S14" s="408"/>
      <c r="T14" s="408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</row>
    <row r="15" spans="1:53" ht="5.25" customHeight="1" thickBot="1">
      <c r="A15" s="130"/>
      <c r="B15" s="143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164"/>
      <c r="R15" s="97"/>
      <c r="S15" s="97"/>
      <c r="T15" s="97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</row>
    <row r="16" spans="1:53" ht="13.5" customHeight="1" thickBot="1">
      <c r="A16" s="130">
        <f>+A14+1</f>
        <v>9</v>
      </c>
      <c r="B16" s="143" t="s">
        <v>14</v>
      </c>
      <c r="C16" s="301">
        <f t="shared" ref="C16:O16" si="2">SUM(C12:C14)</f>
        <v>3747499220</v>
      </c>
      <c r="D16" s="301">
        <f t="shared" si="2"/>
        <v>3747665458</v>
      </c>
      <c r="E16" s="301">
        <f t="shared" si="2"/>
        <v>3747792140</v>
      </c>
      <c r="F16" s="301">
        <f t="shared" si="2"/>
        <v>3554471821</v>
      </c>
      <c r="G16" s="301">
        <f t="shared" si="2"/>
        <v>3498045501</v>
      </c>
      <c r="H16" s="301">
        <f t="shared" si="2"/>
        <v>3498172183</v>
      </c>
      <c r="I16" s="301">
        <f t="shared" si="2"/>
        <v>3892630323</v>
      </c>
      <c r="J16" s="301">
        <f t="shared" si="2"/>
        <v>3891922719</v>
      </c>
      <c r="K16" s="301">
        <f t="shared" si="2"/>
        <v>3891943241</v>
      </c>
      <c r="L16" s="301">
        <f t="shared" si="2"/>
        <v>3892076008</v>
      </c>
      <c r="M16" s="301">
        <f t="shared" si="2"/>
        <v>3892170221</v>
      </c>
      <c r="N16" s="301">
        <f t="shared" si="2"/>
        <v>3892307056</v>
      </c>
      <c r="O16" s="301">
        <f t="shared" si="2"/>
        <v>3892443356</v>
      </c>
      <c r="P16" s="98"/>
      <c r="Q16" s="214">
        <f>SUM(Q12:Q14)</f>
        <v>3768263996</v>
      </c>
      <c r="R16" s="97"/>
      <c r="S16" s="264"/>
      <c r="T16" s="97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</row>
    <row r="17" spans="1:53" ht="6.75" customHeight="1" thickBot="1">
      <c r="A17" s="130"/>
      <c r="B17" s="143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164"/>
      <c r="R17" s="97"/>
      <c r="S17" s="97"/>
      <c r="T17" s="97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</row>
    <row r="18" spans="1:53" ht="13.5" thickBot="1">
      <c r="A18" s="130">
        <f>+A16+1</f>
        <v>10</v>
      </c>
      <c r="B18" s="143" t="s">
        <v>82</v>
      </c>
      <c r="C18" s="300">
        <v>0</v>
      </c>
      <c r="D18" s="300">
        <v>0</v>
      </c>
      <c r="E18" s="300">
        <v>0</v>
      </c>
      <c r="F18" s="300">
        <v>0</v>
      </c>
      <c r="G18" s="300">
        <v>0</v>
      </c>
      <c r="H18" s="300">
        <v>0</v>
      </c>
      <c r="I18" s="300">
        <v>0</v>
      </c>
      <c r="J18" s="300">
        <v>0</v>
      </c>
      <c r="K18" s="300">
        <v>0</v>
      </c>
      <c r="L18" s="300">
        <v>0</v>
      </c>
      <c r="M18" s="300">
        <v>0</v>
      </c>
      <c r="N18" s="300">
        <v>0</v>
      </c>
      <c r="O18" s="300">
        <v>0</v>
      </c>
      <c r="P18" s="300"/>
      <c r="Q18" s="213"/>
      <c r="R18" s="97"/>
      <c r="S18" s="176"/>
      <c r="T18" s="97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</row>
    <row r="19" spans="1:53" ht="6.95" customHeight="1" thickBot="1">
      <c r="A19" s="130"/>
      <c r="B19" s="143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163"/>
      <c r="R19" s="97"/>
      <c r="S19" s="97"/>
      <c r="T19" s="97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</row>
    <row r="20" spans="1:53" ht="13.5" thickBot="1">
      <c r="A20" s="130">
        <f>+A18+1</f>
        <v>11</v>
      </c>
      <c r="B20" s="143" t="s">
        <v>97</v>
      </c>
      <c r="C20" s="302">
        <f t="shared" ref="C20:H20" si="3">C44</f>
        <v>3770421993</v>
      </c>
      <c r="D20" s="302">
        <f t="shared" si="3"/>
        <v>3830206006</v>
      </c>
      <c r="E20" s="302">
        <f t="shared" si="3"/>
        <v>3880699843</v>
      </c>
      <c r="F20" s="302">
        <f>F44</f>
        <v>3879184263</v>
      </c>
      <c r="G20" s="302">
        <f t="shared" si="3"/>
        <v>3897023977</v>
      </c>
      <c r="H20" s="302">
        <f t="shared" si="3"/>
        <v>3896636196</v>
      </c>
      <c r="I20" s="302">
        <f t="shared" ref="I20:O20" si="4">I44</f>
        <v>3856513605</v>
      </c>
      <c r="J20" s="302">
        <f t="shared" si="4"/>
        <v>3845263673</v>
      </c>
      <c r="K20" s="302">
        <f>K44</f>
        <v>3836679107</v>
      </c>
      <c r="L20" s="302">
        <f t="shared" si="4"/>
        <v>3800815427</v>
      </c>
      <c r="M20" s="302">
        <f t="shared" si="4"/>
        <v>3817737182</v>
      </c>
      <c r="N20" s="302">
        <f t="shared" si="4"/>
        <v>3859567841</v>
      </c>
      <c r="O20" s="302">
        <f t="shared" si="4"/>
        <v>3881528902</v>
      </c>
      <c r="P20" s="270"/>
      <c r="Q20" s="213">
        <f>ROUND(((C20+O20)+(SUM(D20:N20)*2))/24,0)</f>
        <v>3852191881</v>
      </c>
      <c r="R20" s="97"/>
      <c r="S20" s="97"/>
      <c r="T20" s="97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</row>
    <row r="21" spans="1:53" ht="6.95" customHeight="1">
      <c r="A21" s="130"/>
      <c r="B21" s="143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65"/>
      <c r="R21" s="97"/>
      <c r="S21" s="97"/>
      <c r="T21" s="97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</row>
    <row r="22" spans="1:53" ht="13.5" thickBot="1">
      <c r="A22" s="130">
        <f>+A20+1</f>
        <v>12</v>
      </c>
      <c r="B22" s="143" t="s">
        <v>86</v>
      </c>
      <c r="C22" s="303">
        <f t="shared" ref="C22:H22" si="5">C10+C16+C18+C20</f>
        <v>7847384213</v>
      </c>
      <c r="D22" s="303">
        <f t="shared" si="5"/>
        <v>7833371464</v>
      </c>
      <c r="E22" s="303">
        <f t="shared" si="5"/>
        <v>7781541983</v>
      </c>
      <c r="F22" s="303">
        <f>F10+F16+F18+F20-1000</f>
        <v>7804344084</v>
      </c>
      <c r="G22" s="303">
        <f>G10+G16+G18+G20-1000</f>
        <v>7786068478</v>
      </c>
      <c r="H22" s="303">
        <f t="shared" si="5"/>
        <v>7760808379</v>
      </c>
      <c r="I22" s="303">
        <f>I10+I16+I18+I20</f>
        <v>7777143928</v>
      </c>
      <c r="J22" s="303">
        <f>J10+J16+J18+J20+1000</f>
        <v>7817187392</v>
      </c>
      <c r="K22" s="303">
        <f t="shared" ref="K22:O22" si="6">K10+K16+K18+K20</f>
        <v>7830622348</v>
      </c>
      <c r="L22" s="303">
        <f>L10+L16+L18+L20</f>
        <v>7898891435</v>
      </c>
      <c r="M22" s="303">
        <f t="shared" si="6"/>
        <v>7968907403</v>
      </c>
      <c r="N22" s="303">
        <f t="shared" si="6"/>
        <v>8071171897</v>
      </c>
      <c r="O22" s="303">
        <f t="shared" si="6"/>
        <v>8153269258</v>
      </c>
      <c r="P22" s="303"/>
      <c r="Q22" s="242">
        <f>Q10+Q16+Q18+Q20</f>
        <v>7860865544</v>
      </c>
      <c r="R22" s="97"/>
      <c r="S22" s="97"/>
      <c r="T22" s="97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</row>
    <row r="23" spans="1:53" ht="13.5" thickTop="1">
      <c r="A23" s="130"/>
      <c r="B23" s="143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193"/>
      <c r="R23" s="97"/>
      <c r="S23" s="97"/>
      <c r="T23" s="97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</row>
    <row r="24" spans="1:53">
      <c r="A24" s="130">
        <f>+A22+1</f>
        <v>13</v>
      </c>
      <c r="B24" s="129" t="s">
        <v>30</v>
      </c>
      <c r="C24" s="304">
        <f t="shared" ref="C24:H24" si="7">C10/C$22</f>
        <v>4.1983798812120172E-2</v>
      </c>
      <c r="D24" s="304">
        <f t="shared" si="7"/>
        <v>3.2616862506036771E-2</v>
      </c>
      <c r="E24" s="304">
        <f t="shared" si="7"/>
        <v>1.9668338272075349E-2</v>
      </c>
      <c r="F24" s="304">
        <f t="shared" si="7"/>
        <v>4.7497777649240819E-2</v>
      </c>
      <c r="G24" s="304">
        <f t="shared" si="7"/>
        <v>5.0217898944094029E-2</v>
      </c>
      <c r="H24" s="304">
        <f t="shared" si="7"/>
        <v>4.7160035672361239E-2</v>
      </c>
      <c r="I24" s="304">
        <f>I10/I$22</f>
        <v>3.6002934058082408E-3</v>
      </c>
      <c r="J24" s="304">
        <f>J10/J$22</f>
        <v>1.0233859825577531E-2</v>
      </c>
      <c r="K24" s="304">
        <f>K10/K$22</f>
        <v>1.3025784601405476E-2</v>
      </c>
      <c r="L24" s="304">
        <f>L10/L$22</f>
        <v>2.6079608979965682E-2</v>
      </c>
      <c r="M24" s="304">
        <f t="shared" ref="M24:O24" si="8">M10/M$22</f>
        <v>3.2501318800930733E-2</v>
      </c>
      <c r="N24" s="304">
        <f t="shared" si="8"/>
        <v>3.9560178382358646E-2</v>
      </c>
      <c r="O24" s="304">
        <f t="shared" si="8"/>
        <v>4.6520848017846735E-2</v>
      </c>
      <c r="P24" s="304"/>
      <c r="Q24" s="305">
        <f>Q10/Q$22</f>
        <v>3.0583103813993946E-2</v>
      </c>
      <c r="R24" s="97"/>
      <c r="S24" s="97"/>
      <c r="T24" s="97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</row>
    <row r="25" spans="1:53">
      <c r="A25" s="130">
        <f>+A24+1</f>
        <v>14</v>
      </c>
      <c r="B25" s="129" t="s">
        <v>31</v>
      </c>
      <c r="C25" s="306">
        <f t="shared" ref="C25:H25" si="9">C16/C$22</f>
        <v>0.47754756467663223</v>
      </c>
      <c r="D25" s="306">
        <f t="shared" si="9"/>
        <v>0.47842304877577041</v>
      </c>
      <c r="E25" s="306">
        <f t="shared" si="9"/>
        <v>0.48162589730771105</v>
      </c>
      <c r="F25" s="306">
        <f t="shared" si="9"/>
        <v>0.4554478611837689</v>
      </c>
      <c r="G25" s="306">
        <f t="shared" si="9"/>
        <v>0.44926980938890221</v>
      </c>
      <c r="H25" s="306">
        <f t="shared" si="9"/>
        <v>0.45074842879328358</v>
      </c>
      <c r="I25" s="306">
        <f>I16/I$22</f>
        <v>0.50052183154093222</v>
      </c>
      <c r="J25" s="306">
        <f>J16/J$22</f>
        <v>0.49786739447783218</v>
      </c>
      <c r="K25" s="306">
        <f>K16/K$22</f>
        <v>0.49701582684472473</v>
      </c>
      <c r="L25" s="306">
        <f>L16/L$22</f>
        <v>0.4927369922764358</v>
      </c>
      <c r="M25" s="306">
        <f t="shared" ref="M25:O25" si="10">M16/M$22</f>
        <v>0.48841955668034759</v>
      </c>
      <c r="N25" s="306">
        <f t="shared" si="10"/>
        <v>0.48224806826958355</v>
      </c>
      <c r="O25" s="306">
        <f t="shared" si="10"/>
        <v>0.47740890590369361</v>
      </c>
      <c r="P25" s="306"/>
      <c r="Q25" s="307">
        <f>Q16/Q$22</f>
        <v>0.47937011196893203</v>
      </c>
      <c r="R25" s="97"/>
      <c r="S25" s="97"/>
      <c r="T25" s="97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</row>
    <row r="26" spans="1:53">
      <c r="A26" s="130">
        <f>+A25+1</f>
        <v>15</v>
      </c>
      <c r="B26" s="129" t="s">
        <v>103</v>
      </c>
      <c r="C26" s="304">
        <f t="shared" ref="C26:H26" si="11">SUM(C24:C25)</f>
        <v>0.5195313634887524</v>
      </c>
      <c r="D26" s="304">
        <f t="shared" si="11"/>
        <v>0.51103991128180715</v>
      </c>
      <c r="E26" s="304">
        <f t="shared" si="11"/>
        <v>0.50129423557978636</v>
      </c>
      <c r="F26" s="304">
        <f t="shared" si="11"/>
        <v>0.50294563883300969</v>
      </c>
      <c r="G26" s="304">
        <f t="shared" si="11"/>
        <v>0.49948770833299622</v>
      </c>
      <c r="H26" s="304">
        <f t="shared" si="11"/>
        <v>0.49790846446564485</v>
      </c>
      <c r="I26" s="304">
        <f>SUM(I24:I25)</f>
        <v>0.50412212494674047</v>
      </c>
      <c r="J26" s="304">
        <f>SUM(J24:J25)</f>
        <v>0.50810125430340969</v>
      </c>
      <c r="K26" s="304">
        <f>SUM(K24:K25)</f>
        <v>0.51004161144613025</v>
      </c>
      <c r="L26" s="304">
        <f>SUM(L24:L25)</f>
        <v>0.5188166012564015</v>
      </c>
      <c r="M26" s="304">
        <f t="shared" ref="M26:O26" si="12">SUM(M24:M25)</f>
        <v>0.5209208754812783</v>
      </c>
      <c r="N26" s="304">
        <f t="shared" si="12"/>
        <v>0.52180824665194225</v>
      </c>
      <c r="O26" s="304">
        <f t="shared" si="12"/>
        <v>0.5239297539215404</v>
      </c>
      <c r="P26" s="304"/>
      <c r="Q26" s="305">
        <f>SUM(Q24:Q25)</f>
        <v>0.50995321578292596</v>
      </c>
      <c r="R26" s="97"/>
      <c r="S26" s="97"/>
      <c r="T26" s="97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</row>
    <row r="27" spans="1:53">
      <c r="A27" s="130">
        <f>+A26+1</f>
        <v>16</v>
      </c>
      <c r="B27" s="129" t="s">
        <v>104</v>
      </c>
      <c r="C27" s="304">
        <f>C18/C$22</f>
        <v>0</v>
      </c>
      <c r="D27" s="304">
        <f>D18/D$22</f>
        <v>0</v>
      </c>
      <c r="E27" s="304">
        <f>E18/E$22</f>
        <v>0</v>
      </c>
      <c r="F27" s="304">
        <f>F18/F$22</f>
        <v>0</v>
      </c>
      <c r="G27" s="304">
        <f t="shared" ref="G27:O27" si="13">G18/G$22</f>
        <v>0</v>
      </c>
      <c r="H27" s="304">
        <f t="shared" si="13"/>
        <v>0</v>
      </c>
      <c r="I27" s="304">
        <f t="shared" si="13"/>
        <v>0</v>
      </c>
      <c r="J27" s="304">
        <f t="shared" si="13"/>
        <v>0</v>
      </c>
      <c r="K27" s="304">
        <f t="shared" si="13"/>
        <v>0</v>
      </c>
      <c r="L27" s="304">
        <f t="shared" si="13"/>
        <v>0</v>
      </c>
      <c r="M27" s="304">
        <f t="shared" si="13"/>
        <v>0</v>
      </c>
      <c r="N27" s="304">
        <f t="shared" si="13"/>
        <v>0</v>
      </c>
      <c r="O27" s="304">
        <f t="shared" si="13"/>
        <v>0</v>
      </c>
      <c r="P27" s="304"/>
      <c r="Q27" s="305">
        <f>Q18/Q$22</f>
        <v>0</v>
      </c>
      <c r="R27" s="97"/>
      <c r="S27" s="97"/>
      <c r="T27" s="97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</row>
    <row r="28" spans="1:53">
      <c r="A28" s="130">
        <f>+A27+1</f>
        <v>17</v>
      </c>
      <c r="B28" s="129" t="s">
        <v>105</v>
      </c>
      <c r="C28" s="334">
        <f>C20/C$22</f>
        <v>0.4804686365112476</v>
      </c>
      <c r="D28" s="334">
        <f>D20/D$22</f>
        <v>0.4889600887181928</v>
      </c>
      <c r="E28" s="334">
        <f>E20/E$22</f>
        <v>0.49870576442021364</v>
      </c>
      <c r="F28" s="334">
        <f>F20/F$22</f>
        <v>0.49705448930075646</v>
      </c>
      <c r="G28" s="334">
        <f t="shared" ref="G28:O28" si="14">G20/G$22</f>
        <v>0.50051242010152786</v>
      </c>
      <c r="H28" s="334">
        <f t="shared" si="14"/>
        <v>0.50209153553435515</v>
      </c>
      <c r="I28" s="334">
        <f t="shared" si="14"/>
        <v>0.49587787505325953</v>
      </c>
      <c r="J28" s="334">
        <f t="shared" si="14"/>
        <v>0.49189861777334248</v>
      </c>
      <c r="K28" s="334">
        <f t="shared" si="14"/>
        <v>0.48995838855386975</v>
      </c>
      <c r="L28" s="334">
        <f t="shared" si="14"/>
        <v>0.4811833987435985</v>
      </c>
      <c r="M28" s="334">
        <f t="shared" si="14"/>
        <v>0.4790791245187217</v>
      </c>
      <c r="N28" s="334">
        <f t="shared" si="14"/>
        <v>0.4781917533480578</v>
      </c>
      <c r="O28" s="334">
        <f t="shared" si="14"/>
        <v>0.47607024607845966</v>
      </c>
      <c r="P28" s="334"/>
      <c r="Q28" s="307">
        <f>Q20/Q$22</f>
        <v>0.49004678421707398</v>
      </c>
      <c r="R28" s="97"/>
      <c r="S28" s="97"/>
      <c r="T28" s="97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</row>
    <row r="29" spans="1:53">
      <c r="A29" s="192"/>
      <c r="B29" s="129"/>
      <c r="C29" s="310"/>
      <c r="D29" s="308"/>
      <c r="E29" s="308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1"/>
      <c r="R29" s="97"/>
      <c r="S29" s="97"/>
      <c r="T29" s="97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</row>
    <row r="30" spans="1:53" ht="13.5" thickBot="1">
      <c r="A30" s="130">
        <f>+A28+1</f>
        <v>18</v>
      </c>
      <c r="B30" s="129" t="s">
        <v>106</v>
      </c>
      <c r="C30" s="312">
        <f>SUM(C26:C28)</f>
        <v>1</v>
      </c>
      <c r="D30" s="312">
        <f>SUM(D26:D28)</f>
        <v>1</v>
      </c>
      <c r="E30" s="312">
        <f>SUM(E26:E28)</f>
        <v>1</v>
      </c>
      <c r="F30" s="312">
        <f>SUM(F26:F28)</f>
        <v>1.0000001281337663</v>
      </c>
      <c r="G30" s="312">
        <f t="shared" ref="G30:O30" si="15">SUM(G26:G28)</f>
        <v>1.0000001284345241</v>
      </c>
      <c r="H30" s="312">
        <f t="shared" si="15"/>
        <v>1</v>
      </c>
      <c r="I30" s="312">
        <f t="shared" si="15"/>
        <v>1</v>
      </c>
      <c r="J30" s="312">
        <f t="shared" si="15"/>
        <v>0.99999987207675223</v>
      </c>
      <c r="K30" s="312">
        <f t="shared" si="15"/>
        <v>1</v>
      </c>
      <c r="L30" s="312">
        <f t="shared" si="15"/>
        <v>1</v>
      </c>
      <c r="M30" s="312">
        <f t="shared" si="15"/>
        <v>1</v>
      </c>
      <c r="N30" s="312">
        <f t="shared" si="15"/>
        <v>1</v>
      </c>
      <c r="O30" s="312">
        <f t="shared" si="15"/>
        <v>1</v>
      </c>
      <c r="P30" s="312"/>
      <c r="Q30" s="313">
        <f>SUM(Q26:Q28)</f>
        <v>1</v>
      </c>
      <c r="R30" s="97"/>
      <c r="S30" s="97"/>
      <c r="T30" s="97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</row>
    <row r="31" spans="1:53" ht="13.5" thickTop="1">
      <c r="A31" s="130"/>
      <c r="B31" s="143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7"/>
      <c r="S31" s="97"/>
      <c r="T31" s="97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</row>
    <row r="32" spans="1:53">
      <c r="A32" s="130"/>
      <c r="B32" s="14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98"/>
      <c r="R32" s="97"/>
      <c r="S32" s="97"/>
      <c r="T32" s="97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</row>
    <row r="33" spans="1:54" ht="13.5" thickBot="1">
      <c r="A33" s="130"/>
      <c r="B33" s="143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98"/>
      <c r="R33" s="97"/>
      <c r="S33" s="97"/>
      <c r="T33" s="97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</row>
    <row r="34" spans="1:54" ht="13.5" thickBot="1">
      <c r="A34" s="130">
        <f>+A30+1</f>
        <v>19</v>
      </c>
      <c r="B34" s="143" t="s">
        <v>81</v>
      </c>
      <c r="C34" s="314">
        <v>3601123505</v>
      </c>
      <c r="D34" s="314">
        <v>3655356385</v>
      </c>
      <c r="E34" s="314">
        <v>3706182091</v>
      </c>
      <c r="F34" s="314">
        <v>3708508200</v>
      </c>
      <c r="G34" s="314">
        <v>3726219151</v>
      </c>
      <c r="H34" s="314">
        <v>3733692606</v>
      </c>
      <c r="I34" s="314">
        <v>3694402390</v>
      </c>
      <c r="J34" s="314">
        <v>3687207694</v>
      </c>
      <c r="K34" s="314">
        <v>3681006366</v>
      </c>
      <c r="L34" s="314">
        <v>3649419000</v>
      </c>
      <c r="M34" s="314">
        <v>3734417868</v>
      </c>
      <c r="N34" s="314">
        <v>3801664639</v>
      </c>
      <c r="O34" s="314">
        <v>3747890375</v>
      </c>
      <c r="P34" s="314"/>
      <c r="Q34" s="214">
        <f>ROUND(((C34+O34)+(SUM(D34:N34)*2))/24,0)</f>
        <v>3704381944</v>
      </c>
      <c r="R34" s="90"/>
      <c r="S34" s="408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</row>
    <row r="35" spans="1:54" ht="13.5" thickBot="1">
      <c r="A35" s="130">
        <f>+A34+1</f>
        <v>20</v>
      </c>
      <c r="B35" s="141" t="s">
        <v>32</v>
      </c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173"/>
      <c r="R35" s="90"/>
      <c r="S35" s="408"/>
      <c r="T35" s="90"/>
      <c r="U35" s="94"/>
      <c r="V35" s="141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5"/>
    </row>
    <row r="36" spans="1:54" ht="13.5" thickBot="1">
      <c r="A36" s="130">
        <f>+A35+1</f>
        <v>21</v>
      </c>
      <c r="B36" s="141" t="s">
        <v>33</v>
      </c>
      <c r="C36" s="195">
        <v>-19215436</v>
      </c>
      <c r="D36" s="195">
        <v>-19215436</v>
      </c>
      <c r="E36" s="195">
        <v>-19215436</v>
      </c>
      <c r="F36" s="195">
        <v>-19347542</v>
      </c>
      <c r="G36" s="195">
        <v>-19347542</v>
      </c>
      <c r="H36" s="195">
        <v>-19347542</v>
      </c>
      <c r="I36" s="195">
        <v>-19201404</v>
      </c>
      <c r="J36" s="195">
        <v>-19201404</v>
      </c>
      <c r="K36" s="195">
        <v>-19201404</v>
      </c>
      <c r="L36" s="195">
        <v>-19336429</v>
      </c>
      <c r="M36" s="195">
        <v>-19336429</v>
      </c>
      <c r="N36" s="195">
        <v>-19336429</v>
      </c>
      <c r="O36" s="195">
        <v>-19756868</v>
      </c>
      <c r="P36" s="195"/>
      <c r="Q36" s="214">
        <f>ROUND(((C36+O36)+(SUM(D36:N36)*2))/24,0)</f>
        <v>-19297762</v>
      </c>
      <c r="R36" s="98"/>
      <c r="S36" s="408"/>
      <c r="T36" s="408"/>
      <c r="U36" s="94"/>
      <c r="V36" s="99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5"/>
    </row>
    <row r="37" spans="1:54" ht="13.5" thickBot="1">
      <c r="A37" s="130">
        <f>+A36+1</f>
        <v>22</v>
      </c>
      <c r="B37" s="141" t="s">
        <v>3</v>
      </c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R37" s="98"/>
      <c r="S37" s="408"/>
      <c r="T37" s="93"/>
      <c r="U37" s="93"/>
      <c r="V37" s="99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4"/>
      <c r="AT37" s="94"/>
      <c r="AU37" s="94"/>
      <c r="AV37" s="94"/>
      <c r="AW37" s="94"/>
      <c r="AX37" s="94"/>
      <c r="AY37" s="94"/>
      <c r="AZ37" s="94"/>
      <c r="BA37" s="94"/>
      <c r="BB37" s="95"/>
    </row>
    <row r="38" spans="1:54" ht="13.5" thickBot="1">
      <c r="A38" s="130">
        <f t="shared" ref="A38:A44" si="16">+A37+1</f>
        <v>23</v>
      </c>
      <c r="B38" s="224" t="s">
        <v>34</v>
      </c>
      <c r="C38" s="315">
        <f t="shared" ref="C38:H38" si="17">SUM(C36:C37)</f>
        <v>-19215436</v>
      </c>
      <c r="D38" s="315">
        <f t="shared" si="17"/>
        <v>-19215436</v>
      </c>
      <c r="E38" s="315">
        <f t="shared" si="17"/>
        <v>-19215436</v>
      </c>
      <c r="F38" s="315">
        <f t="shared" si="17"/>
        <v>-19347542</v>
      </c>
      <c r="G38" s="315">
        <f t="shared" si="17"/>
        <v>-19347542</v>
      </c>
      <c r="H38" s="315">
        <f t="shared" si="17"/>
        <v>-19347542</v>
      </c>
      <c r="I38" s="315">
        <f>SUM(I36:I37)</f>
        <v>-19201404</v>
      </c>
      <c r="J38" s="315">
        <f>SUM(J36:J37)</f>
        <v>-19201404</v>
      </c>
      <c r="K38" s="315">
        <f>SUM(K36:K37)</f>
        <v>-19201404</v>
      </c>
      <c r="L38" s="315">
        <f>SUM(L36:L37)</f>
        <v>-19336429</v>
      </c>
      <c r="M38" s="315">
        <f>SUM(M36:M37)</f>
        <v>-19336429</v>
      </c>
      <c r="N38" s="315">
        <f t="shared" ref="N38:O38" si="18">SUM(N36:N37)</f>
        <v>-19336429</v>
      </c>
      <c r="O38" s="315">
        <f t="shared" si="18"/>
        <v>-19756868</v>
      </c>
      <c r="P38" s="196"/>
      <c r="Q38" s="214">
        <f>ROUND(((C38+O38)+(SUM(D38:N38)*2))/24,0)</f>
        <v>-19297762</v>
      </c>
      <c r="R38" s="98"/>
      <c r="S38" s="408"/>
      <c r="T38" s="90"/>
      <c r="U38" s="94"/>
      <c r="V38" s="90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5"/>
    </row>
    <row r="39" spans="1:54" ht="13.5" thickBot="1">
      <c r="A39" s="130">
        <f t="shared" si="16"/>
        <v>24</v>
      </c>
      <c r="B39" s="225" t="s">
        <v>161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97"/>
      <c r="R39" s="98"/>
      <c r="S39" s="408"/>
      <c r="T39" s="90"/>
      <c r="U39" s="94"/>
      <c r="V39" s="90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5"/>
    </row>
    <row r="40" spans="1:54" ht="13.5" thickBot="1">
      <c r="A40" s="130">
        <f t="shared" si="16"/>
        <v>25</v>
      </c>
      <c r="B40" s="227" t="s">
        <v>162</v>
      </c>
      <c r="C40" s="314">
        <f>-17330000-5849000</f>
        <v>-23179000</v>
      </c>
      <c r="D40" s="314">
        <f>-24121000-5849000</f>
        <v>-29970000</v>
      </c>
      <c r="E40" s="314">
        <f>-25029000-5849000</f>
        <v>-30878000</v>
      </c>
      <c r="F40" s="314">
        <f>-21535000+21485000</f>
        <v>-50000</v>
      </c>
      <c r="G40" s="314">
        <f>-22650000+21485000</f>
        <v>-1165000</v>
      </c>
      <c r="H40" s="314">
        <f>-15775000+21485000</f>
        <v>5710000</v>
      </c>
      <c r="I40" s="314">
        <f>-16075000+21485000</f>
        <v>5410000</v>
      </c>
      <c r="J40" s="314">
        <f>-13006000+21485000</f>
        <v>8479000</v>
      </c>
      <c r="K40" s="314">
        <f>-11416000+21485000</f>
        <v>10069000</v>
      </c>
      <c r="L40" s="314">
        <f>-4979000+21485000</f>
        <v>16506000</v>
      </c>
      <c r="M40" s="314">
        <f>62238000+21485000</f>
        <v>83723000</v>
      </c>
      <c r="N40" s="314">
        <f>86771000+21485000</f>
        <v>108256000</v>
      </c>
      <c r="O40" s="314">
        <f>10591000+21485000</f>
        <v>32076000</v>
      </c>
      <c r="P40" s="196"/>
      <c r="Q40" s="214">
        <f>ROUND(((C40+O40)+(SUM(D40:N40)*2))/24,0)</f>
        <v>15044875</v>
      </c>
      <c r="R40" s="98"/>
      <c r="S40" s="408"/>
      <c r="T40" s="90"/>
      <c r="U40" s="94"/>
      <c r="V40" s="90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5"/>
    </row>
    <row r="41" spans="1:54" ht="13.5" thickBot="1">
      <c r="A41" s="130">
        <f t="shared" si="16"/>
        <v>26</v>
      </c>
      <c r="B41" s="227" t="s">
        <v>112</v>
      </c>
      <c r="C41" s="195">
        <v>-5038694</v>
      </c>
      <c r="D41" s="195">
        <v>-5006591</v>
      </c>
      <c r="E41" s="195">
        <v>-4974487</v>
      </c>
      <c r="F41" s="195">
        <v>-6027641</v>
      </c>
      <c r="G41" s="195">
        <f>-5995538</f>
        <v>-5995538</v>
      </c>
      <c r="H41" s="195">
        <v>-5963435</v>
      </c>
      <c r="I41" s="195">
        <v>-5931332</v>
      </c>
      <c r="J41" s="195">
        <v>-5899229</v>
      </c>
      <c r="K41" s="195">
        <f>-5867125-193000</f>
        <v>-6060125</v>
      </c>
      <c r="L41" s="195">
        <f>-5835022-229000</f>
        <v>-6064022</v>
      </c>
      <c r="M41" s="195">
        <f>-5802919-382000</f>
        <v>-6184919</v>
      </c>
      <c r="N41" s="195">
        <f>-5770816-512000</f>
        <v>-6282816</v>
      </c>
      <c r="O41" s="195">
        <f>-5738712-660000</f>
        <v>-6398712</v>
      </c>
      <c r="P41" s="195"/>
      <c r="Q41" s="214">
        <f>ROUND(((C41+O41)+(SUM(D41:N41)*2))/24,0)</f>
        <v>-5842403</v>
      </c>
      <c r="R41" s="98"/>
      <c r="S41" s="408"/>
      <c r="T41" s="90"/>
      <c r="U41" s="94"/>
      <c r="V41" s="256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5"/>
    </row>
    <row r="42" spans="1:54" ht="13.5" thickBot="1">
      <c r="A42" s="130">
        <f t="shared" si="16"/>
        <v>27</v>
      </c>
      <c r="B42" s="227" t="s">
        <v>113</v>
      </c>
      <c r="C42" s="195">
        <v>-121865358</v>
      </c>
      <c r="D42" s="195">
        <v>-120657594</v>
      </c>
      <c r="E42" s="195">
        <f>-118004330-1445499</f>
        <v>-119449829</v>
      </c>
      <c r="F42" s="195">
        <v>-145250880</v>
      </c>
      <c r="G42" s="195">
        <f>-143459337-837409</f>
        <v>-144296746</v>
      </c>
      <c r="H42" s="195">
        <f>-142512676-829937</f>
        <v>-143342613</v>
      </c>
      <c r="I42" s="195">
        <f>-141566015-822464</f>
        <v>-142388479</v>
      </c>
      <c r="J42" s="195">
        <f>-140619354-814992</f>
        <v>-141434346</v>
      </c>
      <c r="K42" s="195">
        <f>-139672693-807519</f>
        <v>-140480212</v>
      </c>
      <c r="L42" s="195">
        <f>-141717574-784402</f>
        <v>-142501976</v>
      </c>
      <c r="M42" s="195">
        <f>-140743862-777104</f>
        <v>-141520966</v>
      </c>
      <c r="N42" s="195">
        <f>-139770150-769807</f>
        <v>-140539957</v>
      </c>
      <c r="O42" s="195">
        <f>-138796438-762509</f>
        <v>-139558947</v>
      </c>
      <c r="P42" s="195"/>
      <c r="Q42" s="214">
        <f>ROUND(((C42+O42)+(SUM(D42:N42)*2))/24,0)</f>
        <v>-137714646</v>
      </c>
      <c r="R42" s="98"/>
      <c r="S42" s="408"/>
      <c r="T42" s="90"/>
      <c r="U42" s="94"/>
      <c r="V42" s="256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5"/>
    </row>
    <row r="43" spans="1:54" ht="13.5" thickBot="1">
      <c r="A43" s="130">
        <f t="shared" si="16"/>
        <v>28</v>
      </c>
      <c r="B43" s="228" t="s">
        <v>114</v>
      </c>
      <c r="C43" s="226">
        <f t="shared" ref="C43:H43" si="19">SUM(C40:C42)</f>
        <v>-150083052</v>
      </c>
      <c r="D43" s="226">
        <f t="shared" si="19"/>
        <v>-155634185</v>
      </c>
      <c r="E43" s="226">
        <f t="shared" si="19"/>
        <v>-155302316</v>
      </c>
      <c r="F43" s="226">
        <f t="shared" si="19"/>
        <v>-151328521</v>
      </c>
      <c r="G43" s="226">
        <f t="shared" si="19"/>
        <v>-151457284</v>
      </c>
      <c r="H43" s="226">
        <f t="shared" si="19"/>
        <v>-143596048</v>
      </c>
      <c r="I43" s="226">
        <f>SUM(I40:I42)</f>
        <v>-142909811</v>
      </c>
      <c r="J43" s="226">
        <f>SUM(J40:J42)</f>
        <v>-138854575</v>
      </c>
      <c r="K43" s="226">
        <f>SUM(K40:K42)</f>
        <v>-136471337</v>
      </c>
      <c r="L43" s="226">
        <f>SUM(L40:L42)</f>
        <v>-132059998</v>
      </c>
      <c r="M43" s="226">
        <f t="shared" ref="M43:O43" si="20">SUM(M40:M42)</f>
        <v>-63982885</v>
      </c>
      <c r="N43" s="226">
        <f t="shared" si="20"/>
        <v>-38566773</v>
      </c>
      <c r="O43" s="226">
        <f t="shared" si="20"/>
        <v>-113881659</v>
      </c>
      <c r="P43" s="270"/>
      <c r="Q43" s="214">
        <f>ROUND(((C43+O43)+(SUM(D43:N43)*2))/24,0)</f>
        <v>-128512174</v>
      </c>
      <c r="R43" s="98"/>
      <c r="S43" s="90"/>
      <c r="T43" s="90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5"/>
    </row>
    <row r="44" spans="1:54" ht="13.5" thickBot="1">
      <c r="A44" s="130">
        <f t="shared" si="16"/>
        <v>29</v>
      </c>
      <c r="B44" s="143" t="s">
        <v>97</v>
      </c>
      <c r="C44" s="303">
        <f t="shared" ref="C44:M44" si="21">+C34-C38-C43</f>
        <v>3770421993</v>
      </c>
      <c r="D44" s="303">
        <f t="shared" si="21"/>
        <v>3830206006</v>
      </c>
      <c r="E44" s="303">
        <f t="shared" si="21"/>
        <v>3880699843</v>
      </c>
      <c r="F44" s="303">
        <f t="shared" si="21"/>
        <v>3879184263</v>
      </c>
      <c r="G44" s="303">
        <f t="shared" si="21"/>
        <v>3897023977</v>
      </c>
      <c r="H44" s="303">
        <f t="shared" si="21"/>
        <v>3896636196</v>
      </c>
      <c r="I44" s="303">
        <f t="shared" si="21"/>
        <v>3856513605</v>
      </c>
      <c r="J44" s="303">
        <f t="shared" si="21"/>
        <v>3845263673</v>
      </c>
      <c r="K44" s="303">
        <f t="shared" si="21"/>
        <v>3836679107</v>
      </c>
      <c r="L44" s="303">
        <f t="shared" si="21"/>
        <v>3800815427</v>
      </c>
      <c r="M44" s="303">
        <f t="shared" si="21"/>
        <v>3817737182</v>
      </c>
      <c r="N44" s="303">
        <f t="shared" ref="N44" si="22">+N34-N38-N43</f>
        <v>3859567841</v>
      </c>
      <c r="O44" s="303">
        <f>+O34-O38-O43</f>
        <v>3881528902</v>
      </c>
      <c r="P44" s="98"/>
      <c r="Q44" s="214">
        <f>ROUND(((C44+O44)+(SUM(D44:N44)*2))/24,0)</f>
        <v>3852191881</v>
      </c>
      <c r="R44" s="98"/>
      <c r="S44" s="90"/>
      <c r="T44" s="90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5"/>
    </row>
    <row r="45" spans="1:54" ht="13.5" thickTop="1"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0"/>
      <c r="R45" s="98"/>
      <c r="S45" s="90"/>
      <c r="T45" s="90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5"/>
    </row>
    <row r="46" spans="1:54"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90"/>
      <c r="R46" s="98"/>
      <c r="S46" s="90"/>
      <c r="T46" s="90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5"/>
    </row>
    <row r="47" spans="1:54"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90"/>
      <c r="R47" s="98"/>
      <c r="S47" s="90"/>
      <c r="T47" s="90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5"/>
    </row>
    <row r="48" spans="1:54"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90"/>
      <c r="R48" s="98"/>
      <c r="S48" s="90"/>
      <c r="T48" s="90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5"/>
    </row>
    <row r="49" spans="3:54">
      <c r="C49" s="406"/>
      <c r="D49" s="406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90"/>
      <c r="R49" s="98"/>
      <c r="S49" s="90"/>
      <c r="T49" s="90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5"/>
    </row>
    <row r="50" spans="3:54">
      <c r="C50" s="406"/>
      <c r="D50" s="406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434"/>
      <c r="R50" s="98"/>
      <c r="S50" s="90"/>
      <c r="T50" s="90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5"/>
    </row>
    <row r="51" spans="3:54">
      <c r="C51" s="406"/>
      <c r="D51" s="406"/>
      <c r="E51" s="335"/>
      <c r="F51" s="335"/>
      <c r="G51" s="335"/>
      <c r="H51" s="195"/>
      <c r="I51" s="195"/>
      <c r="J51" s="195"/>
      <c r="K51" s="195"/>
      <c r="L51" s="195"/>
      <c r="M51" s="195"/>
      <c r="N51" s="195"/>
      <c r="O51" s="195"/>
      <c r="P51" s="195"/>
      <c r="Q51" s="92"/>
      <c r="R51" s="98"/>
      <c r="S51" s="90"/>
      <c r="T51" s="90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5"/>
    </row>
    <row r="52" spans="3:54">
      <c r="C52" s="406"/>
      <c r="D52" s="40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90"/>
      <c r="R52" s="98"/>
      <c r="S52" s="90"/>
      <c r="T52" s="90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5"/>
    </row>
    <row r="53" spans="3:54"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413"/>
      <c r="R53" s="98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</row>
    <row r="54" spans="3:54"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413"/>
      <c r="R54" s="98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</row>
    <row r="55" spans="3:54"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90"/>
      <c r="R55" s="98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</row>
    <row r="56" spans="3:54"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444"/>
      <c r="N56" s="91"/>
      <c r="O56" s="91"/>
      <c r="P56" s="91"/>
      <c r="Q56" s="90"/>
      <c r="R56" s="98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</row>
    <row r="57" spans="3:54"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0"/>
      <c r="R57" s="98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</row>
    <row r="58" spans="3:54"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0"/>
      <c r="R58" s="98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</row>
    <row r="59" spans="3:54"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0"/>
      <c r="R59" s="98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</row>
    <row r="60" spans="3:54"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0"/>
      <c r="R60" s="98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</row>
    <row r="61" spans="3:54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0"/>
      <c r="R61" s="98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</row>
    <row r="62" spans="3:54"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0"/>
      <c r="R62" s="98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</row>
    <row r="63" spans="3:54"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0"/>
      <c r="R63" s="98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</row>
    <row r="64" spans="3:54"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</row>
    <row r="65" spans="3:53"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</row>
    <row r="66" spans="3:53"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</row>
    <row r="67" spans="3:53"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</row>
    <row r="68" spans="3:53"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</row>
    <row r="69" spans="3:53"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</row>
    <row r="70" spans="3:53"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</row>
    <row r="71" spans="3:53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</row>
    <row r="72" spans="3:53"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</row>
    <row r="73" spans="3:53"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</row>
    <row r="74" spans="3:53"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</row>
    <row r="75" spans="3:53"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</row>
    <row r="76" spans="3:53"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</row>
    <row r="77" spans="3:53"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</row>
    <row r="78" spans="3:53"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</row>
    <row r="79" spans="3:53"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</row>
    <row r="80" spans="3:53"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</row>
    <row r="81" spans="3:53"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</row>
    <row r="82" spans="3:53"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</row>
    <row r="83" spans="3:53"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</row>
    <row r="84" spans="3:53"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</row>
    <row r="85" spans="3:53"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</row>
    <row r="86" spans="3:53"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</row>
    <row r="87" spans="3:53"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</row>
    <row r="88" spans="3:53"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</row>
    <row r="89" spans="3:53"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</row>
    <row r="90" spans="3:53"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</row>
    <row r="91" spans="3:53"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</row>
    <row r="92" spans="3:53"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</row>
    <row r="93" spans="3:53"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</row>
    <row r="94" spans="3:53"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</row>
    <row r="95" spans="3:53"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</row>
    <row r="96" spans="3:53"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</row>
    <row r="97" spans="3:53"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</row>
    <row r="98" spans="3:53"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</row>
    <row r="99" spans="3:53"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</row>
    <row r="100" spans="3:53"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</row>
    <row r="101" spans="3:53"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</row>
    <row r="102" spans="3:53"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</row>
    <row r="103" spans="3:53"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</row>
    <row r="104" spans="3:53"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</row>
    <row r="105" spans="3:53"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</row>
    <row r="106" spans="3:53"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</row>
    <row r="107" spans="3:53"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</row>
    <row r="108" spans="3:53"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</row>
    <row r="109" spans="3:53"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</row>
    <row r="110" spans="3:53"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</row>
    <row r="111" spans="3:53"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</row>
    <row r="112" spans="3:53"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</row>
    <row r="113" spans="3:53"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</row>
    <row r="114" spans="3:53"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</row>
    <row r="115" spans="3:53"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</row>
    <row r="116" spans="3:53"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</row>
    <row r="117" spans="3:53"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</row>
    <row r="118" spans="3:53"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</row>
    <row r="119" spans="3:53"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</row>
    <row r="120" spans="3:53"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</row>
    <row r="121" spans="3:53"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</row>
    <row r="122" spans="3:53"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</row>
    <row r="123" spans="3:53"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</row>
    <row r="124" spans="3:53"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</row>
    <row r="125" spans="3:53"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</row>
    <row r="126" spans="3:53"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</row>
    <row r="127" spans="3:53"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</row>
    <row r="128" spans="3:53"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</row>
    <row r="129" spans="3:53"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</row>
    <row r="130" spans="3:53"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</row>
    <row r="131" spans="3:53"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</row>
    <row r="132" spans="3:53"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</row>
    <row r="133" spans="3:53"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</row>
    <row r="134" spans="3:53"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</row>
    <row r="135" spans="3:53"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</row>
    <row r="136" spans="3:53"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</row>
    <row r="137" spans="3:53"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</row>
    <row r="138" spans="3:53"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</row>
    <row r="139" spans="3:53"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</row>
    <row r="140" spans="3:53"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</row>
    <row r="141" spans="3:53"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</row>
    <row r="142" spans="3:53"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</row>
    <row r="143" spans="3:53"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</row>
    <row r="144" spans="3:53"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</row>
    <row r="145" spans="3:53"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</row>
    <row r="146" spans="3:53"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</row>
    <row r="147" spans="3:53"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</row>
    <row r="148" spans="3:53"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</row>
    <row r="149" spans="3:53"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</row>
    <row r="150" spans="3:53"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</row>
    <row r="151" spans="3:53"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</row>
    <row r="152" spans="3:53"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</row>
    <row r="153" spans="3:53"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</row>
    <row r="154" spans="3:53"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</row>
    <row r="155" spans="3:53"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</row>
    <row r="156" spans="3:53"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</row>
    <row r="157" spans="3:53"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</row>
    <row r="158" spans="3:53"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</row>
    <row r="159" spans="3:53"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</row>
    <row r="160" spans="3:53"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</row>
    <row r="161" spans="3:53"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</row>
    <row r="162" spans="3:53"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</row>
    <row r="163" spans="3:53"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</row>
    <row r="164" spans="3:53"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</row>
    <row r="165" spans="3:53"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</row>
    <row r="166" spans="3:53"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</row>
    <row r="167" spans="3:53"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0"/>
    </row>
    <row r="168" spans="3:53"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</row>
    <row r="169" spans="3:53"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  <c r="BA169" s="90"/>
    </row>
    <row r="170" spans="3:53"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  <c r="BA170" s="90"/>
    </row>
    <row r="171" spans="3:53"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</row>
    <row r="172" spans="3:53"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0"/>
    </row>
    <row r="173" spans="3:53"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</row>
    <row r="174" spans="3:53"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</row>
    <row r="175" spans="3:53"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  <c r="BA175" s="90"/>
    </row>
    <row r="176" spans="3:53"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  <c r="BA176" s="90"/>
    </row>
    <row r="177" spans="3:53"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</row>
    <row r="178" spans="3:53"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  <c r="BA178" s="90"/>
    </row>
    <row r="179" spans="3:53"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0"/>
    </row>
    <row r="180" spans="3:53"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0"/>
    </row>
    <row r="181" spans="3:53"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</row>
    <row r="182" spans="3:53"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</row>
    <row r="183" spans="3:53"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</row>
    <row r="184" spans="3:53"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</row>
    <row r="185" spans="3:53"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</row>
    <row r="186" spans="3:53"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</row>
    <row r="187" spans="3:53"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</row>
    <row r="188" spans="3:53"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</row>
    <row r="189" spans="3:53"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0"/>
    </row>
    <row r="190" spans="3:53"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  <c r="BA190" s="90"/>
    </row>
    <row r="191" spans="3:53"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</row>
    <row r="192" spans="3:53"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</row>
    <row r="193" spans="3:53"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  <c r="BA193" s="90"/>
    </row>
    <row r="194" spans="3:53"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  <c r="BA194" s="90"/>
    </row>
    <row r="195" spans="3:53"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</row>
    <row r="196" spans="3:53"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</row>
    <row r="197" spans="3:53"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  <c r="BA197" s="90"/>
    </row>
    <row r="198" spans="3:53"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</row>
    <row r="199" spans="3:53"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  <c r="BA199" s="90"/>
    </row>
    <row r="200" spans="3:53"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  <c r="BA200" s="90"/>
    </row>
    <row r="201" spans="3:53"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  <c r="BA201" s="90"/>
    </row>
    <row r="202" spans="3:53"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  <c r="BA202" s="90"/>
    </row>
    <row r="203" spans="3:53"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</row>
    <row r="204" spans="3:53"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</row>
    <row r="205" spans="3:53"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</row>
    <row r="206" spans="3:53"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  <c r="BA206" s="90"/>
    </row>
    <row r="207" spans="3:53"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  <c r="BA207" s="90"/>
    </row>
    <row r="208" spans="3:53"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  <c r="BA208" s="90"/>
    </row>
    <row r="209" spans="3:53"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</row>
    <row r="210" spans="3:53"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  <c r="BA210" s="90"/>
    </row>
    <row r="211" spans="3:53"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</row>
    <row r="212" spans="3:53"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  <c r="BA212" s="90"/>
    </row>
    <row r="213" spans="3:53"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</row>
    <row r="214" spans="3:53"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</row>
    <row r="215" spans="3:53"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  <c r="BA215" s="90"/>
    </row>
    <row r="216" spans="3:53"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0"/>
    </row>
    <row r="217" spans="3:53"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  <c r="BA217" s="90"/>
    </row>
    <row r="218" spans="3:53"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  <c r="BA218" s="90"/>
    </row>
    <row r="219" spans="3:53"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  <c r="BA219" s="90"/>
    </row>
    <row r="220" spans="3:53"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</row>
    <row r="221" spans="3:53"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  <c r="BA221" s="90"/>
    </row>
    <row r="222" spans="3:53"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  <c r="BA222" s="90"/>
    </row>
    <row r="223" spans="3:53"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0"/>
    </row>
    <row r="224" spans="3:53"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</row>
    <row r="225" spans="3:53"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0"/>
    </row>
    <row r="226" spans="3:53"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0"/>
    </row>
    <row r="227" spans="3:53"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</row>
    <row r="228" spans="3:53"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</row>
    <row r="229" spans="3:53"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</row>
    <row r="230" spans="3:53"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</row>
    <row r="231" spans="3:53"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</row>
    <row r="232" spans="3:53"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</row>
    <row r="233" spans="3:53"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</row>
    <row r="234" spans="3:53"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</row>
    <row r="235" spans="3:53"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</row>
    <row r="236" spans="3:53"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</row>
    <row r="237" spans="3:53"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</row>
    <row r="238" spans="3:53"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</row>
    <row r="239" spans="3:53"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</row>
    <row r="240" spans="3:53"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</row>
    <row r="241" spans="3:53"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</row>
    <row r="242" spans="3:53"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</row>
    <row r="243" spans="3:53"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0"/>
    </row>
    <row r="244" spans="3:53"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</row>
    <row r="245" spans="3:53"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</row>
    <row r="246" spans="3:53"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</row>
    <row r="247" spans="3:53"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</row>
    <row r="248" spans="3:53"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</row>
    <row r="249" spans="3:53"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</row>
    <row r="250" spans="3:53"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</row>
    <row r="251" spans="3:53"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0"/>
    </row>
    <row r="252" spans="3:53"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  <c r="BA252" s="90"/>
    </row>
    <row r="253" spans="3:53"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</row>
    <row r="254" spans="3:53"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</row>
    <row r="255" spans="3:53"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</row>
    <row r="256" spans="3:53"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0"/>
    </row>
    <row r="257" spans="3:53"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</row>
    <row r="258" spans="3:53"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</row>
    <row r="259" spans="3:53"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  <c r="BA259" s="90"/>
    </row>
    <row r="260" spans="3:53"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  <c r="BA260" s="90"/>
    </row>
    <row r="261" spans="3:53"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</row>
    <row r="262" spans="3:53"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0"/>
    </row>
    <row r="263" spans="3:53"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</row>
    <row r="264" spans="3:53"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</row>
    <row r="265" spans="3:53"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0"/>
    </row>
    <row r="266" spans="3:53"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</row>
    <row r="267" spans="3:53"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</row>
    <row r="268" spans="3:53"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0"/>
    </row>
    <row r="269" spans="3:53"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</row>
    <row r="270" spans="3:53"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</row>
    <row r="271" spans="3:53"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0"/>
    </row>
    <row r="272" spans="3:53"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  <c r="BA272" s="90"/>
    </row>
    <row r="273" spans="3:53"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</row>
    <row r="274" spans="3:53"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  <c r="BA274" s="90"/>
    </row>
    <row r="275" spans="3:53"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  <c r="BA275" s="90"/>
    </row>
    <row r="276" spans="3:53"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</row>
    <row r="277" spans="3:53"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  <c r="BA277" s="90"/>
    </row>
    <row r="278" spans="3:53"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</row>
    <row r="279" spans="3:53"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0"/>
    </row>
    <row r="280" spans="3:53"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0"/>
    </row>
    <row r="281" spans="3:53"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</row>
    <row r="282" spans="3:53"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0"/>
    </row>
    <row r="283" spans="3:53"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0"/>
    </row>
    <row r="284" spans="3:53"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0"/>
    </row>
    <row r="285" spans="3:53"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</row>
    <row r="286" spans="3:53"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0"/>
    </row>
    <row r="287" spans="3:53"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0"/>
    </row>
    <row r="288" spans="3:53"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</row>
    <row r="289" spans="3:53"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</row>
    <row r="290" spans="3:53"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</row>
    <row r="291" spans="3:53"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</row>
    <row r="292" spans="3:53"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</row>
    <row r="293" spans="3:53"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</row>
    <row r="294" spans="3:53"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</row>
    <row r="295" spans="3:53"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</row>
    <row r="296" spans="3:53"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</row>
    <row r="297" spans="3:53"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</row>
    <row r="298" spans="3:53"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</row>
    <row r="299" spans="3:53"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</row>
    <row r="300" spans="3:53"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</row>
    <row r="301" spans="3:53"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  <c r="BA301" s="90"/>
    </row>
    <row r="302" spans="3:53"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90"/>
      <c r="AX302" s="90"/>
      <c r="AY302" s="90"/>
      <c r="AZ302" s="90"/>
      <c r="BA302" s="90"/>
    </row>
    <row r="303" spans="3:53"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0"/>
      <c r="AP303" s="90"/>
      <c r="AQ303" s="90"/>
      <c r="AR303" s="90"/>
      <c r="AS303" s="90"/>
      <c r="AT303" s="90"/>
      <c r="AU303" s="90"/>
      <c r="AV303" s="90"/>
      <c r="AW303" s="90"/>
      <c r="AX303" s="90"/>
      <c r="AY303" s="90"/>
      <c r="AZ303" s="90"/>
      <c r="BA303" s="90"/>
    </row>
    <row r="304" spans="3:53"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  <c r="AL304" s="90"/>
      <c r="AM304" s="90"/>
      <c r="AN304" s="90"/>
      <c r="AO304" s="90"/>
      <c r="AP304" s="90"/>
      <c r="AQ304" s="90"/>
      <c r="AR304" s="90"/>
      <c r="AS304" s="90"/>
      <c r="AT304" s="90"/>
      <c r="AU304" s="90"/>
      <c r="AV304" s="90"/>
      <c r="AW304" s="90"/>
      <c r="AX304" s="90"/>
      <c r="AY304" s="90"/>
      <c r="AZ304" s="90"/>
      <c r="BA304" s="90"/>
    </row>
    <row r="305" spans="3:53"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  <c r="AL305" s="90"/>
      <c r="AM305" s="90"/>
      <c r="AN305" s="90"/>
      <c r="AO305" s="90"/>
      <c r="AP305" s="90"/>
      <c r="AQ305" s="90"/>
      <c r="AR305" s="90"/>
      <c r="AS305" s="90"/>
      <c r="AT305" s="90"/>
      <c r="AU305" s="90"/>
      <c r="AV305" s="90"/>
      <c r="AW305" s="90"/>
      <c r="AX305" s="90"/>
      <c r="AY305" s="90"/>
      <c r="AZ305" s="90"/>
      <c r="BA305" s="90"/>
    </row>
    <row r="306" spans="3:53"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  <c r="AL306" s="90"/>
      <c r="AM306" s="90"/>
      <c r="AN306" s="90"/>
      <c r="AO306" s="90"/>
      <c r="AP306" s="90"/>
      <c r="AQ306" s="90"/>
      <c r="AR306" s="90"/>
      <c r="AS306" s="90"/>
      <c r="AT306" s="90"/>
      <c r="AU306" s="90"/>
      <c r="AV306" s="90"/>
      <c r="AW306" s="90"/>
      <c r="AX306" s="90"/>
      <c r="AY306" s="90"/>
      <c r="AZ306" s="90"/>
      <c r="BA306" s="90"/>
    </row>
    <row r="307" spans="3:53"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</row>
    <row r="308" spans="3:53"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0"/>
      <c r="AP308" s="90"/>
      <c r="AQ308" s="90"/>
      <c r="AR308" s="90"/>
      <c r="AS308" s="90"/>
      <c r="AT308" s="90"/>
      <c r="AU308" s="90"/>
      <c r="AV308" s="90"/>
      <c r="AW308" s="90"/>
      <c r="AX308" s="90"/>
      <c r="AY308" s="90"/>
      <c r="AZ308" s="90"/>
      <c r="BA308" s="90"/>
    </row>
    <row r="309" spans="3:53"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  <c r="BA309" s="90"/>
    </row>
    <row r="310" spans="3:53"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  <c r="AL310" s="90"/>
      <c r="AM310" s="90"/>
      <c r="AN310" s="90"/>
      <c r="AO310" s="90"/>
      <c r="AP310" s="90"/>
      <c r="AQ310" s="90"/>
      <c r="AR310" s="90"/>
      <c r="AS310" s="90"/>
      <c r="AT310" s="90"/>
      <c r="AU310" s="90"/>
      <c r="AV310" s="90"/>
      <c r="AW310" s="90"/>
      <c r="AX310" s="90"/>
      <c r="AY310" s="90"/>
      <c r="AZ310" s="90"/>
      <c r="BA310" s="90"/>
    </row>
    <row r="311" spans="3:53"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0"/>
      <c r="AP311" s="90"/>
      <c r="AQ311" s="90"/>
      <c r="AR311" s="90"/>
      <c r="AS311" s="90"/>
      <c r="AT311" s="90"/>
      <c r="AU311" s="90"/>
      <c r="AV311" s="90"/>
      <c r="AW311" s="90"/>
      <c r="AX311" s="90"/>
      <c r="AY311" s="90"/>
      <c r="AZ311" s="90"/>
      <c r="BA311" s="90"/>
    </row>
    <row r="312" spans="3:53"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0"/>
      <c r="AP312" s="90"/>
      <c r="AQ312" s="90"/>
      <c r="AR312" s="90"/>
      <c r="AS312" s="90"/>
      <c r="AT312" s="90"/>
      <c r="AU312" s="90"/>
      <c r="AV312" s="90"/>
      <c r="AW312" s="90"/>
      <c r="AX312" s="90"/>
      <c r="AY312" s="90"/>
      <c r="AZ312" s="90"/>
      <c r="BA312" s="90"/>
    </row>
    <row r="313" spans="3:53"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0"/>
      <c r="AP313" s="90"/>
      <c r="AQ313" s="90"/>
      <c r="AR313" s="90"/>
      <c r="AS313" s="90"/>
      <c r="AT313" s="90"/>
      <c r="AU313" s="90"/>
      <c r="AV313" s="90"/>
      <c r="AW313" s="90"/>
      <c r="AX313" s="90"/>
      <c r="AY313" s="90"/>
      <c r="AZ313" s="90"/>
      <c r="BA313" s="90"/>
    </row>
    <row r="314" spans="3:53"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  <c r="AL314" s="90"/>
      <c r="AM314" s="90"/>
      <c r="AN314" s="90"/>
      <c r="AO314" s="90"/>
      <c r="AP314" s="90"/>
      <c r="AQ314" s="90"/>
      <c r="AR314" s="90"/>
      <c r="AS314" s="90"/>
      <c r="AT314" s="90"/>
      <c r="AU314" s="90"/>
      <c r="AV314" s="90"/>
      <c r="AW314" s="90"/>
      <c r="AX314" s="90"/>
      <c r="AY314" s="90"/>
      <c r="AZ314" s="90"/>
      <c r="BA314" s="90"/>
    </row>
    <row r="315" spans="3:53"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0"/>
      <c r="AP315" s="90"/>
      <c r="AQ315" s="90"/>
      <c r="AR315" s="90"/>
      <c r="AS315" s="90"/>
      <c r="AT315" s="90"/>
      <c r="AU315" s="90"/>
      <c r="AV315" s="90"/>
      <c r="AW315" s="90"/>
      <c r="AX315" s="90"/>
      <c r="AY315" s="90"/>
      <c r="AZ315" s="90"/>
      <c r="BA315" s="90"/>
    </row>
    <row r="316" spans="3:53"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  <c r="BA316" s="90"/>
    </row>
    <row r="317" spans="3:53"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  <c r="AL317" s="90"/>
      <c r="AM317" s="90"/>
      <c r="AN317" s="90"/>
      <c r="AO317" s="90"/>
      <c r="AP317" s="90"/>
      <c r="AQ317" s="90"/>
      <c r="AR317" s="90"/>
      <c r="AS317" s="90"/>
      <c r="AT317" s="90"/>
      <c r="AU317" s="90"/>
      <c r="AV317" s="90"/>
      <c r="AW317" s="90"/>
      <c r="AX317" s="90"/>
      <c r="AY317" s="90"/>
      <c r="AZ317" s="90"/>
      <c r="BA317" s="90"/>
    </row>
    <row r="318" spans="3:53"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0"/>
      <c r="AP318" s="90"/>
      <c r="AQ318" s="90"/>
      <c r="AR318" s="90"/>
      <c r="AS318" s="90"/>
      <c r="AT318" s="90"/>
      <c r="AU318" s="90"/>
      <c r="AV318" s="90"/>
      <c r="AW318" s="90"/>
      <c r="AX318" s="90"/>
      <c r="AY318" s="90"/>
      <c r="AZ318" s="90"/>
      <c r="BA318" s="90"/>
    </row>
    <row r="319" spans="3:53"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  <c r="AL319" s="90"/>
      <c r="AM319" s="90"/>
      <c r="AN319" s="90"/>
      <c r="AO319" s="90"/>
      <c r="AP319" s="90"/>
      <c r="AQ319" s="90"/>
      <c r="AR319" s="90"/>
      <c r="AS319" s="90"/>
      <c r="AT319" s="90"/>
      <c r="AU319" s="90"/>
      <c r="AV319" s="90"/>
      <c r="AW319" s="90"/>
      <c r="AX319" s="90"/>
      <c r="AY319" s="90"/>
      <c r="AZ319" s="90"/>
      <c r="BA319" s="90"/>
    </row>
    <row r="320" spans="3:53"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  <c r="AL320" s="90"/>
      <c r="AM320" s="90"/>
      <c r="AN320" s="90"/>
      <c r="AO320" s="90"/>
      <c r="AP320" s="90"/>
      <c r="AQ320" s="90"/>
      <c r="AR320" s="90"/>
      <c r="AS320" s="90"/>
      <c r="AT320" s="90"/>
      <c r="AU320" s="90"/>
      <c r="AV320" s="90"/>
      <c r="AW320" s="90"/>
      <c r="AX320" s="90"/>
      <c r="AY320" s="90"/>
      <c r="AZ320" s="90"/>
      <c r="BA320" s="90"/>
    </row>
    <row r="321" spans="3:53"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  <c r="AL321" s="90"/>
      <c r="AM321" s="90"/>
      <c r="AN321" s="90"/>
      <c r="AO321" s="90"/>
      <c r="AP321" s="90"/>
      <c r="AQ321" s="90"/>
      <c r="AR321" s="90"/>
      <c r="AS321" s="90"/>
      <c r="AT321" s="90"/>
      <c r="AU321" s="90"/>
      <c r="AV321" s="90"/>
      <c r="AW321" s="90"/>
      <c r="AX321" s="90"/>
      <c r="AY321" s="90"/>
      <c r="AZ321" s="90"/>
      <c r="BA321" s="90"/>
    </row>
    <row r="322" spans="3:53"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  <c r="AL322" s="90"/>
      <c r="AM322" s="90"/>
      <c r="AN322" s="90"/>
      <c r="AO322" s="90"/>
      <c r="AP322" s="90"/>
      <c r="AQ322" s="90"/>
      <c r="AR322" s="90"/>
      <c r="AS322" s="90"/>
      <c r="AT322" s="90"/>
      <c r="AU322" s="90"/>
      <c r="AV322" s="90"/>
      <c r="AW322" s="90"/>
      <c r="AX322" s="90"/>
      <c r="AY322" s="90"/>
      <c r="AZ322" s="90"/>
      <c r="BA322" s="90"/>
    </row>
    <row r="323" spans="3:53"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  <c r="AL323" s="90"/>
      <c r="AM323" s="90"/>
      <c r="AN323" s="90"/>
      <c r="AO323" s="90"/>
      <c r="AP323" s="90"/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</row>
    <row r="324" spans="3:53"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  <c r="AL324" s="90"/>
      <c r="AM324" s="90"/>
      <c r="AN324" s="90"/>
      <c r="AO324" s="90"/>
      <c r="AP324" s="90"/>
      <c r="AQ324" s="90"/>
      <c r="AR324" s="90"/>
      <c r="AS324" s="90"/>
      <c r="AT324" s="90"/>
      <c r="AU324" s="90"/>
      <c r="AV324" s="90"/>
      <c r="AW324" s="90"/>
      <c r="AX324" s="90"/>
      <c r="AY324" s="90"/>
      <c r="AZ324" s="90"/>
      <c r="BA324" s="90"/>
    </row>
    <row r="325" spans="3:53"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  <c r="AL325" s="90"/>
      <c r="AM325" s="90"/>
      <c r="AN325" s="90"/>
      <c r="AO325" s="90"/>
      <c r="AP325" s="90"/>
      <c r="AQ325" s="90"/>
      <c r="AR325" s="90"/>
      <c r="AS325" s="90"/>
      <c r="AT325" s="90"/>
      <c r="AU325" s="90"/>
      <c r="AV325" s="90"/>
      <c r="AW325" s="90"/>
      <c r="AX325" s="90"/>
      <c r="AY325" s="90"/>
      <c r="AZ325" s="90"/>
      <c r="BA325" s="90"/>
    </row>
    <row r="326" spans="3:53"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  <c r="AL326" s="90"/>
      <c r="AM326" s="90"/>
      <c r="AN326" s="90"/>
      <c r="AO326" s="90"/>
      <c r="AP326" s="90"/>
      <c r="AQ326" s="90"/>
      <c r="AR326" s="90"/>
      <c r="AS326" s="90"/>
      <c r="AT326" s="90"/>
      <c r="AU326" s="90"/>
      <c r="AV326" s="90"/>
      <c r="AW326" s="90"/>
      <c r="AX326" s="90"/>
      <c r="AY326" s="90"/>
      <c r="AZ326" s="90"/>
      <c r="BA326" s="90"/>
    </row>
    <row r="327" spans="3:53"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  <c r="AL327" s="90"/>
      <c r="AM327" s="90"/>
      <c r="AN327" s="90"/>
      <c r="AO327" s="90"/>
      <c r="AP327" s="90"/>
      <c r="AQ327" s="90"/>
      <c r="AR327" s="90"/>
      <c r="AS327" s="90"/>
      <c r="AT327" s="90"/>
      <c r="AU327" s="90"/>
      <c r="AV327" s="90"/>
      <c r="AW327" s="90"/>
      <c r="AX327" s="90"/>
      <c r="AY327" s="90"/>
      <c r="AZ327" s="90"/>
      <c r="BA327" s="90"/>
    </row>
    <row r="328" spans="3:53"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  <c r="AL328" s="90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  <c r="BA328" s="90"/>
    </row>
    <row r="329" spans="3:53"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  <c r="AL329" s="90"/>
      <c r="AM329" s="90"/>
      <c r="AN329" s="90"/>
      <c r="AO329" s="90"/>
      <c r="AP329" s="90"/>
      <c r="AQ329" s="90"/>
      <c r="AR329" s="90"/>
      <c r="AS329" s="90"/>
      <c r="AT329" s="90"/>
      <c r="AU329" s="90"/>
      <c r="AV329" s="90"/>
      <c r="AW329" s="90"/>
      <c r="AX329" s="90"/>
      <c r="AY329" s="90"/>
      <c r="AZ329" s="90"/>
      <c r="BA329" s="90"/>
    </row>
    <row r="330" spans="3:53"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  <c r="AL330" s="90"/>
      <c r="AM330" s="90"/>
      <c r="AN330" s="90"/>
      <c r="AO330" s="90"/>
      <c r="AP330" s="90"/>
      <c r="AQ330" s="90"/>
      <c r="AR330" s="90"/>
      <c r="AS330" s="90"/>
      <c r="AT330" s="90"/>
      <c r="AU330" s="90"/>
      <c r="AV330" s="90"/>
      <c r="AW330" s="90"/>
      <c r="AX330" s="90"/>
      <c r="AY330" s="90"/>
      <c r="AZ330" s="90"/>
      <c r="BA330" s="90"/>
    </row>
    <row r="331" spans="3:53"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  <c r="AL331" s="90"/>
      <c r="AM331" s="90"/>
      <c r="AN331" s="90"/>
      <c r="AO331" s="90"/>
      <c r="AP331" s="90"/>
      <c r="AQ331" s="90"/>
      <c r="AR331" s="90"/>
      <c r="AS331" s="90"/>
      <c r="AT331" s="90"/>
      <c r="AU331" s="90"/>
      <c r="AV331" s="90"/>
      <c r="AW331" s="90"/>
      <c r="AX331" s="90"/>
      <c r="AY331" s="90"/>
      <c r="AZ331" s="90"/>
      <c r="BA331" s="90"/>
    </row>
    <row r="332" spans="3:53"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  <c r="AL332" s="90"/>
      <c r="AM332" s="90"/>
      <c r="AN332" s="90"/>
      <c r="AO332" s="90"/>
      <c r="AP332" s="90"/>
      <c r="AQ332" s="90"/>
      <c r="AR332" s="90"/>
      <c r="AS332" s="90"/>
      <c r="AT332" s="90"/>
      <c r="AU332" s="90"/>
      <c r="AV332" s="90"/>
      <c r="AW332" s="90"/>
      <c r="AX332" s="90"/>
      <c r="AY332" s="90"/>
      <c r="AZ332" s="90"/>
      <c r="BA332" s="90"/>
    </row>
    <row r="333" spans="3:53"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  <c r="AL333" s="90"/>
      <c r="AM333" s="90"/>
      <c r="AN333" s="90"/>
      <c r="AO333" s="90"/>
      <c r="AP333" s="90"/>
      <c r="AQ333" s="90"/>
      <c r="AR333" s="90"/>
      <c r="AS333" s="90"/>
      <c r="AT333" s="90"/>
      <c r="AU333" s="90"/>
      <c r="AV333" s="90"/>
      <c r="AW333" s="90"/>
      <c r="AX333" s="90"/>
      <c r="AY333" s="90"/>
      <c r="AZ333" s="90"/>
      <c r="BA333" s="90"/>
    </row>
    <row r="334" spans="3:53"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  <c r="AL334" s="90"/>
      <c r="AM334" s="90"/>
      <c r="AN334" s="90"/>
      <c r="AO334" s="90"/>
      <c r="AP334" s="90"/>
      <c r="AQ334" s="90"/>
      <c r="AR334" s="90"/>
      <c r="AS334" s="90"/>
      <c r="AT334" s="90"/>
      <c r="AU334" s="90"/>
      <c r="AV334" s="90"/>
      <c r="AW334" s="90"/>
      <c r="AX334" s="90"/>
      <c r="AY334" s="90"/>
      <c r="AZ334" s="90"/>
      <c r="BA334" s="90"/>
    </row>
    <row r="335" spans="3:53"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  <c r="AL335" s="90"/>
      <c r="AM335" s="90"/>
      <c r="AN335" s="90"/>
      <c r="AO335" s="90"/>
      <c r="AP335" s="90"/>
      <c r="AQ335" s="90"/>
      <c r="AR335" s="90"/>
      <c r="AS335" s="90"/>
      <c r="AT335" s="90"/>
      <c r="AU335" s="90"/>
      <c r="AV335" s="90"/>
      <c r="AW335" s="90"/>
      <c r="AX335" s="90"/>
      <c r="AY335" s="90"/>
      <c r="AZ335" s="90"/>
      <c r="BA335" s="90"/>
    </row>
    <row r="336" spans="3:53"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  <c r="AL336" s="90"/>
      <c r="AM336" s="90"/>
      <c r="AN336" s="90"/>
      <c r="AO336" s="90"/>
      <c r="AP336" s="90"/>
      <c r="AQ336" s="90"/>
      <c r="AR336" s="90"/>
      <c r="AS336" s="90"/>
      <c r="AT336" s="90"/>
      <c r="AU336" s="90"/>
      <c r="AV336" s="90"/>
      <c r="AW336" s="90"/>
      <c r="AX336" s="90"/>
      <c r="AY336" s="90"/>
      <c r="AZ336" s="90"/>
      <c r="BA336" s="90"/>
    </row>
    <row r="337" spans="3:53"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  <c r="AL337" s="90"/>
      <c r="AM337" s="90"/>
      <c r="AN337" s="90"/>
      <c r="AO337" s="90"/>
      <c r="AP337" s="90"/>
      <c r="AQ337" s="90"/>
      <c r="AR337" s="90"/>
      <c r="AS337" s="90"/>
      <c r="AT337" s="90"/>
      <c r="AU337" s="90"/>
      <c r="AV337" s="90"/>
      <c r="AW337" s="90"/>
      <c r="AX337" s="90"/>
      <c r="AY337" s="90"/>
      <c r="AZ337" s="90"/>
      <c r="BA337" s="90"/>
    </row>
    <row r="338" spans="3:53"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  <c r="AL338" s="90"/>
      <c r="AM338" s="90"/>
      <c r="AN338" s="90"/>
      <c r="AO338" s="90"/>
      <c r="AP338" s="90"/>
      <c r="AQ338" s="90"/>
      <c r="AR338" s="90"/>
      <c r="AS338" s="90"/>
      <c r="AT338" s="90"/>
      <c r="AU338" s="90"/>
      <c r="AV338" s="90"/>
      <c r="AW338" s="90"/>
      <c r="AX338" s="90"/>
      <c r="AY338" s="90"/>
      <c r="AZ338" s="90"/>
      <c r="BA338" s="90"/>
    </row>
    <row r="339" spans="3:53"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  <c r="AL339" s="90"/>
      <c r="AM339" s="90"/>
      <c r="AN339" s="90"/>
      <c r="AO339" s="90"/>
      <c r="AP339" s="90"/>
      <c r="AQ339" s="90"/>
      <c r="AR339" s="90"/>
      <c r="AS339" s="90"/>
      <c r="AT339" s="90"/>
      <c r="AU339" s="90"/>
      <c r="AV339" s="90"/>
      <c r="AW339" s="90"/>
      <c r="AX339" s="90"/>
      <c r="AY339" s="90"/>
      <c r="AZ339" s="90"/>
      <c r="BA339" s="90"/>
    </row>
    <row r="340" spans="3:53"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  <c r="AL340" s="90"/>
      <c r="AM340" s="90"/>
      <c r="AN340" s="90"/>
      <c r="AO340" s="90"/>
      <c r="AP340" s="90"/>
      <c r="AQ340" s="90"/>
      <c r="AR340" s="90"/>
      <c r="AS340" s="90"/>
      <c r="AT340" s="90"/>
      <c r="AU340" s="90"/>
      <c r="AV340" s="90"/>
      <c r="AW340" s="90"/>
      <c r="AX340" s="90"/>
      <c r="AY340" s="90"/>
      <c r="AZ340" s="90"/>
      <c r="BA340" s="90"/>
    </row>
    <row r="341" spans="3:53"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  <c r="AL341" s="90"/>
      <c r="AM341" s="90"/>
      <c r="AN341" s="90"/>
      <c r="AO341" s="90"/>
      <c r="AP341" s="90"/>
      <c r="AQ341" s="90"/>
      <c r="AR341" s="90"/>
      <c r="AS341" s="90"/>
      <c r="AT341" s="90"/>
      <c r="AU341" s="90"/>
      <c r="AV341" s="90"/>
      <c r="AW341" s="90"/>
      <c r="AX341" s="90"/>
      <c r="AY341" s="90"/>
      <c r="AZ341" s="90"/>
      <c r="BA341" s="90"/>
    </row>
    <row r="342" spans="3:53"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  <c r="AL342" s="90"/>
      <c r="AM342" s="90"/>
      <c r="AN342" s="90"/>
      <c r="AO342" s="90"/>
      <c r="AP342" s="90"/>
      <c r="AQ342" s="90"/>
      <c r="AR342" s="90"/>
      <c r="AS342" s="90"/>
      <c r="AT342" s="90"/>
      <c r="AU342" s="90"/>
      <c r="AV342" s="90"/>
      <c r="AW342" s="90"/>
      <c r="AX342" s="90"/>
      <c r="AY342" s="90"/>
      <c r="AZ342" s="90"/>
      <c r="BA342" s="90"/>
    </row>
    <row r="343" spans="3:53"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  <c r="AL343" s="90"/>
      <c r="AM343" s="90"/>
      <c r="AN343" s="90"/>
      <c r="AO343" s="90"/>
      <c r="AP343" s="90"/>
      <c r="AQ343" s="90"/>
      <c r="AR343" s="90"/>
      <c r="AS343" s="90"/>
      <c r="AT343" s="90"/>
      <c r="AU343" s="90"/>
      <c r="AV343" s="90"/>
      <c r="AW343" s="90"/>
      <c r="AX343" s="90"/>
      <c r="AY343" s="90"/>
      <c r="AZ343" s="90"/>
      <c r="BA343" s="90"/>
    </row>
    <row r="344" spans="3:53"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  <c r="AL344" s="90"/>
      <c r="AM344" s="90"/>
      <c r="AN344" s="90"/>
      <c r="AO344" s="90"/>
      <c r="AP344" s="90"/>
      <c r="AQ344" s="90"/>
      <c r="AR344" s="90"/>
      <c r="AS344" s="90"/>
      <c r="AT344" s="90"/>
      <c r="AU344" s="90"/>
      <c r="AV344" s="90"/>
      <c r="AW344" s="90"/>
      <c r="AX344" s="90"/>
      <c r="AY344" s="90"/>
      <c r="AZ344" s="90"/>
      <c r="BA344" s="90"/>
    </row>
    <row r="345" spans="3:53"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  <c r="AL345" s="90"/>
      <c r="AM345" s="90"/>
      <c r="AN345" s="90"/>
      <c r="AO345" s="90"/>
      <c r="AP345" s="90"/>
      <c r="AQ345" s="90"/>
      <c r="AR345" s="90"/>
      <c r="AS345" s="90"/>
      <c r="AT345" s="90"/>
      <c r="AU345" s="90"/>
      <c r="AV345" s="90"/>
      <c r="AW345" s="90"/>
      <c r="AX345" s="90"/>
      <c r="AY345" s="90"/>
      <c r="AZ345" s="90"/>
      <c r="BA345" s="90"/>
    </row>
    <row r="346" spans="3:53"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  <c r="AL346" s="90"/>
      <c r="AM346" s="90"/>
      <c r="AN346" s="90"/>
      <c r="AO346" s="90"/>
      <c r="AP346" s="90"/>
      <c r="AQ346" s="90"/>
      <c r="AR346" s="90"/>
      <c r="AS346" s="90"/>
      <c r="AT346" s="90"/>
      <c r="AU346" s="90"/>
      <c r="AV346" s="90"/>
      <c r="AW346" s="90"/>
      <c r="AX346" s="90"/>
      <c r="AY346" s="90"/>
      <c r="AZ346" s="90"/>
      <c r="BA346" s="90"/>
    </row>
    <row r="347" spans="3:53"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  <c r="AL347" s="90"/>
      <c r="AM347" s="90"/>
      <c r="AN347" s="90"/>
      <c r="AO347" s="90"/>
      <c r="AP347" s="90"/>
      <c r="AQ347" s="90"/>
      <c r="AR347" s="90"/>
      <c r="AS347" s="90"/>
      <c r="AT347" s="90"/>
      <c r="AU347" s="90"/>
      <c r="AV347" s="90"/>
      <c r="AW347" s="90"/>
      <c r="AX347" s="90"/>
      <c r="AY347" s="90"/>
      <c r="AZ347" s="90"/>
      <c r="BA347" s="90"/>
    </row>
    <row r="348" spans="3:53"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0"/>
      <c r="AP348" s="90"/>
      <c r="AQ348" s="90"/>
      <c r="AR348" s="90"/>
      <c r="AS348" s="90"/>
      <c r="AT348" s="90"/>
      <c r="AU348" s="90"/>
      <c r="AV348" s="90"/>
      <c r="AW348" s="90"/>
      <c r="AX348" s="90"/>
      <c r="AY348" s="90"/>
      <c r="AZ348" s="90"/>
      <c r="BA348" s="90"/>
    </row>
    <row r="349" spans="3:53"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0"/>
      <c r="AP349" s="90"/>
      <c r="AQ349" s="90"/>
      <c r="AR349" s="90"/>
      <c r="AS349" s="90"/>
      <c r="AT349" s="90"/>
      <c r="AU349" s="90"/>
      <c r="AV349" s="90"/>
      <c r="AW349" s="90"/>
      <c r="AX349" s="90"/>
      <c r="AY349" s="90"/>
      <c r="AZ349" s="90"/>
      <c r="BA349" s="90"/>
    </row>
    <row r="350" spans="3:53"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  <c r="AL350" s="90"/>
      <c r="AM350" s="90"/>
      <c r="AN350" s="90"/>
      <c r="AO350" s="90"/>
      <c r="AP350" s="90"/>
      <c r="AQ350" s="90"/>
      <c r="AR350" s="90"/>
      <c r="AS350" s="90"/>
      <c r="AT350" s="90"/>
      <c r="AU350" s="90"/>
      <c r="AV350" s="90"/>
      <c r="AW350" s="90"/>
      <c r="AX350" s="90"/>
      <c r="AY350" s="90"/>
      <c r="AZ350" s="90"/>
      <c r="BA350" s="90"/>
    </row>
    <row r="351" spans="3:53"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  <c r="AL351" s="90"/>
      <c r="AM351" s="90"/>
      <c r="AN351" s="90"/>
      <c r="AO351" s="90"/>
      <c r="AP351" s="90"/>
      <c r="AQ351" s="90"/>
      <c r="AR351" s="90"/>
      <c r="AS351" s="90"/>
      <c r="AT351" s="90"/>
      <c r="AU351" s="90"/>
      <c r="AV351" s="90"/>
      <c r="AW351" s="90"/>
      <c r="AX351" s="90"/>
      <c r="AY351" s="90"/>
      <c r="AZ351" s="90"/>
      <c r="BA351" s="90"/>
    </row>
    <row r="352" spans="3:53"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  <c r="AL352" s="90"/>
      <c r="AM352" s="90"/>
      <c r="AN352" s="90"/>
      <c r="AO352" s="90"/>
      <c r="AP352" s="90"/>
      <c r="AQ352" s="90"/>
      <c r="AR352" s="90"/>
      <c r="AS352" s="90"/>
      <c r="AT352" s="90"/>
      <c r="AU352" s="90"/>
      <c r="AV352" s="90"/>
      <c r="AW352" s="90"/>
      <c r="AX352" s="90"/>
      <c r="AY352" s="90"/>
      <c r="AZ352" s="90"/>
      <c r="BA352" s="90"/>
    </row>
    <row r="353" spans="3:53"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  <c r="AL353" s="90"/>
      <c r="AM353" s="90"/>
      <c r="AN353" s="90"/>
      <c r="AO353" s="90"/>
      <c r="AP353" s="90"/>
      <c r="AQ353" s="90"/>
      <c r="AR353" s="90"/>
      <c r="AS353" s="90"/>
      <c r="AT353" s="90"/>
      <c r="AU353" s="90"/>
      <c r="AV353" s="90"/>
      <c r="AW353" s="90"/>
      <c r="AX353" s="90"/>
      <c r="AY353" s="90"/>
      <c r="AZ353" s="90"/>
      <c r="BA353" s="90"/>
    </row>
    <row r="354" spans="3:53"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  <c r="AL354" s="90"/>
      <c r="AM354" s="90"/>
      <c r="AN354" s="90"/>
      <c r="AO354" s="90"/>
      <c r="AP354" s="90"/>
      <c r="AQ354" s="90"/>
      <c r="AR354" s="90"/>
      <c r="AS354" s="90"/>
      <c r="AT354" s="90"/>
      <c r="AU354" s="90"/>
      <c r="AV354" s="90"/>
      <c r="AW354" s="90"/>
      <c r="AX354" s="90"/>
      <c r="AY354" s="90"/>
      <c r="AZ354" s="90"/>
      <c r="BA354" s="90"/>
    </row>
    <row r="355" spans="3:53"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  <c r="AL355" s="90"/>
      <c r="AM355" s="90"/>
      <c r="AN355" s="90"/>
      <c r="AO355" s="90"/>
      <c r="AP355" s="90"/>
      <c r="AQ355" s="90"/>
      <c r="AR355" s="90"/>
      <c r="AS355" s="90"/>
      <c r="AT355" s="90"/>
      <c r="AU355" s="90"/>
      <c r="AV355" s="90"/>
      <c r="AW355" s="90"/>
      <c r="AX355" s="90"/>
      <c r="AY355" s="90"/>
      <c r="AZ355" s="90"/>
      <c r="BA355" s="90"/>
    </row>
    <row r="356" spans="3:53"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  <c r="AL356" s="90"/>
      <c r="AM356" s="90"/>
      <c r="AN356" s="90"/>
      <c r="AO356" s="90"/>
      <c r="AP356" s="90"/>
      <c r="AQ356" s="90"/>
      <c r="AR356" s="90"/>
      <c r="AS356" s="90"/>
      <c r="AT356" s="90"/>
      <c r="AU356" s="90"/>
      <c r="AV356" s="90"/>
      <c r="AW356" s="90"/>
      <c r="AX356" s="90"/>
      <c r="AY356" s="90"/>
      <c r="AZ356" s="90"/>
      <c r="BA356" s="90"/>
    </row>
    <row r="357" spans="3:53"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0"/>
      <c r="R357" s="90"/>
      <c r="S357" s="90"/>
      <c r="T357" s="90"/>
      <c r="U357" s="90"/>
      <c r="V357" s="90"/>
      <c r="W357" s="90"/>
      <c r="X357" s="90"/>
      <c r="Y357" s="90"/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  <c r="AL357" s="90"/>
      <c r="AM357" s="90"/>
      <c r="AN357" s="90"/>
      <c r="AO357" s="90"/>
      <c r="AP357" s="90"/>
      <c r="AQ357" s="90"/>
      <c r="AR357" s="90"/>
      <c r="AS357" s="90"/>
      <c r="AT357" s="90"/>
      <c r="AU357" s="90"/>
      <c r="AV357" s="90"/>
      <c r="AW357" s="90"/>
      <c r="AX357" s="90"/>
      <c r="AY357" s="90"/>
      <c r="AZ357" s="90"/>
      <c r="BA357" s="90"/>
    </row>
    <row r="358" spans="3:53"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0"/>
      <c r="R358" s="90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  <c r="AL358" s="90"/>
      <c r="AM358" s="90"/>
      <c r="AN358" s="90"/>
      <c r="AO358" s="90"/>
      <c r="AP358" s="90"/>
      <c r="AQ358" s="90"/>
      <c r="AR358" s="90"/>
      <c r="AS358" s="90"/>
      <c r="AT358" s="90"/>
      <c r="AU358" s="90"/>
      <c r="AV358" s="90"/>
      <c r="AW358" s="90"/>
      <c r="AX358" s="90"/>
      <c r="AY358" s="90"/>
      <c r="AZ358" s="90"/>
      <c r="BA358" s="90"/>
    </row>
    <row r="359" spans="3:53"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0"/>
      <c r="R359" s="90"/>
      <c r="S359" s="90"/>
      <c r="T359" s="90"/>
      <c r="U359" s="90"/>
      <c r="V359" s="90"/>
      <c r="W359" s="90"/>
      <c r="X359" s="90"/>
      <c r="Y359" s="90"/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  <c r="AL359" s="90"/>
      <c r="AM359" s="90"/>
      <c r="AN359" s="90"/>
      <c r="AO359" s="90"/>
      <c r="AP359" s="90"/>
      <c r="AQ359" s="90"/>
      <c r="AR359" s="90"/>
      <c r="AS359" s="90"/>
      <c r="AT359" s="90"/>
      <c r="AU359" s="90"/>
      <c r="AV359" s="90"/>
      <c r="AW359" s="90"/>
      <c r="AX359" s="90"/>
      <c r="AY359" s="90"/>
      <c r="AZ359" s="90"/>
      <c r="BA359" s="90"/>
    </row>
    <row r="360" spans="3:53"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0"/>
      <c r="R360" s="90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  <c r="AL360" s="90"/>
      <c r="AM360" s="90"/>
      <c r="AN360" s="90"/>
      <c r="AO360" s="90"/>
      <c r="AP360" s="90"/>
      <c r="AQ360" s="90"/>
      <c r="AR360" s="90"/>
      <c r="AS360" s="90"/>
      <c r="AT360" s="90"/>
      <c r="AU360" s="90"/>
      <c r="AV360" s="90"/>
      <c r="AW360" s="90"/>
      <c r="AX360" s="90"/>
      <c r="AY360" s="90"/>
      <c r="AZ360" s="90"/>
      <c r="BA360" s="90"/>
    </row>
    <row r="361" spans="3:53"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  <c r="AL361" s="90"/>
      <c r="AM361" s="90"/>
      <c r="AN361" s="90"/>
      <c r="AO361" s="90"/>
      <c r="AP361" s="90"/>
      <c r="AQ361" s="90"/>
      <c r="AR361" s="90"/>
      <c r="AS361" s="90"/>
      <c r="AT361" s="90"/>
      <c r="AU361" s="90"/>
      <c r="AV361" s="90"/>
      <c r="AW361" s="90"/>
      <c r="AX361" s="90"/>
      <c r="AY361" s="90"/>
      <c r="AZ361" s="90"/>
      <c r="BA361" s="90"/>
    </row>
    <row r="362" spans="3:53"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0"/>
      <c r="R362" s="90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  <c r="AL362" s="90"/>
      <c r="AM362" s="90"/>
      <c r="AN362" s="90"/>
      <c r="AO362" s="90"/>
      <c r="AP362" s="90"/>
      <c r="AQ362" s="90"/>
      <c r="AR362" s="90"/>
      <c r="AS362" s="90"/>
      <c r="AT362" s="90"/>
      <c r="AU362" s="90"/>
      <c r="AV362" s="90"/>
      <c r="AW362" s="90"/>
      <c r="AX362" s="90"/>
      <c r="AY362" s="90"/>
      <c r="AZ362" s="90"/>
      <c r="BA362" s="90"/>
    </row>
    <row r="363" spans="3:53"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0"/>
      <c r="R363" s="90"/>
      <c r="S363" s="90"/>
      <c r="T363" s="90"/>
      <c r="U363" s="90"/>
      <c r="V363" s="90"/>
      <c r="W363" s="90"/>
      <c r="X363" s="90"/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  <c r="AL363" s="90"/>
      <c r="AM363" s="90"/>
      <c r="AN363" s="90"/>
      <c r="AO363" s="90"/>
      <c r="AP363" s="90"/>
      <c r="AQ363" s="90"/>
      <c r="AR363" s="90"/>
      <c r="AS363" s="90"/>
      <c r="AT363" s="90"/>
      <c r="AU363" s="90"/>
      <c r="AV363" s="90"/>
      <c r="AW363" s="90"/>
      <c r="AX363" s="90"/>
      <c r="AY363" s="90"/>
      <c r="AZ363" s="90"/>
      <c r="BA363" s="90"/>
    </row>
    <row r="364" spans="3:53"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0"/>
      <c r="R364" s="90"/>
      <c r="S364" s="90"/>
      <c r="T364" s="90"/>
      <c r="U364" s="90"/>
      <c r="V364" s="90"/>
      <c r="W364" s="90"/>
      <c r="X364" s="90"/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  <c r="AL364" s="90"/>
      <c r="AM364" s="90"/>
      <c r="AN364" s="90"/>
      <c r="AO364" s="90"/>
      <c r="AP364" s="90"/>
      <c r="AQ364" s="90"/>
      <c r="AR364" s="90"/>
      <c r="AS364" s="90"/>
      <c r="AT364" s="90"/>
      <c r="AU364" s="90"/>
      <c r="AV364" s="90"/>
      <c r="AW364" s="90"/>
      <c r="AX364" s="90"/>
      <c r="AY364" s="90"/>
      <c r="AZ364" s="90"/>
      <c r="BA364" s="90"/>
    </row>
    <row r="365" spans="3:53"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0"/>
      <c r="R365" s="90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  <c r="AL365" s="90"/>
      <c r="AM365" s="90"/>
      <c r="AN365" s="90"/>
      <c r="AO365" s="90"/>
      <c r="AP365" s="90"/>
      <c r="AQ365" s="90"/>
      <c r="AR365" s="90"/>
      <c r="AS365" s="90"/>
      <c r="AT365" s="90"/>
      <c r="AU365" s="90"/>
      <c r="AV365" s="90"/>
      <c r="AW365" s="90"/>
      <c r="AX365" s="90"/>
      <c r="AY365" s="90"/>
      <c r="AZ365" s="90"/>
      <c r="BA365" s="90"/>
    </row>
    <row r="366" spans="3:53"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  <c r="AL366" s="90"/>
      <c r="AM366" s="90"/>
      <c r="AN366" s="90"/>
      <c r="AO366" s="90"/>
      <c r="AP366" s="90"/>
      <c r="AQ366" s="90"/>
      <c r="AR366" s="90"/>
      <c r="AS366" s="90"/>
      <c r="AT366" s="90"/>
      <c r="AU366" s="90"/>
      <c r="AV366" s="90"/>
      <c r="AW366" s="90"/>
      <c r="AX366" s="90"/>
      <c r="AY366" s="90"/>
      <c r="AZ366" s="90"/>
      <c r="BA366" s="90"/>
    </row>
    <row r="367" spans="3:53"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0"/>
      <c r="R367" s="90"/>
      <c r="S367" s="90"/>
      <c r="T367" s="90"/>
      <c r="U367" s="90"/>
      <c r="V367" s="90"/>
      <c r="W367" s="90"/>
      <c r="X367" s="90"/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  <c r="AL367" s="90"/>
      <c r="AM367" s="90"/>
      <c r="AN367" s="90"/>
      <c r="AO367" s="90"/>
      <c r="AP367" s="90"/>
      <c r="AQ367" s="90"/>
      <c r="AR367" s="90"/>
      <c r="AS367" s="90"/>
      <c r="AT367" s="90"/>
      <c r="AU367" s="90"/>
      <c r="AV367" s="90"/>
      <c r="AW367" s="90"/>
      <c r="AX367" s="90"/>
      <c r="AY367" s="90"/>
      <c r="AZ367" s="90"/>
      <c r="BA367" s="90"/>
    </row>
    <row r="368" spans="3:53"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0"/>
      <c r="R368" s="90"/>
      <c r="S368" s="90"/>
      <c r="T368" s="90"/>
      <c r="U368" s="90"/>
      <c r="V368" s="90"/>
      <c r="W368" s="90"/>
      <c r="X368" s="90"/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  <c r="AL368" s="90"/>
      <c r="AM368" s="90"/>
      <c r="AN368" s="90"/>
      <c r="AO368" s="90"/>
      <c r="AP368" s="90"/>
      <c r="AQ368" s="90"/>
      <c r="AR368" s="90"/>
      <c r="AS368" s="90"/>
      <c r="AT368" s="90"/>
      <c r="AU368" s="90"/>
      <c r="AV368" s="90"/>
      <c r="AW368" s="90"/>
      <c r="AX368" s="90"/>
      <c r="AY368" s="90"/>
      <c r="AZ368" s="90"/>
      <c r="BA368" s="90"/>
    </row>
    <row r="369" spans="3:53"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0"/>
      <c r="R369" s="90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  <c r="AL369" s="90"/>
      <c r="AM369" s="90"/>
      <c r="AN369" s="90"/>
      <c r="AO369" s="90"/>
      <c r="AP369" s="90"/>
      <c r="AQ369" s="90"/>
      <c r="AR369" s="90"/>
      <c r="AS369" s="90"/>
      <c r="AT369" s="90"/>
      <c r="AU369" s="90"/>
      <c r="AV369" s="90"/>
      <c r="AW369" s="90"/>
      <c r="AX369" s="90"/>
      <c r="AY369" s="90"/>
      <c r="AZ369" s="90"/>
      <c r="BA369" s="90"/>
    </row>
    <row r="370" spans="3:53"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0"/>
      <c r="R370" s="90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  <c r="AL370" s="90"/>
      <c r="AM370" s="90"/>
      <c r="AN370" s="90"/>
      <c r="AO370" s="90"/>
      <c r="AP370" s="90"/>
      <c r="AQ370" s="90"/>
      <c r="AR370" s="90"/>
      <c r="AS370" s="90"/>
      <c r="AT370" s="90"/>
      <c r="AU370" s="90"/>
      <c r="AV370" s="90"/>
      <c r="AW370" s="90"/>
      <c r="AX370" s="90"/>
      <c r="AY370" s="90"/>
      <c r="AZ370" s="90"/>
      <c r="BA370" s="90"/>
    </row>
    <row r="371" spans="3:53"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0"/>
      <c r="R371" s="90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  <c r="AL371" s="90"/>
      <c r="AM371" s="90"/>
      <c r="AN371" s="90"/>
      <c r="AO371" s="90"/>
      <c r="AP371" s="90"/>
      <c r="AQ371" s="90"/>
      <c r="AR371" s="90"/>
      <c r="AS371" s="90"/>
      <c r="AT371" s="90"/>
      <c r="AU371" s="90"/>
      <c r="AV371" s="90"/>
      <c r="AW371" s="90"/>
      <c r="AX371" s="90"/>
      <c r="AY371" s="90"/>
      <c r="AZ371" s="90"/>
      <c r="BA371" s="90"/>
    </row>
    <row r="372" spans="3:53"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0"/>
      <c r="R372" s="90"/>
      <c r="S372" s="90"/>
      <c r="T372" s="90"/>
      <c r="U372" s="90"/>
      <c r="V372" s="90"/>
      <c r="W372" s="90"/>
      <c r="X372" s="90"/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  <c r="AL372" s="90"/>
      <c r="AM372" s="90"/>
      <c r="AN372" s="90"/>
      <c r="AO372" s="90"/>
      <c r="AP372" s="90"/>
      <c r="AQ372" s="90"/>
      <c r="AR372" s="90"/>
      <c r="AS372" s="90"/>
      <c r="AT372" s="90"/>
      <c r="AU372" s="90"/>
      <c r="AV372" s="90"/>
      <c r="AW372" s="90"/>
      <c r="AX372" s="90"/>
      <c r="AY372" s="90"/>
      <c r="AZ372" s="90"/>
      <c r="BA372" s="90"/>
    </row>
    <row r="373" spans="3:53"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0"/>
      <c r="R373" s="90"/>
      <c r="S373" s="90"/>
      <c r="T373" s="90"/>
      <c r="U373" s="90"/>
      <c r="V373" s="90"/>
      <c r="W373" s="90"/>
      <c r="X373" s="90"/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  <c r="AL373" s="90"/>
      <c r="AM373" s="90"/>
      <c r="AN373" s="90"/>
      <c r="AO373" s="90"/>
      <c r="AP373" s="90"/>
      <c r="AQ373" s="90"/>
      <c r="AR373" s="90"/>
      <c r="AS373" s="90"/>
      <c r="AT373" s="90"/>
      <c r="AU373" s="90"/>
      <c r="AV373" s="90"/>
      <c r="AW373" s="90"/>
      <c r="AX373" s="90"/>
      <c r="AY373" s="90"/>
      <c r="AZ373" s="90"/>
      <c r="BA373" s="90"/>
    </row>
    <row r="374" spans="3:53"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0"/>
      <c r="R374" s="90"/>
      <c r="S374" s="90"/>
      <c r="T374" s="90"/>
      <c r="U374" s="90"/>
      <c r="V374" s="90"/>
      <c r="W374" s="90"/>
      <c r="X374" s="90"/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  <c r="AL374" s="90"/>
      <c r="AM374" s="90"/>
      <c r="AN374" s="90"/>
      <c r="AO374" s="90"/>
      <c r="AP374" s="90"/>
      <c r="AQ374" s="90"/>
      <c r="AR374" s="90"/>
      <c r="AS374" s="90"/>
      <c r="AT374" s="90"/>
      <c r="AU374" s="90"/>
      <c r="AV374" s="90"/>
      <c r="AW374" s="90"/>
      <c r="AX374" s="90"/>
      <c r="AY374" s="90"/>
      <c r="AZ374" s="90"/>
      <c r="BA374" s="90"/>
    </row>
    <row r="375" spans="3:53"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0"/>
      <c r="R375" s="90"/>
      <c r="S375" s="90"/>
      <c r="T375" s="90"/>
      <c r="U375" s="90"/>
      <c r="V375" s="90"/>
      <c r="W375" s="90"/>
      <c r="X375" s="90"/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  <c r="AL375" s="90"/>
      <c r="AM375" s="90"/>
      <c r="AN375" s="90"/>
      <c r="AO375" s="90"/>
      <c r="AP375" s="90"/>
      <c r="AQ375" s="90"/>
      <c r="AR375" s="90"/>
      <c r="AS375" s="90"/>
      <c r="AT375" s="90"/>
      <c r="AU375" s="90"/>
      <c r="AV375" s="90"/>
      <c r="AW375" s="90"/>
      <c r="AX375" s="90"/>
      <c r="AY375" s="90"/>
      <c r="AZ375" s="90"/>
      <c r="BA375" s="90"/>
    </row>
    <row r="376" spans="3:53"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0"/>
      <c r="R376" s="90"/>
      <c r="S376" s="90"/>
      <c r="T376" s="90"/>
      <c r="U376" s="90"/>
      <c r="V376" s="90"/>
      <c r="W376" s="90"/>
      <c r="X376" s="90"/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  <c r="AL376" s="90"/>
      <c r="AM376" s="90"/>
      <c r="AN376" s="90"/>
      <c r="AO376" s="90"/>
      <c r="AP376" s="90"/>
      <c r="AQ376" s="90"/>
      <c r="AR376" s="90"/>
      <c r="AS376" s="90"/>
      <c r="AT376" s="90"/>
      <c r="AU376" s="90"/>
      <c r="AV376" s="90"/>
      <c r="AW376" s="90"/>
      <c r="AX376" s="90"/>
      <c r="AY376" s="90"/>
      <c r="AZ376" s="90"/>
      <c r="BA376" s="90"/>
    </row>
    <row r="377" spans="3:53"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0"/>
      <c r="R377" s="90"/>
      <c r="S377" s="90"/>
      <c r="T377" s="90"/>
      <c r="U377" s="90"/>
      <c r="V377" s="90"/>
      <c r="W377" s="90"/>
      <c r="X377" s="90"/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  <c r="AL377" s="90"/>
      <c r="AM377" s="90"/>
      <c r="AN377" s="90"/>
      <c r="AO377" s="90"/>
      <c r="AP377" s="90"/>
      <c r="AQ377" s="90"/>
      <c r="AR377" s="90"/>
      <c r="AS377" s="90"/>
      <c r="AT377" s="90"/>
      <c r="AU377" s="90"/>
      <c r="AV377" s="90"/>
      <c r="AW377" s="90"/>
      <c r="AX377" s="90"/>
      <c r="AY377" s="90"/>
      <c r="AZ377" s="90"/>
      <c r="BA377" s="90"/>
    </row>
    <row r="378" spans="3:53"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0"/>
      <c r="R378" s="90"/>
      <c r="S378" s="90"/>
      <c r="T378" s="90"/>
      <c r="U378" s="90"/>
      <c r="V378" s="90"/>
      <c r="W378" s="90"/>
      <c r="X378" s="90"/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  <c r="AL378" s="90"/>
      <c r="AM378" s="90"/>
      <c r="AN378" s="90"/>
      <c r="AO378" s="90"/>
      <c r="AP378" s="90"/>
      <c r="AQ378" s="90"/>
      <c r="AR378" s="90"/>
      <c r="AS378" s="90"/>
      <c r="AT378" s="90"/>
      <c r="AU378" s="90"/>
      <c r="AV378" s="90"/>
      <c r="AW378" s="90"/>
      <c r="AX378" s="90"/>
      <c r="AY378" s="90"/>
      <c r="AZ378" s="90"/>
      <c r="BA378" s="90"/>
    </row>
    <row r="379" spans="3:53"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0"/>
      <c r="R379" s="90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  <c r="AL379" s="90"/>
      <c r="AM379" s="90"/>
      <c r="AN379" s="90"/>
      <c r="AO379" s="90"/>
      <c r="AP379" s="90"/>
      <c r="AQ379" s="90"/>
      <c r="AR379" s="90"/>
      <c r="AS379" s="90"/>
      <c r="AT379" s="90"/>
      <c r="AU379" s="90"/>
      <c r="AV379" s="90"/>
      <c r="AW379" s="90"/>
      <c r="AX379" s="90"/>
      <c r="AY379" s="90"/>
      <c r="AZ379" s="90"/>
      <c r="BA379" s="90"/>
    </row>
    <row r="380" spans="3:53"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0"/>
      <c r="R380" s="90"/>
      <c r="S380" s="90"/>
      <c r="T380" s="90"/>
      <c r="U380" s="90"/>
      <c r="V380" s="90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  <c r="AL380" s="90"/>
      <c r="AM380" s="90"/>
      <c r="AN380" s="90"/>
      <c r="AO380" s="90"/>
      <c r="AP380" s="90"/>
      <c r="AQ380" s="90"/>
      <c r="AR380" s="90"/>
      <c r="AS380" s="90"/>
      <c r="AT380" s="90"/>
      <c r="AU380" s="90"/>
      <c r="AV380" s="90"/>
      <c r="AW380" s="90"/>
      <c r="AX380" s="90"/>
      <c r="AY380" s="90"/>
      <c r="AZ380" s="90"/>
      <c r="BA380" s="90"/>
    </row>
    <row r="381" spans="3:53"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  <c r="AL381" s="90"/>
      <c r="AM381" s="90"/>
      <c r="AN381" s="90"/>
      <c r="AO381" s="90"/>
      <c r="AP381" s="90"/>
      <c r="AQ381" s="90"/>
      <c r="AR381" s="90"/>
      <c r="AS381" s="90"/>
      <c r="AT381" s="90"/>
      <c r="AU381" s="90"/>
      <c r="AV381" s="90"/>
      <c r="AW381" s="90"/>
      <c r="AX381" s="90"/>
      <c r="AY381" s="90"/>
      <c r="AZ381" s="90"/>
      <c r="BA381" s="90"/>
    </row>
    <row r="382" spans="3:53"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0"/>
      <c r="R382" s="90"/>
      <c r="S382" s="90"/>
      <c r="T382" s="90"/>
      <c r="U382" s="90"/>
      <c r="V382" s="90"/>
      <c r="W382" s="90"/>
      <c r="X382" s="90"/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  <c r="AL382" s="90"/>
      <c r="AM382" s="90"/>
      <c r="AN382" s="90"/>
      <c r="AO382" s="90"/>
      <c r="AP382" s="90"/>
      <c r="AQ382" s="90"/>
      <c r="AR382" s="90"/>
      <c r="AS382" s="90"/>
      <c r="AT382" s="90"/>
      <c r="AU382" s="90"/>
      <c r="AV382" s="90"/>
      <c r="AW382" s="90"/>
      <c r="AX382" s="90"/>
      <c r="AY382" s="90"/>
      <c r="AZ382" s="90"/>
      <c r="BA382" s="90"/>
    </row>
    <row r="383" spans="3:53"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0"/>
      <c r="R383" s="90"/>
      <c r="S383" s="90"/>
      <c r="T383" s="90"/>
      <c r="U383" s="90"/>
      <c r="V383" s="90"/>
      <c r="W383" s="90"/>
      <c r="X383" s="90"/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  <c r="AL383" s="90"/>
      <c r="AM383" s="90"/>
      <c r="AN383" s="90"/>
      <c r="AO383" s="90"/>
      <c r="AP383" s="90"/>
      <c r="AQ383" s="90"/>
      <c r="AR383" s="90"/>
      <c r="AS383" s="90"/>
      <c r="AT383" s="90"/>
      <c r="AU383" s="90"/>
      <c r="AV383" s="90"/>
      <c r="AW383" s="90"/>
      <c r="AX383" s="90"/>
      <c r="AY383" s="90"/>
      <c r="AZ383" s="90"/>
      <c r="BA383" s="90"/>
    </row>
    <row r="384" spans="3:53"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0"/>
      <c r="R384" s="90"/>
      <c r="S384" s="90"/>
      <c r="T384" s="90"/>
      <c r="U384" s="90"/>
      <c r="V384" s="90"/>
      <c r="W384" s="90"/>
      <c r="X384" s="90"/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  <c r="AL384" s="90"/>
      <c r="AM384" s="90"/>
      <c r="AN384" s="90"/>
      <c r="AO384" s="90"/>
      <c r="AP384" s="90"/>
      <c r="AQ384" s="90"/>
      <c r="AR384" s="90"/>
      <c r="AS384" s="90"/>
      <c r="AT384" s="90"/>
      <c r="AU384" s="90"/>
      <c r="AV384" s="90"/>
      <c r="AW384" s="90"/>
      <c r="AX384" s="90"/>
      <c r="AY384" s="90"/>
      <c r="AZ384" s="90"/>
      <c r="BA384" s="90"/>
    </row>
    <row r="385" spans="3:53"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0"/>
      <c r="R385" s="90"/>
      <c r="S385" s="90"/>
      <c r="T385" s="90"/>
      <c r="U385" s="90"/>
      <c r="V385" s="90"/>
      <c r="W385" s="90"/>
      <c r="X385" s="90"/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  <c r="AL385" s="90"/>
      <c r="AM385" s="90"/>
      <c r="AN385" s="90"/>
      <c r="AO385" s="90"/>
      <c r="AP385" s="90"/>
      <c r="AQ385" s="90"/>
      <c r="AR385" s="90"/>
      <c r="AS385" s="90"/>
      <c r="AT385" s="90"/>
      <c r="AU385" s="90"/>
      <c r="AV385" s="90"/>
      <c r="AW385" s="90"/>
      <c r="AX385" s="90"/>
      <c r="AY385" s="90"/>
      <c r="AZ385" s="90"/>
      <c r="BA385" s="90"/>
    </row>
    <row r="386" spans="3:53"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0"/>
      <c r="R386" s="90"/>
      <c r="S386" s="90"/>
      <c r="T386" s="90"/>
      <c r="U386" s="90"/>
      <c r="V386" s="90"/>
      <c r="W386" s="90"/>
      <c r="X386" s="90"/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0"/>
      <c r="AK386" s="90"/>
      <c r="AL386" s="90"/>
      <c r="AM386" s="90"/>
      <c r="AN386" s="90"/>
      <c r="AO386" s="90"/>
      <c r="AP386" s="90"/>
      <c r="AQ386" s="90"/>
      <c r="AR386" s="90"/>
      <c r="AS386" s="90"/>
      <c r="AT386" s="90"/>
      <c r="AU386" s="90"/>
      <c r="AV386" s="90"/>
      <c r="AW386" s="90"/>
      <c r="AX386" s="90"/>
      <c r="AY386" s="90"/>
      <c r="AZ386" s="90"/>
      <c r="BA386" s="90"/>
    </row>
    <row r="387" spans="3:53"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0"/>
      <c r="R387" s="90"/>
      <c r="S387" s="90"/>
      <c r="T387" s="90"/>
      <c r="U387" s="90"/>
      <c r="V387" s="90"/>
      <c r="W387" s="90"/>
      <c r="X387" s="90"/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0"/>
      <c r="AK387" s="90"/>
      <c r="AL387" s="90"/>
      <c r="AM387" s="90"/>
      <c r="AN387" s="90"/>
      <c r="AO387" s="90"/>
      <c r="AP387" s="90"/>
      <c r="AQ387" s="90"/>
      <c r="AR387" s="90"/>
      <c r="AS387" s="90"/>
      <c r="AT387" s="90"/>
      <c r="AU387" s="90"/>
      <c r="AV387" s="90"/>
      <c r="AW387" s="90"/>
      <c r="AX387" s="90"/>
      <c r="AY387" s="90"/>
      <c r="AZ387" s="90"/>
      <c r="BA387" s="90"/>
    </row>
    <row r="388" spans="3:53"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0"/>
      <c r="R388" s="90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0"/>
      <c r="AK388" s="90"/>
      <c r="AL388" s="90"/>
      <c r="AM388" s="90"/>
      <c r="AN388" s="90"/>
      <c r="AO388" s="90"/>
      <c r="AP388" s="90"/>
      <c r="AQ388" s="90"/>
      <c r="AR388" s="90"/>
      <c r="AS388" s="90"/>
      <c r="AT388" s="90"/>
      <c r="AU388" s="90"/>
      <c r="AV388" s="90"/>
      <c r="AW388" s="90"/>
      <c r="AX388" s="90"/>
      <c r="AY388" s="90"/>
      <c r="AZ388" s="90"/>
      <c r="BA388" s="90"/>
    </row>
    <row r="389" spans="3:53"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0"/>
      <c r="R389" s="90"/>
      <c r="S389" s="90"/>
      <c r="T389" s="90"/>
      <c r="U389" s="90"/>
      <c r="V389" s="90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0"/>
      <c r="AK389" s="90"/>
      <c r="AL389" s="90"/>
      <c r="AM389" s="90"/>
      <c r="AN389" s="90"/>
      <c r="AO389" s="90"/>
      <c r="AP389" s="90"/>
      <c r="AQ389" s="90"/>
      <c r="AR389" s="90"/>
      <c r="AS389" s="90"/>
      <c r="AT389" s="90"/>
      <c r="AU389" s="90"/>
      <c r="AV389" s="90"/>
      <c r="AW389" s="90"/>
      <c r="AX389" s="90"/>
      <c r="AY389" s="90"/>
      <c r="AZ389" s="90"/>
      <c r="BA389" s="90"/>
    </row>
    <row r="390" spans="3:53"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0"/>
      <c r="R390" s="90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0"/>
      <c r="AK390" s="90"/>
      <c r="AL390" s="90"/>
      <c r="AM390" s="90"/>
      <c r="AN390" s="90"/>
      <c r="AO390" s="90"/>
      <c r="AP390" s="90"/>
      <c r="AQ390" s="90"/>
      <c r="AR390" s="90"/>
      <c r="AS390" s="90"/>
      <c r="AT390" s="90"/>
      <c r="AU390" s="90"/>
      <c r="AV390" s="90"/>
      <c r="AW390" s="90"/>
      <c r="AX390" s="90"/>
      <c r="AY390" s="90"/>
      <c r="AZ390" s="90"/>
      <c r="BA390" s="90"/>
    </row>
    <row r="391" spans="3:53"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  <c r="AL391" s="90"/>
      <c r="AM391" s="90"/>
      <c r="AN391" s="90"/>
      <c r="AO391" s="90"/>
      <c r="AP391" s="90"/>
      <c r="AQ391" s="90"/>
      <c r="AR391" s="90"/>
      <c r="AS391" s="90"/>
      <c r="AT391" s="90"/>
      <c r="AU391" s="90"/>
      <c r="AV391" s="90"/>
      <c r="AW391" s="90"/>
      <c r="AX391" s="90"/>
      <c r="AY391" s="90"/>
      <c r="AZ391" s="90"/>
      <c r="BA391" s="90"/>
    </row>
    <row r="392" spans="3:53"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0"/>
      <c r="R392" s="90"/>
      <c r="S392" s="90"/>
      <c r="T392" s="90"/>
      <c r="U392" s="90"/>
      <c r="V392" s="90"/>
      <c r="W392" s="90"/>
      <c r="X392" s="90"/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  <c r="AL392" s="90"/>
      <c r="AM392" s="90"/>
      <c r="AN392" s="90"/>
      <c r="AO392" s="90"/>
      <c r="AP392" s="90"/>
      <c r="AQ392" s="90"/>
      <c r="AR392" s="90"/>
      <c r="AS392" s="90"/>
      <c r="AT392" s="90"/>
      <c r="AU392" s="90"/>
      <c r="AV392" s="90"/>
      <c r="AW392" s="90"/>
      <c r="AX392" s="90"/>
      <c r="AY392" s="90"/>
      <c r="AZ392" s="90"/>
      <c r="BA392" s="90"/>
    </row>
    <row r="393" spans="3:53"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0"/>
      <c r="R393" s="90"/>
      <c r="S393" s="90"/>
      <c r="T393" s="90"/>
      <c r="U393" s="90"/>
      <c r="V393" s="90"/>
      <c r="W393" s="90"/>
      <c r="X393" s="90"/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0"/>
      <c r="AK393" s="90"/>
      <c r="AL393" s="90"/>
      <c r="AM393" s="90"/>
      <c r="AN393" s="90"/>
      <c r="AO393" s="90"/>
      <c r="AP393" s="90"/>
      <c r="AQ393" s="90"/>
      <c r="AR393" s="90"/>
      <c r="AS393" s="90"/>
      <c r="AT393" s="90"/>
      <c r="AU393" s="90"/>
      <c r="AV393" s="90"/>
      <c r="AW393" s="90"/>
      <c r="AX393" s="90"/>
      <c r="AY393" s="90"/>
      <c r="AZ393" s="90"/>
      <c r="BA393" s="90"/>
    </row>
    <row r="394" spans="3:53"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0"/>
      <c r="R394" s="90"/>
      <c r="S394" s="90"/>
      <c r="T394" s="90"/>
      <c r="U394" s="90"/>
      <c r="V394" s="90"/>
      <c r="W394" s="90"/>
      <c r="X394" s="90"/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0"/>
      <c r="AK394" s="90"/>
      <c r="AL394" s="90"/>
      <c r="AM394" s="90"/>
      <c r="AN394" s="90"/>
      <c r="AO394" s="90"/>
      <c r="AP394" s="90"/>
      <c r="AQ394" s="90"/>
      <c r="AR394" s="90"/>
      <c r="AS394" s="90"/>
      <c r="AT394" s="90"/>
      <c r="AU394" s="90"/>
      <c r="AV394" s="90"/>
      <c r="AW394" s="90"/>
      <c r="AX394" s="90"/>
      <c r="AY394" s="90"/>
      <c r="AZ394" s="90"/>
      <c r="BA394" s="90"/>
    </row>
    <row r="395" spans="3:53"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0"/>
      <c r="R395" s="90"/>
      <c r="S395" s="90"/>
      <c r="T395" s="90"/>
      <c r="U395" s="90"/>
      <c r="V395" s="90"/>
      <c r="W395" s="90"/>
      <c r="X395" s="90"/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0"/>
      <c r="AK395" s="90"/>
      <c r="AL395" s="90"/>
      <c r="AM395" s="90"/>
      <c r="AN395" s="90"/>
      <c r="AO395" s="90"/>
      <c r="AP395" s="90"/>
      <c r="AQ395" s="90"/>
      <c r="AR395" s="90"/>
      <c r="AS395" s="90"/>
      <c r="AT395" s="90"/>
      <c r="AU395" s="90"/>
      <c r="AV395" s="90"/>
      <c r="AW395" s="90"/>
      <c r="AX395" s="90"/>
      <c r="AY395" s="90"/>
      <c r="AZ395" s="90"/>
      <c r="BA395" s="90"/>
    </row>
    <row r="396" spans="3:53"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0"/>
      <c r="R396" s="90"/>
      <c r="S396" s="90"/>
      <c r="T396" s="90"/>
      <c r="U396" s="90"/>
      <c r="V396" s="90"/>
      <c r="W396" s="90"/>
      <c r="X396" s="90"/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0"/>
      <c r="AK396" s="90"/>
      <c r="AL396" s="90"/>
      <c r="AM396" s="90"/>
      <c r="AN396" s="90"/>
      <c r="AO396" s="90"/>
      <c r="AP396" s="90"/>
      <c r="AQ396" s="90"/>
      <c r="AR396" s="90"/>
      <c r="AS396" s="90"/>
      <c r="AT396" s="90"/>
      <c r="AU396" s="90"/>
      <c r="AV396" s="90"/>
      <c r="AW396" s="90"/>
      <c r="AX396" s="90"/>
      <c r="AY396" s="90"/>
      <c r="AZ396" s="90"/>
      <c r="BA396" s="90"/>
    </row>
    <row r="397" spans="3:53"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0"/>
      <c r="R397" s="90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0"/>
      <c r="AK397" s="90"/>
      <c r="AL397" s="90"/>
      <c r="AM397" s="90"/>
      <c r="AN397" s="90"/>
      <c r="AO397" s="90"/>
      <c r="AP397" s="90"/>
      <c r="AQ397" s="90"/>
      <c r="AR397" s="90"/>
      <c r="AS397" s="90"/>
      <c r="AT397" s="90"/>
      <c r="AU397" s="90"/>
      <c r="AV397" s="90"/>
      <c r="AW397" s="90"/>
      <c r="AX397" s="90"/>
      <c r="AY397" s="90"/>
      <c r="AZ397" s="90"/>
      <c r="BA397" s="90"/>
    </row>
    <row r="398" spans="3:53"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0"/>
      <c r="R398" s="90"/>
      <c r="S398" s="90"/>
      <c r="T398" s="90"/>
      <c r="U398" s="90"/>
      <c r="V398" s="90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0"/>
      <c r="AK398" s="90"/>
      <c r="AL398" s="90"/>
      <c r="AM398" s="90"/>
      <c r="AN398" s="90"/>
      <c r="AO398" s="90"/>
      <c r="AP398" s="90"/>
      <c r="AQ398" s="90"/>
      <c r="AR398" s="90"/>
      <c r="AS398" s="90"/>
      <c r="AT398" s="90"/>
      <c r="AU398" s="90"/>
      <c r="AV398" s="90"/>
      <c r="AW398" s="90"/>
      <c r="AX398" s="90"/>
      <c r="AY398" s="90"/>
      <c r="AZ398" s="90"/>
      <c r="BA398" s="90"/>
    </row>
    <row r="399" spans="3:53"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0"/>
      <c r="R399" s="90"/>
      <c r="S399" s="90"/>
      <c r="T399" s="90"/>
      <c r="U399" s="90"/>
      <c r="V399" s="90"/>
      <c r="W399" s="90"/>
      <c r="X399" s="90"/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0"/>
      <c r="AK399" s="90"/>
      <c r="AL399" s="90"/>
      <c r="AM399" s="90"/>
      <c r="AN399" s="90"/>
      <c r="AO399" s="90"/>
      <c r="AP399" s="90"/>
      <c r="AQ399" s="90"/>
      <c r="AR399" s="90"/>
      <c r="AS399" s="90"/>
      <c r="AT399" s="90"/>
      <c r="AU399" s="90"/>
      <c r="AV399" s="90"/>
      <c r="AW399" s="90"/>
      <c r="AX399" s="90"/>
      <c r="AY399" s="90"/>
      <c r="AZ399" s="90"/>
      <c r="BA399" s="90"/>
    </row>
    <row r="400" spans="3:53"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0"/>
      <c r="R400" s="90"/>
      <c r="S400" s="90"/>
      <c r="T400" s="90"/>
      <c r="U400" s="90"/>
      <c r="V400" s="90"/>
      <c r="W400" s="90"/>
      <c r="X400" s="90"/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0"/>
      <c r="AK400" s="90"/>
      <c r="AL400" s="90"/>
      <c r="AM400" s="90"/>
      <c r="AN400" s="90"/>
      <c r="AO400" s="90"/>
      <c r="AP400" s="90"/>
      <c r="AQ400" s="90"/>
      <c r="AR400" s="90"/>
      <c r="AS400" s="90"/>
      <c r="AT400" s="90"/>
      <c r="AU400" s="90"/>
      <c r="AV400" s="90"/>
      <c r="AW400" s="90"/>
      <c r="AX400" s="90"/>
      <c r="AY400" s="90"/>
      <c r="AZ400" s="90"/>
      <c r="BA400" s="90"/>
    </row>
    <row r="401" spans="3:53"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0"/>
      <c r="R401" s="90"/>
      <c r="S401" s="90"/>
      <c r="T401" s="90"/>
      <c r="U401" s="90"/>
      <c r="V401" s="90"/>
      <c r="W401" s="90"/>
      <c r="X401" s="90"/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0"/>
      <c r="AK401" s="90"/>
      <c r="AL401" s="90"/>
      <c r="AM401" s="90"/>
      <c r="AN401" s="90"/>
      <c r="AO401" s="90"/>
      <c r="AP401" s="90"/>
      <c r="AQ401" s="90"/>
      <c r="AR401" s="90"/>
      <c r="AS401" s="90"/>
      <c r="AT401" s="90"/>
      <c r="AU401" s="90"/>
      <c r="AV401" s="90"/>
      <c r="AW401" s="90"/>
      <c r="AX401" s="90"/>
      <c r="AY401" s="90"/>
      <c r="AZ401" s="90"/>
      <c r="BA401" s="90"/>
    </row>
    <row r="402" spans="3:53"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0"/>
      <c r="R402" s="90"/>
      <c r="S402" s="90"/>
      <c r="T402" s="90"/>
      <c r="U402" s="90"/>
      <c r="V402" s="90"/>
      <c r="W402" s="90"/>
      <c r="X402" s="90"/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0"/>
      <c r="AK402" s="90"/>
      <c r="AL402" s="90"/>
      <c r="AM402" s="90"/>
      <c r="AN402" s="90"/>
      <c r="AO402" s="90"/>
      <c r="AP402" s="90"/>
      <c r="AQ402" s="90"/>
      <c r="AR402" s="90"/>
      <c r="AS402" s="90"/>
      <c r="AT402" s="90"/>
      <c r="AU402" s="90"/>
      <c r="AV402" s="90"/>
      <c r="AW402" s="90"/>
      <c r="AX402" s="90"/>
      <c r="AY402" s="90"/>
      <c r="AZ402" s="90"/>
      <c r="BA402" s="90"/>
    </row>
    <row r="403" spans="3:53"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0"/>
      <c r="R403" s="90"/>
      <c r="S403" s="90"/>
      <c r="T403" s="90"/>
      <c r="U403" s="90"/>
      <c r="V403" s="90"/>
      <c r="W403" s="90"/>
      <c r="X403" s="90"/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  <c r="AL403" s="90"/>
      <c r="AM403" s="90"/>
      <c r="AN403" s="90"/>
      <c r="AO403" s="90"/>
      <c r="AP403" s="90"/>
      <c r="AQ403" s="90"/>
      <c r="AR403" s="90"/>
      <c r="AS403" s="90"/>
      <c r="AT403" s="90"/>
      <c r="AU403" s="90"/>
      <c r="AV403" s="90"/>
      <c r="AW403" s="90"/>
      <c r="AX403" s="90"/>
      <c r="AY403" s="90"/>
      <c r="AZ403" s="90"/>
      <c r="BA403" s="90"/>
    </row>
    <row r="404" spans="3:53"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0"/>
      <c r="R404" s="90"/>
      <c r="S404" s="90"/>
      <c r="T404" s="90"/>
      <c r="U404" s="90"/>
      <c r="V404" s="90"/>
      <c r="W404" s="90"/>
      <c r="X404" s="90"/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0"/>
      <c r="AK404" s="90"/>
      <c r="AL404" s="90"/>
      <c r="AM404" s="90"/>
      <c r="AN404" s="90"/>
      <c r="AO404" s="90"/>
      <c r="AP404" s="90"/>
      <c r="AQ404" s="90"/>
      <c r="AR404" s="90"/>
      <c r="AS404" s="90"/>
      <c r="AT404" s="90"/>
      <c r="AU404" s="90"/>
      <c r="AV404" s="90"/>
      <c r="AW404" s="90"/>
      <c r="AX404" s="90"/>
      <c r="AY404" s="90"/>
      <c r="AZ404" s="90"/>
      <c r="BA404" s="90"/>
    </row>
    <row r="405" spans="3:53"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0"/>
      <c r="R405" s="90"/>
      <c r="S405" s="90"/>
      <c r="T405" s="90"/>
      <c r="U405" s="90"/>
      <c r="V405" s="90"/>
      <c r="W405" s="90"/>
      <c r="X405" s="90"/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0"/>
      <c r="AK405" s="90"/>
      <c r="AL405" s="90"/>
      <c r="AM405" s="90"/>
      <c r="AN405" s="90"/>
      <c r="AO405" s="90"/>
      <c r="AP405" s="90"/>
      <c r="AQ405" s="90"/>
      <c r="AR405" s="90"/>
      <c r="AS405" s="90"/>
      <c r="AT405" s="90"/>
      <c r="AU405" s="90"/>
      <c r="AV405" s="90"/>
      <c r="AW405" s="90"/>
      <c r="AX405" s="90"/>
      <c r="AY405" s="90"/>
      <c r="AZ405" s="90"/>
      <c r="BA405" s="90"/>
    </row>
    <row r="406" spans="3:53"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  <c r="AL406" s="90"/>
      <c r="AM406" s="90"/>
      <c r="AN406" s="90"/>
      <c r="AO406" s="90"/>
      <c r="AP406" s="90"/>
      <c r="AQ406" s="90"/>
      <c r="AR406" s="90"/>
      <c r="AS406" s="90"/>
      <c r="AT406" s="90"/>
      <c r="AU406" s="90"/>
      <c r="AV406" s="90"/>
      <c r="AW406" s="90"/>
      <c r="AX406" s="90"/>
      <c r="AY406" s="90"/>
      <c r="AZ406" s="90"/>
      <c r="BA406" s="90"/>
    </row>
    <row r="407" spans="3:53"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0"/>
      <c r="R407" s="90"/>
      <c r="S407" s="90"/>
      <c r="T407" s="90"/>
      <c r="U407" s="90"/>
      <c r="V407" s="90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0"/>
      <c r="AK407" s="90"/>
      <c r="AL407" s="90"/>
      <c r="AM407" s="90"/>
      <c r="AN407" s="90"/>
      <c r="AO407" s="90"/>
      <c r="AP407" s="90"/>
      <c r="AQ407" s="90"/>
      <c r="AR407" s="90"/>
      <c r="AS407" s="90"/>
      <c r="AT407" s="90"/>
      <c r="AU407" s="90"/>
      <c r="AV407" s="90"/>
      <c r="AW407" s="90"/>
      <c r="AX407" s="90"/>
      <c r="AY407" s="90"/>
      <c r="AZ407" s="90"/>
      <c r="BA407" s="90"/>
    </row>
    <row r="408" spans="3:53"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0"/>
      <c r="R408" s="90"/>
      <c r="S408" s="90"/>
      <c r="T408" s="90"/>
      <c r="U408" s="90"/>
      <c r="V408" s="90"/>
      <c r="W408" s="90"/>
      <c r="X408" s="90"/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0"/>
      <c r="AK408" s="90"/>
      <c r="AL408" s="90"/>
      <c r="AM408" s="90"/>
      <c r="AN408" s="90"/>
      <c r="AO408" s="90"/>
      <c r="AP408" s="90"/>
      <c r="AQ408" s="90"/>
      <c r="AR408" s="90"/>
      <c r="AS408" s="90"/>
      <c r="AT408" s="90"/>
      <c r="AU408" s="90"/>
      <c r="AV408" s="90"/>
      <c r="AW408" s="90"/>
      <c r="AX408" s="90"/>
      <c r="AY408" s="90"/>
      <c r="AZ408" s="90"/>
      <c r="BA408" s="90"/>
    </row>
    <row r="409" spans="3:53"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0"/>
      <c r="R409" s="90"/>
      <c r="S409" s="90"/>
      <c r="T409" s="90"/>
      <c r="U409" s="90"/>
      <c r="V409" s="90"/>
      <c r="W409" s="90"/>
      <c r="X409" s="90"/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  <c r="AL409" s="90"/>
      <c r="AM409" s="90"/>
      <c r="AN409" s="90"/>
      <c r="AO409" s="90"/>
      <c r="AP409" s="90"/>
      <c r="AQ409" s="90"/>
      <c r="AR409" s="90"/>
      <c r="AS409" s="90"/>
      <c r="AT409" s="90"/>
      <c r="AU409" s="90"/>
      <c r="AV409" s="90"/>
      <c r="AW409" s="90"/>
      <c r="AX409" s="90"/>
      <c r="AY409" s="90"/>
      <c r="AZ409" s="90"/>
      <c r="BA409" s="90"/>
    </row>
    <row r="410" spans="3:53"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0"/>
      <c r="R410" s="90"/>
      <c r="S410" s="90"/>
      <c r="T410" s="90"/>
      <c r="U410" s="90"/>
      <c r="V410" s="90"/>
      <c r="W410" s="90"/>
      <c r="X410" s="90"/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0"/>
      <c r="AK410" s="90"/>
      <c r="AL410" s="90"/>
      <c r="AM410" s="90"/>
      <c r="AN410" s="90"/>
      <c r="AO410" s="90"/>
      <c r="AP410" s="90"/>
      <c r="AQ410" s="90"/>
      <c r="AR410" s="90"/>
      <c r="AS410" s="90"/>
      <c r="AT410" s="90"/>
      <c r="AU410" s="90"/>
      <c r="AV410" s="90"/>
      <c r="AW410" s="90"/>
      <c r="AX410" s="90"/>
      <c r="AY410" s="90"/>
      <c r="AZ410" s="90"/>
      <c r="BA410" s="90"/>
    </row>
    <row r="411" spans="3:53"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0"/>
      <c r="R411" s="90"/>
      <c r="S411" s="90"/>
      <c r="T411" s="90"/>
      <c r="U411" s="90"/>
      <c r="V411" s="90"/>
      <c r="W411" s="90"/>
      <c r="X411" s="90"/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0"/>
      <c r="AK411" s="90"/>
      <c r="AL411" s="90"/>
      <c r="AM411" s="90"/>
      <c r="AN411" s="90"/>
      <c r="AO411" s="90"/>
      <c r="AP411" s="90"/>
      <c r="AQ411" s="90"/>
      <c r="AR411" s="90"/>
      <c r="AS411" s="90"/>
      <c r="AT411" s="90"/>
      <c r="AU411" s="90"/>
      <c r="AV411" s="90"/>
      <c r="AW411" s="90"/>
      <c r="AX411" s="90"/>
      <c r="AY411" s="90"/>
      <c r="AZ411" s="90"/>
      <c r="BA411" s="90"/>
    </row>
    <row r="412" spans="3:53"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  <c r="AL412" s="90"/>
      <c r="AM412" s="90"/>
      <c r="AN412" s="90"/>
      <c r="AO412" s="90"/>
      <c r="AP412" s="90"/>
      <c r="AQ412" s="90"/>
      <c r="AR412" s="90"/>
      <c r="AS412" s="90"/>
      <c r="AT412" s="90"/>
      <c r="AU412" s="90"/>
      <c r="AV412" s="90"/>
      <c r="AW412" s="90"/>
      <c r="AX412" s="90"/>
      <c r="AY412" s="90"/>
      <c r="AZ412" s="90"/>
      <c r="BA412" s="90"/>
    </row>
    <row r="413" spans="3:53"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0"/>
      <c r="R413" s="90"/>
      <c r="S413" s="90"/>
      <c r="T413" s="90"/>
      <c r="U413" s="90"/>
      <c r="V413" s="90"/>
      <c r="W413" s="90"/>
      <c r="X413" s="90"/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  <c r="AL413" s="90"/>
      <c r="AM413" s="90"/>
      <c r="AN413" s="90"/>
      <c r="AO413" s="90"/>
      <c r="AP413" s="90"/>
      <c r="AQ413" s="90"/>
      <c r="AR413" s="90"/>
      <c r="AS413" s="90"/>
      <c r="AT413" s="90"/>
      <c r="AU413" s="90"/>
      <c r="AV413" s="90"/>
      <c r="AW413" s="90"/>
      <c r="AX413" s="90"/>
      <c r="AY413" s="90"/>
      <c r="AZ413" s="90"/>
      <c r="BA413" s="90"/>
    </row>
    <row r="414" spans="3:53"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0"/>
      <c r="R414" s="90"/>
      <c r="S414" s="90"/>
      <c r="T414" s="90"/>
      <c r="U414" s="90"/>
      <c r="V414" s="90"/>
      <c r="W414" s="90"/>
      <c r="X414" s="90"/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0"/>
      <c r="AK414" s="90"/>
      <c r="AL414" s="90"/>
      <c r="AM414" s="90"/>
      <c r="AN414" s="90"/>
      <c r="AO414" s="90"/>
      <c r="AP414" s="90"/>
      <c r="AQ414" s="90"/>
      <c r="AR414" s="90"/>
      <c r="AS414" s="90"/>
      <c r="AT414" s="90"/>
      <c r="AU414" s="90"/>
      <c r="AV414" s="90"/>
      <c r="AW414" s="90"/>
      <c r="AX414" s="90"/>
      <c r="AY414" s="90"/>
      <c r="AZ414" s="90"/>
      <c r="BA414" s="90"/>
    </row>
    <row r="415" spans="3:53"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0"/>
      <c r="R415" s="90"/>
      <c r="S415" s="90"/>
      <c r="T415" s="90"/>
      <c r="U415" s="90"/>
      <c r="V415" s="90"/>
      <c r="W415" s="90"/>
      <c r="X415" s="90"/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0"/>
      <c r="AK415" s="90"/>
      <c r="AL415" s="90"/>
      <c r="AM415" s="90"/>
      <c r="AN415" s="90"/>
      <c r="AO415" s="90"/>
      <c r="AP415" s="90"/>
      <c r="AQ415" s="90"/>
      <c r="AR415" s="90"/>
      <c r="AS415" s="90"/>
      <c r="AT415" s="90"/>
      <c r="AU415" s="90"/>
      <c r="AV415" s="90"/>
      <c r="AW415" s="90"/>
      <c r="AX415" s="90"/>
      <c r="AY415" s="90"/>
      <c r="AZ415" s="90"/>
      <c r="BA415" s="90"/>
    </row>
    <row r="416" spans="3:53"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0"/>
      <c r="R416" s="90"/>
      <c r="S416" s="90"/>
      <c r="T416" s="90"/>
      <c r="U416" s="90"/>
      <c r="V416" s="90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  <c r="AL416" s="90"/>
      <c r="AM416" s="90"/>
      <c r="AN416" s="90"/>
      <c r="AO416" s="90"/>
      <c r="AP416" s="90"/>
      <c r="AQ416" s="90"/>
      <c r="AR416" s="90"/>
      <c r="AS416" s="90"/>
      <c r="AT416" s="90"/>
      <c r="AU416" s="90"/>
      <c r="AV416" s="90"/>
      <c r="AW416" s="90"/>
      <c r="AX416" s="90"/>
      <c r="AY416" s="90"/>
      <c r="AZ416" s="90"/>
      <c r="BA416" s="90"/>
    </row>
    <row r="417" spans="3:53"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0"/>
      <c r="R417" s="90"/>
      <c r="S417" s="90"/>
      <c r="T417" s="90"/>
      <c r="U417" s="90"/>
      <c r="V417" s="90"/>
      <c r="W417" s="90"/>
      <c r="X417" s="90"/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  <c r="AL417" s="90"/>
      <c r="AM417" s="90"/>
      <c r="AN417" s="90"/>
      <c r="AO417" s="90"/>
      <c r="AP417" s="90"/>
      <c r="AQ417" s="90"/>
      <c r="AR417" s="90"/>
      <c r="AS417" s="90"/>
      <c r="AT417" s="90"/>
      <c r="AU417" s="90"/>
      <c r="AV417" s="90"/>
      <c r="AW417" s="90"/>
      <c r="AX417" s="90"/>
      <c r="AY417" s="90"/>
      <c r="AZ417" s="90"/>
      <c r="BA417" s="90"/>
    </row>
    <row r="418" spans="3:53"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0"/>
      <c r="R418" s="90"/>
      <c r="S418" s="90"/>
      <c r="T418" s="90"/>
      <c r="U418" s="90"/>
      <c r="V418" s="90"/>
      <c r="W418" s="90"/>
      <c r="X418" s="90"/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  <c r="AL418" s="90"/>
      <c r="AM418" s="90"/>
      <c r="AN418" s="90"/>
      <c r="AO418" s="90"/>
      <c r="AP418" s="90"/>
      <c r="AQ418" s="90"/>
      <c r="AR418" s="90"/>
      <c r="AS418" s="90"/>
      <c r="AT418" s="90"/>
      <c r="AU418" s="90"/>
      <c r="AV418" s="90"/>
      <c r="AW418" s="90"/>
      <c r="AX418" s="90"/>
      <c r="AY418" s="90"/>
      <c r="AZ418" s="90"/>
      <c r="BA418" s="90"/>
    </row>
    <row r="419" spans="3:53"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</row>
    <row r="420" spans="3:53"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0"/>
      <c r="R420" s="90"/>
      <c r="S420" s="90"/>
      <c r="T420" s="90"/>
      <c r="U420" s="90"/>
      <c r="V420" s="90"/>
      <c r="W420" s="90"/>
      <c r="X420" s="90"/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0"/>
      <c r="AK420" s="90"/>
      <c r="AL420" s="90"/>
      <c r="AM420" s="90"/>
      <c r="AN420" s="90"/>
      <c r="AO420" s="90"/>
      <c r="AP420" s="90"/>
      <c r="AQ420" s="90"/>
      <c r="AR420" s="90"/>
      <c r="AS420" s="90"/>
      <c r="AT420" s="90"/>
      <c r="AU420" s="90"/>
      <c r="AV420" s="90"/>
      <c r="AW420" s="90"/>
      <c r="AX420" s="90"/>
      <c r="AY420" s="90"/>
      <c r="AZ420" s="90"/>
      <c r="BA420" s="90"/>
    </row>
    <row r="421" spans="3:53"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0"/>
      <c r="R421" s="90"/>
      <c r="S421" s="90"/>
      <c r="T421" s="90"/>
      <c r="U421" s="90"/>
      <c r="V421" s="90"/>
      <c r="W421" s="90"/>
      <c r="X421" s="90"/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0"/>
      <c r="AK421" s="90"/>
      <c r="AL421" s="90"/>
      <c r="AM421" s="90"/>
      <c r="AN421" s="90"/>
      <c r="AO421" s="90"/>
      <c r="AP421" s="90"/>
      <c r="AQ421" s="90"/>
      <c r="AR421" s="90"/>
      <c r="AS421" s="90"/>
      <c r="AT421" s="90"/>
      <c r="AU421" s="90"/>
      <c r="AV421" s="90"/>
      <c r="AW421" s="90"/>
      <c r="AX421" s="90"/>
      <c r="AY421" s="90"/>
      <c r="AZ421" s="90"/>
      <c r="BA421" s="90"/>
    </row>
    <row r="422" spans="3:53"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0"/>
      <c r="R422" s="90"/>
      <c r="S422" s="90"/>
      <c r="T422" s="90"/>
      <c r="U422" s="90"/>
      <c r="V422" s="90"/>
      <c r="W422" s="90"/>
      <c r="X422" s="90"/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0"/>
      <c r="AK422" s="90"/>
      <c r="AL422" s="90"/>
      <c r="AM422" s="90"/>
      <c r="AN422" s="90"/>
      <c r="AO422" s="90"/>
      <c r="AP422" s="90"/>
      <c r="AQ422" s="90"/>
      <c r="AR422" s="90"/>
      <c r="AS422" s="90"/>
      <c r="AT422" s="90"/>
      <c r="AU422" s="90"/>
      <c r="AV422" s="90"/>
      <c r="AW422" s="90"/>
      <c r="AX422" s="90"/>
      <c r="AY422" s="90"/>
      <c r="AZ422" s="90"/>
      <c r="BA422" s="90"/>
    </row>
    <row r="423" spans="3:53"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0"/>
      <c r="AK423" s="90"/>
      <c r="AL423" s="90"/>
      <c r="AM423" s="90"/>
      <c r="AN423" s="90"/>
      <c r="AO423" s="90"/>
      <c r="AP423" s="90"/>
      <c r="AQ423" s="90"/>
      <c r="AR423" s="90"/>
      <c r="AS423" s="90"/>
      <c r="AT423" s="90"/>
      <c r="AU423" s="90"/>
      <c r="AV423" s="90"/>
      <c r="AW423" s="90"/>
      <c r="AX423" s="90"/>
      <c r="AY423" s="90"/>
      <c r="AZ423" s="90"/>
      <c r="BA423" s="90"/>
    </row>
    <row r="424" spans="3:53"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0"/>
      <c r="AK424" s="90"/>
      <c r="AL424" s="90"/>
      <c r="AM424" s="90"/>
      <c r="AN424" s="90"/>
      <c r="AO424" s="90"/>
      <c r="AP424" s="90"/>
      <c r="AQ424" s="90"/>
      <c r="AR424" s="90"/>
      <c r="AS424" s="90"/>
      <c r="AT424" s="90"/>
      <c r="AU424" s="90"/>
      <c r="AV424" s="90"/>
      <c r="AW424" s="90"/>
      <c r="AX424" s="90"/>
      <c r="AY424" s="90"/>
      <c r="AZ424" s="90"/>
      <c r="BA424" s="90"/>
    </row>
    <row r="425" spans="3:53"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0"/>
      <c r="R425" s="90"/>
      <c r="S425" s="90"/>
      <c r="T425" s="90"/>
      <c r="U425" s="90"/>
      <c r="V425" s="90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0"/>
      <c r="AK425" s="90"/>
      <c r="AL425" s="90"/>
      <c r="AM425" s="90"/>
      <c r="AN425" s="90"/>
      <c r="AO425" s="90"/>
      <c r="AP425" s="90"/>
      <c r="AQ425" s="90"/>
      <c r="AR425" s="90"/>
      <c r="AS425" s="90"/>
      <c r="AT425" s="90"/>
      <c r="AU425" s="90"/>
      <c r="AV425" s="90"/>
      <c r="AW425" s="90"/>
      <c r="AX425" s="90"/>
      <c r="AY425" s="90"/>
      <c r="AZ425" s="90"/>
      <c r="BA425" s="90"/>
    </row>
    <row r="426" spans="3:53"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0"/>
      <c r="R426" s="90"/>
      <c r="S426" s="90"/>
      <c r="T426" s="90"/>
      <c r="U426" s="90"/>
      <c r="V426" s="90"/>
      <c r="W426" s="90"/>
      <c r="X426" s="90"/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0"/>
      <c r="AK426" s="90"/>
      <c r="AL426" s="90"/>
      <c r="AM426" s="90"/>
      <c r="AN426" s="90"/>
      <c r="AO426" s="90"/>
      <c r="AP426" s="90"/>
      <c r="AQ426" s="90"/>
      <c r="AR426" s="90"/>
      <c r="AS426" s="90"/>
      <c r="AT426" s="90"/>
      <c r="AU426" s="90"/>
      <c r="AV426" s="90"/>
      <c r="AW426" s="90"/>
      <c r="AX426" s="90"/>
      <c r="AY426" s="90"/>
      <c r="AZ426" s="90"/>
      <c r="BA426" s="90"/>
    </row>
    <row r="427" spans="3:53"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0"/>
      <c r="R427" s="90"/>
      <c r="S427" s="90"/>
      <c r="T427" s="90"/>
      <c r="U427" s="90"/>
      <c r="V427" s="90"/>
      <c r="W427" s="90"/>
      <c r="X427" s="90"/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0"/>
      <c r="AK427" s="90"/>
      <c r="AL427" s="90"/>
      <c r="AM427" s="90"/>
      <c r="AN427" s="90"/>
      <c r="AO427" s="90"/>
      <c r="AP427" s="90"/>
      <c r="AQ427" s="90"/>
      <c r="AR427" s="90"/>
      <c r="AS427" s="90"/>
      <c r="AT427" s="90"/>
      <c r="AU427" s="90"/>
      <c r="AV427" s="90"/>
      <c r="AW427" s="90"/>
      <c r="AX427" s="90"/>
      <c r="AY427" s="90"/>
      <c r="AZ427" s="90"/>
      <c r="BA427" s="90"/>
    </row>
    <row r="428" spans="3:53"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0"/>
      <c r="R428" s="90"/>
      <c r="S428" s="90"/>
      <c r="T428" s="90"/>
      <c r="U428" s="90"/>
      <c r="V428" s="90"/>
      <c r="W428" s="90"/>
      <c r="X428" s="90"/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0"/>
      <c r="AK428" s="90"/>
      <c r="AL428" s="90"/>
      <c r="AM428" s="90"/>
      <c r="AN428" s="90"/>
      <c r="AO428" s="90"/>
      <c r="AP428" s="90"/>
      <c r="AQ428" s="90"/>
      <c r="AR428" s="90"/>
      <c r="AS428" s="90"/>
      <c r="AT428" s="90"/>
      <c r="AU428" s="90"/>
      <c r="AV428" s="90"/>
      <c r="AW428" s="90"/>
      <c r="AX428" s="90"/>
      <c r="AY428" s="90"/>
      <c r="AZ428" s="90"/>
      <c r="BA428" s="90"/>
    </row>
    <row r="429" spans="3:53"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0"/>
      <c r="R429" s="90"/>
      <c r="S429" s="90"/>
      <c r="T429" s="90"/>
      <c r="U429" s="90"/>
      <c r="V429" s="90"/>
      <c r="W429" s="90"/>
      <c r="X429" s="90"/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0"/>
      <c r="AK429" s="90"/>
      <c r="AL429" s="90"/>
      <c r="AM429" s="90"/>
      <c r="AN429" s="90"/>
      <c r="AO429" s="90"/>
      <c r="AP429" s="90"/>
      <c r="AQ429" s="90"/>
      <c r="AR429" s="90"/>
      <c r="AS429" s="90"/>
      <c r="AT429" s="90"/>
      <c r="AU429" s="90"/>
      <c r="AV429" s="90"/>
      <c r="AW429" s="90"/>
      <c r="AX429" s="90"/>
      <c r="AY429" s="90"/>
      <c r="AZ429" s="90"/>
      <c r="BA429" s="90"/>
    </row>
    <row r="430" spans="3:53"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0"/>
      <c r="R430" s="90"/>
      <c r="S430" s="90"/>
      <c r="T430" s="90"/>
      <c r="U430" s="90"/>
      <c r="V430" s="90"/>
      <c r="W430" s="90"/>
      <c r="X430" s="90"/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0"/>
      <c r="AK430" s="90"/>
      <c r="AL430" s="90"/>
      <c r="AM430" s="90"/>
      <c r="AN430" s="90"/>
      <c r="AO430" s="90"/>
      <c r="AP430" s="90"/>
      <c r="AQ430" s="90"/>
      <c r="AR430" s="90"/>
      <c r="AS430" s="90"/>
      <c r="AT430" s="90"/>
      <c r="AU430" s="90"/>
      <c r="AV430" s="90"/>
      <c r="AW430" s="90"/>
      <c r="AX430" s="90"/>
      <c r="AY430" s="90"/>
      <c r="AZ430" s="90"/>
      <c r="BA430" s="90"/>
    </row>
    <row r="431" spans="3:53"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0"/>
      <c r="R431" s="90"/>
      <c r="S431" s="90"/>
      <c r="T431" s="90"/>
      <c r="U431" s="90"/>
      <c r="V431" s="90"/>
      <c r="W431" s="90"/>
      <c r="X431" s="90"/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0"/>
      <c r="AK431" s="90"/>
      <c r="AL431" s="90"/>
      <c r="AM431" s="90"/>
      <c r="AN431" s="90"/>
      <c r="AO431" s="90"/>
      <c r="AP431" s="90"/>
      <c r="AQ431" s="90"/>
      <c r="AR431" s="90"/>
      <c r="AS431" s="90"/>
      <c r="AT431" s="90"/>
      <c r="AU431" s="90"/>
      <c r="AV431" s="90"/>
      <c r="AW431" s="90"/>
      <c r="AX431" s="90"/>
      <c r="AY431" s="90"/>
      <c r="AZ431" s="90"/>
      <c r="BA431" s="90"/>
    </row>
    <row r="432" spans="3:53"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0"/>
      <c r="R432" s="90"/>
      <c r="S432" s="90"/>
      <c r="T432" s="90"/>
      <c r="U432" s="90"/>
      <c r="V432" s="90"/>
      <c r="W432" s="90"/>
      <c r="X432" s="90"/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0"/>
      <c r="AK432" s="90"/>
      <c r="AL432" s="90"/>
      <c r="AM432" s="90"/>
      <c r="AN432" s="90"/>
      <c r="AO432" s="90"/>
      <c r="AP432" s="90"/>
      <c r="AQ432" s="90"/>
      <c r="AR432" s="90"/>
      <c r="AS432" s="90"/>
      <c r="AT432" s="90"/>
      <c r="AU432" s="90"/>
      <c r="AV432" s="90"/>
      <c r="AW432" s="90"/>
      <c r="AX432" s="90"/>
      <c r="AY432" s="90"/>
      <c r="AZ432" s="90"/>
      <c r="BA432" s="90"/>
    </row>
    <row r="433" spans="3:53"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  <c r="AL433" s="90"/>
      <c r="AM433" s="90"/>
      <c r="AN433" s="90"/>
      <c r="AO433" s="90"/>
      <c r="AP433" s="90"/>
      <c r="AQ433" s="90"/>
      <c r="AR433" s="90"/>
      <c r="AS433" s="90"/>
      <c r="AT433" s="90"/>
      <c r="AU433" s="90"/>
      <c r="AV433" s="90"/>
      <c r="AW433" s="90"/>
      <c r="AX433" s="90"/>
      <c r="AY433" s="90"/>
      <c r="AZ433" s="90"/>
      <c r="BA433" s="90"/>
    </row>
    <row r="434" spans="3:53"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0"/>
      <c r="R434" s="90"/>
      <c r="S434" s="90"/>
      <c r="T434" s="90"/>
      <c r="U434" s="90"/>
      <c r="V434" s="90"/>
      <c r="W434" s="90"/>
      <c r="X434" s="90"/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0"/>
      <c r="AK434" s="90"/>
      <c r="AL434" s="90"/>
      <c r="AM434" s="90"/>
      <c r="AN434" s="90"/>
      <c r="AO434" s="90"/>
      <c r="AP434" s="90"/>
      <c r="AQ434" s="90"/>
      <c r="AR434" s="90"/>
      <c r="AS434" s="90"/>
      <c r="AT434" s="90"/>
      <c r="AU434" s="90"/>
      <c r="AV434" s="90"/>
      <c r="AW434" s="90"/>
      <c r="AX434" s="90"/>
      <c r="AY434" s="90"/>
      <c r="AZ434" s="90"/>
      <c r="BA434" s="90"/>
    </row>
    <row r="435" spans="3:53"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0"/>
      <c r="R435" s="90"/>
      <c r="S435" s="90"/>
      <c r="T435" s="90"/>
      <c r="U435" s="90"/>
      <c r="V435" s="90"/>
      <c r="W435" s="90"/>
      <c r="X435" s="90"/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0"/>
      <c r="AK435" s="90"/>
      <c r="AL435" s="90"/>
      <c r="AM435" s="90"/>
      <c r="AN435" s="90"/>
      <c r="AO435" s="90"/>
      <c r="AP435" s="90"/>
      <c r="AQ435" s="90"/>
      <c r="AR435" s="90"/>
      <c r="AS435" s="90"/>
      <c r="AT435" s="90"/>
      <c r="AU435" s="90"/>
      <c r="AV435" s="90"/>
      <c r="AW435" s="90"/>
      <c r="AX435" s="90"/>
      <c r="AY435" s="90"/>
      <c r="AZ435" s="90"/>
      <c r="BA435" s="90"/>
    </row>
    <row r="436" spans="3:53"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0"/>
      <c r="R436" s="90"/>
      <c r="S436" s="90"/>
      <c r="T436" s="90"/>
      <c r="U436" s="90"/>
      <c r="V436" s="90"/>
      <c r="W436" s="90"/>
      <c r="X436" s="90"/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0"/>
      <c r="AK436" s="90"/>
      <c r="AL436" s="90"/>
      <c r="AM436" s="90"/>
      <c r="AN436" s="90"/>
      <c r="AO436" s="90"/>
      <c r="AP436" s="90"/>
      <c r="AQ436" s="90"/>
      <c r="AR436" s="90"/>
      <c r="AS436" s="90"/>
      <c r="AT436" s="90"/>
      <c r="AU436" s="90"/>
      <c r="AV436" s="90"/>
      <c r="AW436" s="90"/>
      <c r="AX436" s="90"/>
      <c r="AY436" s="90"/>
      <c r="AZ436" s="90"/>
      <c r="BA436" s="90"/>
    </row>
    <row r="437" spans="3:53"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0"/>
      <c r="R437" s="90"/>
      <c r="S437" s="90"/>
      <c r="T437" s="90"/>
      <c r="U437" s="90"/>
      <c r="V437" s="90"/>
      <c r="W437" s="90"/>
      <c r="X437" s="90"/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0"/>
      <c r="AK437" s="90"/>
      <c r="AL437" s="90"/>
      <c r="AM437" s="90"/>
      <c r="AN437" s="90"/>
      <c r="AO437" s="90"/>
      <c r="AP437" s="90"/>
      <c r="AQ437" s="90"/>
      <c r="AR437" s="90"/>
      <c r="AS437" s="90"/>
      <c r="AT437" s="90"/>
      <c r="AU437" s="90"/>
      <c r="AV437" s="90"/>
      <c r="AW437" s="90"/>
      <c r="AX437" s="90"/>
      <c r="AY437" s="90"/>
      <c r="AZ437" s="90"/>
      <c r="BA437" s="90"/>
    </row>
    <row r="438" spans="3:53"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0"/>
      <c r="R438" s="90"/>
      <c r="S438" s="90"/>
      <c r="T438" s="90"/>
      <c r="U438" s="90"/>
      <c r="V438" s="90"/>
      <c r="W438" s="90"/>
      <c r="X438" s="90"/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0"/>
      <c r="AK438" s="90"/>
      <c r="AL438" s="90"/>
      <c r="AM438" s="90"/>
      <c r="AN438" s="90"/>
      <c r="AO438" s="90"/>
      <c r="AP438" s="90"/>
      <c r="AQ438" s="90"/>
      <c r="AR438" s="90"/>
      <c r="AS438" s="90"/>
      <c r="AT438" s="90"/>
      <c r="AU438" s="90"/>
      <c r="AV438" s="90"/>
      <c r="AW438" s="90"/>
      <c r="AX438" s="90"/>
      <c r="AY438" s="90"/>
      <c r="AZ438" s="90"/>
      <c r="BA438" s="90"/>
    </row>
    <row r="439" spans="3:53"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0"/>
      <c r="AK439" s="90"/>
      <c r="AL439" s="90"/>
      <c r="AM439" s="90"/>
      <c r="AN439" s="90"/>
      <c r="AO439" s="90"/>
      <c r="AP439" s="90"/>
      <c r="AQ439" s="90"/>
      <c r="AR439" s="90"/>
      <c r="AS439" s="90"/>
      <c r="AT439" s="90"/>
      <c r="AU439" s="90"/>
      <c r="AV439" s="90"/>
      <c r="AW439" s="90"/>
      <c r="AX439" s="90"/>
      <c r="AY439" s="90"/>
      <c r="AZ439" s="90"/>
      <c r="BA439" s="90"/>
    </row>
    <row r="440" spans="3:53"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0"/>
      <c r="R440" s="90"/>
      <c r="S440" s="90"/>
      <c r="T440" s="90"/>
      <c r="U440" s="90"/>
      <c r="V440" s="90"/>
      <c r="W440" s="90"/>
      <c r="X440" s="90"/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0"/>
      <c r="AK440" s="90"/>
      <c r="AL440" s="90"/>
      <c r="AM440" s="90"/>
      <c r="AN440" s="90"/>
      <c r="AO440" s="90"/>
      <c r="AP440" s="90"/>
      <c r="AQ440" s="90"/>
      <c r="AR440" s="90"/>
      <c r="AS440" s="90"/>
      <c r="AT440" s="90"/>
      <c r="AU440" s="90"/>
      <c r="AV440" s="90"/>
      <c r="AW440" s="90"/>
      <c r="AX440" s="90"/>
      <c r="AY440" s="90"/>
      <c r="AZ440" s="90"/>
      <c r="BA440" s="90"/>
    </row>
    <row r="441" spans="3:53"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0"/>
      <c r="R441" s="90"/>
      <c r="S441" s="90"/>
      <c r="T441" s="90"/>
      <c r="U441" s="90"/>
      <c r="V441" s="90"/>
      <c r="W441" s="90"/>
      <c r="X441" s="90"/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0"/>
      <c r="AK441" s="90"/>
      <c r="AL441" s="90"/>
      <c r="AM441" s="90"/>
      <c r="AN441" s="90"/>
      <c r="AO441" s="90"/>
      <c r="AP441" s="90"/>
      <c r="AQ441" s="90"/>
      <c r="AR441" s="90"/>
      <c r="AS441" s="90"/>
      <c r="AT441" s="90"/>
      <c r="AU441" s="90"/>
      <c r="AV441" s="90"/>
      <c r="AW441" s="90"/>
      <c r="AX441" s="90"/>
      <c r="AY441" s="90"/>
      <c r="AZ441" s="90"/>
      <c r="BA441" s="90"/>
    </row>
    <row r="442" spans="3:53"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0"/>
      <c r="R442" s="90"/>
      <c r="S442" s="90"/>
      <c r="T442" s="90"/>
      <c r="U442" s="90"/>
      <c r="V442" s="90"/>
      <c r="W442" s="90"/>
      <c r="X442" s="90"/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0"/>
      <c r="AK442" s="90"/>
      <c r="AL442" s="90"/>
      <c r="AM442" s="90"/>
      <c r="AN442" s="90"/>
      <c r="AO442" s="90"/>
      <c r="AP442" s="90"/>
      <c r="AQ442" s="90"/>
      <c r="AR442" s="90"/>
      <c r="AS442" s="90"/>
      <c r="AT442" s="90"/>
      <c r="AU442" s="90"/>
      <c r="AV442" s="90"/>
      <c r="AW442" s="90"/>
      <c r="AX442" s="90"/>
      <c r="AY442" s="90"/>
      <c r="AZ442" s="90"/>
      <c r="BA442" s="90"/>
    </row>
    <row r="443" spans="3:53"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0"/>
      <c r="R443" s="90"/>
      <c r="S443" s="90"/>
      <c r="T443" s="90"/>
      <c r="U443" s="90"/>
      <c r="V443" s="90"/>
      <c r="W443" s="90"/>
      <c r="X443" s="90"/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0"/>
      <c r="AK443" s="90"/>
      <c r="AL443" s="90"/>
      <c r="AM443" s="90"/>
      <c r="AN443" s="90"/>
      <c r="AO443" s="90"/>
      <c r="AP443" s="90"/>
      <c r="AQ443" s="90"/>
      <c r="AR443" s="90"/>
      <c r="AS443" s="90"/>
      <c r="AT443" s="90"/>
      <c r="AU443" s="90"/>
      <c r="AV443" s="90"/>
      <c r="AW443" s="90"/>
      <c r="AX443" s="90"/>
      <c r="AY443" s="90"/>
      <c r="AZ443" s="90"/>
      <c r="BA443" s="90"/>
    </row>
    <row r="444" spans="3:53"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0"/>
      <c r="R444" s="90"/>
      <c r="S444" s="90"/>
      <c r="T444" s="90"/>
      <c r="U444" s="90"/>
      <c r="V444" s="90"/>
      <c r="W444" s="90"/>
      <c r="X444" s="90"/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0"/>
      <c r="AK444" s="90"/>
      <c r="AL444" s="90"/>
      <c r="AM444" s="90"/>
      <c r="AN444" s="90"/>
      <c r="AO444" s="90"/>
      <c r="AP444" s="90"/>
      <c r="AQ444" s="90"/>
      <c r="AR444" s="90"/>
      <c r="AS444" s="90"/>
      <c r="AT444" s="90"/>
      <c r="AU444" s="90"/>
      <c r="AV444" s="90"/>
      <c r="AW444" s="90"/>
      <c r="AX444" s="90"/>
      <c r="AY444" s="90"/>
      <c r="AZ444" s="90"/>
      <c r="BA444" s="90"/>
    </row>
    <row r="445" spans="3:53"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0"/>
      <c r="AK445" s="90"/>
      <c r="AL445" s="90"/>
      <c r="AM445" s="90"/>
      <c r="AN445" s="90"/>
      <c r="AO445" s="90"/>
      <c r="AP445" s="90"/>
      <c r="AQ445" s="90"/>
      <c r="AR445" s="90"/>
      <c r="AS445" s="90"/>
      <c r="AT445" s="90"/>
      <c r="AU445" s="90"/>
      <c r="AV445" s="90"/>
      <c r="AW445" s="90"/>
      <c r="AX445" s="90"/>
      <c r="AY445" s="90"/>
      <c r="AZ445" s="90"/>
      <c r="BA445" s="90"/>
    </row>
    <row r="446" spans="3:53"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0"/>
      <c r="R446" s="90"/>
      <c r="S446" s="90"/>
      <c r="T446" s="90"/>
      <c r="U446" s="90"/>
      <c r="V446" s="90"/>
      <c r="W446" s="90"/>
      <c r="X446" s="90"/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0"/>
      <c r="AK446" s="90"/>
      <c r="AL446" s="90"/>
      <c r="AM446" s="90"/>
      <c r="AN446" s="90"/>
      <c r="AO446" s="90"/>
      <c r="AP446" s="90"/>
      <c r="AQ446" s="90"/>
      <c r="AR446" s="90"/>
      <c r="AS446" s="90"/>
      <c r="AT446" s="90"/>
      <c r="AU446" s="90"/>
      <c r="AV446" s="90"/>
      <c r="AW446" s="90"/>
      <c r="AX446" s="90"/>
      <c r="AY446" s="90"/>
      <c r="AZ446" s="90"/>
      <c r="BA446" s="90"/>
    </row>
    <row r="447" spans="3:53"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0"/>
      <c r="R447" s="90"/>
      <c r="S447" s="90"/>
      <c r="T447" s="90"/>
      <c r="U447" s="90"/>
      <c r="V447" s="90"/>
      <c r="W447" s="90"/>
      <c r="X447" s="90"/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0"/>
      <c r="AK447" s="90"/>
      <c r="AL447" s="90"/>
      <c r="AM447" s="90"/>
      <c r="AN447" s="90"/>
      <c r="AO447" s="90"/>
      <c r="AP447" s="90"/>
      <c r="AQ447" s="90"/>
      <c r="AR447" s="90"/>
      <c r="AS447" s="90"/>
      <c r="AT447" s="90"/>
      <c r="AU447" s="90"/>
      <c r="AV447" s="90"/>
      <c r="AW447" s="90"/>
      <c r="AX447" s="90"/>
      <c r="AY447" s="90"/>
      <c r="AZ447" s="90"/>
      <c r="BA447" s="90"/>
    </row>
    <row r="448" spans="3:53"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0"/>
      <c r="R448" s="90"/>
      <c r="S448" s="90"/>
      <c r="T448" s="90"/>
      <c r="U448" s="90"/>
      <c r="V448" s="90"/>
      <c r="W448" s="90"/>
      <c r="X448" s="90"/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0"/>
      <c r="AK448" s="90"/>
      <c r="AL448" s="90"/>
      <c r="AM448" s="90"/>
      <c r="AN448" s="90"/>
      <c r="AO448" s="90"/>
      <c r="AP448" s="90"/>
      <c r="AQ448" s="90"/>
      <c r="AR448" s="90"/>
      <c r="AS448" s="90"/>
      <c r="AT448" s="90"/>
      <c r="AU448" s="90"/>
      <c r="AV448" s="90"/>
      <c r="AW448" s="90"/>
      <c r="AX448" s="90"/>
      <c r="AY448" s="90"/>
      <c r="AZ448" s="90"/>
      <c r="BA448" s="90"/>
    </row>
    <row r="449" spans="3:53"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0"/>
      <c r="AK449" s="90"/>
      <c r="AL449" s="90"/>
      <c r="AM449" s="90"/>
      <c r="AN449" s="90"/>
      <c r="AO449" s="90"/>
      <c r="AP449" s="90"/>
      <c r="AQ449" s="90"/>
      <c r="AR449" s="90"/>
      <c r="AS449" s="90"/>
      <c r="AT449" s="90"/>
      <c r="AU449" s="90"/>
      <c r="AV449" s="90"/>
      <c r="AW449" s="90"/>
      <c r="AX449" s="90"/>
      <c r="AY449" s="90"/>
      <c r="AZ449" s="90"/>
      <c r="BA449" s="90"/>
    </row>
    <row r="450" spans="3:53"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0"/>
      <c r="AK450" s="90"/>
      <c r="AL450" s="90"/>
      <c r="AM450" s="90"/>
      <c r="AN450" s="90"/>
      <c r="AO450" s="90"/>
      <c r="AP450" s="90"/>
      <c r="AQ450" s="90"/>
      <c r="AR450" s="90"/>
      <c r="AS450" s="90"/>
      <c r="AT450" s="90"/>
      <c r="AU450" s="90"/>
      <c r="AV450" s="90"/>
      <c r="AW450" s="90"/>
      <c r="AX450" s="90"/>
      <c r="AY450" s="90"/>
      <c r="AZ450" s="90"/>
      <c r="BA450" s="90"/>
    </row>
    <row r="451" spans="3:53"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0"/>
      <c r="AK451" s="90"/>
      <c r="AL451" s="90"/>
      <c r="AM451" s="90"/>
      <c r="AN451" s="90"/>
      <c r="AO451" s="90"/>
      <c r="AP451" s="90"/>
      <c r="AQ451" s="90"/>
      <c r="AR451" s="90"/>
      <c r="AS451" s="90"/>
      <c r="AT451" s="90"/>
      <c r="AU451" s="90"/>
      <c r="AV451" s="90"/>
      <c r="AW451" s="90"/>
      <c r="AX451" s="90"/>
      <c r="AY451" s="90"/>
      <c r="AZ451" s="90"/>
      <c r="BA451" s="90"/>
    </row>
    <row r="452" spans="3:53"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0"/>
      <c r="AK452" s="90"/>
      <c r="AL452" s="90"/>
      <c r="AM452" s="90"/>
      <c r="AN452" s="90"/>
      <c r="AO452" s="90"/>
      <c r="AP452" s="90"/>
      <c r="AQ452" s="90"/>
      <c r="AR452" s="90"/>
      <c r="AS452" s="90"/>
      <c r="AT452" s="90"/>
      <c r="AU452" s="90"/>
      <c r="AV452" s="90"/>
      <c r="AW452" s="90"/>
      <c r="AX452" s="90"/>
      <c r="AY452" s="90"/>
      <c r="AZ452" s="90"/>
      <c r="BA452" s="90"/>
    </row>
    <row r="453" spans="3:53"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0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  <c r="AL453" s="90"/>
      <c r="AM453" s="90"/>
      <c r="AN453" s="90"/>
      <c r="AO453" s="90"/>
      <c r="AP453" s="90"/>
      <c r="AQ453" s="90"/>
      <c r="AR453" s="90"/>
      <c r="AS453" s="90"/>
      <c r="AT453" s="90"/>
      <c r="AU453" s="90"/>
      <c r="AV453" s="90"/>
      <c r="AW453" s="90"/>
      <c r="AX453" s="90"/>
      <c r="AY453" s="90"/>
      <c r="AZ453" s="90"/>
      <c r="BA453" s="90"/>
    </row>
    <row r="454" spans="3:53"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0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  <c r="AL454" s="90"/>
      <c r="AM454" s="90"/>
      <c r="AN454" s="90"/>
      <c r="AO454" s="90"/>
      <c r="AP454" s="90"/>
      <c r="AQ454" s="90"/>
      <c r="AR454" s="90"/>
      <c r="AS454" s="90"/>
      <c r="AT454" s="90"/>
      <c r="AU454" s="90"/>
      <c r="AV454" s="90"/>
      <c r="AW454" s="90"/>
      <c r="AX454" s="90"/>
      <c r="AY454" s="90"/>
      <c r="AZ454" s="90"/>
      <c r="BA454" s="90"/>
    </row>
    <row r="455" spans="3:53"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0"/>
      <c r="R455" s="90"/>
      <c r="S455" s="90"/>
      <c r="T455" s="90"/>
      <c r="U455" s="90"/>
      <c r="V455" s="90"/>
      <c r="W455" s="90"/>
      <c r="X455" s="90"/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  <c r="AL455" s="90"/>
      <c r="AM455" s="90"/>
      <c r="AN455" s="90"/>
      <c r="AO455" s="90"/>
      <c r="AP455" s="90"/>
      <c r="AQ455" s="90"/>
      <c r="AR455" s="90"/>
      <c r="AS455" s="90"/>
      <c r="AT455" s="90"/>
      <c r="AU455" s="90"/>
      <c r="AV455" s="90"/>
      <c r="AW455" s="90"/>
      <c r="AX455" s="90"/>
      <c r="AY455" s="90"/>
      <c r="AZ455" s="90"/>
      <c r="BA455" s="90"/>
    </row>
    <row r="456" spans="3:53"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0"/>
      <c r="R456" s="90"/>
      <c r="S456" s="90"/>
      <c r="T456" s="90"/>
      <c r="U456" s="90"/>
      <c r="V456" s="90"/>
      <c r="W456" s="90"/>
      <c r="X456" s="90"/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  <c r="AL456" s="90"/>
      <c r="AM456" s="90"/>
      <c r="AN456" s="90"/>
      <c r="AO456" s="90"/>
      <c r="AP456" s="90"/>
      <c r="AQ456" s="90"/>
      <c r="AR456" s="90"/>
      <c r="AS456" s="90"/>
      <c r="AT456" s="90"/>
      <c r="AU456" s="90"/>
      <c r="AV456" s="90"/>
      <c r="AW456" s="90"/>
      <c r="AX456" s="90"/>
      <c r="AY456" s="90"/>
      <c r="AZ456" s="90"/>
      <c r="BA456" s="90"/>
    </row>
    <row r="457" spans="3:53"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0"/>
      <c r="R457" s="90"/>
      <c r="S457" s="90"/>
      <c r="T457" s="90"/>
      <c r="U457" s="90"/>
      <c r="V457" s="90"/>
      <c r="W457" s="90"/>
      <c r="X457" s="90"/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  <c r="AL457" s="90"/>
      <c r="AM457" s="90"/>
      <c r="AN457" s="90"/>
      <c r="AO457" s="90"/>
      <c r="AP457" s="90"/>
      <c r="AQ457" s="90"/>
      <c r="AR457" s="90"/>
      <c r="AS457" s="90"/>
      <c r="AT457" s="90"/>
      <c r="AU457" s="90"/>
      <c r="AV457" s="90"/>
      <c r="AW457" s="90"/>
      <c r="AX457" s="90"/>
      <c r="AY457" s="90"/>
      <c r="AZ457" s="90"/>
      <c r="BA457" s="90"/>
    </row>
    <row r="458" spans="3:53"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0"/>
      <c r="R458" s="90"/>
      <c r="S458" s="90"/>
      <c r="T458" s="90"/>
      <c r="U458" s="90"/>
      <c r="V458" s="90"/>
      <c r="W458" s="90"/>
      <c r="X458" s="90"/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0"/>
      <c r="AK458" s="90"/>
      <c r="AL458" s="90"/>
      <c r="AM458" s="90"/>
      <c r="AN458" s="90"/>
      <c r="AO458" s="90"/>
      <c r="AP458" s="90"/>
      <c r="AQ458" s="90"/>
      <c r="AR458" s="90"/>
      <c r="AS458" s="90"/>
      <c r="AT458" s="90"/>
      <c r="AU458" s="90"/>
      <c r="AV458" s="90"/>
      <c r="AW458" s="90"/>
      <c r="AX458" s="90"/>
      <c r="AY458" s="90"/>
      <c r="AZ458" s="90"/>
      <c r="BA458" s="90"/>
    </row>
    <row r="459" spans="3:53"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0"/>
      <c r="R459" s="90"/>
      <c r="S459" s="90"/>
      <c r="T459" s="90"/>
      <c r="U459" s="90"/>
      <c r="V459" s="90"/>
      <c r="W459" s="90"/>
      <c r="X459" s="90"/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0"/>
      <c r="AK459" s="90"/>
      <c r="AL459" s="90"/>
      <c r="AM459" s="90"/>
      <c r="AN459" s="90"/>
      <c r="AO459" s="90"/>
      <c r="AP459" s="90"/>
      <c r="AQ459" s="90"/>
      <c r="AR459" s="90"/>
      <c r="AS459" s="90"/>
      <c r="AT459" s="90"/>
      <c r="AU459" s="90"/>
      <c r="AV459" s="90"/>
      <c r="AW459" s="90"/>
      <c r="AX459" s="90"/>
      <c r="AY459" s="90"/>
      <c r="AZ459" s="90"/>
      <c r="BA459" s="90"/>
    </row>
    <row r="460" spans="3:53"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0"/>
      <c r="R460" s="90"/>
      <c r="S460" s="90"/>
      <c r="T460" s="90"/>
      <c r="U460" s="90"/>
      <c r="V460" s="90"/>
      <c r="W460" s="90"/>
      <c r="X460" s="90"/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  <c r="AL460" s="90"/>
      <c r="AM460" s="90"/>
      <c r="AN460" s="90"/>
      <c r="AO460" s="90"/>
      <c r="AP460" s="90"/>
      <c r="AQ460" s="90"/>
      <c r="AR460" s="90"/>
      <c r="AS460" s="90"/>
      <c r="AT460" s="90"/>
      <c r="AU460" s="90"/>
      <c r="AV460" s="90"/>
      <c r="AW460" s="90"/>
      <c r="AX460" s="90"/>
      <c r="AY460" s="90"/>
      <c r="AZ460" s="90"/>
      <c r="BA460" s="90"/>
    </row>
    <row r="461" spans="3:53"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0"/>
      <c r="R461" s="90"/>
      <c r="S461" s="90"/>
      <c r="T461" s="90"/>
      <c r="U461" s="90"/>
      <c r="V461" s="90"/>
      <c r="W461" s="90"/>
      <c r="X461" s="90"/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  <c r="AL461" s="90"/>
      <c r="AM461" s="90"/>
      <c r="AN461" s="90"/>
      <c r="AO461" s="90"/>
      <c r="AP461" s="90"/>
      <c r="AQ461" s="90"/>
      <c r="AR461" s="90"/>
      <c r="AS461" s="90"/>
      <c r="AT461" s="90"/>
      <c r="AU461" s="90"/>
      <c r="AV461" s="90"/>
      <c r="AW461" s="90"/>
      <c r="AX461" s="90"/>
      <c r="AY461" s="90"/>
      <c r="AZ461" s="90"/>
      <c r="BA461" s="90"/>
    </row>
    <row r="462" spans="3:53"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0"/>
      <c r="R462" s="90"/>
      <c r="S462" s="90"/>
      <c r="T462" s="90"/>
      <c r="U462" s="90"/>
      <c r="V462" s="90"/>
      <c r="W462" s="90"/>
      <c r="X462" s="90"/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  <c r="AL462" s="90"/>
      <c r="AM462" s="90"/>
      <c r="AN462" s="90"/>
      <c r="AO462" s="90"/>
      <c r="AP462" s="90"/>
      <c r="AQ462" s="90"/>
      <c r="AR462" s="90"/>
      <c r="AS462" s="90"/>
      <c r="AT462" s="90"/>
      <c r="AU462" s="90"/>
      <c r="AV462" s="90"/>
      <c r="AW462" s="90"/>
      <c r="AX462" s="90"/>
      <c r="AY462" s="90"/>
      <c r="AZ462" s="90"/>
      <c r="BA462" s="90"/>
    </row>
    <row r="463" spans="3:53"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0"/>
      <c r="R463" s="90"/>
      <c r="S463" s="90"/>
      <c r="T463" s="90"/>
      <c r="U463" s="90"/>
      <c r="V463" s="90"/>
      <c r="W463" s="90"/>
      <c r="X463" s="90"/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0"/>
      <c r="AK463" s="90"/>
      <c r="AL463" s="90"/>
      <c r="AM463" s="90"/>
      <c r="AN463" s="90"/>
      <c r="AO463" s="90"/>
      <c r="AP463" s="90"/>
      <c r="AQ463" s="90"/>
      <c r="AR463" s="90"/>
      <c r="AS463" s="90"/>
      <c r="AT463" s="90"/>
      <c r="AU463" s="90"/>
      <c r="AV463" s="90"/>
      <c r="AW463" s="90"/>
      <c r="AX463" s="90"/>
      <c r="AY463" s="90"/>
      <c r="AZ463" s="90"/>
      <c r="BA463" s="90"/>
    </row>
    <row r="464" spans="3:53"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0"/>
      <c r="AL464" s="90"/>
      <c r="AM464" s="90"/>
      <c r="AN464" s="90"/>
      <c r="AO464" s="90"/>
      <c r="AP464" s="90"/>
      <c r="AQ464" s="90"/>
      <c r="AR464" s="90"/>
      <c r="AS464" s="90"/>
      <c r="AT464" s="90"/>
      <c r="AU464" s="90"/>
      <c r="AV464" s="90"/>
      <c r="AW464" s="90"/>
      <c r="AX464" s="90"/>
      <c r="AY464" s="90"/>
      <c r="AZ464" s="90"/>
      <c r="BA464" s="90"/>
    </row>
    <row r="465" spans="3:53"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0"/>
      <c r="R465" s="90"/>
      <c r="S465" s="90"/>
      <c r="T465" s="90"/>
      <c r="U465" s="90"/>
      <c r="V465" s="90"/>
      <c r="W465" s="90"/>
      <c r="X465" s="90"/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0"/>
      <c r="AK465" s="90"/>
      <c r="AL465" s="90"/>
      <c r="AM465" s="90"/>
      <c r="AN465" s="90"/>
      <c r="AO465" s="90"/>
      <c r="AP465" s="90"/>
      <c r="AQ465" s="90"/>
      <c r="AR465" s="90"/>
      <c r="AS465" s="90"/>
      <c r="AT465" s="90"/>
      <c r="AU465" s="90"/>
      <c r="AV465" s="90"/>
      <c r="AW465" s="90"/>
      <c r="AX465" s="90"/>
      <c r="AY465" s="90"/>
      <c r="AZ465" s="90"/>
      <c r="BA465" s="90"/>
    </row>
    <row r="466" spans="3:53"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0"/>
      <c r="AK466" s="90"/>
      <c r="AL466" s="90"/>
      <c r="AM466" s="90"/>
      <c r="AN466" s="90"/>
      <c r="AO466" s="90"/>
      <c r="AP466" s="90"/>
      <c r="AQ466" s="90"/>
      <c r="AR466" s="90"/>
      <c r="AS466" s="90"/>
      <c r="AT466" s="90"/>
      <c r="AU466" s="90"/>
      <c r="AV466" s="90"/>
      <c r="AW466" s="90"/>
      <c r="AX466" s="90"/>
      <c r="AY466" s="90"/>
      <c r="AZ466" s="90"/>
      <c r="BA466" s="90"/>
    </row>
    <row r="467" spans="3:53"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  <c r="AL467" s="90"/>
      <c r="AM467" s="90"/>
      <c r="AN467" s="90"/>
      <c r="AO467" s="90"/>
      <c r="AP467" s="90"/>
      <c r="AQ467" s="90"/>
      <c r="AR467" s="90"/>
      <c r="AS467" s="90"/>
      <c r="AT467" s="90"/>
      <c r="AU467" s="90"/>
      <c r="AV467" s="90"/>
      <c r="AW467" s="90"/>
      <c r="AX467" s="90"/>
      <c r="AY467" s="90"/>
      <c r="AZ467" s="90"/>
      <c r="BA467" s="90"/>
    </row>
    <row r="468" spans="3:53"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0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  <c r="AL468" s="90"/>
      <c r="AM468" s="90"/>
      <c r="AN468" s="90"/>
      <c r="AO468" s="90"/>
      <c r="AP468" s="90"/>
      <c r="AQ468" s="90"/>
      <c r="AR468" s="90"/>
      <c r="AS468" s="90"/>
      <c r="AT468" s="90"/>
      <c r="AU468" s="90"/>
      <c r="AV468" s="90"/>
      <c r="AW468" s="90"/>
      <c r="AX468" s="90"/>
      <c r="AY468" s="90"/>
      <c r="AZ468" s="90"/>
      <c r="BA468" s="90"/>
    </row>
    <row r="469" spans="3:53"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0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  <c r="AL469" s="90"/>
      <c r="AM469" s="90"/>
      <c r="AN469" s="90"/>
      <c r="AO469" s="90"/>
      <c r="AP469" s="90"/>
      <c r="AQ469" s="90"/>
      <c r="AR469" s="90"/>
      <c r="AS469" s="90"/>
      <c r="AT469" s="90"/>
      <c r="AU469" s="90"/>
      <c r="AV469" s="90"/>
      <c r="AW469" s="90"/>
      <c r="AX469" s="90"/>
      <c r="AY469" s="90"/>
      <c r="AZ469" s="90"/>
      <c r="BA469" s="90"/>
    </row>
    <row r="470" spans="3:53"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0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  <c r="AL470" s="90"/>
      <c r="AM470" s="90"/>
      <c r="AN470" s="90"/>
      <c r="AO470" s="90"/>
      <c r="AP470" s="90"/>
      <c r="AQ470" s="90"/>
      <c r="AR470" s="90"/>
      <c r="AS470" s="90"/>
      <c r="AT470" s="90"/>
      <c r="AU470" s="90"/>
      <c r="AV470" s="90"/>
      <c r="AW470" s="90"/>
      <c r="AX470" s="90"/>
      <c r="AY470" s="90"/>
      <c r="AZ470" s="90"/>
      <c r="BA470" s="90"/>
    </row>
    <row r="471" spans="3:53"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0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  <c r="AL471" s="90"/>
      <c r="AM471" s="90"/>
      <c r="AN471" s="90"/>
      <c r="AO471" s="90"/>
      <c r="AP471" s="90"/>
      <c r="AQ471" s="90"/>
      <c r="AR471" s="90"/>
      <c r="AS471" s="90"/>
      <c r="AT471" s="90"/>
      <c r="AU471" s="90"/>
      <c r="AV471" s="90"/>
      <c r="AW471" s="90"/>
      <c r="AX471" s="90"/>
      <c r="AY471" s="90"/>
      <c r="AZ471" s="90"/>
      <c r="BA471" s="90"/>
    </row>
    <row r="472" spans="3:53"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0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  <c r="AL472" s="90"/>
      <c r="AM472" s="90"/>
      <c r="AN472" s="90"/>
      <c r="AO472" s="90"/>
      <c r="AP472" s="90"/>
      <c r="AQ472" s="90"/>
      <c r="AR472" s="90"/>
      <c r="AS472" s="90"/>
      <c r="AT472" s="90"/>
      <c r="AU472" s="90"/>
      <c r="AV472" s="90"/>
      <c r="AW472" s="90"/>
      <c r="AX472" s="90"/>
      <c r="AY472" s="90"/>
      <c r="AZ472" s="90"/>
      <c r="BA472" s="90"/>
    </row>
    <row r="473" spans="3:53"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0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  <c r="AL473" s="90"/>
      <c r="AM473" s="90"/>
      <c r="AN473" s="90"/>
      <c r="AO473" s="90"/>
      <c r="AP473" s="90"/>
      <c r="AQ473" s="90"/>
      <c r="AR473" s="90"/>
      <c r="AS473" s="90"/>
      <c r="AT473" s="90"/>
      <c r="AU473" s="90"/>
      <c r="AV473" s="90"/>
      <c r="AW473" s="90"/>
      <c r="AX473" s="90"/>
      <c r="AY473" s="90"/>
      <c r="AZ473" s="90"/>
      <c r="BA473" s="90"/>
    </row>
    <row r="474" spans="3:53"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0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  <c r="AL474" s="90"/>
      <c r="AM474" s="90"/>
      <c r="AN474" s="90"/>
      <c r="AO474" s="90"/>
      <c r="AP474" s="90"/>
      <c r="AQ474" s="90"/>
      <c r="AR474" s="90"/>
      <c r="AS474" s="90"/>
      <c r="AT474" s="90"/>
      <c r="AU474" s="90"/>
      <c r="AV474" s="90"/>
      <c r="AW474" s="90"/>
      <c r="AX474" s="90"/>
      <c r="AY474" s="90"/>
      <c r="AZ474" s="90"/>
      <c r="BA474" s="90"/>
    </row>
    <row r="475" spans="3:53"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0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  <c r="AL475" s="90"/>
      <c r="AM475" s="90"/>
      <c r="AN475" s="90"/>
      <c r="AO475" s="90"/>
      <c r="AP475" s="90"/>
      <c r="AQ475" s="90"/>
      <c r="AR475" s="90"/>
      <c r="AS475" s="90"/>
      <c r="AT475" s="90"/>
      <c r="AU475" s="90"/>
      <c r="AV475" s="90"/>
      <c r="AW475" s="90"/>
      <c r="AX475" s="90"/>
      <c r="AY475" s="90"/>
      <c r="AZ475" s="90"/>
      <c r="BA475" s="90"/>
    </row>
    <row r="476" spans="3:53"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0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  <c r="AL476" s="90"/>
      <c r="AM476" s="90"/>
      <c r="AN476" s="90"/>
      <c r="AO476" s="90"/>
      <c r="AP476" s="90"/>
      <c r="AQ476" s="90"/>
      <c r="AR476" s="90"/>
      <c r="AS476" s="90"/>
      <c r="AT476" s="90"/>
      <c r="AU476" s="90"/>
      <c r="AV476" s="90"/>
      <c r="AW476" s="90"/>
      <c r="AX476" s="90"/>
      <c r="AY476" s="90"/>
      <c r="AZ476" s="90"/>
      <c r="BA476" s="90"/>
    </row>
    <row r="477" spans="3:53"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0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  <c r="AL477" s="90"/>
      <c r="AM477" s="90"/>
      <c r="AN477" s="90"/>
      <c r="AO477" s="90"/>
      <c r="AP477" s="90"/>
      <c r="AQ477" s="90"/>
      <c r="AR477" s="90"/>
      <c r="AS477" s="90"/>
      <c r="AT477" s="90"/>
      <c r="AU477" s="90"/>
      <c r="AV477" s="90"/>
      <c r="AW477" s="90"/>
      <c r="AX477" s="90"/>
      <c r="AY477" s="90"/>
      <c r="AZ477" s="90"/>
      <c r="BA477" s="90"/>
    </row>
    <row r="478" spans="3:53"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0"/>
      <c r="R478" s="90"/>
      <c r="S478" s="90"/>
      <c r="T478" s="90"/>
      <c r="U478" s="90"/>
      <c r="V478" s="90"/>
      <c r="W478" s="90"/>
      <c r="X478" s="90"/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0"/>
      <c r="AK478" s="90"/>
      <c r="AL478" s="90"/>
      <c r="AM478" s="90"/>
      <c r="AN478" s="90"/>
      <c r="AO478" s="90"/>
      <c r="AP478" s="90"/>
      <c r="AQ478" s="90"/>
      <c r="AR478" s="90"/>
      <c r="AS478" s="90"/>
      <c r="AT478" s="90"/>
      <c r="AU478" s="90"/>
      <c r="AV478" s="90"/>
      <c r="AW478" s="90"/>
      <c r="AX478" s="90"/>
      <c r="AY478" s="90"/>
      <c r="AZ478" s="90"/>
      <c r="BA478" s="90"/>
    </row>
    <row r="479" spans="3:53"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0"/>
      <c r="R479" s="90"/>
      <c r="S479" s="90"/>
      <c r="T479" s="90"/>
      <c r="U479" s="90"/>
      <c r="V479" s="90"/>
      <c r="W479" s="90"/>
      <c r="X479" s="90"/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  <c r="AL479" s="90"/>
      <c r="AM479" s="90"/>
      <c r="AN479" s="90"/>
      <c r="AO479" s="90"/>
      <c r="AP479" s="90"/>
      <c r="AQ479" s="90"/>
      <c r="AR479" s="90"/>
      <c r="AS479" s="90"/>
      <c r="AT479" s="90"/>
      <c r="AU479" s="90"/>
      <c r="AV479" s="90"/>
      <c r="AW479" s="90"/>
      <c r="AX479" s="90"/>
      <c r="AY479" s="90"/>
      <c r="AZ479" s="90"/>
      <c r="BA479" s="90"/>
    </row>
    <row r="480" spans="3:53"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0"/>
      <c r="R480" s="90"/>
      <c r="S480" s="90"/>
      <c r="T480" s="90"/>
      <c r="U480" s="90"/>
      <c r="V480" s="90"/>
      <c r="W480" s="90"/>
      <c r="X480" s="90"/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0"/>
      <c r="AK480" s="90"/>
      <c r="AL480" s="90"/>
      <c r="AM480" s="90"/>
      <c r="AN480" s="90"/>
      <c r="AO480" s="90"/>
      <c r="AP480" s="90"/>
      <c r="AQ480" s="90"/>
      <c r="AR480" s="90"/>
      <c r="AS480" s="90"/>
      <c r="AT480" s="90"/>
      <c r="AU480" s="90"/>
      <c r="AV480" s="90"/>
      <c r="AW480" s="90"/>
      <c r="AX480" s="90"/>
      <c r="AY480" s="90"/>
      <c r="AZ480" s="90"/>
      <c r="BA480" s="90"/>
    </row>
    <row r="481" spans="3:53"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0"/>
      <c r="R481" s="90"/>
      <c r="S481" s="90"/>
      <c r="T481" s="90"/>
      <c r="U481" s="90"/>
      <c r="V481" s="90"/>
      <c r="W481" s="90"/>
      <c r="X481" s="90"/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0"/>
      <c r="AK481" s="90"/>
      <c r="AL481" s="90"/>
      <c r="AM481" s="90"/>
      <c r="AN481" s="90"/>
      <c r="AO481" s="90"/>
      <c r="AP481" s="90"/>
      <c r="AQ481" s="90"/>
      <c r="AR481" s="90"/>
      <c r="AS481" s="90"/>
      <c r="AT481" s="90"/>
      <c r="AU481" s="90"/>
      <c r="AV481" s="90"/>
      <c r="AW481" s="90"/>
      <c r="AX481" s="90"/>
      <c r="AY481" s="90"/>
      <c r="AZ481" s="90"/>
      <c r="BA481" s="90"/>
    </row>
    <row r="482" spans="3:53"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0"/>
      <c r="R482" s="90"/>
      <c r="S482" s="90"/>
      <c r="T482" s="90"/>
      <c r="U482" s="90"/>
      <c r="V482" s="90"/>
      <c r="W482" s="90"/>
      <c r="X482" s="90"/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0"/>
      <c r="AK482" s="90"/>
      <c r="AL482" s="90"/>
      <c r="AM482" s="90"/>
      <c r="AN482" s="90"/>
      <c r="AO482" s="90"/>
      <c r="AP482" s="90"/>
      <c r="AQ482" s="90"/>
      <c r="AR482" s="90"/>
      <c r="AS482" s="90"/>
      <c r="AT482" s="90"/>
      <c r="AU482" s="90"/>
      <c r="AV482" s="90"/>
      <c r="AW482" s="90"/>
      <c r="AX482" s="90"/>
      <c r="AY482" s="90"/>
      <c r="AZ482" s="90"/>
      <c r="BA482" s="90"/>
    </row>
    <row r="483" spans="3:53"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0"/>
      <c r="R483" s="90"/>
      <c r="S483" s="90"/>
      <c r="T483" s="90"/>
      <c r="U483" s="90"/>
      <c r="V483" s="90"/>
      <c r="W483" s="90"/>
      <c r="X483" s="90"/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0"/>
      <c r="AK483" s="90"/>
      <c r="AL483" s="90"/>
      <c r="AM483" s="90"/>
      <c r="AN483" s="90"/>
      <c r="AO483" s="90"/>
      <c r="AP483" s="90"/>
      <c r="AQ483" s="90"/>
      <c r="AR483" s="90"/>
      <c r="AS483" s="90"/>
      <c r="AT483" s="90"/>
      <c r="AU483" s="90"/>
      <c r="AV483" s="90"/>
      <c r="AW483" s="90"/>
      <c r="AX483" s="90"/>
      <c r="AY483" s="90"/>
      <c r="AZ483" s="90"/>
      <c r="BA483" s="90"/>
    </row>
    <row r="484" spans="3:53"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0"/>
      <c r="R484" s="90"/>
      <c r="S484" s="90"/>
      <c r="T484" s="90"/>
      <c r="U484" s="90"/>
      <c r="V484" s="90"/>
      <c r="W484" s="90"/>
      <c r="X484" s="90"/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0"/>
      <c r="AK484" s="90"/>
      <c r="AL484" s="90"/>
      <c r="AM484" s="90"/>
      <c r="AN484" s="90"/>
      <c r="AO484" s="90"/>
      <c r="AP484" s="90"/>
      <c r="AQ484" s="90"/>
      <c r="AR484" s="90"/>
      <c r="AS484" s="90"/>
      <c r="AT484" s="90"/>
      <c r="AU484" s="90"/>
      <c r="AV484" s="90"/>
      <c r="AW484" s="90"/>
      <c r="AX484" s="90"/>
      <c r="AY484" s="90"/>
      <c r="AZ484" s="90"/>
      <c r="BA484" s="90"/>
    </row>
    <row r="485" spans="3:53"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0"/>
      <c r="R485" s="90"/>
      <c r="S485" s="90"/>
      <c r="T485" s="90"/>
      <c r="U485" s="90"/>
      <c r="V485" s="90"/>
      <c r="W485" s="90"/>
      <c r="X485" s="90"/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0"/>
      <c r="AK485" s="90"/>
      <c r="AL485" s="90"/>
      <c r="AM485" s="90"/>
      <c r="AN485" s="90"/>
      <c r="AO485" s="90"/>
      <c r="AP485" s="90"/>
      <c r="AQ485" s="90"/>
      <c r="AR485" s="90"/>
      <c r="AS485" s="90"/>
      <c r="AT485" s="90"/>
      <c r="AU485" s="90"/>
      <c r="AV485" s="90"/>
      <c r="AW485" s="90"/>
      <c r="AX485" s="90"/>
      <c r="AY485" s="90"/>
      <c r="AZ485" s="90"/>
      <c r="BA485" s="90"/>
    </row>
    <row r="486" spans="3:53"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0"/>
      <c r="R486" s="90"/>
      <c r="S486" s="90"/>
      <c r="T486" s="90"/>
      <c r="U486" s="90"/>
      <c r="V486" s="90"/>
      <c r="W486" s="90"/>
      <c r="X486" s="90"/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0"/>
      <c r="AK486" s="90"/>
      <c r="AL486" s="90"/>
      <c r="AM486" s="90"/>
      <c r="AN486" s="90"/>
      <c r="AO486" s="90"/>
      <c r="AP486" s="90"/>
      <c r="AQ486" s="90"/>
      <c r="AR486" s="90"/>
      <c r="AS486" s="90"/>
      <c r="AT486" s="90"/>
      <c r="AU486" s="90"/>
      <c r="AV486" s="90"/>
      <c r="AW486" s="90"/>
      <c r="AX486" s="90"/>
      <c r="AY486" s="90"/>
      <c r="AZ486" s="90"/>
      <c r="BA486" s="90"/>
    </row>
    <row r="487" spans="3:53"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0"/>
      <c r="R487" s="90"/>
      <c r="S487" s="90"/>
      <c r="T487" s="90"/>
      <c r="U487" s="90"/>
      <c r="V487" s="90"/>
      <c r="W487" s="90"/>
      <c r="X487" s="90"/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0"/>
      <c r="AK487" s="90"/>
      <c r="AL487" s="90"/>
      <c r="AM487" s="90"/>
      <c r="AN487" s="90"/>
      <c r="AO487" s="90"/>
      <c r="AP487" s="90"/>
      <c r="AQ487" s="90"/>
      <c r="AR487" s="90"/>
      <c r="AS487" s="90"/>
      <c r="AT487" s="90"/>
      <c r="AU487" s="90"/>
      <c r="AV487" s="90"/>
      <c r="AW487" s="90"/>
      <c r="AX487" s="90"/>
      <c r="AY487" s="90"/>
      <c r="AZ487" s="90"/>
      <c r="BA487" s="90"/>
    </row>
    <row r="488" spans="3:53"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0"/>
      <c r="R488" s="90"/>
      <c r="S488" s="90"/>
      <c r="T488" s="90"/>
      <c r="U488" s="90"/>
      <c r="V488" s="90"/>
      <c r="W488" s="90"/>
      <c r="X488" s="90"/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0"/>
      <c r="AK488" s="90"/>
      <c r="AL488" s="90"/>
      <c r="AM488" s="90"/>
      <c r="AN488" s="90"/>
      <c r="AO488" s="90"/>
      <c r="AP488" s="90"/>
      <c r="AQ488" s="90"/>
      <c r="AR488" s="90"/>
      <c r="AS488" s="90"/>
      <c r="AT488" s="90"/>
      <c r="AU488" s="90"/>
      <c r="AV488" s="90"/>
      <c r="AW488" s="90"/>
      <c r="AX488" s="90"/>
      <c r="AY488" s="90"/>
      <c r="AZ488" s="90"/>
      <c r="BA488" s="90"/>
    </row>
    <row r="489" spans="3:53"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0"/>
      <c r="R489" s="90"/>
      <c r="S489" s="90"/>
      <c r="T489" s="90"/>
      <c r="U489" s="90"/>
      <c r="V489" s="90"/>
      <c r="W489" s="90"/>
      <c r="X489" s="90"/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0"/>
      <c r="AK489" s="90"/>
      <c r="AL489" s="90"/>
      <c r="AM489" s="90"/>
      <c r="AN489" s="90"/>
      <c r="AO489" s="90"/>
      <c r="AP489" s="90"/>
      <c r="AQ489" s="90"/>
      <c r="AR489" s="90"/>
      <c r="AS489" s="90"/>
      <c r="AT489" s="90"/>
      <c r="AU489" s="90"/>
      <c r="AV489" s="90"/>
      <c r="AW489" s="90"/>
      <c r="AX489" s="90"/>
      <c r="AY489" s="90"/>
      <c r="AZ489" s="90"/>
      <c r="BA489" s="90"/>
    </row>
    <row r="490" spans="3:53"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0"/>
      <c r="R490" s="90"/>
      <c r="S490" s="90"/>
      <c r="T490" s="90"/>
      <c r="U490" s="90"/>
      <c r="V490" s="90"/>
      <c r="W490" s="90"/>
      <c r="X490" s="90"/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0"/>
      <c r="AK490" s="90"/>
      <c r="AL490" s="90"/>
      <c r="AM490" s="90"/>
      <c r="AN490" s="90"/>
      <c r="AO490" s="90"/>
      <c r="AP490" s="90"/>
      <c r="AQ490" s="90"/>
      <c r="AR490" s="90"/>
      <c r="AS490" s="90"/>
      <c r="AT490" s="90"/>
      <c r="AU490" s="90"/>
      <c r="AV490" s="90"/>
      <c r="AW490" s="90"/>
      <c r="AX490" s="90"/>
      <c r="AY490" s="90"/>
      <c r="AZ490" s="90"/>
      <c r="BA490" s="90"/>
    </row>
    <row r="491" spans="3:53"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0"/>
      <c r="R491" s="90"/>
      <c r="S491" s="90"/>
      <c r="T491" s="90"/>
      <c r="U491" s="90"/>
      <c r="V491" s="90"/>
      <c r="W491" s="90"/>
      <c r="X491" s="90"/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0"/>
      <c r="AK491" s="90"/>
      <c r="AL491" s="90"/>
      <c r="AM491" s="90"/>
      <c r="AN491" s="90"/>
      <c r="AO491" s="90"/>
      <c r="AP491" s="90"/>
      <c r="AQ491" s="90"/>
      <c r="AR491" s="90"/>
      <c r="AS491" s="90"/>
      <c r="AT491" s="90"/>
      <c r="AU491" s="90"/>
      <c r="AV491" s="90"/>
      <c r="AW491" s="90"/>
      <c r="AX491" s="90"/>
      <c r="AY491" s="90"/>
      <c r="AZ491" s="90"/>
      <c r="BA491" s="90"/>
    </row>
    <row r="492" spans="3:53"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0"/>
      <c r="R492" s="90"/>
      <c r="S492" s="90"/>
      <c r="T492" s="90"/>
      <c r="U492" s="90"/>
      <c r="V492" s="90"/>
      <c r="W492" s="90"/>
      <c r="X492" s="90"/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0"/>
      <c r="AK492" s="90"/>
      <c r="AL492" s="90"/>
      <c r="AM492" s="90"/>
      <c r="AN492" s="90"/>
      <c r="AO492" s="90"/>
      <c r="AP492" s="90"/>
      <c r="AQ492" s="90"/>
      <c r="AR492" s="90"/>
      <c r="AS492" s="90"/>
      <c r="AT492" s="90"/>
      <c r="AU492" s="90"/>
      <c r="AV492" s="90"/>
      <c r="AW492" s="90"/>
      <c r="AX492" s="90"/>
      <c r="AY492" s="90"/>
      <c r="AZ492" s="90"/>
      <c r="BA492" s="90"/>
    </row>
    <row r="493" spans="3:53"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0"/>
      <c r="R493" s="90"/>
      <c r="S493" s="90"/>
      <c r="T493" s="90"/>
      <c r="U493" s="90"/>
      <c r="V493" s="90"/>
      <c r="W493" s="90"/>
      <c r="X493" s="90"/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0"/>
      <c r="AK493" s="90"/>
      <c r="AL493" s="90"/>
      <c r="AM493" s="90"/>
      <c r="AN493" s="90"/>
      <c r="AO493" s="90"/>
      <c r="AP493" s="90"/>
      <c r="AQ493" s="90"/>
      <c r="AR493" s="90"/>
      <c r="AS493" s="90"/>
      <c r="AT493" s="90"/>
      <c r="AU493" s="90"/>
      <c r="AV493" s="90"/>
      <c r="AW493" s="90"/>
      <c r="AX493" s="90"/>
      <c r="AY493" s="90"/>
      <c r="AZ493" s="90"/>
      <c r="BA493" s="90"/>
    </row>
    <row r="494" spans="3:53"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0"/>
      <c r="R494" s="90"/>
      <c r="S494" s="90"/>
      <c r="T494" s="90"/>
      <c r="U494" s="90"/>
      <c r="V494" s="90"/>
      <c r="W494" s="90"/>
      <c r="X494" s="90"/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0"/>
      <c r="AK494" s="90"/>
      <c r="AL494" s="90"/>
      <c r="AM494" s="90"/>
      <c r="AN494" s="90"/>
      <c r="AO494" s="90"/>
      <c r="AP494" s="90"/>
      <c r="AQ494" s="90"/>
      <c r="AR494" s="90"/>
      <c r="AS494" s="90"/>
      <c r="AT494" s="90"/>
      <c r="AU494" s="90"/>
      <c r="AV494" s="90"/>
      <c r="AW494" s="90"/>
      <c r="AX494" s="90"/>
      <c r="AY494" s="90"/>
      <c r="AZ494" s="90"/>
      <c r="BA494" s="90"/>
    </row>
    <row r="495" spans="3:53"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0"/>
      <c r="R495" s="90"/>
      <c r="S495" s="90"/>
      <c r="T495" s="90"/>
      <c r="U495" s="90"/>
      <c r="V495" s="90"/>
      <c r="W495" s="90"/>
      <c r="X495" s="90"/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  <c r="AL495" s="90"/>
      <c r="AM495" s="90"/>
      <c r="AN495" s="90"/>
      <c r="AO495" s="90"/>
      <c r="AP495" s="90"/>
      <c r="AQ495" s="90"/>
      <c r="AR495" s="90"/>
      <c r="AS495" s="90"/>
      <c r="AT495" s="90"/>
      <c r="AU495" s="90"/>
      <c r="AV495" s="90"/>
      <c r="AW495" s="90"/>
      <c r="AX495" s="90"/>
      <c r="AY495" s="90"/>
      <c r="AZ495" s="90"/>
      <c r="BA495" s="90"/>
    </row>
    <row r="496" spans="3:53"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0"/>
      <c r="R496" s="90"/>
      <c r="S496" s="90"/>
      <c r="T496" s="90"/>
      <c r="U496" s="90"/>
      <c r="V496" s="90"/>
      <c r="W496" s="90"/>
      <c r="X496" s="90"/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  <c r="AL496" s="90"/>
      <c r="AM496" s="90"/>
      <c r="AN496" s="90"/>
      <c r="AO496" s="90"/>
      <c r="AP496" s="90"/>
      <c r="AQ496" s="90"/>
      <c r="AR496" s="90"/>
      <c r="AS496" s="90"/>
      <c r="AT496" s="90"/>
      <c r="AU496" s="90"/>
      <c r="AV496" s="90"/>
      <c r="AW496" s="90"/>
      <c r="AX496" s="90"/>
      <c r="AY496" s="90"/>
      <c r="AZ496" s="90"/>
      <c r="BA496" s="90"/>
    </row>
    <row r="497" spans="3:53"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0"/>
      <c r="R497" s="90"/>
      <c r="S497" s="90"/>
      <c r="T497" s="90"/>
      <c r="U497" s="90"/>
      <c r="V497" s="90"/>
      <c r="W497" s="90"/>
      <c r="X497" s="90"/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  <c r="AL497" s="90"/>
      <c r="AM497" s="90"/>
      <c r="AN497" s="90"/>
      <c r="AO497" s="90"/>
      <c r="AP497" s="90"/>
      <c r="AQ497" s="90"/>
      <c r="AR497" s="90"/>
      <c r="AS497" s="90"/>
      <c r="AT497" s="90"/>
      <c r="AU497" s="90"/>
      <c r="AV497" s="90"/>
      <c r="AW497" s="90"/>
      <c r="AX497" s="90"/>
      <c r="AY497" s="90"/>
      <c r="AZ497" s="90"/>
      <c r="BA497" s="90"/>
    </row>
    <row r="498" spans="3:53"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0"/>
      <c r="R498" s="90"/>
      <c r="S498" s="90"/>
      <c r="T498" s="90"/>
      <c r="U498" s="90"/>
      <c r="V498" s="90"/>
      <c r="W498" s="90"/>
      <c r="X498" s="90"/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0"/>
      <c r="AK498" s="90"/>
      <c r="AL498" s="90"/>
      <c r="AM498" s="90"/>
      <c r="AN498" s="90"/>
      <c r="AO498" s="90"/>
      <c r="AP498" s="90"/>
      <c r="AQ498" s="90"/>
      <c r="AR498" s="90"/>
      <c r="AS498" s="90"/>
      <c r="AT498" s="90"/>
      <c r="AU498" s="90"/>
      <c r="AV498" s="90"/>
      <c r="AW498" s="90"/>
      <c r="AX498" s="90"/>
      <c r="AY498" s="90"/>
      <c r="AZ498" s="90"/>
      <c r="BA498" s="90"/>
    </row>
    <row r="499" spans="3:53"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0"/>
      <c r="R499" s="90"/>
      <c r="S499" s="90"/>
      <c r="T499" s="90"/>
      <c r="U499" s="90"/>
      <c r="V499" s="90"/>
      <c r="W499" s="90"/>
      <c r="X499" s="90"/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0"/>
      <c r="AK499" s="90"/>
      <c r="AL499" s="90"/>
      <c r="AM499" s="90"/>
      <c r="AN499" s="90"/>
      <c r="AO499" s="90"/>
      <c r="AP499" s="90"/>
      <c r="AQ499" s="90"/>
      <c r="AR499" s="90"/>
      <c r="AS499" s="90"/>
      <c r="AT499" s="90"/>
      <c r="AU499" s="90"/>
      <c r="AV499" s="90"/>
      <c r="AW499" s="90"/>
      <c r="AX499" s="90"/>
      <c r="AY499" s="90"/>
      <c r="AZ499" s="90"/>
      <c r="BA499" s="90"/>
    </row>
    <row r="500" spans="3:53"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0"/>
      <c r="R500" s="90"/>
      <c r="S500" s="90"/>
      <c r="T500" s="90"/>
      <c r="U500" s="90"/>
      <c r="V500" s="90"/>
      <c r="W500" s="90"/>
      <c r="X500" s="90"/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0"/>
      <c r="AK500" s="90"/>
      <c r="AL500" s="90"/>
      <c r="AM500" s="90"/>
      <c r="AN500" s="90"/>
      <c r="AO500" s="90"/>
      <c r="AP500" s="90"/>
      <c r="AQ500" s="90"/>
      <c r="AR500" s="90"/>
      <c r="AS500" s="90"/>
      <c r="AT500" s="90"/>
      <c r="AU500" s="90"/>
      <c r="AV500" s="90"/>
      <c r="AW500" s="90"/>
      <c r="AX500" s="90"/>
      <c r="AY500" s="90"/>
      <c r="AZ500" s="90"/>
      <c r="BA500" s="90"/>
    </row>
    <row r="501" spans="3:53"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0"/>
      <c r="R501" s="90"/>
      <c r="S501" s="90"/>
      <c r="T501" s="90"/>
      <c r="U501" s="90"/>
      <c r="V501" s="90"/>
      <c r="W501" s="90"/>
      <c r="X501" s="90"/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0"/>
      <c r="AK501" s="90"/>
      <c r="AL501" s="90"/>
      <c r="AM501" s="90"/>
      <c r="AN501" s="90"/>
      <c r="AO501" s="90"/>
      <c r="AP501" s="90"/>
      <c r="AQ501" s="90"/>
      <c r="AR501" s="90"/>
      <c r="AS501" s="90"/>
      <c r="AT501" s="90"/>
      <c r="AU501" s="90"/>
      <c r="AV501" s="90"/>
      <c r="AW501" s="90"/>
      <c r="AX501" s="90"/>
      <c r="AY501" s="90"/>
      <c r="AZ501" s="90"/>
      <c r="BA501" s="90"/>
    </row>
    <row r="502" spans="3:53"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0"/>
      <c r="R502" s="90"/>
      <c r="S502" s="90"/>
      <c r="T502" s="90"/>
      <c r="U502" s="90"/>
      <c r="V502" s="90"/>
      <c r="W502" s="90"/>
      <c r="X502" s="90"/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0"/>
      <c r="AK502" s="90"/>
      <c r="AL502" s="90"/>
      <c r="AM502" s="90"/>
      <c r="AN502" s="90"/>
      <c r="AO502" s="90"/>
      <c r="AP502" s="90"/>
      <c r="AQ502" s="90"/>
      <c r="AR502" s="90"/>
      <c r="AS502" s="90"/>
      <c r="AT502" s="90"/>
      <c r="AU502" s="90"/>
      <c r="AV502" s="90"/>
      <c r="AW502" s="90"/>
      <c r="AX502" s="90"/>
      <c r="AY502" s="90"/>
      <c r="AZ502" s="90"/>
      <c r="BA502" s="90"/>
    </row>
    <row r="503" spans="3:53"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0"/>
      <c r="R503" s="90"/>
      <c r="S503" s="90"/>
      <c r="T503" s="90"/>
      <c r="U503" s="90"/>
      <c r="V503" s="90"/>
      <c r="W503" s="90"/>
      <c r="X503" s="90"/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0"/>
      <c r="AK503" s="90"/>
      <c r="AL503" s="90"/>
      <c r="AM503" s="90"/>
      <c r="AN503" s="90"/>
      <c r="AO503" s="90"/>
      <c r="AP503" s="90"/>
      <c r="AQ503" s="90"/>
      <c r="AR503" s="90"/>
      <c r="AS503" s="90"/>
      <c r="AT503" s="90"/>
      <c r="AU503" s="90"/>
      <c r="AV503" s="90"/>
      <c r="AW503" s="90"/>
      <c r="AX503" s="90"/>
      <c r="AY503" s="90"/>
      <c r="AZ503" s="90"/>
      <c r="BA503" s="90"/>
    </row>
    <row r="504" spans="3:53"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0"/>
      <c r="R504" s="90"/>
      <c r="S504" s="90"/>
      <c r="T504" s="90"/>
      <c r="U504" s="90"/>
      <c r="V504" s="90"/>
      <c r="W504" s="90"/>
      <c r="X504" s="90"/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0"/>
      <c r="AK504" s="90"/>
      <c r="AL504" s="90"/>
      <c r="AM504" s="90"/>
      <c r="AN504" s="90"/>
      <c r="AO504" s="90"/>
      <c r="AP504" s="90"/>
      <c r="AQ504" s="90"/>
      <c r="AR504" s="90"/>
      <c r="AS504" s="90"/>
      <c r="AT504" s="90"/>
      <c r="AU504" s="90"/>
      <c r="AV504" s="90"/>
      <c r="AW504" s="90"/>
      <c r="AX504" s="90"/>
      <c r="AY504" s="90"/>
      <c r="AZ504" s="90"/>
      <c r="BA504" s="90"/>
    </row>
    <row r="505" spans="3:53"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0"/>
      <c r="R505" s="90"/>
      <c r="S505" s="90"/>
      <c r="T505" s="90"/>
      <c r="U505" s="90"/>
      <c r="V505" s="90"/>
      <c r="W505" s="90"/>
      <c r="X505" s="90"/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0"/>
      <c r="AK505" s="90"/>
      <c r="AL505" s="90"/>
      <c r="AM505" s="90"/>
      <c r="AN505" s="90"/>
      <c r="AO505" s="90"/>
      <c r="AP505" s="90"/>
      <c r="AQ505" s="90"/>
      <c r="AR505" s="90"/>
      <c r="AS505" s="90"/>
      <c r="AT505" s="90"/>
      <c r="AU505" s="90"/>
      <c r="AV505" s="90"/>
      <c r="AW505" s="90"/>
      <c r="AX505" s="90"/>
      <c r="AY505" s="90"/>
      <c r="AZ505" s="90"/>
      <c r="BA505" s="90"/>
    </row>
    <row r="506" spans="3:53"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0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  <c r="AL506" s="90"/>
      <c r="AM506" s="90"/>
      <c r="AN506" s="90"/>
      <c r="AO506" s="90"/>
      <c r="AP506" s="90"/>
      <c r="AQ506" s="90"/>
      <c r="AR506" s="90"/>
      <c r="AS506" s="90"/>
      <c r="AT506" s="90"/>
      <c r="AU506" s="90"/>
      <c r="AV506" s="90"/>
      <c r="AW506" s="90"/>
      <c r="AX506" s="90"/>
      <c r="AY506" s="90"/>
      <c r="AZ506" s="90"/>
      <c r="BA506" s="90"/>
    </row>
    <row r="507" spans="3:53"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0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  <c r="AL507" s="90"/>
      <c r="AM507" s="90"/>
      <c r="AN507" s="90"/>
      <c r="AO507" s="90"/>
      <c r="AP507" s="90"/>
      <c r="AQ507" s="90"/>
      <c r="AR507" s="90"/>
      <c r="AS507" s="90"/>
      <c r="AT507" s="90"/>
      <c r="AU507" s="90"/>
      <c r="AV507" s="90"/>
      <c r="AW507" s="90"/>
      <c r="AX507" s="90"/>
      <c r="AY507" s="90"/>
      <c r="AZ507" s="90"/>
      <c r="BA507" s="90"/>
    </row>
    <row r="508" spans="3:53"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0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  <c r="AL508" s="90"/>
      <c r="AM508" s="90"/>
      <c r="AN508" s="90"/>
      <c r="AO508" s="90"/>
      <c r="AP508" s="90"/>
      <c r="AQ508" s="90"/>
      <c r="AR508" s="90"/>
      <c r="AS508" s="90"/>
      <c r="AT508" s="90"/>
      <c r="AU508" s="90"/>
      <c r="AV508" s="90"/>
      <c r="AW508" s="90"/>
      <c r="AX508" s="90"/>
      <c r="AY508" s="90"/>
      <c r="AZ508" s="90"/>
      <c r="BA508" s="90"/>
    </row>
    <row r="509" spans="3:53"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0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  <c r="AL509" s="90"/>
      <c r="AM509" s="90"/>
      <c r="AN509" s="90"/>
      <c r="AO509" s="90"/>
      <c r="AP509" s="90"/>
      <c r="AQ509" s="90"/>
      <c r="AR509" s="90"/>
      <c r="AS509" s="90"/>
      <c r="AT509" s="90"/>
      <c r="AU509" s="90"/>
      <c r="AV509" s="90"/>
      <c r="AW509" s="90"/>
      <c r="AX509" s="90"/>
      <c r="AY509" s="90"/>
      <c r="AZ509" s="90"/>
      <c r="BA509" s="90"/>
    </row>
    <row r="510" spans="3:53"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0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  <c r="AL510" s="90"/>
      <c r="AM510" s="90"/>
      <c r="AN510" s="90"/>
      <c r="AO510" s="90"/>
      <c r="AP510" s="90"/>
      <c r="AQ510" s="90"/>
      <c r="AR510" s="90"/>
      <c r="AS510" s="90"/>
      <c r="AT510" s="90"/>
      <c r="AU510" s="90"/>
      <c r="AV510" s="90"/>
      <c r="AW510" s="90"/>
      <c r="AX510" s="90"/>
      <c r="AY510" s="90"/>
      <c r="AZ510" s="90"/>
      <c r="BA510" s="90"/>
    </row>
    <row r="511" spans="3:53"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0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  <c r="AL511" s="90"/>
      <c r="AM511" s="90"/>
      <c r="AN511" s="90"/>
      <c r="AO511" s="90"/>
      <c r="AP511" s="90"/>
      <c r="AQ511" s="90"/>
      <c r="AR511" s="90"/>
      <c r="AS511" s="90"/>
      <c r="AT511" s="90"/>
      <c r="AU511" s="90"/>
      <c r="AV511" s="90"/>
      <c r="AW511" s="90"/>
      <c r="AX511" s="90"/>
      <c r="AY511" s="90"/>
      <c r="AZ511" s="90"/>
      <c r="BA511" s="90"/>
    </row>
    <row r="512" spans="3:53"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0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  <c r="AL512" s="90"/>
      <c r="AM512" s="90"/>
      <c r="AN512" s="90"/>
      <c r="AO512" s="90"/>
      <c r="AP512" s="90"/>
      <c r="AQ512" s="90"/>
      <c r="AR512" s="90"/>
      <c r="AS512" s="90"/>
      <c r="AT512" s="90"/>
      <c r="AU512" s="90"/>
      <c r="AV512" s="90"/>
      <c r="AW512" s="90"/>
      <c r="AX512" s="90"/>
      <c r="AY512" s="90"/>
      <c r="AZ512" s="90"/>
      <c r="BA512" s="90"/>
    </row>
    <row r="513" spans="3:53"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0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  <c r="AL513" s="90"/>
      <c r="AM513" s="90"/>
      <c r="AN513" s="90"/>
      <c r="AO513" s="90"/>
      <c r="AP513" s="90"/>
      <c r="AQ513" s="90"/>
      <c r="AR513" s="90"/>
      <c r="AS513" s="90"/>
      <c r="AT513" s="90"/>
      <c r="AU513" s="90"/>
      <c r="AV513" s="90"/>
      <c r="AW513" s="90"/>
      <c r="AX513" s="90"/>
      <c r="AY513" s="90"/>
      <c r="AZ513" s="90"/>
      <c r="BA513" s="90"/>
    </row>
    <row r="514" spans="3:53"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0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  <c r="AL514" s="90"/>
      <c r="AM514" s="90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</row>
    <row r="515" spans="3:53"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0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  <c r="AL515" s="90"/>
      <c r="AM515" s="90"/>
      <c r="AN515" s="90"/>
      <c r="AO515" s="90"/>
      <c r="AP515" s="90"/>
      <c r="AQ515" s="90"/>
      <c r="AR515" s="90"/>
      <c r="AS515" s="90"/>
      <c r="AT515" s="90"/>
      <c r="AU515" s="90"/>
      <c r="AV515" s="90"/>
      <c r="AW515" s="90"/>
      <c r="AX515" s="90"/>
      <c r="AY515" s="90"/>
      <c r="AZ515" s="90"/>
      <c r="BA515" s="90"/>
    </row>
    <row r="516" spans="3:53"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0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  <c r="AL516" s="90"/>
      <c r="AM516" s="90"/>
      <c r="AN516" s="90"/>
      <c r="AO516" s="90"/>
      <c r="AP516" s="90"/>
      <c r="AQ516" s="90"/>
      <c r="AR516" s="90"/>
      <c r="AS516" s="90"/>
      <c r="AT516" s="90"/>
      <c r="AU516" s="90"/>
      <c r="AV516" s="90"/>
      <c r="AW516" s="90"/>
      <c r="AX516" s="90"/>
      <c r="AY516" s="90"/>
      <c r="AZ516" s="90"/>
      <c r="BA516" s="90"/>
    </row>
    <row r="517" spans="3:53"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0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  <c r="AL517" s="90"/>
      <c r="AM517" s="90"/>
      <c r="AN517" s="90"/>
      <c r="AO517" s="90"/>
      <c r="AP517" s="90"/>
      <c r="AQ517" s="90"/>
      <c r="AR517" s="90"/>
      <c r="AS517" s="90"/>
      <c r="AT517" s="90"/>
      <c r="AU517" s="90"/>
      <c r="AV517" s="90"/>
      <c r="AW517" s="90"/>
      <c r="AX517" s="90"/>
      <c r="AY517" s="90"/>
      <c r="AZ517" s="90"/>
      <c r="BA517" s="90"/>
    </row>
    <row r="518" spans="3:53"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0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  <c r="AL518" s="90"/>
      <c r="AM518" s="90"/>
      <c r="AN518" s="90"/>
      <c r="AO518" s="90"/>
      <c r="AP518" s="90"/>
      <c r="AQ518" s="90"/>
      <c r="AR518" s="90"/>
      <c r="AS518" s="90"/>
      <c r="AT518" s="90"/>
      <c r="AU518" s="90"/>
      <c r="AV518" s="90"/>
      <c r="AW518" s="90"/>
      <c r="AX518" s="90"/>
      <c r="AY518" s="90"/>
      <c r="AZ518" s="90"/>
      <c r="BA518" s="90"/>
    </row>
    <row r="519" spans="3:53"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0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  <c r="AL519" s="90"/>
      <c r="AM519" s="90"/>
      <c r="AN519" s="90"/>
      <c r="AO519" s="90"/>
      <c r="AP519" s="90"/>
      <c r="AQ519" s="90"/>
      <c r="AR519" s="90"/>
      <c r="AS519" s="90"/>
      <c r="AT519" s="90"/>
      <c r="AU519" s="90"/>
      <c r="AV519" s="90"/>
      <c r="AW519" s="90"/>
      <c r="AX519" s="90"/>
      <c r="AY519" s="90"/>
      <c r="AZ519" s="90"/>
      <c r="BA519" s="90"/>
    </row>
    <row r="520" spans="3:53"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0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  <c r="AL520" s="90"/>
      <c r="AM520" s="90"/>
      <c r="AN520" s="90"/>
      <c r="AO520" s="90"/>
      <c r="AP520" s="90"/>
      <c r="AQ520" s="90"/>
      <c r="AR520" s="90"/>
      <c r="AS520" s="90"/>
      <c r="AT520" s="90"/>
      <c r="AU520" s="90"/>
      <c r="AV520" s="90"/>
      <c r="AW520" s="90"/>
      <c r="AX520" s="90"/>
      <c r="AY520" s="90"/>
      <c r="AZ520" s="90"/>
      <c r="BA520" s="90"/>
    </row>
    <row r="521" spans="3:53"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0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  <c r="AL521" s="90"/>
      <c r="AM521" s="90"/>
      <c r="AN521" s="90"/>
      <c r="AO521" s="90"/>
      <c r="AP521" s="90"/>
      <c r="AQ521" s="90"/>
      <c r="AR521" s="90"/>
      <c r="AS521" s="90"/>
      <c r="AT521" s="90"/>
      <c r="AU521" s="90"/>
      <c r="AV521" s="90"/>
      <c r="AW521" s="90"/>
      <c r="AX521" s="90"/>
      <c r="AY521" s="90"/>
      <c r="AZ521" s="90"/>
      <c r="BA521" s="90"/>
    </row>
    <row r="522" spans="3:53"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0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  <c r="AL522" s="90"/>
      <c r="AM522" s="90"/>
      <c r="AN522" s="90"/>
      <c r="AO522" s="90"/>
      <c r="AP522" s="90"/>
      <c r="AQ522" s="90"/>
      <c r="AR522" s="90"/>
      <c r="AS522" s="90"/>
      <c r="AT522" s="90"/>
      <c r="AU522" s="90"/>
      <c r="AV522" s="90"/>
      <c r="AW522" s="90"/>
      <c r="AX522" s="90"/>
      <c r="AY522" s="90"/>
      <c r="AZ522" s="90"/>
      <c r="BA522" s="90"/>
    </row>
    <row r="523" spans="3:53"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0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  <c r="AL523" s="90"/>
      <c r="AM523" s="90"/>
      <c r="AN523" s="90"/>
      <c r="AO523" s="90"/>
      <c r="AP523" s="90"/>
      <c r="AQ523" s="90"/>
      <c r="AR523" s="90"/>
      <c r="AS523" s="90"/>
      <c r="AT523" s="90"/>
      <c r="AU523" s="90"/>
      <c r="AV523" s="90"/>
      <c r="AW523" s="90"/>
      <c r="AX523" s="90"/>
      <c r="AY523" s="90"/>
      <c r="AZ523" s="90"/>
      <c r="BA523" s="90"/>
    </row>
    <row r="524" spans="3:53"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0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  <c r="AL524" s="90"/>
      <c r="AM524" s="90"/>
      <c r="AN524" s="90"/>
      <c r="AO524" s="90"/>
      <c r="AP524" s="90"/>
      <c r="AQ524" s="90"/>
      <c r="AR524" s="90"/>
      <c r="AS524" s="90"/>
      <c r="AT524" s="90"/>
      <c r="AU524" s="90"/>
      <c r="AV524" s="90"/>
      <c r="AW524" s="90"/>
      <c r="AX524" s="90"/>
      <c r="AY524" s="90"/>
      <c r="AZ524" s="90"/>
      <c r="BA524" s="90"/>
    </row>
    <row r="525" spans="3:53"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0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  <c r="AL525" s="90"/>
      <c r="AM525" s="90"/>
      <c r="AN525" s="90"/>
      <c r="AO525" s="90"/>
      <c r="AP525" s="90"/>
      <c r="AQ525" s="90"/>
      <c r="AR525" s="90"/>
      <c r="AS525" s="90"/>
      <c r="AT525" s="90"/>
      <c r="AU525" s="90"/>
      <c r="AV525" s="90"/>
      <c r="AW525" s="90"/>
      <c r="AX525" s="90"/>
      <c r="AY525" s="90"/>
      <c r="AZ525" s="90"/>
      <c r="BA525" s="90"/>
    </row>
    <row r="526" spans="3:53"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0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  <c r="AL526" s="90"/>
      <c r="AM526" s="90"/>
      <c r="AN526" s="90"/>
      <c r="AO526" s="90"/>
      <c r="AP526" s="90"/>
      <c r="AQ526" s="90"/>
      <c r="AR526" s="90"/>
      <c r="AS526" s="90"/>
      <c r="AT526" s="90"/>
      <c r="AU526" s="90"/>
      <c r="AV526" s="90"/>
      <c r="AW526" s="90"/>
      <c r="AX526" s="90"/>
      <c r="AY526" s="90"/>
      <c r="AZ526" s="90"/>
      <c r="BA526" s="90"/>
    </row>
    <row r="527" spans="3:53"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0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  <c r="AL527" s="90"/>
      <c r="AM527" s="90"/>
      <c r="AN527" s="90"/>
      <c r="AO527" s="90"/>
      <c r="AP527" s="90"/>
      <c r="AQ527" s="90"/>
      <c r="AR527" s="90"/>
      <c r="AS527" s="90"/>
      <c r="AT527" s="90"/>
      <c r="AU527" s="90"/>
      <c r="AV527" s="90"/>
      <c r="AW527" s="90"/>
      <c r="AX527" s="90"/>
      <c r="AY527" s="90"/>
      <c r="AZ527" s="90"/>
      <c r="BA527" s="90"/>
    </row>
    <row r="528" spans="3:53"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0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  <c r="AL528" s="90"/>
      <c r="AM528" s="90"/>
      <c r="AN528" s="90"/>
      <c r="AO528" s="90"/>
      <c r="AP528" s="90"/>
      <c r="AQ528" s="90"/>
      <c r="AR528" s="90"/>
      <c r="AS528" s="90"/>
      <c r="AT528" s="90"/>
      <c r="AU528" s="90"/>
      <c r="AV528" s="90"/>
      <c r="AW528" s="90"/>
      <c r="AX528" s="90"/>
      <c r="AY528" s="90"/>
      <c r="AZ528" s="90"/>
      <c r="BA528" s="90"/>
    </row>
    <row r="529" spans="3:53"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0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  <c r="AL529" s="90"/>
      <c r="AM529" s="90"/>
      <c r="AN529" s="90"/>
      <c r="AO529" s="90"/>
      <c r="AP529" s="90"/>
      <c r="AQ529" s="90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</row>
    <row r="530" spans="3:53"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0"/>
      <c r="R530" s="90"/>
      <c r="S530" s="90"/>
      <c r="T530" s="90"/>
      <c r="U530" s="90"/>
      <c r="V530" s="90"/>
      <c r="W530" s="90"/>
      <c r="X530" s="90"/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  <c r="AL530" s="90"/>
      <c r="AM530" s="90"/>
      <c r="AN530" s="90"/>
      <c r="AO530" s="90"/>
      <c r="AP530" s="90"/>
      <c r="AQ530" s="90"/>
      <c r="AR530" s="90"/>
      <c r="AS530" s="90"/>
      <c r="AT530" s="90"/>
      <c r="AU530" s="90"/>
      <c r="AV530" s="90"/>
      <c r="AW530" s="90"/>
      <c r="AX530" s="90"/>
      <c r="AY530" s="90"/>
      <c r="AZ530" s="90"/>
      <c r="BA530" s="90"/>
    </row>
    <row r="531" spans="3:53"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0"/>
      <c r="R531" s="90"/>
      <c r="S531" s="90"/>
      <c r="T531" s="90"/>
      <c r="U531" s="90"/>
      <c r="V531" s="90"/>
      <c r="W531" s="90"/>
      <c r="X531" s="90"/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0"/>
      <c r="AK531" s="90"/>
      <c r="AL531" s="90"/>
      <c r="AM531" s="90"/>
      <c r="AN531" s="90"/>
      <c r="AO531" s="90"/>
      <c r="AP531" s="90"/>
      <c r="AQ531" s="90"/>
      <c r="AR531" s="90"/>
      <c r="AS531" s="90"/>
      <c r="AT531" s="90"/>
      <c r="AU531" s="90"/>
      <c r="AV531" s="90"/>
      <c r="AW531" s="90"/>
      <c r="AX531" s="90"/>
      <c r="AY531" s="90"/>
      <c r="AZ531" s="90"/>
      <c r="BA531" s="90"/>
    </row>
    <row r="532" spans="3:53"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0"/>
      <c r="R532" s="90"/>
      <c r="S532" s="90"/>
      <c r="T532" s="90"/>
      <c r="U532" s="90"/>
      <c r="V532" s="90"/>
      <c r="W532" s="90"/>
      <c r="X532" s="90"/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0"/>
      <c r="AK532" s="90"/>
      <c r="AL532" s="90"/>
      <c r="AM532" s="90"/>
      <c r="AN532" s="90"/>
      <c r="AO532" s="90"/>
      <c r="AP532" s="90"/>
      <c r="AQ532" s="90"/>
      <c r="AR532" s="90"/>
      <c r="AS532" s="90"/>
      <c r="AT532" s="90"/>
      <c r="AU532" s="90"/>
      <c r="AV532" s="90"/>
      <c r="AW532" s="90"/>
      <c r="AX532" s="90"/>
      <c r="AY532" s="90"/>
      <c r="AZ532" s="90"/>
      <c r="BA532" s="90"/>
    </row>
    <row r="533" spans="3:53"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0"/>
      <c r="R533" s="90"/>
      <c r="S533" s="90"/>
      <c r="T533" s="90"/>
      <c r="U533" s="90"/>
      <c r="V533" s="90"/>
      <c r="W533" s="90"/>
      <c r="X533" s="90"/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0"/>
      <c r="AK533" s="90"/>
      <c r="AL533" s="90"/>
      <c r="AM533" s="90"/>
      <c r="AN533" s="90"/>
      <c r="AO533" s="90"/>
      <c r="AP533" s="90"/>
      <c r="AQ533" s="90"/>
      <c r="AR533" s="90"/>
      <c r="AS533" s="90"/>
      <c r="AT533" s="90"/>
      <c r="AU533" s="90"/>
      <c r="AV533" s="90"/>
      <c r="AW533" s="90"/>
      <c r="AX533" s="90"/>
      <c r="AY533" s="90"/>
      <c r="AZ533" s="90"/>
      <c r="BA533" s="90"/>
    </row>
    <row r="534" spans="3:53"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0"/>
      <c r="R534" s="90"/>
      <c r="S534" s="90"/>
      <c r="T534" s="90"/>
      <c r="U534" s="90"/>
      <c r="V534" s="90"/>
      <c r="W534" s="90"/>
      <c r="X534" s="90"/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0"/>
      <c r="AK534" s="90"/>
      <c r="AL534" s="90"/>
      <c r="AM534" s="90"/>
      <c r="AN534" s="90"/>
      <c r="AO534" s="90"/>
      <c r="AP534" s="90"/>
      <c r="AQ534" s="90"/>
      <c r="AR534" s="90"/>
      <c r="AS534" s="90"/>
      <c r="AT534" s="90"/>
      <c r="AU534" s="90"/>
      <c r="AV534" s="90"/>
      <c r="AW534" s="90"/>
      <c r="AX534" s="90"/>
      <c r="AY534" s="90"/>
      <c r="AZ534" s="90"/>
      <c r="BA534" s="90"/>
    </row>
    <row r="535" spans="3:53"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0"/>
      <c r="R535" s="90"/>
      <c r="S535" s="90"/>
      <c r="T535" s="90"/>
      <c r="U535" s="90"/>
      <c r="V535" s="90"/>
      <c r="W535" s="90"/>
      <c r="X535" s="90"/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0"/>
      <c r="AK535" s="90"/>
      <c r="AL535" s="90"/>
      <c r="AM535" s="90"/>
      <c r="AN535" s="90"/>
      <c r="AO535" s="90"/>
      <c r="AP535" s="90"/>
      <c r="AQ535" s="90"/>
      <c r="AR535" s="90"/>
      <c r="AS535" s="90"/>
      <c r="AT535" s="90"/>
      <c r="AU535" s="90"/>
      <c r="AV535" s="90"/>
      <c r="AW535" s="90"/>
      <c r="AX535" s="90"/>
      <c r="AY535" s="90"/>
      <c r="AZ535" s="90"/>
      <c r="BA535" s="90"/>
    </row>
    <row r="536" spans="3:53"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0"/>
      <c r="R536" s="90"/>
      <c r="S536" s="90"/>
      <c r="T536" s="90"/>
      <c r="U536" s="90"/>
      <c r="V536" s="90"/>
      <c r="W536" s="90"/>
      <c r="X536" s="90"/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0"/>
      <c r="AK536" s="90"/>
      <c r="AL536" s="90"/>
      <c r="AM536" s="90"/>
      <c r="AN536" s="90"/>
      <c r="AO536" s="90"/>
      <c r="AP536" s="90"/>
      <c r="AQ536" s="90"/>
      <c r="AR536" s="90"/>
      <c r="AS536" s="90"/>
      <c r="AT536" s="90"/>
      <c r="AU536" s="90"/>
      <c r="AV536" s="90"/>
      <c r="AW536" s="90"/>
      <c r="AX536" s="90"/>
      <c r="AY536" s="90"/>
      <c r="AZ536" s="90"/>
      <c r="BA536" s="90"/>
    </row>
    <row r="537" spans="3:53"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0"/>
      <c r="R537" s="90"/>
      <c r="S537" s="90"/>
      <c r="T537" s="90"/>
      <c r="U537" s="90"/>
      <c r="V537" s="90"/>
      <c r="W537" s="90"/>
      <c r="X537" s="90"/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0"/>
      <c r="AK537" s="90"/>
      <c r="AL537" s="90"/>
      <c r="AM537" s="90"/>
      <c r="AN537" s="90"/>
      <c r="AO537" s="90"/>
      <c r="AP537" s="90"/>
      <c r="AQ537" s="90"/>
      <c r="AR537" s="90"/>
      <c r="AS537" s="90"/>
      <c r="AT537" s="90"/>
      <c r="AU537" s="90"/>
      <c r="AV537" s="90"/>
      <c r="AW537" s="90"/>
      <c r="AX537" s="90"/>
      <c r="AY537" s="90"/>
      <c r="AZ537" s="90"/>
      <c r="BA537" s="90"/>
    </row>
    <row r="538" spans="3:53"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0"/>
      <c r="R538" s="90"/>
      <c r="S538" s="90"/>
      <c r="T538" s="90"/>
      <c r="U538" s="90"/>
      <c r="V538" s="90"/>
      <c r="W538" s="90"/>
      <c r="X538" s="90"/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0"/>
      <c r="AK538" s="90"/>
      <c r="AL538" s="90"/>
      <c r="AM538" s="90"/>
      <c r="AN538" s="90"/>
      <c r="AO538" s="90"/>
      <c r="AP538" s="90"/>
      <c r="AQ538" s="90"/>
      <c r="AR538" s="90"/>
      <c r="AS538" s="90"/>
      <c r="AT538" s="90"/>
      <c r="AU538" s="90"/>
      <c r="AV538" s="90"/>
      <c r="AW538" s="90"/>
      <c r="AX538" s="90"/>
      <c r="AY538" s="90"/>
      <c r="AZ538" s="90"/>
      <c r="BA538" s="90"/>
    </row>
    <row r="539" spans="3:53"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0"/>
      <c r="R539" s="90"/>
      <c r="S539" s="90"/>
      <c r="T539" s="90"/>
      <c r="U539" s="90"/>
      <c r="V539" s="90"/>
      <c r="W539" s="90"/>
      <c r="X539" s="90"/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0"/>
      <c r="AK539" s="90"/>
      <c r="AL539" s="90"/>
      <c r="AM539" s="90"/>
      <c r="AN539" s="90"/>
      <c r="AO539" s="90"/>
      <c r="AP539" s="90"/>
      <c r="AQ539" s="90"/>
      <c r="AR539" s="90"/>
      <c r="AS539" s="90"/>
      <c r="AT539" s="90"/>
      <c r="AU539" s="90"/>
      <c r="AV539" s="90"/>
      <c r="AW539" s="90"/>
      <c r="AX539" s="90"/>
      <c r="AY539" s="90"/>
      <c r="AZ539" s="90"/>
      <c r="BA539" s="90"/>
    </row>
    <row r="540" spans="3:53"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0"/>
      <c r="R540" s="90"/>
      <c r="S540" s="90"/>
      <c r="T540" s="90"/>
      <c r="U540" s="90"/>
      <c r="V540" s="90"/>
      <c r="W540" s="90"/>
      <c r="X540" s="90"/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0"/>
      <c r="AK540" s="90"/>
      <c r="AL540" s="90"/>
      <c r="AM540" s="90"/>
      <c r="AN540" s="90"/>
      <c r="AO540" s="90"/>
      <c r="AP540" s="90"/>
      <c r="AQ540" s="90"/>
      <c r="AR540" s="90"/>
      <c r="AS540" s="90"/>
      <c r="AT540" s="90"/>
      <c r="AU540" s="90"/>
      <c r="AV540" s="90"/>
      <c r="AW540" s="90"/>
      <c r="AX540" s="90"/>
      <c r="AY540" s="90"/>
      <c r="AZ540" s="90"/>
      <c r="BA540" s="90"/>
    </row>
    <row r="541" spans="3:53"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0"/>
      <c r="AK541" s="90"/>
      <c r="AL541" s="90"/>
      <c r="AM541" s="90"/>
      <c r="AN541" s="90"/>
      <c r="AO541" s="90"/>
      <c r="AP541" s="90"/>
      <c r="AQ541" s="90"/>
      <c r="AR541" s="90"/>
      <c r="AS541" s="90"/>
      <c r="AT541" s="90"/>
      <c r="AU541" s="90"/>
      <c r="AV541" s="90"/>
      <c r="AW541" s="90"/>
      <c r="AX541" s="90"/>
      <c r="AY541" s="90"/>
      <c r="AZ541" s="90"/>
      <c r="BA541" s="90"/>
    </row>
    <row r="542" spans="3:53"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0"/>
      <c r="R542" s="90"/>
      <c r="S542" s="90"/>
      <c r="T542" s="90"/>
      <c r="U542" s="90"/>
      <c r="V542" s="90"/>
      <c r="W542" s="90"/>
      <c r="X542" s="90"/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0"/>
      <c r="AK542" s="90"/>
      <c r="AL542" s="90"/>
      <c r="AM542" s="90"/>
      <c r="AN542" s="90"/>
      <c r="AO542" s="90"/>
      <c r="AP542" s="90"/>
      <c r="AQ542" s="90"/>
      <c r="AR542" s="90"/>
      <c r="AS542" s="90"/>
      <c r="AT542" s="90"/>
      <c r="AU542" s="90"/>
      <c r="AV542" s="90"/>
      <c r="AW542" s="90"/>
      <c r="AX542" s="90"/>
      <c r="AY542" s="90"/>
      <c r="AZ542" s="90"/>
      <c r="BA542" s="90"/>
    </row>
    <row r="543" spans="3:53"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0"/>
      <c r="R543" s="90"/>
      <c r="S543" s="90"/>
      <c r="T543" s="90"/>
      <c r="U543" s="90"/>
      <c r="V543" s="90"/>
      <c r="W543" s="90"/>
      <c r="X543" s="90"/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0"/>
      <c r="AK543" s="90"/>
      <c r="AL543" s="90"/>
      <c r="AM543" s="90"/>
      <c r="AN543" s="90"/>
      <c r="AO543" s="90"/>
      <c r="AP543" s="90"/>
      <c r="AQ543" s="90"/>
      <c r="AR543" s="90"/>
      <c r="AS543" s="90"/>
      <c r="AT543" s="90"/>
      <c r="AU543" s="90"/>
      <c r="AV543" s="90"/>
      <c r="AW543" s="90"/>
      <c r="AX543" s="90"/>
      <c r="AY543" s="90"/>
      <c r="AZ543" s="90"/>
      <c r="BA543" s="90"/>
    </row>
    <row r="544" spans="3:53"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0"/>
      <c r="R544" s="90"/>
      <c r="S544" s="90"/>
      <c r="T544" s="90"/>
      <c r="U544" s="90"/>
      <c r="V544" s="90"/>
      <c r="W544" s="90"/>
      <c r="X544" s="90"/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0"/>
      <c r="AK544" s="90"/>
      <c r="AL544" s="90"/>
      <c r="AM544" s="90"/>
      <c r="AN544" s="90"/>
      <c r="AO544" s="90"/>
      <c r="AP544" s="90"/>
      <c r="AQ544" s="90"/>
      <c r="AR544" s="90"/>
      <c r="AS544" s="90"/>
      <c r="AT544" s="90"/>
      <c r="AU544" s="90"/>
      <c r="AV544" s="90"/>
      <c r="AW544" s="90"/>
      <c r="AX544" s="90"/>
      <c r="AY544" s="90"/>
      <c r="AZ544" s="90"/>
      <c r="BA544" s="90"/>
    </row>
    <row r="545" spans="3:53"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0"/>
      <c r="R545" s="90"/>
      <c r="S545" s="90"/>
      <c r="T545" s="90"/>
      <c r="U545" s="90"/>
      <c r="V545" s="90"/>
      <c r="W545" s="90"/>
      <c r="X545" s="90"/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0"/>
      <c r="AK545" s="90"/>
      <c r="AL545" s="90"/>
      <c r="AM545" s="90"/>
      <c r="AN545" s="90"/>
      <c r="AO545" s="90"/>
      <c r="AP545" s="90"/>
      <c r="AQ545" s="90"/>
      <c r="AR545" s="90"/>
      <c r="AS545" s="90"/>
      <c r="AT545" s="90"/>
      <c r="AU545" s="90"/>
      <c r="AV545" s="90"/>
      <c r="AW545" s="90"/>
      <c r="AX545" s="90"/>
      <c r="AY545" s="90"/>
      <c r="AZ545" s="90"/>
      <c r="BA545" s="90"/>
    </row>
    <row r="546" spans="3:53"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0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  <c r="AL546" s="90"/>
      <c r="AM546" s="90"/>
      <c r="AN546" s="90"/>
      <c r="AO546" s="90"/>
      <c r="AP546" s="90"/>
      <c r="AQ546" s="90"/>
      <c r="AR546" s="90"/>
      <c r="AS546" s="90"/>
      <c r="AT546" s="90"/>
      <c r="AU546" s="90"/>
      <c r="AV546" s="90"/>
      <c r="AW546" s="90"/>
      <c r="AX546" s="90"/>
      <c r="AY546" s="90"/>
      <c r="AZ546" s="90"/>
      <c r="BA546" s="90"/>
    </row>
    <row r="547" spans="3:53"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  <c r="AL547" s="90"/>
      <c r="AM547" s="90"/>
      <c r="AN547" s="90"/>
      <c r="AO547" s="90"/>
      <c r="AP547" s="90"/>
      <c r="AQ547" s="90"/>
      <c r="AR547" s="90"/>
      <c r="AS547" s="90"/>
      <c r="AT547" s="90"/>
      <c r="AU547" s="90"/>
      <c r="AV547" s="90"/>
      <c r="AW547" s="90"/>
      <c r="AX547" s="90"/>
      <c r="AY547" s="90"/>
      <c r="AZ547" s="90"/>
      <c r="BA547" s="90"/>
    </row>
    <row r="548" spans="3:53"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0"/>
      <c r="R548" s="90"/>
      <c r="S548" s="90"/>
      <c r="T548" s="90"/>
      <c r="U548" s="90"/>
      <c r="V548" s="90"/>
      <c r="W548" s="90"/>
      <c r="X548" s="90"/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0"/>
      <c r="AK548" s="90"/>
      <c r="AL548" s="90"/>
      <c r="AM548" s="90"/>
      <c r="AN548" s="90"/>
      <c r="AO548" s="90"/>
      <c r="AP548" s="90"/>
      <c r="AQ548" s="90"/>
      <c r="AR548" s="90"/>
      <c r="AS548" s="90"/>
      <c r="AT548" s="90"/>
      <c r="AU548" s="90"/>
      <c r="AV548" s="90"/>
      <c r="AW548" s="90"/>
      <c r="AX548" s="90"/>
      <c r="AY548" s="90"/>
      <c r="AZ548" s="90"/>
      <c r="BA548" s="90"/>
    </row>
    <row r="549" spans="3:53"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  <c r="AL549" s="90"/>
      <c r="AM549" s="90"/>
      <c r="AN549" s="90"/>
      <c r="AO549" s="90"/>
      <c r="AP549" s="90"/>
      <c r="AQ549" s="90"/>
      <c r="AR549" s="90"/>
      <c r="AS549" s="90"/>
      <c r="AT549" s="90"/>
      <c r="AU549" s="90"/>
      <c r="AV549" s="90"/>
      <c r="AW549" s="90"/>
      <c r="AX549" s="90"/>
      <c r="AY549" s="90"/>
      <c r="AZ549" s="90"/>
      <c r="BA549" s="90"/>
    </row>
    <row r="550" spans="3:53"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0"/>
      <c r="R550" s="90"/>
      <c r="S550" s="90"/>
      <c r="T550" s="90"/>
      <c r="U550" s="90"/>
      <c r="V550" s="90"/>
      <c r="W550" s="90"/>
      <c r="X550" s="90"/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  <c r="AL550" s="90"/>
      <c r="AM550" s="90"/>
      <c r="AN550" s="90"/>
      <c r="AO550" s="90"/>
      <c r="AP550" s="90"/>
      <c r="AQ550" s="90"/>
      <c r="AR550" s="90"/>
      <c r="AS550" s="90"/>
      <c r="AT550" s="90"/>
      <c r="AU550" s="90"/>
      <c r="AV550" s="90"/>
      <c r="AW550" s="90"/>
      <c r="AX550" s="90"/>
      <c r="AY550" s="90"/>
      <c r="AZ550" s="90"/>
      <c r="BA550" s="90"/>
    </row>
    <row r="551" spans="3:53"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0"/>
      <c r="AK551" s="90"/>
      <c r="AL551" s="90"/>
      <c r="AM551" s="90"/>
      <c r="AN551" s="90"/>
      <c r="AO551" s="90"/>
      <c r="AP551" s="90"/>
      <c r="AQ551" s="90"/>
      <c r="AR551" s="90"/>
      <c r="AS551" s="90"/>
      <c r="AT551" s="90"/>
      <c r="AU551" s="90"/>
      <c r="AV551" s="90"/>
      <c r="AW551" s="90"/>
      <c r="AX551" s="90"/>
      <c r="AY551" s="90"/>
      <c r="AZ551" s="90"/>
      <c r="BA551" s="90"/>
    </row>
    <row r="552" spans="3:53"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0"/>
      <c r="AK552" s="90"/>
      <c r="AL552" s="90"/>
      <c r="AM552" s="90"/>
      <c r="AN552" s="90"/>
      <c r="AO552" s="90"/>
      <c r="AP552" s="90"/>
      <c r="AQ552" s="90"/>
      <c r="AR552" s="90"/>
      <c r="AS552" s="90"/>
      <c r="AT552" s="90"/>
      <c r="AU552" s="90"/>
      <c r="AV552" s="90"/>
      <c r="AW552" s="90"/>
      <c r="AX552" s="90"/>
      <c r="AY552" s="90"/>
      <c r="AZ552" s="90"/>
      <c r="BA552" s="90"/>
    </row>
    <row r="553" spans="3:53"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0"/>
      <c r="AK553" s="90"/>
      <c r="AL553" s="90"/>
      <c r="AM553" s="90"/>
      <c r="AN553" s="90"/>
      <c r="AO553" s="90"/>
      <c r="AP553" s="90"/>
      <c r="AQ553" s="90"/>
      <c r="AR553" s="90"/>
      <c r="AS553" s="90"/>
      <c r="AT553" s="90"/>
      <c r="AU553" s="90"/>
      <c r="AV553" s="90"/>
      <c r="AW553" s="90"/>
      <c r="AX553" s="90"/>
      <c r="AY553" s="90"/>
      <c r="AZ553" s="90"/>
      <c r="BA553" s="90"/>
    </row>
    <row r="554" spans="3:53"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0"/>
      <c r="AK554" s="90"/>
      <c r="AL554" s="90"/>
      <c r="AM554" s="90"/>
      <c r="AN554" s="90"/>
      <c r="AO554" s="90"/>
      <c r="AP554" s="90"/>
      <c r="AQ554" s="90"/>
      <c r="AR554" s="90"/>
      <c r="AS554" s="90"/>
      <c r="AT554" s="90"/>
      <c r="AU554" s="90"/>
      <c r="AV554" s="90"/>
      <c r="AW554" s="90"/>
      <c r="AX554" s="90"/>
      <c r="AY554" s="90"/>
      <c r="AZ554" s="90"/>
      <c r="BA554" s="90"/>
    </row>
    <row r="555" spans="3:53"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0"/>
      <c r="R555" s="90"/>
      <c r="S555" s="90"/>
      <c r="T555" s="90"/>
      <c r="U555" s="90"/>
      <c r="V555" s="90"/>
      <c r="W555" s="90"/>
      <c r="X555" s="90"/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0"/>
      <c r="AK555" s="90"/>
      <c r="AL555" s="90"/>
      <c r="AM555" s="90"/>
      <c r="AN555" s="90"/>
      <c r="AO555" s="90"/>
      <c r="AP555" s="90"/>
      <c r="AQ555" s="90"/>
      <c r="AR555" s="90"/>
      <c r="AS555" s="90"/>
      <c r="AT555" s="90"/>
      <c r="AU555" s="90"/>
      <c r="AV555" s="90"/>
      <c r="AW555" s="90"/>
      <c r="AX555" s="90"/>
      <c r="AY555" s="90"/>
      <c r="AZ555" s="90"/>
      <c r="BA555" s="90"/>
    </row>
    <row r="556" spans="3:53"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0"/>
      <c r="R556" s="90"/>
      <c r="S556" s="90"/>
      <c r="T556" s="90"/>
      <c r="U556" s="90"/>
      <c r="V556" s="90"/>
      <c r="W556" s="90"/>
      <c r="X556" s="90"/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0"/>
      <c r="AK556" s="90"/>
      <c r="AL556" s="90"/>
      <c r="AM556" s="90"/>
      <c r="AN556" s="90"/>
      <c r="AO556" s="90"/>
      <c r="AP556" s="90"/>
      <c r="AQ556" s="90"/>
      <c r="AR556" s="90"/>
      <c r="AS556" s="90"/>
      <c r="AT556" s="90"/>
      <c r="AU556" s="90"/>
      <c r="AV556" s="90"/>
      <c r="AW556" s="90"/>
      <c r="AX556" s="90"/>
      <c r="AY556" s="90"/>
      <c r="AZ556" s="90"/>
      <c r="BA556" s="90"/>
    </row>
    <row r="557" spans="3:53"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0"/>
      <c r="R557" s="90"/>
      <c r="S557" s="90"/>
      <c r="T557" s="90"/>
      <c r="U557" s="90"/>
      <c r="V557" s="90"/>
      <c r="W557" s="90"/>
      <c r="X557" s="90"/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0"/>
      <c r="AK557" s="90"/>
      <c r="AL557" s="90"/>
      <c r="AM557" s="90"/>
      <c r="AN557" s="90"/>
      <c r="AO557" s="90"/>
      <c r="AP557" s="90"/>
      <c r="AQ557" s="90"/>
      <c r="AR557" s="90"/>
      <c r="AS557" s="90"/>
      <c r="AT557" s="90"/>
      <c r="AU557" s="90"/>
      <c r="AV557" s="90"/>
      <c r="AW557" s="90"/>
      <c r="AX557" s="90"/>
      <c r="AY557" s="90"/>
      <c r="AZ557" s="90"/>
      <c r="BA557" s="90"/>
    </row>
    <row r="558" spans="3:53"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0"/>
      <c r="R558" s="90"/>
      <c r="S558" s="90"/>
      <c r="T558" s="90"/>
      <c r="U558" s="90"/>
      <c r="V558" s="90"/>
      <c r="W558" s="90"/>
      <c r="X558" s="90"/>
      <c r="Y558" s="90"/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0"/>
      <c r="AK558" s="90"/>
      <c r="AL558" s="90"/>
      <c r="AM558" s="90"/>
      <c r="AN558" s="90"/>
      <c r="AO558" s="90"/>
      <c r="AP558" s="90"/>
      <c r="AQ558" s="90"/>
      <c r="AR558" s="90"/>
      <c r="AS558" s="90"/>
      <c r="AT558" s="90"/>
      <c r="AU558" s="90"/>
      <c r="AV558" s="90"/>
      <c r="AW558" s="90"/>
      <c r="AX558" s="90"/>
      <c r="AY558" s="90"/>
      <c r="AZ558" s="90"/>
      <c r="BA558" s="90"/>
    </row>
    <row r="559" spans="3:53"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0"/>
      <c r="R559" s="90"/>
      <c r="S559" s="90"/>
      <c r="T559" s="90"/>
      <c r="U559" s="90"/>
      <c r="V559" s="90"/>
      <c r="W559" s="90"/>
      <c r="X559" s="90"/>
      <c r="Y559" s="90"/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0"/>
      <c r="AK559" s="90"/>
      <c r="AL559" s="90"/>
      <c r="AM559" s="90"/>
      <c r="AN559" s="90"/>
      <c r="AO559" s="90"/>
      <c r="AP559" s="90"/>
      <c r="AQ559" s="90"/>
      <c r="AR559" s="90"/>
      <c r="AS559" s="90"/>
      <c r="AT559" s="90"/>
      <c r="AU559" s="90"/>
      <c r="AV559" s="90"/>
      <c r="AW559" s="90"/>
      <c r="AX559" s="90"/>
      <c r="AY559" s="90"/>
      <c r="AZ559" s="90"/>
      <c r="BA559" s="90"/>
    </row>
    <row r="560" spans="3:53"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0"/>
      <c r="R560" s="90"/>
      <c r="S560" s="90"/>
      <c r="T560" s="90"/>
      <c r="U560" s="90"/>
      <c r="V560" s="90"/>
      <c r="W560" s="90"/>
      <c r="X560" s="90"/>
      <c r="Y560" s="90"/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0"/>
      <c r="AK560" s="90"/>
      <c r="AL560" s="90"/>
      <c r="AM560" s="90"/>
      <c r="AN560" s="90"/>
      <c r="AO560" s="90"/>
      <c r="AP560" s="90"/>
      <c r="AQ560" s="90"/>
      <c r="AR560" s="90"/>
      <c r="AS560" s="90"/>
      <c r="AT560" s="90"/>
      <c r="AU560" s="90"/>
      <c r="AV560" s="90"/>
      <c r="AW560" s="90"/>
      <c r="AX560" s="90"/>
      <c r="AY560" s="90"/>
      <c r="AZ560" s="90"/>
      <c r="BA560" s="90"/>
    </row>
    <row r="561" spans="3:53"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0"/>
      <c r="R561" s="90"/>
      <c r="S561" s="90"/>
      <c r="T561" s="90"/>
      <c r="U561" s="90"/>
      <c r="V561" s="90"/>
      <c r="W561" s="90"/>
      <c r="X561" s="90"/>
      <c r="Y561" s="90"/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0"/>
      <c r="AK561" s="90"/>
      <c r="AL561" s="90"/>
      <c r="AM561" s="90"/>
      <c r="AN561" s="90"/>
      <c r="AO561" s="90"/>
      <c r="AP561" s="90"/>
      <c r="AQ561" s="90"/>
      <c r="AR561" s="90"/>
      <c r="AS561" s="90"/>
      <c r="AT561" s="90"/>
      <c r="AU561" s="90"/>
      <c r="AV561" s="90"/>
      <c r="AW561" s="90"/>
      <c r="AX561" s="90"/>
      <c r="AY561" s="90"/>
      <c r="AZ561" s="90"/>
      <c r="BA561" s="90"/>
    </row>
    <row r="562" spans="3:53"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0"/>
      <c r="R562" s="90"/>
      <c r="S562" s="90"/>
      <c r="T562" s="90"/>
      <c r="U562" s="90"/>
      <c r="V562" s="90"/>
      <c r="W562" s="90"/>
      <c r="X562" s="90"/>
      <c r="Y562" s="90"/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0"/>
      <c r="AK562" s="90"/>
      <c r="AL562" s="90"/>
      <c r="AM562" s="90"/>
      <c r="AN562" s="90"/>
      <c r="AO562" s="90"/>
      <c r="AP562" s="90"/>
      <c r="AQ562" s="90"/>
      <c r="AR562" s="90"/>
      <c r="AS562" s="90"/>
      <c r="AT562" s="90"/>
      <c r="AU562" s="90"/>
      <c r="AV562" s="90"/>
      <c r="AW562" s="90"/>
      <c r="AX562" s="90"/>
      <c r="AY562" s="90"/>
      <c r="AZ562" s="90"/>
      <c r="BA562" s="90"/>
    </row>
    <row r="563" spans="3:53"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0"/>
      <c r="R563" s="90"/>
      <c r="S563" s="90"/>
      <c r="T563" s="90"/>
      <c r="U563" s="90"/>
      <c r="V563" s="90"/>
      <c r="W563" s="90"/>
      <c r="X563" s="90"/>
      <c r="Y563" s="90"/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0"/>
      <c r="AK563" s="90"/>
      <c r="AL563" s="90"/>
      <c r="AM563" s="90"/>
      <c r="AN563" s="90"/>
      <c r="AO563" s="90"/>
      <c r="AP563" s="90"/>
      <c r="AQ563" s="90"/>
      <c r="AR563" s="90"/>
      <c r="AS563" s="90"/>
      <c r="AT563" s="90"/>
      <c r="AU563" s="90"/>
      <c r="AV563" s="90"/>
      <c r="AW563" s="90"/>
      <c r="AX563" s="90"/>
      <c r="AY563" s="90"/>
      <c r="AZ563" s="90"/>
      <c r="BA563" s="90"/>
    </row>
    <row r="564" spans="3:53"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0"/>
      <c r="R564" s="90"/>
      <c r="S564" s="90"/>
      <c r="T564" s="90"/>
      <c r="U564" s="90"/>
      <c r="V564" s="90"/>
      <c r="W564" s="90"/>
      <c r="X564" s="90"/>
      <c r="Y564" s="90"/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0"/>
      <c r="AK564" s="90"/>
      <c r="AL564" s="90"/>
      <c r="AM564" s="90"/>
      <c r="AN564" s="90"/>
      <c r="AO564" s="90"/>
      <c r="AP564" s="90"/>
      <c r="AQ564" s="90"/>
      <c r="AR564" s="90"/>
      <c r="AS564" s="90"/>
      <c r="AT564" s="90"/>
      <c r="AU564" s="90"/>
      <c r="AV564" s="90"/>
      <c r="AW564" s="90"/>
      <c r="AX564" s="90"/>
      <c r="AY564" s="90"/>
      <c r="AZ564" s="90"/>
      <c r="BA564" s="90"/>
    </row>
    <row r="565" spans="3:53"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0"/>
      <c r="R565" s="90"/>
      <c r="S565" s="90"/>
      <c r="T565" s="90"/>
      <c r="U565" s="90"/>
      <c r="V565" s="90"/>
      <c r="W565" s="90"/>
      <c r="X565" s="90"/>
      <c r="Y565" s="90"/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0"/>
      <c r="AK565" s="90"/>
      <c r="AL565" s="90"/>
      <c r="AM565" s="90"/>
      <c r="AN565" s="90"/>
      <c r="AO565" s="90"/>
      <c r="AP565" s="90"/>
      <c r="AQ565" s="90"/>
      <c r="AR565" s="90"/>
      <c r="AS565" s="90"/>
      <c r="AT565" s="90"/>
      <c r="AU565" s="90"/>
      <c r="AV565" s="90"/>
      <c r="AW565" s="90"/>
      <c r="AX565" s="90"/>
      <c r="AY565" s="90"/>
      <c r="AZ565" s="90"/>
      <c r="BA565" s="90"/>
    </row>
    <row r="566" spans="3:53"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0"/>
      <c r="R566" s="90"/>
      <c r="S566" s="90"/>
      <c r="T566" s="90"/>
      <c r="U566" s="90"/>
      <c r="V566" s="90"/>
      <c r="W566" s="90"/>
      <c r="X566" s="90"/>
      <c r="Y566" s="90"/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0"/>
      <c r="AK566" s="90"/>
      <c r="AL566" s="90"/>
      <c r="AM566" s="90"/>
      <c r="AN566" s="90"/>
      <c r="AO566" s="90"/>
      <c r="AP566" s="90"/>
      <c r="AQ566" s="90"/>
      <c r="AR566" s="90"/>
      <c r="AS566" s="90"/>
      <c r="AT566" s="90"/>
      <c r="AU566" s="90"/>
      <c r="AV566" s="90"/>
      <c r="AW566" s="90"/>
      <c r="AX566" s="90"/>
      <c r="AY566" s="90"/>
      <c r="AZ566" s="90"/>
      <c r="BA566" s="90"/>
    </row>
    <row r="567" spans="3:53"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0"/>
      <c r="R567" s="90"/>
      <c r="S567" s="90"/>
      <c r="T567" s="90"/>
      <c r="U567" s="90"/>
      <c r="V567" s="90"/>
      <c r="W567" s="90"/>
      <c r="X567" s="90"/>
      <c r="Y567" s="90"/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0"/>
      <c r="AK567" s="90"/>
      <c r="AL567" s="90"/>
      <c r="AM567" s="90"/>
      <c r="AN567" s="90"/>
      <c r="AO567" s="90"/>
      <c r="AP567" s="90"/>
      <c r="AQ567" s="90"/>
      <c r="AR567" s="90"/>
      <c r="AS567" s="90"/>
      <c r="AT567" s="90"/>
      <c r="AU567" s="90"/>
      <c r="AV567" s="90"/>
      <c r="AW567" s="90"/>
      <c r="AX567" s="90"/>
      <c r="AY567" s="90"/>
      <c r="AZ567" s="90"/>
      <c r="BA567" s="90"/>
    </row>
    <row r="568" spans="3:53"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0"/>
      <c r="R568" s="90"/>
      <c r="S568" s="90"/>
      <c r="T568" s="90"/>
      <c r="U568" s="90"/>
      <c r="V568" s="90"/>
      <c r="W568" s="90"/>
      <c r="X568" s="90"/>
      <c r="Y568" s="90"/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0"/>
      <c r="AK568" s="90"/>
      <c r="AL568" s="90"/>
      <c r="AM568" s="90"/>
      <c r="AN568" s="90"/>
      <c r="AO568" s="90"/>
      <c r="AP568" s="90"/>
      <c r="AQ568" s="90"/>
      <c r="AR568" s="90"/>
      <c r="AS568" s="90"/>
      <c r="AT568" s="90"/>
      <c r="AU568" s="90"/>
      <c r="AV568" s="90"/>
      <c r="AW568" s="90"/>
      <c r="AX568" s="90"/>
      <c r="AY568" s="90"/>
      <c r="AZ568" s="90"/>
      <c r="BA568" s="90"/>
    </row>
    <row r="569" spans="3:53"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0"/>
      <c r="R569" s="90"/>
      <c r="S569" s="90"/>
      <c r="T569" s="90"/>
      <c r="U569" s="90"/>
      <c r="V569" s="90"/>
      <c r="W569" s="90"/>
      <c r="X569" s="90"/>
      <c r="Y569" s="90"/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0"/>
      <c r="AK569" s="90"/>
      <c r="AL569" s="90"/>
      <c r="AM569" s="90"/>
      <c r="AN569" s="90"/>
      <c r="AO569" s="90"/>
      <c r="AP569" s="90"/>
      <c r="AQ569" s="90"/>
      <c r="AR569" s="90"/>
      <c r="AS569" s="90"/>
      <c r="AT569" s="90"/>
      <c r="AU569" s="90"/>
      <c r="AV569" s="90"/>
      <c r="AW569" s="90"/>
      <c r="AX569" s="90"/>
      <c r="AY569" s="90"/>
      <c r="AZ569" s="90"/>
      <c r="BA569" s="90"/>
    </row>
    <row r="570" spans="3:53"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0"/>
      <c r="R570" s="90"/>
      <c r="S570" s="90"/>
      <c r="T570" s="90"/>
      <c r="U570" s="90"/>
      <c r="V570" s="90"/>
      <c r="W570" s="90"/>
      <c r="X570" s="90"/>
      <c r="Y570" s="90"/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0"/>
      <c r="AK570" s="90"/>
      <c r="AL570" s="90"/>
      <c r="AM570" s="90"/>
      <c r="AN570" s="90"/>
      <c r="AO570" s="90"/>
      <c r="AP570" s="90"/>
      <c r="AQ570" s="90"/>
      <c r="AR570" s="90"/>
      <c r="AS570" s="90"/>
      <c r="AT570" s="90"/>
      <c r="AU570" s="90"/>
      <c r="AV570" s="90"/>
      <c r="AW570" s="90"/>
      <c r="AX570" s="90"/>
      <c r="AY570" s="90"/>
      <c r="AZ570" s="90"/>
      <c r="BA570" s="90"/>
    </row>
    <row r="571" spans="3:53"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0"/>
      <c r="R571" s="90"/>
      <c r="S571" s="90"/>
      <c r="T571" s="90"/>
      <c r="U571" s="90"/>
      <c r="V571" s="90"/>
      <c r="W571" s="90"/>
      <c r="X571" s="90"/>
      <c r="Y571" s="90"/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0"/>
      <c r="AK571" s="90"/>
      <c r="AL571" s="90"/>
      <c r="AM571" s="90"/>
      <c r="AN571" s="90"/>
      <c r="AO571" s="90"/>
      <c r="AP571" s="90"/>
      <c r="AQ571" s="90"/>
      <c r="AR571" s="90"/>
      <c r="AS571" s="90"/>
      <c r="AT571" s="90"/>
      <c r="AU571" s="90"/>
      <c r="AV571" s="90"/>
      <c r="AW571" s="90"/>
      <c r="AX571" s="90"/>
      <c r="AY571" s="90"/>
      <c r="AZ571" s="90"/>
      <c r="BA571" s="90"/>
    </row>
    <row r="572" spans="3:53"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0"/>
      <c r="R572" s="90"/>
      <c r="S572" s="90"/>
      <c r="T572" s="90"/>
      <c r="U572" s="90"/>
      <c r="V572" s="90"/>
      <c r="W572" s="90"/>
      <c r="X572" s="90"/>
      <c r="Y572" s="90"/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0"/>
      <c r="AK572" s="90"/>
      <c r="AL572" s="90"/>
      <c r="AM572" s="90"/>
      <c r="AN572" s="90"/>
      <c r="AO572" s="90"/>
      <c r="AP572" s="90"/>
      <c r="AQ572" s="90"/>
      <c r="AR572" s="90"/>
      <c r="AS572" s="90"/>
      <c r="AT572" s="90"/>
      <c r="AU572" s="90"/>
      <c r="AV572" s="90"/>
      <c r="AW572" s="90"/>
      <c r="AX572" s="90"/>
      <c r="AY572" s="90"/>
      <c r="AZ572" s="90"/>
      <c r="BA572" s="90"/>
    </row>
    <row r="573" spans="3:53"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0"/>
      <c r="R573" s="90"/>
      <c r="S573" s="90"/>
      <c r="T573" s="90"/>
      <c r="U573" s="90"/>
      <c r="V573" s="90"/>
      <c r="W573" s="90"/>
      <c r="X573" s="90"/>
      <c r="Y573" s="90"/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0"/>
      <c r="AK573" s="90"/>
      <c r="AL573" s="90"/>
      <c r="AM573" s="90"/>
      <c r="AN573" s="90"/>
      <c r="AO573" s="90"/>
      <c r="AP573" s="90"/>
      <c r="AQ573" s="90"/>
      <c r="AR573" s="90"/>
      <c r="AS573" s="90"/>
      <c r="AT573" s="90"/>
      <c r="AU573" s="90"/>
      <c r="AV573" s="90"/>
      <c r="AW573" s="90"/>
      <c r="AX573" s="90"/>
      <c r="AY573" s="90"/>
      <c r="AZ573" s="90"/>
      <c r="BA573" s="90"/>
    </row>
    <row r="574" spans="3:53"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0"/>
      <c r="R574" s="90"/>
      <c r="S574" s="90"/>
      <c r="T574" s="90"/>
      <c r="U574" s="90"/>
      <c r="V574" s="90"/>
      <c r="W574" s="90"/>
      <c r="X574" s="90"/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  <c r="AL574" s="90"/>
      <c r="AM574" s="90"/>
      <c r="AN574" s="90"/>
      <c r="AO574" s="90"/>
      <c r="AP574" s="90"/>
      <c r="AQ574" s="90"/>
      <c r="AR574" s="90"/>
      <c r="AS574" s="90"/>
      <c r="AT574" s="90"/>
      <c r="AU574" s="90"/>
      <c r="AV574" s="90"/>
      <c r="AW574" s="90"/>
      <c r="AX574" s="90"/>
      <c r="AY574" s="90"/>
      <c r="AZ574" s="90"/>
      <c r="BA574" s="90"/>
    </row>
    <row r="575" spans="3:53"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0"/>
      <c r="R575" s="90"/>
      <c r="S575" s="90"/>
      <c r="T575" s="90"/>
      <c r="U575" s="90"/>
      <c r="V575" s="90"/>
      <c r="W575" s="90"/>
      <c r="X575" s="90"/>
      <c r="Y575" s="90"/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0"/>
      <c r="AK575" s="90"/>
      <c r="AL575" s="90"/>
      <c r="AM575" s="90"/>
      <c r="AN575" s="90"/>
      <c r="AO575" s="90"/>
      <c r="AP575" s="90"/>
      <c r="AQ575" s="90"/>
      <c r="AR575" s="90"/>
      <c r="AS575" s="90"/>
      <c r="AT575" s="90"/>
      <c r="AU575" s="90"/>
      <c r="AV575" s="90"/>
      <c r="AW575" s="90"/>
      <c r="AX575" s="90"/>
      <c r="AY575" s="90"/>
      <c r="AZ575" s="90"/>
      <c r="BA575" s="90"/>
    </row>
    <row r="576" spans="3:53"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0"/>
      <c r="R576" s="90"/>
      <c r="S576" s="90"/>
      <c r="T576" s="90"/>
      <c r="U576" s="90"/>
      <c r="V576" s="90"/>
      <c r="W576" s="90"/>
      <c r="X576" s="90"/>
      <c r="Y576" s="90"/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0"/>
      <c r="AK576" s="90"/>
      <c r="AL576" s="90"/>
      <c r="AM576" s="90"/>
      <c r="AN576" s="90"/>
      <c r="AO576" s="90"/>
      <c r="AP576" s="90"/>
      <c r="AQ576" s="90"/>
      <c r="AR576" s="90"/>
      <c r="AS576" s="90"/>
      <c r="AT576" s="90"/>
      <c r="AU576" s="90"/>
      <c r="AV576" s="90"/>
      <c r="AW576" s="90"/>
      <c r="AX576" s="90"/>
      <c r="AY576" s="90"/>
      <c r="AZ576" s="90"/>
      <c r="BA576" s="90"/>
    </row>
    <row r="577" spans="3:53"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0"/>
      <c r="R577" s="90"/>
      <c r="S577" s="90"/>
      <c r="T577" s="90"/>
      <c r="U577" s="90"/>
      <c r="V577" s="90"/>
      <c r="W577" s="90"/>
      <c r="X577" s="90"/>
      <c r="Y577" s="90"/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0"/>
      <c r="AK577" s="90"/>
      <c r="AL577" s="90"/>
      <c r="AM577" s="90"/>
      <c r="AN577" s="90"/>
      <c r="AO577" s="90"/>
      <c r="AP577" s="90"/>
      <c r="AQ577" s="90"/>
      <c r="AR577" s="90"/>
      <c r="AS577" s="90"/>
      <c r="AT577" s="90"/>
      <c r="AU577" s="90"/>
      <c r="AV577" s="90"/>
      <c r="AW577" s="90"/>
      <c r="AX577" s="90"/>
      <c r="AY577" s="90"/>
      <c r="AZ577" s="90"/>
      <c r="BA577" s="90"/>
    </row>
    <row r="578" spans="3:53"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0"/>
      <c r="R578" s="90"/>
      <c r="S578" s="90"/>
      <c r="T578" s="90"/>
      <c r="U578" s="90"/>
      <c r="V578" s="90"/>
      <c r="W578" s="90"/>
      <c r="X578" s="90"/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  <c r="AL578" s="90"/>
      <c r="AM578" s="90"/>
      <c r="AN578" s="90"/>
      <c r="AO578" s="90"/>
      <c r="AP578" s="90"/>
      <c r="AQ578" s="90"/>
      <c r="AR578" s="90"/>
      <c r="AS578" s="90"/>
      <c r="AT578" s="90"/>
      <c r="AU578" s="90"/>
      <c r="AV578" s="90"/>
      <c r="AW578" s="90"/>
      <c r="AX578" s="90"/>
      <c r="AY578" s="90"/>
      <c r="AZ578" s="90"/>
      <c r="BA578" s="90"/>
    </row>
    <row r="579" spans="3:53"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0"/>
      <c r="R579" s="90"/>
      <c r="S579" s="90"/>
      <c r="T579" s="90"/>
      <c r="U579" s="90"/>
      <c r="V579" s="90"/>
      <c r="W579" s="90"/>
      <c r="X579" s="90"/>
      <c r="Y579" s="90"/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0"/>
      <c r="AK579" s="90"/>
      <c r="AL579" s="90"/>
      <c r="AM579" s="90"/>
      <c r="AN579" s="90"/>
      <c r="AO579" s="90"/>
      <c r="AP579" s="90"/>
      <c r="AQ579" s="90"/>
      <c r="AR579" s="90"/>
      <c r="AS579" s="90"/>
      <c r="AT579" s="90"/>
      <c r="AU579" s="90"/>
      <c r="AV579" s="90"/>
      <c r="AW579" s="90"/>
      <c r="AX579" s="90"/>
      <c r="AY579" s="90"/>
      <c r="AZ579" s="90"/>
      <c r="BA579" s="90"/>
    </row>
    <row r="580" spans="3:53"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0"/>
      <c r="R580" s="90"/>
      <c r="S580" s="90"/>
      <c r="T580" s="90"/>
      <c r="U580" s="90"/>
      <c r="V580" s="90"/>
      <c r="W580" s="90"/>
      <c r="X580" s="90"/>
      <c r="Y580" s="90"/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0"/>
      <c r="AK580" s="90"/>
      <c r="AL580" s="90"/>
      <c r="AM580" s="90"/>
      <c r="AN580" s="90"/>
      <c r="AO580" s="90"/>
      <c r="AP580" s="90"/>
      <c r="AQ580" s="90"/>
      <c r="AR580" s="90"/>
      <c r="AS580" s="90"/>
      <c r="AT580" s="90"/>
      <c r="AU580" s="90"/>
      <c r="AV580" s="90"/>
      <c r="AW580" s="90"/>
      <c r="AX580" s="90"/>
      <c r="AY580" s="90"/>
      <c r="AZ580" s="90"/>
      <c r="BA580" s="90"/>
    </row>
    <row r="581" spans="3:53"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0"/>
      <c r="R581" s="90"/>
      <c r="S581" s="90"/>
      <c r="T581" s="90"/>
      <c r="U581" s="90"/>
      <c r="V581" s="90"/>
      <c r="W581" s="90"/>
      <c r="X581" s="90"/>
      <c r="Y581" s="90"/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0"/>
      <c r="AK581" s="90"/>
      <c r="AL581" s="90"/>
      <c r="AM581" s="90"/>
      <c r="AN581" s="90"/>
      <c r="AO581" s="90"/>
      <c r="AP581" s="90"/>
      <c r="AQ581" s="90"/>
      <c r="AR581" s="90"/>
      <c r="AS581" s="90"/>
      <c r="AT581" s="90"/>
      <c r="AU581" s="90"/>
      <c r="AV581" s="90"/>
      <c r="AW581" s="90"/>
      <c r="AX581" s="90"/>
      <c r="AY581" s="90"/>
      <c r="AZ581" s="90"/>
      <c r="BA581" s="90"/>
    </row>
    <row r="582" spans="3:53"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0"/>
      <c r="R582" s="90"/>
      <c r="S582" s="90"/>
      <c r="T582" s="90"/>
      <c r="U582" s="90"/>
      <c r="V582" s="90"/>
      <c r="W582" s="90"/>
      <c r="X582" s="90"/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  <c r="AL582" s="90"/>
      <c r="AM582" s="90"/>
      <c r="AN582" s="90"/>
      <c r="AO582" s="90"/>
      <c r="AP582" s="90"/>
      <c r="AQ582" s="90"/>
      <c r="AR582" s="90"/>
      <c r="AS582" s="90"/>
      <c r="AT582" s="90"/>
      <c r="AU582" s="90"/>
      <c r="AV582" s="90"/>
      <c r="AW582" s="90"/>
      <c r="AX582" s="90"/>
      <c r="AY582" s="90"/>
      <c r="AZ582" s="90"/>
      <c r="BA582" s="90"/>
    </row>
    <row r="583" spans="3:53"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0"/>
      <c r="R583" s="90"/>
      <c r="S583" s="90"/>
      <c r="T583" s="90"/>
      <c r="U583" s="90"/>
      <c r="V583" s="90"/>
      <c r="W583" s="90"/>
      <c r="X583" s="90"/>
      <c r="Y583" s="90"/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0"/>
      <c r="AK583" s="90"/>
      <c r="AL583" s="90"/>
      <c r="AM583" s="90"/>
      <c r="AN583" s="90"/>
      <c r="AO583" s="90"/>
      <c r="AP583" s="90"/>
      <c r="AQ583" s="90"/>
      <c r="AR583" s="90"/>
      <c r="AS583" s="90"/>
      <c r="AT583" s="90"/>
      <c r="AU583" s="90"/>
      <c r="AV583" s="90"/>
      <c r="AW583" s="90"/>
      <c r="AX583" s="90"/>
      <c r="AY583" s="90"/>
      <c r="AZ583" s="90"/>
      <c r="BA583" s="90"/>
    </row>
    <row r="584" spans="3:53"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0"/>
      <c r="R584" s="90"/>
      <c r="S584" s="90"/>
      <c r="T584" s="90"/>
      <c r="U584" s="90"/>
      <c r="V584" s="90"/>
      <c r="W584" s="90"/>
      <c r="X584" s="90"/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0"/>
      <c r="AK584" s="90"/>
      <c r="AL584" s="90"/>
      <c r="AM584" s="90"/>
      <c r="AN584" s="90"/>
      <c r="AO584" s="90"/>
      <c r="AP584" s="90"/>
      <c r="AQ584" s="90"/>
      <c r="AR584" s="90"/>
      <c r="AS584" s="90"/>
      <c r="AT584" s="90"/>
      <c r="AU584" s="90"/>
      <c r="AV584" s="90"/>
      <c r="AW584" s="90"/>
      <c r="AX584" s="90"/>
      <c r="AY584" s="90"/>
      <c r="AZ584" s="90"/>
      <c r="BA584" s="90"/>
    </row>
    <row r="585" spans="3:53"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0"/>
      <c r="R585" s="90"/>
      <c r="S585" s="90"/>
      <c r="T585" s="90"/>
      <c r="U585" s="90"/>
      <c r="V585" s="90"/>
      <c r="W585" s="90"/>
      <c r="X585" s="90"/>
      <c r="Y585" s="90"/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0"/>
      <c r="AK585" s="90"/>
      <c r="AL585" s="90"/>
      <c r="AM585" s="90"/>
      <c r="AN585" s="90"/>
      <c r="AO585" s="90"/>
      <c r="AP585" s="90"/>
      <c r="AQ585" s="90"/>
      <c r="AR585" s="90"/>
      <c r="AS585" s="90"/>
      <c r="AT585" s="90"/>
      <c r="AU585" s="90"/>
      <c r="AV585" s="90"/>
      <c r="AW585" s="90"/>
      <c r="AX585" s="90"/>
      <c r="AY585" s="90"/>
      <c r="AZ585" s="90"/>
      <c r="BA585" s="90"/>
    </row>
    <row r="586" spans="3:53"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0"/>
      <c r="R586" s="90"/>
      <c r="S586" s="90"/>
      <c r="T586" s="90"/>
      <c r="U586" s="90"/>
      <c r="V586" s="90"/>
      <c r="W586" s="90"/>
      <c r="X586" s="90"/>
      <c r="Y586" s="90"/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0"/>
      <c r="AK586" s="90"/>
      <c r="AL586" s="90"/>
      <c r="AM586" s="90"/>
      <c r="AN586" s="90"/>
      <c r="AO586" s="90"/>
      <c r="AP586" s="90"/>
      <c r="AQ586" s="90"/>
      <c r="AR586" s="90"/>
      <c r="AS586" s="90"/>
      <c r="AT586" s="90"/>
      <c r="AU586" s="90"/>
      <c r="AV586" s="90"/>
      <c r="AW586" s="90"/>
      <c r="AX586" s="90"/>
      <c r="AY586" s="90"/>
      <c r="AZ586" s="90"/>
      <c r="BA586" s="90"/>
    </row>
    <row r="587" spans="3:53"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0"/>
      <c r="R587" s="90"/>
      <c r="S587" s="90"/>
      <c r="T587" s="90"/>
      <c r="U587" s="90"/>
      <c r="V587" s="90"/>
      <c r="W587" s="90"/>
      <c r="X587" s="90"/>
      <c r="Y587" s="90"/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0"/>
      <c r="AK587" s="90"/>
      <c r="AL587" s="90"/>
      <c r="AM587" s="90"/>
      <c r="AN587" s="90"/>
      <c r="AO587" s="90"/>
      <c r="AP587" s="90"/>
      <c r="AQ587" s="90"/>
      <c r="AR587" s="90"/>
      <c r="AS587" s="90"/>
      <c r="AT587" s="90"/>
      <c r="AU587" s="90"/>
      <c r="AV587" s="90"/>
      <c r="AW587" s="90"/>
      <c r="AX587" s="90"/>
      <c r="AY587" s="90"/>
      <c r="AZ587" s="90"/>
      <c r="BA587" s="90"/>
    </row>
    <row r="588" spans="3:53"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0"/>
      <c r="R588" s="90"/>
      <c r="S588" s="90"/>
      <c r="T588" s="90"/>
      <c r="U588" s="90"/>
      <c r="V588" s="90"/>
      <c r="W588" s="90"/>
      <c r="X588" s="90"/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0"/>
      <c r="AK588" s="90"/>
      <c r="AL588" s="90"/>
      <c r="AM588" s="90"/>
      <c r="AN588" s="90"/>
      <c r="AO588" s="90"/>
      <c r="AP588" s="90"/>
      <c r="AQ588" s="90"/>
      <c r="AR588" s="90"/>
      <c r="AS588" s="90"/>
      <c r="AT588" s="90"/>
      <c r="AU588" s="90"/>
      <c r="AV588" s="90"/>
      <c r="AW588" s="90"/>
      <c r="AX588" s="90"/>
      <c r="AY588" s="90"/>
      <c r="AZ588" s="90"/>
      <c r="BA588" s="90"/>
    </row>
    <row r="589" spans="3:53"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0"/>
      <c r="R589" s="90"/>
      <c r="S589" s="90"/>
      <c r="T589" s="90"/>
      <c r="U589" s="90"/>
      <c r="V589" s="90"/>
      <c r="W589" s="90"/>
      <c r="X589" s="90"/>
      <c r="Y589" s="90"/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0"/>
      <c r="AK589" s="90"/>
      <c r="AL589" s="90"/>
      <c r="AM589" s="90"/>
      <c r="AN589" s="90"/>
      <c r="AO589" s="90"/>
      <c r="AP589" s="90"/>
      <c r="AQ589" s="90"/>
      <c r="AR589" s="90"/>
      <c r="AS589" s="90"/>
      <c r="AT589" s="90"/>
      <c r="AU589" s="90"/>
      <c r="AV589" s="90"/>
      <c r="AW589" s="90"/>
      <c r="AX589" s="90"/>
      <c r="AY589" s="90"/>
      <c r="AZ589" s="90"/>
      <c r="BA589" s="90"/>
    </row>
    <row r="590" spans="3:53"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0"/>
      <c r="R590" s="90"/>
      <c r="S590" s="90"/>
      <c r="T590" s="90"/>
      <c r="U590" s="90"/>
      <c r="V590" s="90"/>
      <c r="W590" s="90"/>
      <c r="X590" s="90"/>
      <c r="Y590" s="90"/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0"/>
      <c r="AK590" s="90"/>
      <c r="AL590" s="90"/>
      <c r="AM590" s="90"/>
      <c r="AN590" s="90"/>
      <c r="AO590" s="90"/>
      <c r="AP590" s="90"/>
      <c r="AQ590" s="90"/>
      <c r="AR590" s="90"/>
      <c r="AS590" s="90"/>
      <c r="AT590" s="90"/>
      <c r="AU590" s="90"/>
      <c r="AV590" s="90"/>
      <c r="AW590" s="90"/>
      <c r="AX590" s="90"/>
      <c r="AY590" s="90"/>
      <c r="AZ590" s="90"/>
      <c r="BA590" s="90"/>
    </row>
    <row r="591" spans="3:53"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0"/>
      <c r="R591" s="90"/>
      <c r="S591" s="90"/>
      <c r="T591" s="90"/>
      <c r="U591" s="90"/>
      <c r="V591" s="90"/>
      <c r="W591" s="90"/>
      <c r="X591" s="90"/>
      <c r="Y591" s="90"/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0"/>
      <c r="AK591" s="90"/>
      <c r="AL591" s="90"/>
      <c r="AM591" s="90"/>
      <c r="AN591" s="90"/>
      <c r="AO591" s="90"/>
      <c r="AP591" s="90"/>
      <c r="AQ591" s="90"/>
      <c r="AR591" s="90"/>
      <c r="AS591" s="90"/>
      <c r="AT591" s="90"/>
      <c r="AU591" s="90"/>
      <c r="AV591" s="90"/>
      <c r="AW591" s="90"/>
      <c r="AX591" s="90"/>
      <c r="AY591" s="90"/>
      <c r="AZ591" s="90"/>
      <c r="BA591" s="90"/>
    </row>
    <row r="592" spans="3:53"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0"/>
      <c r="R592" s="90"/>
      <c r="S592" s="90"/>
      <c r="T592" s="90"/>
      <c r="U592" s="90"/>
      <c r="V592" s="90"/>
      <c r="W592" s="90"/>
      <c r="X592" s="90"/>
      <c r="Y592" s="90"/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0"/>
      <c r="AK592" s="90"/>
      <c r="AL592" s="90"/>
      <c r="AM592" s="90"/>
      <c r="AN592" s="90"/>
      <c r="AO592" s="90"/>
      <c r="AP592" s="90"/>
      <c r="AQ592" s="90"/>
      <c r="AR592" s="90"/>
      <c r="AS592" s="90"/>
      <c r="AT592" s="90"/>
      <c r="AU592" s="90"/>
      <c r="AV592" s="90"/>
      <c r="AW592" s="90"/>
      <c r="AX592" s="90"/>
      <c r="AY592" s="90"/>
      <c r="AZ592" s="90"/>
      <c r="BA592" s="90"/>
    </row>
    <row r="593" spans="3:53"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0"/>
      <c r="R593" s="90"/>
      <c r="S593" s="90"/>
      <c r="T593" s="90"/>
      <c r="U593" s="90"/>
      <c r="V593" s="90"/>
      <c r="W593" s="90"/>
      <c r="X593" s="90"/>
      <c r="Y593" s="90"/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0"/>
      <c r="AK593" s="90"/>
      <c r="AL593" s="90"/>
      <c r="AM593" s="90"/>
      <c r="AN593" s="90"/>
      <c r="AO593" s="90"/>
      <c r="AP593" s="90"/>
      <c r="AQ593" s="90"/>
      <c r="AR593" s="90"/>
      <c r="AS593" s="90"/>
      <c r="AT593" s="90"/>
      <c r="AU593" s="90"/>
      <c r="AV593" s="90"/>
      <c r="AW593" s="90"/>
      <c r="AX593" s="90"/>
      <c r="AY593" s="90"/>
      <c r="AZ593" s="90"/>
      <c r="BA593" s="90"/>
    </row>
    <row r="594" spans="3:53"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0"/>
      <c r="R594" s="90"/>
      <c r="S594" s="90"/>
      <c r="T594" s="90"/>
      <c r="U594" s="90"/>
      <c r="V594" s="90"/>
      <c r="W594" s="90"/>
      <c r="X594" s="90"/>
      <c r="Y594" s="90"/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0"/>
      <c r="AK594" s="90"/>
      <c r="AL594" s="90"/>
      <c r="AM594" s="90"/>
      <c r="AN594" s="90"/>
      <c r="AO594" s="90"/>
      <c r="AP594" s="90"/>
      <c r="AQ594" s="90"/>
      <c r="AR594" s="90"/>
      <c r="AS594" s="90"/>
      <c r="AT594" s="90"/>
      <c r="AU594" s="90"/>
      <c r="AV594" s="90"/>
      <c r="AW594" s="90"/>
      <c r="AX594" s="90"/>
      <c r="AY594" s="90"/>
      <c r="AZ594" s="90"/>
      <c r="BA594" s="90"/>
    </row>
    <row r="595" spans="3:53"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0"/>
      <c r="R595" s="90"/>
      <c r="S595" s="90"/>
      <c r="T595" s="90"/>
      <c r="U595" s="90"/>
      <c r="V595" s="90"/>
      <c r="W595" s="90"/>
      <c r="X595" s="90"/>
      <c r="Y595" s="90"/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0"/>
      <c r="AK595" s="90"/>
      <c r="AL595" s="90"/>
      <c r="AM595" s="90"/>
      <c r="AN595" s="90"/>
      <c r="AO595" s="90"/>
      <c r="AP595" s="90"/>
      <c r="AQ595" s="90"/>
      <c r="AR595" s="90"/>
      <c r="AS595" s="90"/>
      <c r="AT595" s="90"/>
      <c r="AU595" s="90"/>
      <c r="AV595" s="90"/>
      <c r="AW595" s="90"/>
      <c r="AX595" s="90"/>
      <c r="AY595" s="90"/>
      <c r="AZ595" s="90"/>
      <c r="BA595" s="90"/>
    </row>
    <row r="596" spans="3:53"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0"/>
      <c r="R596" s="90"/>
      <c r="S596" s="90"/>
      <c r="T596" s="90"/>
      <c r="U596" s="90"/>
      <c r="V596" s="90"/>
      <c r="W596" s="90"/>
      <c r="X596" s="90"/>
      <c r="Y596" s="90"/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0"/>
      <c r="AK596" s="90"/>
      <c r="AL596" s="90"/>
      <c r="AM596" s="90"/>
      <c r="AN596" s="90"/>
      <c r="AO596" s="90"/>
      <c r="AP596" s="90"/>
      <c r="AQ596" s="90"/>
      <c r="AR596" s="90"/>
      <c r="AS596" s="90"/>
      <c r="AT596" s="90"/>
      <c r="AU596" s="90"/>
      <c r="AV596" s="90"/>
      <c r="AW596" s="90"/>
      <c r="AX596" s="90"/>
      <c r="AY596" s="90"/>
      <c r="AZ596" s="90"/>
      <c r="BA596" s="90"/>
    </row>
    <row r="597" spans="3:53"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0"/>
      <c r="R597" s="90"/>
      <c r="S597" s="90"/>
      <c r="T597" s="90"/>
      <c r="U597" s="90"/>
      <c r="V597" s="90"/>
      <c r="W597" s="90"/>
      <c r="X597" s="90"/>
      <c r="Y597" s="90"/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0"/>
      <c r="AK597" s="90"/>
      <c r="AL597" s="90"/>
      <c r="AM597" s="90"/>
      <c r="AN597" s="90"/>
      <c r="AO597" s="90"/>
      <c r="AP597" s="90"/>
      <c r="AQ597" s="90"/>
      <c r="AR597" s="90"/>
      <c r="AS597" s="90"/>
      <c r="AT597" s="90"/>
      <c r="AU597" s="90"/>
      <c r="AV597" s="90"/>
      <c r="AW597" s="90"/>
      <c r="AX597" s="90"/>
      <c r="AY597" s="90"/>
      <c r="AZ597" s="90"/>
      <c r="BA597" s="90"/>
    </row>
    <row r="598" spans="3:53"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0"/>
      <c r="R598" s="90"/>
      <c r="S598" s="90"/>
      <c r="T598" s="90"/>
      <c r="U598" s="90"/>
      <c r="V598" s="90"/>
      <c r="W598" s="90"/>
      <c r="X598" s="90"/>
      <c r="Y598" s="90"/>
      <c r="Z598" s="90"/>
      <c r="AA598" s="90"/>
      <c r="AB598" s="90"/>
      <c r="AC598" s="90"/>
      <c r="AD598" s="90"/>
      <c r="AE598" s="90"/>
      <c r="AF598" s="90"/>
      <c r="AG598" s="90"/>
      <c r="AH598" s="90"/>
      <c r="AI598" s="90"/>
      <c r="AJ598" s="90"/>
      <c r="AK598" s="90"/>
      <c r="AL598" s="90"/>
      <c r="AM598" s="90"/>
      <c r="AN598" s="90"/>
      <c r="AO598" s="90"/>
      <c r="AP598" s="90"/>
      <c r="AQ598" s="90"/>
      <c r="AR598" s="90"/>
      <c r="AS598" s="90"/>
      <c r="AT598" s="90"/>
      <c r="AU598" s="90"/>
      <c r="AV598" s="90"/>
      <c r="AW598" s="90"/>
      <c r="AX598" s="90"/>
      <c r="AY598" s="90"/>
      <c r="AZ598" s="90"/>
      <c r="BA598" s="90"/>
    </row>
    <row r="599" spans="3:53"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0"/>
      <c r="R599" s="90"/>
      <c r="S599" s="90"/>
      <c r="T599" s="90"/>
      <c r="U599" s="90"/>
      <c r="V599" s="90"/>
      <c r="W599" s="90"/>
      <c r="X599" s="90"/>
      <c r="Y599" s="90"/>
      <c r="Z599" s="90"/>
      <c r="AA599" s="90"/>
      <c r="AB599" s="90"/>
      <c r="AC599" s="90"/>
      <c r="AD599" s="90"/>
      <c r="AE599" s="90"/>
      <c r="AF599" s="90"/>
      <c r="AG599" s="90"/>
      <c r="AH599" s="90"/>
      <c r="AI599" s="90"/>
      <c r="AJ599" s="90"/>
      <c r="AK599" s="90"/>
      <c r="AL599" s="90"/>
      <c r="AM599" s="90"/>
      <c r="AN599" s="90"/>
      <c r="AO599" s="90"/>
      <c r="AP599" s="90"/>
      <c r="AQ599" s="90"/>
      <c r="AR599" s="90"/>
      <c r="AS599" s="90"/>
      <c r="AT599" s="90"/>
      <c r="AU599" s="90"/>
      <c r="AV599" s="90"/>
      <c r="AW599" s="90"/>
      <c r="AX599" s="90"/>
      <c r="AY599" s="90"/>
      <c r="AZ599" s="90"/>
      <c r="BA599" s="90"/>
    </row>
    <row r="600" spans="3:53"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0"/>
      <c r="R600" s="90"/>
      <c r="S600" s="90"/>
      <c r="T600" s="90"/>
      <c r="U600" s="90"/>
      <c r="V600" s="90"/>
      <c r="W600" s="90"/>
      <c r="X600" s="90"/>
      <c r="Y600" s="90"/>
      <c r="Z600" s="90"/>
      <c r="AA600" s="90"/>
      <c r="AB600" s="90"/>
      <c r="AC600" s="90"/>
      <c r="AD600" s="90"/>
      <c r="AE600" s="90"/>
      <c r="AF600" s="90"/>
      <c r="AG600" s="90"/>
      <c r="AH600" s="90"/>
      <c r="AI600" s="90"/>
      <c r="AJ600" s="90"/>
      <c r="AK600" s="90"/>
      <c r="AL600" s="90"/>
      <c r="AM600" s="90"/>
      <c r="AN600" s="90"/>
      <c r="AO600" s="90"/>
      <c r="AP600" s="90"/>
      <c r="AQ600" s="90"/>
      <c r="AR600" s="90"/>
      <c r="AS600" s="90"/>
      <c r="AT600" s="90"/>
      <c r="AU600" s="90"/>
      <c r="AV600" s="90"/>
      <c r="AW600" s="90"/>
      <c r="AX600" s="90"/>
      <c r="AY600" s="90"/>
      <c r="AZ600" s="90"/>
      <c r="BA600" s="90"/>
    </row>
    <row r="601" spans="3:53"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0"/>
      <c r="R601" s="90"/>
      <c r="S601" s="90"/>
      <c r="T601" s="90"/>
      <c r="U601" s="90"/>
      <c r="V601" s="90"/>
      <c r="W601" s="90"/>
      <c r="X601" s="90"/>
      <c r="Y601" s="90"/>
      <c r="Z601" s="90"/>
      <c r="AA601" s="90"/>
      <c r="AB601" s="90"/>
      <c r="AC601" s="90"/>
      <c r="AD601" s="90"/>
      <c r="AE601" s="90"/>
      <c r="AF601" s="90"/>
      <c r="AG601" s="90"/>
      <c r="AH601" s="90"/>
      <c r="AI601" s="90"/>
      <c r="AJ601" s="90"/>
      <c r="AK601" s="90"/>
      <c r="AL601" s="90"/>
      <c r="AM601" s="90"/>
      <c r="AN601" s="90"/>
      <c r="AO601" s="90"/>
      <c r="AP601" s="90"/>
      <c r="AQ601" s="90"/>
      <c r="AR601" s="90"/>
      <c r="AS601" s="90"/>
      <c r="AT601" s="90"/>
      <c r="AU601" s="90"/>
      <c r="AV601" s="90"/>
      <c r="AW601" s="90"/>
      <c r="AX601" s="90"/>
      <c r="AY601" s="90"/>
      <c r="AZ601" s="90"/>
      <c r="BA601" s="90"/>
    </row>
    <row r="602" spans="3:53"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0"/>
      <c r="R602" s="90"/>
      <c r="S602" s="90"/>
      <c r="T602" s="90"/>
      <c r="U602" s="90"/>
      <c r="V602" s="90"/>
      <c r="W602" s="90"/>
      <c r="X602" s="90"/>
      <c r="Y602" s="90"/>
      <c r="Z602" s="90"/>
      <c r="AA602" s="90"/>
      <c r="AB602" s="90"/>
      <c r="AC602" s="90"/>
      <c r="AD602" s="90"/>
      <c r="AE602" s="90"/>
      <c r="AF602" s="90"/>
      <c r="AG602" s="90"/>
      <c r="AH602" s="90"/>
      <c r="AI602" s="90"/>
      <c r="AJ602" s="90"/>
      <c r="AK602" s="90"/>
      <c r="AL602" s="90"/>
      <c r="AM602" s="90"/>
      <c r="AN602" s="90"/>
      <c r="AO602" s="90"/>
      <c r="AP602" s="90"/>
      <c r="AQ602" s="90"/>
      <c r="AR602" s="90"/>
      <c r="AS602" s="90"/>
      <c r="AT602" s="90"/>
      <c r="AU602" s="90"/>
      <c r="AV602" s="90"/>
      <c r="AW602" s="90"/>
      <c r="AX602" s="90"/>
      <c r="AY602" s="90"/>
      <c r="AZ602" s="90"/>
      <c r="BA602" s="90"/>
    </row>
    <row r="603" spans="3:53"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0"/>
      <c r="R603" s="90"/>
      <c r="S603" s="90"/>
      <c r="T603" s="90"/>
      <c r="U603" s="90"/>
      <c r="V603" s="90"/>
      <c r="W603" s="90"/>
      <c r="X603" s="90"/>
      <c r="Y603" s="90"/>
      <c r="Z603" s="90"/>
      <c r="AA603" s="90"/>
      <c r="AB603" s="90"/>
      <c r="AC603" s="90"/>
      <c r="AD603" s="90"/>
      <c r="AE603" s="90"/>
      <c r="AF603" s="90"/>
      <c r="AG603" s="90"/>
      <c r="AH603" s="90"/>
      <c r="AI603" s="90"/>
      <c r="AJ603" s="90"/>
      <c r="AK603" s="90"/>
      <c r="AL603" s="90"/>
      <c r="AM603" s="90"/>
      <c r="AN603" s="90"/>
      <c r="AO603" s="90"/>
      <c r="AP603" s="90"/>
      <c r="AQ603" s="90"/>
      <c r="AR603" s="90"/>
      <c r="AS603" s="90"/>
      <c r="AT603" s="90"/>
      <c r="AU603" s="90"/>
      <c r="AV603" s="90"/>
      <c r="AW603" s="90"/>
      <c r="AX603" s="90"/>
      <c r="AY603" s="90"/>
      <c r="AZ603" s="90"/>
      <c r="BA603" s="90"/>
    </row>
    <row r="604" spans="3:53"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0"/>
      <c r="R604" s="90"/>
      <c r="S604" s="90"/>
      <c r="T604" s="90"/>
      <c r="U604" s="90"/>
      <c r="V604" s="90"/>
      <c r="W604" s="90"/>
      <c r="X604" s="90"/>
      <c r="Y604" s="90"/>
      <c r="Z604" s="90"/>
      <c r="AA604" s="90"/>
      <c r="AB604" s="90"/>
      <c r="AC604" s="90"/>
      <c r="AD604" s="90"/>
      <c r="AE604" s="90"/>
      <c r="AF604" s="90"/>
      <c r="AG604" s="90"/>
      <c r="AH604" s="90"/>
      <c r="AI604" s="90"/>
      <c r="AJ604" s="90"/>
      <c r="AK604" s="90"/>
      <c r="AL604" s="90"/>
      <c r="AM604" s="90"/>
      <c r="AN604" s="90"/>
      <c r="AO604" s="90"/>
      <c r="AP604" s="90"/>
      <c r="AQ604" s="90"/>
      <c r="AR604" s="90"/>
      <c r="AS604" s="90"/>
      <c r="AT604" s="90"/>
      <c r="AU604" s="90"/>
      <c r="AV604" s="90"/>
      <c r="AW604" s="90"/>
      <c r="AX604" s="90"/>
      <c r="AY604" s="90"/>
      <c r="AZ604" s="90"/>
      <c r="BA604" s="90"/>
    </row>
    <row r="605" spans="3:53"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0"/>
      <c r="R605" s="90"/>
      <c r="S605" s="90"/>
      <c r="T605" s="90"/>
      <c r="U605" s="90"/>
      <c r="V605" s="90"/>
      <c r="W605" s="90"/>
      <c r="X605" s="90"/>
      <c r="Y605" s="90"/>
      <c r="Z605" s="90"/>
      <c r="AA605" s="90"/>
      <c r="AB605" s="90"/>
      <c r="AC605" s="90"/>
      <c r="AD605" s="90"/>
      <c r="AE605" s="90"/>
      <c r="AF605" s="90"/>
      <c r="AG605" s="90"/>
      <c r="AH605" s="90"/>
      <c r="AI605" s="90"/>
      <c r="AJ605" s="90"/>
      <c r="AK605" s="90"/>
      <c r="AL605" s="90"/>
      <c r="AM605" s="90"/>
      <c r="AN605" s="90"/>
      <c r="AO605" s="90"/>
      <c r="AP605" s="90"/>
      <c r="AQ605" s="90"/>
      <c r="AR605" s="90"/>
      <c r="AS605" s="90"/>
      <c r="AT605" s="90"/>
      <c r="AU605" s="90"/>
      <c r="AV605" s="90"/>
      <c r="AW605" s="90"/>
      <c r="AX605" s="90"/>
      <c r="AY605" s="90"/>
      <c r="AZ605" s="90"/>
      <c r="BA605" s="90"/>
    </row>
    <row r="606" spans="3:53"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0"/>
      <c r="R606" s="90"/>
      <c r="S606" s="90"/>
      <c r="T606" s="90"/>
      <c r="U606" s="90"/>
      <c r="V606" s="90"/>
      <c r="W606" s="90"/>
      <c r="X606" s="90"/>
      <c r="Y606" s="90"/>
      <c r="Z606" s="90"/>
      <c r="AA606" s="90"/>
      <c r="AB606" s="90"/>
      <c r="AC606" s="90"/>
      <c r="AD606" s="90"/>
      <c r="AE606" s="90"/>
      <c r="AF606" s="90"/>
      <c r="AG606" s="90"/>
      <c r="AH606" s="90"/>
      <c r="AI606" s="90"/>
      <c r="AJ606" s="90"/>
      <c r="AK606" s="90"/>
      <c r="AL606" s="90"/>
      <c r="AM606" s="90"/>
      <c r="AN606" s="90"/>
      <c r="AO606" s="90"/>
      <c r="AP606" s="90"/>
      <c r="AQ606" s="90"/>
      <c r="AR606" s="90"/>
      <c r="AS606" s="90"/>
      <c r="AT606" s="90"/>
      <c r="AU606" s="90"/>
      <c r="AV606" s="90"/>
      <c r="AW606" s="90"/>
      <c r="AX606" s="90"/>
      <c r="AY606" s="90"/>
      <c r="AZ606" s="90"/>
      <c r="BA606" s="90"/>
    </row>
    <row r="607" spans="3:53"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0"/>
      <c r="R607" s="90"/>
      <c r="S607" s="90"/>
      <c r="T607" s="90"/>
      <c r="U607" s="90"/>
      <c r="V607" s="90"/>
      <c r="W607" s="90"/>
      <c r="X607" s="90"/>
      <c r="Y607" s="90"/>
      <c r="Z607" s="90"/>
      <c r="AA607" s="90"/>
      <c r="AB607" s="90"/>
      <c r="AC607" s="90"/>
      <c r="AD607" s="90"/>
      <c r="AE607" s="90"/>
      <c r="AF607" s="90"/>
      <c r="AG607" s="90"/>
      <c r="AH607" s="90"/>
      <c r="AI607" s="90"/>
      <c r="AJ607" s="90"/>
      <c r="AK607" s="90"/>
      <c r="AL607" s="90"/>
      <c r="AM607" s="90"/>
      <c r="AN607" s="90"/>
      <c r="AO607" s="90"/>
      <c r="AP607" s="90"/>
      <c r="AQ607" s="90"/>
      <c r="AR607" s="90"/>
      <c r="AS607" s="90"/>
      <c r="AT607" s="90"/>
      <c r="AU607" s="90"/>
      <c r="AV607" s="90"/>
      <c r="AW607" s="90"/>
      <c r="AX607" s="90"/>
      <c r="AY607" s="90"/>
      <c r="AZ607" s="90"/>
      <c r="BA607" s="90"/>
    </row>
    <row r="608" spans="3:53"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0"/>
      <c r="R608" s="90"/>
      <c r="S608" s="90"/>
      <c r="T608" s="90"/>
      <c r="U608" s="90"/>
      <c r="V608" s="90"/>
      <c r="W608" s="90"/>
      <c r="X608" s="90"/>
      <c r="Y608" s="90"/>
      <c r="Z608" s="90"/>
      <c r="AA608" s="90"/>
      <c r="AB608" s="90"/>
      <c r="AC608" s="90"/>
      <c r="AD608" s="90"/>
      <c r="AE608" s="90"/>
      <c r="AF608" s="90"/>
      <c r="AG608" s="90"/>
      <c r="AH608" s="90"/>
      <c r="AI608" s="90"/>
      <c r="AJ608" s="90"/>
      <c r="AK608" s="90"/>
      <c r="AL608" s="90"/>
      <c r="AM608" s="90"/>
      <c r="AN608" s="90"/>
      <c r="AO608" s="90"/>
      <c r="AP608" s="90"/>
      <c r="AQ608" s="90"/>
      <c r="AR608" s="90"/>
      <c r="AS608" s="90"/>
      <c r="AT608" s="90"/>
      <c r="AU608" s="90"/>
      <c r="AV608" s="90"/>
      <c r="AW608" s="90"/>
      <c r="AX608" s="90"/>
      <c r="AY608" s="90"/>
      <c r="AZ608" s="90"/>
      <c r="BA608" s="90"/>
    </row>
    <row r="609" spans="3:53"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0"/>
      <c r="R609" s="90"/>
      <c r="S609" s="90"/>
      <c r="T609" s="90"/>
      <c r="U609" s="90"/>
      <c r="V609" s="90"/>
      <c r="W609" s="90"/>
      <c r="X609" s="90"/>
      <c r="Y609" s="90"/>
      <c r="Z609" s="90"/>
      <c r="AA609" s="90"/>
      <c r="AB609" s="90"/>
      <c r="AC609" s="90"/>
      <c r="AD609" s="90"/>
      <c r="AE609" s="90"/>
      <c r="AF609" s="90"/>
      <c r="AG609" s="90"/>
      <c r="AH609" s="90"/>
      <c r="AI609" s="90"/>
      <c r="AJ609" s="90"/>
      <c r="AK609" s="90"/>
      <c r="AL609" s="90"/>
      <c r="AM609" s="90"/>
      <c r="AN609" s="90"/>
      <c r="AO609" s="90"/>
      <c r="AP609" s="90"/>
      <c r="AQ609" s="90"/>
      <c r="AR609" s="90"/>
      <c r="AS609" s="90"/>
      <c r="AT609" s="90"/>
      <c r="AU609" s="90"/>
      <c r="AV609" s="90"/>
      <c r="AW609" s="90"/>
      <c r="AX609" s="90"/>
      <c r="AY609" s="90"/>
      <c r="AZ609" s="90"/>
      <c r="BA609" s="90"/>
    </row>
    <row r="610" spans="3:53"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0"/>
      <c r="R610" s="90"/>
      <c r="S610" s="90"/>
      <c r="T610" s="90"/>
      <c r="U610" s="90"/>
      <c r="V610" s="90"/>
      <c r="W610" s="90"/>
      <c r="X610" s="90"/>
      <c r="Y610" s="90"/>
      <c r="Z610" s="90"/>
      <c r="AA610" s="90"/>
      <c r="AB610" s="90"/>
      <c r="AC610" s="90"/>
      <c r="AD610" s="90"/>
      <c r="AE610" s="90"/>
      <c r="AF610" s="90"/>
      <c r="AG610" s="90"/>
      <c r="AH610" s="90"/>
      <c r="AI610" s="90"/>
      <c r="AJ610" s="90"/>
      <c r="AK610" s="90"/>
      <c r="AL610" s="90"/>
      <c r="AM610" s="90"/>
      <c r="AN610" s="90"/>
      <c r="AO610" s="90"/>
      <c r="AP610" s="90"/>
      <c r="AQ610" s="90"/>
      <c r="AR610" s="90"/>
      <c r="AS610" s="90"/>
      <c r="AT610" s="90"/>
      <c r="AU610" s="90"/>
      <c r="AV610" s="90"/>
      <c r="AW610" s="90"/>
      <c r="AX610" s="90"/>
      <c r="AY610" s="90"/>
      <c r="AZ610" s="90"/>
      <c r="BA610" s="90"/>
    </row>
    <row r="611" spans="3:53"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0"/>
      <c r="R611" s="90"/>
      <c r="S611" s="90"/>
      <c r="T611" s="90"/>
      <c r="U611" s="90"/>
      <c r="V611" s="90"/>
      <c r="W611" s="90"/>
      <c r="X611" s="90"/>
      <c r="Y611" s="90"/>
      <c r="Z611" s="90"/>
      <c r="AA611" s="90"/>
      <c r="AB611" s="90"/>
      <c r="AC611" s="90"/>
      <c r="AD611" s="90"/>
      <c r="AE611" s="90"/>
      <c r="AF611" s="90"/>
      <c r="AG611" s="90"/>
      <c r="AH611" s="90"/>
      <c r="AI611" s="90"/>
      <c r="AJ611" s="90"/>
      <c r="AK611" s="90"/>
      <c r="AL611" s="90"/>
      <c r="AM611" s="90"/>
      <c r="AN611" s="90"/>
      <c r="AO611" s="90"/>
      <c r="AP611" s="90"/>
      <c r="AQ611" s="90"/>
      <c r="AR611" s="90"/>
      <c r="AS611" s="90"/>
      <c r="AT611" s="90"/>
      <c r="AU611" s="90"/>
      <c r="AV611" s="90"/>
      <c r="AW611" s="90"/>
      <c r="AX611" s="90"/>
      <c r="AY611" s="90"/>
      <c r="AZ611" s="90"/>
      <c r="BA611" s="90"/>
    </row>
    <row r="612" spans="3:53"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0"/>
      <c r="R612" s="90"/>
      <c r="S612" s="90"/>
      <c r="T612" s="90"/>
      <c r="U612" s="90"/>
      <c r="V612" s="90"/>
      <c r="W612" s="90"/>
      <c r="X612" s="90"/>
      <c r="Y612" s="90"/>
      <c r="Z612" s="90"/>
      <c r="AA612" s="90"/>
      <c r="AB612" s="90"/>
      <c r="AC612" s="90"/>
      <c r="AD612" s="90"/>
      <c r="AE612" s="90"/>
      <c r="AF612" s="90"/>
      <c r="AG612" s="90"/>
      <c r="AH612" s="90"/>
      <c r="AI612" s="90"/>
      <c r="AJ612" s="90"/>
      <c r="AK612" s="90"/>
      <c r="AL612" s="90"/>
      <c r="AM612" s="90"/>
      <c r="AN612" s="90"/>
      <c r="AO612" s="90"/>
      <c r="AP612" s="90"/>
      <c r="AQ612" s="90"/>
      <c r="AR612" s="90"/>
      <c r="AS612" s="90"/>
      <c r="AT612" s="90"/>
      <c r="AU612" s="90"/>
      <c r="AV612" s="90"/>
      <c r="AW612" s="90"/>
      <c r="AX612" s="90"/>
      <c r="AY612" s="90"/>
      <c r="AZ612" s="90"/>
      <c r="BA612" s="90"/>
    </row>
    <row r="613" spans="3:53"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0"/>
      <c r="R613" s="90"/>
      <c r="S613" s="90"/>
      <c r="T613" s="90"/>
      <c r="U613" s="90"/>
      <c r="V613" s="90"/>
      <c r="W613" s="90"/>
      <c r="X613" s="90"/>
      <c r="Y613" s="90"/>
      <c r="Z613" s="90"/>
      <c r="AA613" s="90"/>
      <c r="AB613" s="90"/>
      <c r="AC613" s="90"/>
      <c r="AD613" s="90"/>
      <c r="AE613" s="90"/>
      <c r="AF613" s="90"/>
      <c r="AG613" s="90"/>
      <c r="AH613" s="90"/>
      <c r="AI613" s="90"/>
      <c r="AJ613" s="90"/>
      <c r="AK613" s="90"/>
      <c r="AL613" s="90"/>
      <c r="AM613" s="90"/>
      <c r="AN613" s="90"/>
      <c r="AO613" s="90"/>
      <c r="AP613" s="90"/>
      <c r="AQ613" s="90"/>
      <c r="AR613" s="90"/>
      <c r="AS613" s="90"/>
      <c r="AT613" s="90"/>
      <c r="AU613" s="90"/>
      <c r="AV613" s="90"/>
      <c r="AW613" s="90"/>
      <c r="AX613" s="90"/>
      <c r="AY613" s="90"/>
      <c r="AZ613" s="90"/>
      <c r="BA613" s="90"/>
    </row>
    <row r="614" spans="3:53"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0"/>
      <c r="R614" s="90"/>
      <c r="S614" s="90"/>
      <c r="T614" s="90"/>
      <c r="U614" s="90"/>
      <c r="V614" s="90"/>
      <c r="W614" s="90"/>
      <c r="X614" s="90"/>
      <c r="Y614" s="90"/>
      <c r="Z614" s="90"/>
      <c r="AA614" s="90"/>
      <c r="AB614" s="90"/>
      <c r="AC614" s="90"/>
      <c r="AD614" s="90"/>
      <c r="AE614" s="90"/>
      <c r="AF614" s="90"/>
      <c r="AG614" s="90"/>
      <c r="AH614" s="90"/>
      <c r="AI614" s="90"/>
      <c r="AJ614" s="90"/>
      <c r="AK614" s="90"/>
      <c r="AL614" s="90"/>
      <c r="AM614" s="90"/>
      <c r="AN614" s="90"/>
      <c r="AO614" s="90"/>
      <c r="AP614" s="90"/>
      <c r="AQ614" s="90"/>
      <c r="AR614" s="90"/>
      <c r="AS614" s="90"/>
      <c r="AT614" s="90"/>
      <c r="AU614" s="90"/>
      <c r="AV614" s="90"/>
      <c r="AW614" s="90"/>
      <c r="AX614" s="90"/>
      <c r="AY614" s="90"/>
      <c r="AZ614" s="90"/>
      <c r="BA614" s="90"/>
    </row>
    <row r="615" spans="3:53"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0"/>
      <c r="R615" s="90"/>
      <c r="S615" s="90"/>
      <c r="T615" s="90"/>
      <c r="U615" s="90"/>
      <c r="V615" s="90"/>
      <c r="W615" s="90"/>
      <c r="X615" s="90"/>
      <c r="Y615" s="90"/>
      <c r="Z615" s="90"/>
      <c r="AA615" s="90"/>
      <c r="AB615" s="90"/>
      <c r="AC615" s="90"/>
      <c r="AD615" s="90"/>
      <c r="AE615" s="90"/>
      <c r="AF615" s="90"/>
      <c r="AG615" s="90"/>
      <c r="AH615" s="90"/>
      <c r="AI615" s="90"/>
      <c r="AJ615" s="90"/>
      <c r="AK615" s="90"/>
      <c r="AL615" s="90"/>
      <c r="AM615" s="90"/>
      <c r="AN615" s="90"/>
      <c r="AO615" s="90"/>
      <c r="AP615" s="90"/>
      <c r="AQ615" s="90"/>
      <c r="AR615" s="90"/>
      <c r="AS615" s="90"/>
      <c r="AT615" s="90"/>
      <c r="AU615" s="90"/>
      <c r="AV615" s="90"/>
      <c r="AW615" s="90"/>
      <c r="AX615" s="90"/>
      <c r="AY615" s="90"/>
      <c r="AZ615" s="90"/>
      <c r="BA615" s="90"/>
    </row>
    <row r="616" spans="3:53"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0"/>
      <c r="R616" s="90"/>
      <c r="S616" s="90"/>
      <c r="T616" s="90"/>
      <c r="U616" s="90"/>
      <c r="V616" s="90"/>
      <c r="W616" s="90"/>
      <c r="X616" s="90"/>
      <c r="Y616" s="90"/>
      <c r="Z616" s="90"/>
      <c r="AA616" s="90"/>
      <c r="AB616" s="90"/>
      <c r="AC616" s="90"/>
      <c r="AD616" s="90"/>
      <c r="AE616" s="90"/>
      <c r="AF616" s="90"/>
      <c r="AG616" s="90"/>
      <c r="AH616" s="90"/>
      <c r="AI616" s="90"/>
      <c r="AJ616" s="90"/>
      <c r="AK616" s="90"/>
      <c r="AL616" s="90"/>
      <c r="AM616" s="90"/>
      <c r="AN616" s="90"/>
      <c r="AO616" s="90"/>
      <c r="AP616" s="90"/>
      <c r="AQ616" s="90"/>
      <c r="AR616" s="90"/>
      <c r="AS616" s="90"/>
      <c r="AT616" s="90"/>
      <c r="AU616" s="90"/>
      <c r="AV616" s="90"/>
      <c r="AW616" s="90"/>
      <c r="AX616" s="90"/>
      <c r="AY616" s="90"/>
      <c r="AZ616" s="90"/>
      <c r="BA616" s="90"/>
    </row>
    <row r="617" spans="3:53"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0"/>
      <c r="R617" s="90"/>
      <c r="S617" s="90"/>
      <c r="T617" s="90"/>
      <c r="U617" s="90"/>
      <c r="V617" s="90"/>
      <c r="W617" s="90"/>
      <c r="X617" s="90"/>
      <c r="Y617" s="90"/>
      <c r="Z617" s="90"/>
      <c r="AA617" s="90"/>
      <c r="AB617" s="90"/>
      <c r="AC617" s="90"/>
      <c r="AD617" s="90"/>
      <c r="AE617" s="90"/>
      <c r="AF617" s="90"/>
      <c r="AG617" s="90"/>
      <c r="AH617" s="90"/>
      <c r="AI617" s="90"/>
      <c r="AJ617" s="90"/>
      <c r="AK617" s="90"/>
      <c r="AL617" s="90"/>
      <c r="AM617" s="90"/>
      <c r="AN617" s="90"/>
      <c r="AO617" s="90"/>
      <c r="AP617" s="90"/>
      <c r="AQ617" s="90"/>
      <c r="AR617" s="90"/>
      <c r="AS617" s="90"/>
      <c r="AT617" s="90"/>
      <c r="AU617" s="90"/>
      <c r="AV617" s="90"/>
      <c r="AW617" s="90"/>
      <c r="AX617" s="90"/>
      <c r="AY617" s="90"/>
      <c r="AZ617" s="90"/>
      <c r="BA617" s="90"/>
    </row>
    <row r="618" spans="3:53"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0"/>
      <c r="R618" s="90"/>
      <c r="S618" s="90"/>
      <c r="T618" s="90"/>
      <c r="U618" s="90"/>
      <c r="V618" s="90"/>
      <c r="W618" s="90"/>
      <c r="X618" s="90"/>
      <c r="Y618" s="90"/>
      <c r="Z618" s="90"/>
      <c r="AA618" s="90"/>
      <c r="AB618" s="90"/>
      <c r="AC618" s="90"/>
      <c r="AD618" s="90"/>
      <c r="AE618" s="90"/>
      <c r="AF618" s="90"/>
      <c r="AG618" s="90"/>
      <c r="AH618" s="90"/>
      <c r="AI618" s="90"/>
      <c r="AJ618" s="90"/>
      <c r="AK618" s="90"/>
      <c r="AL618" s="90"/>
      <c r="AM618" s="90"/>
      <c r="AN618" s="90"/>
      <c r="AO618" s="90"/>
      <c r="AP618" s="90"/>
      <c r="AQ618" s="90"/>
      <c r="AR618" s="90"/>
      <c r="AS618" s="90"/>
      <c r="AT618" s="90"/>
      <c r="AU618" s="90"/>
      <c r="AV618" s="90"/>
      <c r="AW618" s="90"/>
      <c r="AX618" s="90"/>
      <c r="AY618" s="90"/>
      <c r="AZ618" s="90"/>
      <c r="BA618" s="90"/>
    </row>
    <row r="619" spans="3:53"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0"/>
      <c r="R619" s="90"/>
      <c r="S619" s="90"/>
      <c r="T619" s="90"/>
      <c r="U619" s="90"/>
      <c r="V619" s="90"/>
      <c r="W619" s="90"/>
      <c r="X619" s="90"/>
      <c r="Y619" s="90"/>
      <c r="Z619" s="90"/>
      <c r="AA619" s="90"/>
      <c r="AB619" s="90"/>
      <c r="AC619" s="90"/>
      <c r="AD619" s="90"/>
      <c r="AE619" s="90"/>
      <c r="AF619" s="90"/>
      <c r="AG619" s="90"/>
      <c r="AH619" s="90"/>
      <c r="AI619" s="90"/>
      <c r="AJ619" s="90"/>
      <c r="AK619" s="90"/>
      <c r="AL619" s="90"/>
      <c r="AM619" s="90"/>
      <c r="AN619" s="90"/>
      <c r="AO619" s="90"/>
      <c r="AP619" s="90"/>
      <c r="AQ619" s="90"/>
      <c r="AR619" s="90"/>
      <c r="AS619" s="90"/>
      <c r="AT619" s="90"/>
      <c r="AU619" s="90"/>
      <c r="AV619" s="90"/>
      <c r="AW619" s="90"/>
      <c r="AX619" s="90"/>
      <c r="AY619" s="90"/>
      <c r="AZ619" s="90"/>
      <c r="BA619" s="90"/>
    </row>
    <row r="620" spans="3:53"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0"/>
      <c r="R620" s="90"/>
      <c r="S620" s="90"/>
      <c r="T620" s="90"/>
      <c r="U620" s="90"/>
      <c r="V620" s="90"/>
      <c r="W620" s="90"/>
      <c r="X620" s="90"/>
      <c r="Y620" s="90"/>
      <c r="Z620" s="90"/>
      <c r="AA620" s="90"/>
      <c r="AB620" s="90"/>
      <c r="AC620" s="90"/>
      <c r="AD620" s="90"/>
      <c r="AE620" s="90"/>
      <c r="AF620" s="90"/>
      <c r="AG620" s="90"/>
      <c r="AH620" s="90"/>
      <c r="AI620" s="90"/>
      <c r="AJ620" s="90"/>
      <c r="AK620" s="90"/>
      <c r="AL620" s="90"/>
      <c r="AM620" s="90"/>
      <c r="AN620" s="90"/>
      <c r="AO620" s="90"/>
      <c r="AP620" s="90"/>
      <c r="AQ620" s="90"/>
      <c r="AR620" s="90"/>
      <c r="AS620" s="90"/>
      <c r="AT620" s="90"/>
      <c r="AU620" s="90"/>
      <c r="AV620" s="90"/>
      <c r="AW620" s="90"/>
      <c r="AX620" s="90"/>
      <c r="AY620" s="90"/>
      <c r="AZ620" s="90"/>
      <c r="BA620" s="90"/>
    </row>
    <row r="621" spans="3:53"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0"/>
      <c r="R621" s="90"/>
      <c r="S621" s="90"/>
      <c r="T621" s="90"/>
      <c r="U621" s="90"/>
      <c r="V621" s="90"/>
      <c r="W621" s="90"/>
      <c r="X621" s="90"/>
      <c r="Y621" s="90"/>
      <c r="Z621" s="90"/>
      <c r="AA621" s="90"/>
      <c r="AB621" s="90"/>
      <c r="AC621" s="90"/>
      <c r="AD621" s="90"/>
      <c r="AE621" s="90"/>
      <c r="AF621" s="90"/>
      <c r="AG621" s="90"/>
      <c r="AH621" s="90"/>
      <c r="AI621" s="90"/>
      <c r="AJ621" s="90"/>
      <c r="AK621" s="90"/>
      <c r="AL621" s="90"/>
      <c r="AM621" s="90"/>
      <c r="AN621" s="90"/>
      <c r="AO621" s="90"/>
      <c r="AP621" s="90"/>
      <c r="AQ621" s="90"/>
      <c r="AR621" s="90"/>
      <c r="AS621" s="90"/>
      <c r="AT621" s="90"/>
      <c r="AU621" s="90"/>
      <c r="AV621" s="90"/>
      <c r="AW621" s="90"/>
      <c r="AX621" s="90"/>
      <c r="AY621" s="90"/>
      <c r="AZ621" s="90"/>
      <c r="BA621" s="90"/>
    </row>
    <row r="622" spans="3:53"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0"/>
      <c r="R622" s="90"/>
      <c r="S622" s="90"/>
      <c r="T622" s="90"/>
      <c r="U622" s="90"/>
      <c r="V622" s="90"/>
      <c r="W622" s="90"/>
      <c r="X622" s="90"/>
      <c r="Y622" s="90"/>
      <c r="Z622" s="90"/>
      <c r="AA622" s="90"/>
      <c r="AB622" s="90"/>
      <c r="AC622" s="90"/>
      <c r="AD622" s="90"/>
      <c r="AE622" s="90"/>
      <c r="AF622" s="90"/>
      <c r="AG622" s="90"/>
      <c r="AH622" s="90"/>
      <c r="AI622" s="90"/>
      <c r="AJ622" s="90"/>
      <c r="AK622" s="90"/>
      <c r="AL622" s="90"/>
      <c r="AM622" s="90"/>
      <c r="AN622" s="90"/>
      <c r="AO622" s="90"/>
      <c r="AP622" s="90"/>
      <c r="AQ622" s="90"/>
      <c r="AR622" s="90"/>
      <c r="AS622" s="90"/>
      <c r="AT622" s="90"/>
      <c r="AU622" s="90"/>
      <c r="AV622" s="90"/>
      <c r="AW622" s="90"/>
      <c r="AX622" s="90"/>
      <c r="AY622" s="90"/>
      <c r="AZ622" s="90"/>
      <c r="BA622" s="90"/>
    </row>
    <row r="623" spans="3:53"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0"/>
      <c r="R623" s="90"/>
      <c r="S623" s="90"/>
      <c r="T623" s="90"/>
      <c r="U623" s="90"/>
      <c r="V623" s="90"/>
      <c r="W623" s="90"/>
      <c r="X623" s="90"/>
      <c r="Y623" s="90"/>
      <c r="Z623" s="90"/>
      <c r="AA623" s="90"/>
      <c r="AB623" s="90"/>
      <c r="AC623" s="90"/>
      <c r="AD623" s="90"/>
      <c r="AE623" s="90"/>
      <c r="AF623" s="90"/>
      <c r="AG623" s="90"/>
      <c r="AH623" s="90"/>
      <c r="AI623" s="90"/>
      <c r="AJ623" s="90"/>
      <c r="AK623" s="90"/>
      <c r="AL623" s="90"/>
      <c r="AM623" s="90"/>
      <c r="AN623" s="90"/>
      <c r="AO623" s="90"/>
      <c r="AP623" s="90"/>
      <c r="AQ623" s="90"/>
      <c r="AR623" s="90"/>
      <c r="AS623" s="90"/>
      <c r="AT623" s="90"/>
      <c r="AU623" s="90"/>
      <c r="AV623" s="90"/>
      <c r="AW623" s="90"/>
      <c r="AX623" s="90"/>
      <c r="AY623" s="90"/>
      <c r="AZ623" s="90"/>
      <c r="BA623" s="90"/>
    </row>
    <row r="624" spans="3:53"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0"/>
      <c r="R624" s="90"/>
      <c r="S624" s="90"/>
      <c r="T624" s="90"/>
      <c r="U624" s="90"/>
      <c r="V624" s="90"/>
      <c r="W624" s="90"/>
      <c r="X624" s="90"/>
      <c r="Y624" s="90"/>
      <c r="Z624" s="90"/>
      <c r="AA624" s="90"/>
      <c r="AB624" s="90"/>
      <c r="AC624" s="90"/>
      <c r="AD624" s="90"/>
      <c r="AE624" s="90"/>
      <c r="AF624" s="90"/>
      <c r="AG624" s="90"/>
      <c r="AH624" s="90"/>
      <c r="AI624" s="90"/>
      <c r="AJ624" s="90"/>
      <c r="AK624" s="90"/>
      <c r="AL624" s="90"/>
      <c r="AM624" s="90"/>
      <c r="AN624" s="90"/>
      <c r="AO624" s="90"/>
      <c r="AP624" s="90"/>
      <c r="AQ624" s="90"/>
      <c r="AR624" s="90"/>
      <c r="AS624" s="90"/>
      <c r="AT624" s="90"/>
      <c r="AU624" s="90"/>
      <c r="AV624" s="90"/>
      <c r="AW624" s="90"/>
      <c r="AX624" s="90"/>
      <c r="AY624" s="90"/>
      <c r="AZ624" s="90"/>
      <c r="BA624" s="90"/>
    </row>
    <row r="625" spans="3:53"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0"/>
      <c r="R625" s="90"/>
      <c r="S625" s="90"/>
      <c r="T625" s="90"/>
      <c r="U625" s="90"/>
      <c r="V625" s="90"/>
      <c r="W625" s="90"/>
      <c r="X625" s="90"/>
      <c r="Y625" s="90"/>
      <c r="Z625" s="90"/>
      <c r="AA625" s="90"/>
      <c r="AB625" s="90"/>
      <c r="AC625" s="90"/>
      <c r="AD625" s="90"/>
      <c r="AE625" s="90"/>
      <c r="AF625" s="90"/>
      <c r="AG625" s="90"/>
      <c r="AH625" s="90"/>
      <c r="AI625" s="90"/>
      <c r="AJ625" s="90"/>
      <c r="AK625" s="90"/>
      <c r="AL625" s="90"/>
      <c r="AM625" s="90"/>
      <c r="AN625" s="90"/>
      <c r="AO625" s="90"/>
      <c r="AP625" s="90"/>
      <c r="AQ625" s="90"/>
      <c r="AR625" s="90"/>
      <c r="AS625" s="90"/>
      <c r="AT625" s="90"/>
      <c r="AU625" s="90"/>
      <c r="AV625" s="90"/>
      <c r="AW625" s="90"/>
      <c r="AX625" s="90"/>
      <c r="AY625" s="90"/>
      <c r="AZ625" s="90"/>
      <c r="BA625" s="90"/>
    </row>
    <row r="626" spans="3:53"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0"/>
      <c r="R626" s="90"/>
      <c r="S626" s="90"/>
      <c r="T626" s="90"/>
      <c r="U626" s="90"/>
      <c r="V626" s="90"/>
      <c r="W626" s="90"/>
      <c r="X626" s="90"/>
      <c r="Y626" s="90"/>
      <c r="Z626" s="90"/>
      <c r="AA626" s="90"/>
      <c r="AB626" s="90"/>
      <c r="AC626" s="90"/>
      <c r="AD626" s="90"/>
      <c r="AE626" s="90"/>
      <c r="AF626" s="90"/>
      <c r="AG626" s="90"/>
      <c r="AH626" s="90"/>
      <c r="AI626" s="90"/>
      <c r="AJ626" s="90"/>
      <c r="AK626" s="90"/>
      <c r="AL626" s="90"/>
      <c r="AM626" s="90"/>
      <c r="AN626" s="90"/>
      <c r="AO626" s="90"/>
      <c r="AP626" s="90"/>
      <c r="AQ626" s="90"/>
      <c r="AR626" s="90"/>
      <c r="AS626" s="90"/>
      <c r="AT626" s="90"/>
      <c r="AU626" s="90"/>
      <c r="AV626" s="90"/>
      <c r="AW626" s="90"/>
      <c r="AX626" s="90"/>
      <c r="AY626" s="90"/>
      <c r="AZ626" s="90"/>
      <c r="BA626" s="90"/>
    </row>
    <row r="627" spans="3:53"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0"/>
      <c r="R627" s="90"/>
      <c r="S627" s="90"/>
      <c r="T627" s="90"/>
      <c r="U627" s="90"/>
      <c r="V627" s="90"/>
      <c r="W627" s="90"/>
      <c r="X627" s="90"/>
      <c r="Y627" s="90"/>
      <c r="Z627" s="90"/>
      <c r="AA627" s="90"/>
      <c r="AB627" s="90"/>
      <c r="AC627" s="90"/>
      <c r="AD627" s="90"/>
      <c r="AE627" s="90"/>
      <c r="AF627" s="90"/>
      <c r="AG627" s="90"/>
      <c r="AH627" s="90"/>
      <c r="AI627" s="90"/>
      <c r="AJ627" s="90"/>
      <c r="AK627" s="90"/>
      <c r="AL627" s="90"/>
      <c r="AM627" s="90"/>
      <c r="AN627" s="90"/>
      <c r="AO627" s="90"/>
      <c r="AP627" s="90"/>
      <c r="AQ627" s="90"/>
      <c r="AR627" s="90"/>
      <c r="AS627" s="90"/>
      <c r="AT627" s="90"/>
      <c r="AU627" s="90"/>
      <c r="AV627" s="90"/>
      <c r="AW627" s="90"/>
      <c r="AX627" s="90"/>
      <c r="AY627" s="90"/>
      <c r="AZ627" s="90"/>
      <c r="BA627" s="90"/>
    </row>
    <row r="628" spans="3:53"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0"/>
      <c r="R628" s="90"/>
      <c r="S628" s="90"/>
      <c r="T628" s="90"/>
      <c r="U628" s="90"/>
      <c r="V628" s="90"/>
      <c r="W628" s="90"/>
      <c r="X628" s="90"/>
      <c r="Y628" s="90"/>
      <c r="Z628" s="90"/>
      <c r="AA628" s="90"/>
      <c r="AB628" s="90"/>
      <c r="AC628" s="90"/>
      <c r="AD628" s="90"/>
      <c r="AE628" s="90"/>
      <c r="AF628" s="90"/>
      <c r="AG628" s="90"/>
      <c r="AH628" s="90"/>
      <c r="AI628" s="90"/>
      <c r="AJ628" s="90"/>
      <c r="AK628" s="90"/>
      <c r="AL628" s="90"/>
      <c r="AM628" s="90"/>
      <c r="AN628" s="90"/>
      <c r="AO628" s="90"/>
      <c r="AP628" s="90"/>
      <c r="AQ628" s="90"/>
      <c r="AR628" s="90"/>
      <c r="AS628" s="90"/>
      <c r="AT628" s="90"/>
      <c r="AU628" s="90"/>
      <c r="AV628" s="90"/>
      <c r="AW628" s="90"/>
      <c r="AX628" s="90"/>
      <c r="AY628" s="90"/>
      <c r="AZ628" s="90"/>
      <c r="BA628" s="90"/>
    </row>
    <row r="629" spans="3:53"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0"/>
      <c r="R629" s="90"/>
      <c r="S629" s="90"/>
      <c r="T629" s="90"/>
      <c r="U629" s="90"/>
      <c r="V629" s="90"/>
      <c r="W629" s="90"/>
      <c r="X629" s="90"/>
      <c r="Y629" s="90"/>
      <c r="Z629" s="90"/>
      <c r="AA629" s="90"/>
      <c r="AB629" s="90"/>
      <c r="AC629" s="90"/>
      <c r="AD629" s="90"/>
      <c r="AE629" s="90"/>
      <c r="AF629" s="90"/>
      <c r="AG629" s="90"/>
      <c r="AH629" s="90"/>
      <c r="AI629" s="90"/>
      <c r="AJ629" s="90"/>
      <c r="AK629" s="90"/>
      <c r="AL629" s="90"/>
      <c r="AM629" s="90"/>
      <c r="AN629" s="90"/>
      <c r="AO629" s="90"/>
      <c r="AP629" s="90"/>
      <c r="AQ629" s="90"/>
      <c r="AR629" s="90"/>
      <c r="AS629" s="90"/>
      <c r="AT629" s="90"/>
      <c r="AU629" s="90"/>
      <c r="AV629" s="90"/>
      <c r="AW629" s="90"/>
      <c r="AX629" s="90"/>
      <c r="AY629" s="90"/>
      <c r="AZ629" s="90"/>
      <c r="BA629" s="90"/>
    </row>
    <row r="630" spans="3:53"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0"/>
      <c r="R630" s="90"/>
      <c r="S630" s="90"/>
      <c r="T630" s="90"/>
      <c r="U630" s="90"/>
      <c r="V630" s="90"/>
      <c r="W630" s="90"/>
      <c r="X630" s="90"/>
      <c r="Y630" s="90"/>
      <c r="Z630" s="90"/>
      <c r="AA630" s="90"/>
      <c r="AB630" s="90"/>
      <c r="AC630" s="90"/>
      <c r="AD630" s="90"/>
      <c r="AE630" s="90"/>
      <c r="AF630" s="90"/>
      <c r="AG630" s="90"/>
      <c r="AH630" s="90"/>
      <c r="AI630" s="90"/>
      <c r="AJ630" s="90"/>
      <c r="AK630" s="90"/>
      <c r="AL630" s="90"/>
      <c r="AM630" s="90"/>
      <c r="AN630" s="90"/>
      <c r="AO630" s="90"/>
      <c r="AP630" s="90"/>
      <c r="AQ630" s="90"/>
      <c r="AR630" s="90"/>
      <c r="AS630" s="90"/>
      <c r="AT630" s="90"/>
      <c r="AU630" s="90"/>
      <c r="AV630" s="90"/>
      <c r="AW630" s="90"/>
      <c r="AX630" s="90"/>
      <c r="AY630" s="90"/>
      <c r="AZ630" s="90"/>
      <c r="BA630" s="90"/>
    </row>
    <row r="631" spans="3:53"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0"/>
      <c r="R631" s="90"/>
      <c r="S631" s="90"/>
      <c r="T631" s="90"/>
      <c r="U631" s="90"/>
      <c r="V631" s="90"/>
      <c r="W631" s="90"/>
      <c r="X631" s="90"/>
      <c r="Y631" s="90"/>
      <c r="Z631" s="90"/>
      <c r="AA631" s="90"/>
      <c r="AB631" s="90"/>
      <c r="AC631" s="90"/>
      <c r="AD631" s="90"/>
      <c r="AE631" s="90"/>
      <c r="AF631" s="90"/>
      <c r="AG631" s="90"/>
      <c r="AH631" s="90"/>
      <c r="AI631" s="90"/>
      <c r="AJ631" s="90"/>
      <c r="AK631" s="90"/>
      <c r="AL631" s="90"/>
      <c r="AM631" s="90"/>
      <c r="AN631" s="90"/>
      <c r="AO631" s="90"/>
      <c r="AP631" s="90"/>
      <c r="AQ631" s="90"/>
      <c r="AR631" s="90"/>
      <c r="AS631" s="90"/>
      <c r="AT631" s="90"/>
      <c r="AU631" s="90"/>
      <c r="AV631" s="90"/>
      <c r="AW631" s="90"/>
      <c r="AX631" s="90"/>
      <c r="AY631" s="90"/>
      <c r="AZ631" s="90"/>
      <c r="BA631" s="90"/>
    </row>
    <row r="632" spans="3:53"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0"/>
      <c r="R632" s="90"/>
      <c r="S632" s="90"/>
      <c r="T632" s="90"/>
      <c r="U632" s="90"/>
      <c r="V632" s="90"/>
      <c r="W632" s="90"/>
      <c r="X632" s="90"/>
      <c r="Y632" s="90"/>
      <c r="Z632" s="90"/>
      <c r="AA632" s="90"/>
      <c r="AB632" s="90"/>
      <c r="AC632" s="90"/>
      <c r="AD632" s="90"/>
      <c r="AE632" s="90"/>
      <c r="AF632" s="90"/>
      <c r="AG632" s="90"/>
      <c r="AH632" s="90"/>
      <c r="AI632" s="90"/>
      <c r="AJ632" s="90"/>
      <c r="AK632" s="90"/>
      <c r="AL632" s="90"/>
      <c r="AM632" s="90"/>
      <c r="AN632" s="90"/>
      <c r="AO632" s="90"/>
      <c r="AP632" s="90"/>
      <c r="AQ632" s="90"/>
      <c r="AR632" s="90"/>
      <c r="AS632" s="90"/>
      <c r="AT632" s="90"/>
      <c r="AU632" s="90"/>
      <c r="AV632" s="90"/>
      <c r="AW632" s="90"/>
      <c r="AX632" s="90"/>
      <c r="AY632" s="90"/>
      <c r="AZ632" s="90"/>
      <c r="BA632" s="90"/>
    </row>
    <row r="633" spans="3:53"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0"/>
      <c r="R633" s="90"/>
      <c r="S633" s="90"/>
      <c r="T633" s="90"/>
      <c r="U633" s="90"/>
      <c r="V633" s="90"/>
      <c r="W633" s="90"/>
      <c r="X633" s="90"/>
      <c r="Y633" s="90"/>
      <c r="Z633" s="90"/>
      <c r="AA633" s="90"/>
      <c r="AB633" s="90"/>
      <c r="AC633" s="90"/>
      <c r="AD633" s="90"/>
      <c r="AE633" s="90"/>
      <c r="AF633" s="90"/>
      <c r="AG633" s="90"/>
      <c r="AH633" s="90"/>
      <c r="AI633" s="90"/>
      <c r="AJ633" s="90"/>
      <c r="AK633" s="90"/>
      <c r="AL633" s="90"/>
      <c r="AM633" s="90"/>
      <c r="AN633" s="90"/>
      <c r="AO633" s="90"/>
      <c r="AP633" s="90"/>
      <c r="AQ633" s="90"/>
      <c r="AR633" s="90"/>
      <c r="AS633" s="90"/>
      <c r="AT633" s="90"/>
      <c r="AU633" s="90"/>
      <c r="AV633" s="90"/>
      <c r="AW633" s="90"/>
      <c r="AX633" s="90"/>
      <c r="AY633" s="90"/>
      <c r="AZ633" s="90"/>
      <c r="BA633" s="90"/>
    </row>
    <row r="634" spans="3:53"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0"/>
      <c r="R634" s="90"/>
      <c r="S634" s="90"/>
      <c r="T634" s="90"/>
      <c r="U634" s="90"/>
      <c r="V634" s="90"/>
      <c r="W634" s="90"/>
      <c r="X634" s="90"/>
      <c r="Y634" s="90"/>
      <c r="Z634" s="90"/>
      <c r="AA634" s="90"/>
      <c r="AB634" s="90"/>
      <c r="AC634" s="90"/>
      <c r="AD634" s="90"/>
      <c r="AE634" s="90"/>
      <c r="AF634" s="90"/>
      <c r="AG634" s="90"/>
      <c r="AH634" s="90"/>
      <c r="AI634" s="90"/>
      <c r="AJ634" s="90"/>
      <c r="AK634" s="90"/>
      <c r="AL634" s="90"/>
      <c r="AM634" s="90"/>
      <c r="AN634" s="90"/>
      <c r="AO634" s="90"/>
      <c r="AP634" s="90"/>
      <c r="AQ634" s="90"/>
      <c r="AR634" s="90"/>
      <c r="AS634" s="90"/>
      <c r="AT634" s="90"/>
      <c r="AU634" s="90"/>
      <c r="AV634" s="90"/>
      <c r="AW634" s="90"/>
      <c r="AX634" s="90"/>
      <c r="AY634" s="90"/>
      <c r="AZ634" s="90"/>
      <c r="BA634" s="90"/>
    </row>
    <row r="635" spans="3:53"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0"/>
      <c r="R635" s="90"/>
      <c r="S635" s="90"/>
      <c r="T635" s="90"/>
      <c r="U635" s="90"/>
      <c r="V635" s="90"/>
      <c r="W635" s="90"/>
      <c r="X635" s="90"/>
      <c r="Y635" s="90"/>
      <c r="Z635" s="90"/>
      <c r="AA635" s="90"/>
      <c r="AB635" s="90"/>
      <c r="AC635" s="90"/>
      <c r="AD635" s="90"/>
      <c r="AE635" s="90"/>
      <c r="AF635" s="90"/>
      <c r="AG635" s="90"/>
      <c r="AH635" s="90"/>
      <c r="AI635" s="90"/>
      <c r="AJ635" s="90"/>
      <c r="AK635" s="90"/>
      <c r="AL635" s="90"/>
      <c r="AM635" s="90"/>
      <c r="AN635" s="90"/>
      <c r="AO635" s="90"/>
      <c r="AP635" s="90"/>
      <c r="AQ635" s="90"/>
      <c r="AR635" s="90"/>
      <c r="AS635" s="90"/>
      <c r="AT635" s="90"/>
      <c r="AU635" s="90"/>
      <c r="AV635" s="90"/>
      <c r="AW635" s="90"/>
      <c r="AX635" s="90"/>
      <c r="AY635" s="90"/>
      <c r="AZ635" s="90"/>
      <c r="BA635" s="90"/>
    </row>
    <row r="636" spans="3:53"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0"/>
      <c r="R636" s="90"/>
      <c r="S636" s="90"/>
      <c r="T636" s="90"/>
      <c r="U636" s="90"/>
      <c r="V636" s="90"/>
      <c r="W636" s="90"/>
      <c r="X636" s="90"/>
      <c r="Y636" s="90"/>
      <c r="Z636" s="90"/>
      <c r="AA636" s="90"/>
      <c r="AB636" s="90"/>
      <c r="AC636" s="90"/>
      <c r="AD636" s="90"/>
      <c r="AE636" s="90"/>
      <c r="AF636" s="90"/>
      <c r="AG636" s="90"/>
      <c r="AH636" s="90"/>
      <c r="AI636" s="90"/>
      <c r="AJ636" s="90"/>
      <c r="AK636" s="90"/>
      <c r="AL636" s="90"/>
      <c r="AM636" s="90"/>
      <c r="AN636" s="90"/>
      <c r="AO636" s="90"/>
      <c r="AP636" s="90"/>
      <c r="AQ636" s="90"/>
      <c r="AR636" s="90"/>
      <c r="AS636" s="90"/>
      <c r="AT636" s="90"/>
      <c r="AU636" s="90"/>
      <c r="AV636" s="90"/>
      <c r="AW636" s="90"/>
      <c r="AX636" s="90"/>
      <c r="AY636" s="90"/>
      <c r="AZ636" s="90"/>
      <c r="BA636" s="90"/>
    </row>
    <row r="637" spans="3:53"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0"/>
      <c r="R637" s="90"/>
      <c r="S637" s="90"/>
      <c r="T637" s="90"/>
      <c r="U637" s="90"/>
      <c r="V637" s="90"/>
      <c r="W637" s="90"/>
      <c r="X637" s="90"/>
      <c r="Y637" s="90"/>
      <c r="Z637" s="90"/>
      <c r="AA637" s="90"/>
      <c r="AB637" s="90"/>
      <c r="AC637" s="90"/>
      <c r="AD637" s="90"/>
      <c r="AE637" s="90"/>
      <c r="AF637" s="90"/>
      <c r="AG637" s="90"/>
      <c r="AH637" s="90"/>
      <c r="AI637" s="90"/>
      <c r="AJ637" s="90"/>
      <c r="AK637" s="90"/>
      <c r="AL637" s="90"/>
      <c r="AM637" s="90"/>
      <c r="AN637" s="90"/>
      <c r="AO637" s="90"/>
      <c r="AP637" s="90"/>
      <c r="AQ637" s="90"/>
      <c r="AR637" s="90"/>
      <c r="AS637" s="90"/>
      <c r="AT637" s="90"/>
      <c r="AU637" s="90"/>
      <c r="AV637" s="90"/>
      <c r="AW637" s="90"/>
      <c r="AX637" s="90"/>
      <c r="AY637" s="90"/>
      <c r="AZ637" s="90"/>
      <c r="BA637" s="90"/>
    </row>
    <row r="638" spans="3:53"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0"/>
      <c r="R638" s="90"/>
      <c r="S638" s="90"/>
      <c r="T638" s="90"/>
      <c r="U638" s="90"/>
      <c r="V638" s="90"/>
      <c r="W638" s="90"/>
      <c r="X638" s="90"/>
      <c r="Y638" s="90"/>
      <c r="Z638" s="90"/>
      <c r="AA638" s="90"/>
      <c r="AB638" s="90"/>
      <c r="AC638" s="90"/>
      <c r="AD638" s="90"/>
      <c r="AE638" s="90"/>
      <c r="AF638" s="90"/>
      <c r="AG638" s="90"/>
      <c r="AH638" s="90"/>
      <c r="AI638" s="90"/>
      <c r="AJ638" s="90"/>
      <c r="AK638" s="90"/>
      <c r="AL638" s="90"/>
      <c r="AM638" s="90"/>
      <c r="AN638" s="90"/>
      <c r="AO638" s="90"/>
      <c r="AP638" s="90"/>
      <c r="AQ638" s="90"/>
      <c r="AR638" s="90"/>
      <c r="AS638" s="90"/>
      <c r="AT638" s="90"/>
      <c r="AU638" s="90"/>
      <c r="AV638" s="90"/>
      <c r="AW638" s="90"/>
      <c r="AX638" s="90"/>
      <c r="AY638" s="90"/>
      <c r="AZ638" s="90"/>
      <c r="BA638" s="90"/>
    </row>
    <row r="639" spans="3:53"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0"/>
      <c r="R639" s="90"/>
      <c r="S639" s="90"/>
      <c r="T639" s="90"/>
      <c r="U639" s="90"/>
      <c r="V639" s="90"/>
      <c r="W639" s="90"/>
      <c r="X639" s="90"/>
      <c r="Y639" s="90"/>
      <c r="Z639" s="90"/>
      <c r="AA639" s="90"/>
      <c r="AB639" s="90"/>
      <c r="AC639" s="90"/>
      <c r="AD639" s="90"/>
      <c r="AE639" s="90"/>
      <c r="AF639" s="90"/>
      <c r="AG639" s="90"/>
      <c r="AH639" s="90"/>
      <c r="AI639" s="90"/>
      <c r="AJ639" s="90"/>
      <c r="AK639" s="90"/>
      <c r="AL639" s="90"/>
      <c r="AM639" s="90"/>
      <c r="AN639" s="90"/>
      <c r="AO639" s="90"/>
      <c r="AP639" s="90"/>
      <c r="AQ639" s="90"/>
      <c r="AR639" s="90"/>
      <c r="AS639" s="90"/>
      <c r="AT639" s="90"/>
      <c r="AU639" s="90"/>
      <c r="AV639" s="90"/>
      <c r="AW639" s="90"/>
      <c r="AX639" s="90"/>
      <c r="AY639" s="90"/>
      <c r="AZ639" s="90"/>
      <c r="BA639" s="90"/>
    </row>
    <row r="640" spans="3:53"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0"/>
      <c r="R640" s="90"/>
      <c r="S640" s="90"/>
      <c r="T640" s="90"/>
      <c r="U640" s="90"/>
      <c r="V640" s="90"/>
      <c r="W640" s="90"/>
      <c r="X640" s="90"/>
      <c r="Y640" s="90"/>
      <c r="Z640" s="90"/>
      <c r="AA640" s="90"/>
      <c r="AB640" s="90"/>
      <c r="AC640" s="90"/>
      <c r="AD640" s="90"/>
      <c r="AE640" s="90"/>
      <c r="AF640" s="90"/>
      <c r="AG640" s="90"/>
      <c r="AH640" s="90"/>
      <c r="AI640" s="90"/>
      <c r="AJ640" s="90"/>
      <c r="AK640" s="90"/>
      <c r="AL640" s="90"/>
      <c r="AM640" s="90"/>
      <c r="AN640" s="90"/>
      <c r="AO640" s="90"/>
      <c r="AP640" s="90"/>
      <c r="AQ640" s="90"/>
      <c r="AR640" s="90"/>
      <c r="AS640" s="90"/>
      <c r="AT640" s="90"/>
      <c r="AU640" s="90"/>
      <c r="AV640" s="90"/>
      <c r="AW640" s="90"/>
      <c r="AX640" s="90"/>
      <c r="AY640" s="90"/>
      <c r="AZ640" s="90"/>
      <c r="BA640" s="90"/>
    </row>
    <row r="641" spans="3:53"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0"/>
      <c r="R641" s="90"/>
      <c r="S641" s="90"/>
      <c r="T641" s="90"/>
      <c r="U641" s="90"/>
      <c r="V641" s="90"/>
      <c r="W641" s="90"/>
      <c r="X641" s="90"/>
      <c r="Y641" s="90"/>
      <c r="Z641" s="90"/>
      <c r="AA641" s="90"/>
      <c r="AB641" s="90"/>
      <c r="AC641" s="90"/>
      <c r="AD641" s="90"/>
      <c r="AE641" s="90"/>
      <c r="AF641" s="90"/>
      <c r="AG641" s="90"/>
      <c r="AH641" s="90"/>
      <c r="AI641" s="90"/>
      <c r="AJ641" s="90"/>
      <c r="AK641" s="90"/>
      <c r="AL641" s="90"/>
      <c r="AM641" s="90"/>
      <c r="AN641" s="90"/>
      <c r="AO641" s="90"/>
      <c r="AP641" s="90"/>
      <c r="AQ641" s="90"/>
      <c r="AR641" s="90"/>
      <c r="AS641" s="90"/>
      <c r="AT641" s="90"/>
      <c r="AU641" s="90"/>
      <c r="AV641" s="90"/>
      <c r="AW641" s="90"/>
      <c r="AX641" s="90"/>
      <c r="AY641" s="90"/>
      <c r="AZ641" s="90"/>
      <c r="BA641" s="90"/>
    </row>
    <row r="642" spans="3:53"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0"/>
      <c r="R642" s="90"/>
      <c r="S642" s="90"/>
      <c r="T642" s="90"/>
      <c r="U642" s="90"/>
      <c r="V642" s="90"/>
      <c r="W642" s="90"/>
      <c r="X642" s="90"/>
      <c r="Y642" s="90"/>
      <c r="Z642" s="90"/>
      <c r="AA642" s="90"/>
      <c r="AB642" s="90"/>
      <c r="AC642" s="90"/>
      <c r="AD642" s="90"/>
      <c r="AE642" s="90"/>
      <c r="AF642" s="90"/>
      <c r="AG642" s="90"/>
      <c r="AH642" s="90"/>
      <c r="AI642" s="90"/>
      <c r="AJ642" s="90"/>
      <c r="AK642" s="90"/>
      <c r="AL642" s="90"/>
      <c r="AM642" s="90"/>
      <c r="AN642" s="90"/>
      <c r="AO642" s="90"/>
      <c r="AP642" s="90"/>
      <c r="AQ642" s="90"/>
      <c r="AR642" s="90"/>
      <c r="AS642" s="90"/>
      <c r="AT642" s="90"/>
      <c r="AU642" s="90"/>
      <c r="AV642" s="90"/>
      <c r="AW642" s="90"/>
      <c r="AX642" s="90"/>
      <c r="AY642" s="90"/>
      <c r="AZ642" s="90"/>
      <c r="BA642" s="90"/>
    </row>
    <row r="643" spans="3:53"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0"/>
      <c r="R643" s="90"/>
      <c r="S643" s="90"/>
      <c r="T643" s="90"/>
      <c r="U643" s="90"/>
      <c r="V643" s="90"/>
      <c r="W643" s="90"/>
      <c r="X643" s="90"/>
      <c r="Y643" s="90"/>
      <c r="Z643" s="90"/>
      <c r="AA643" s="90"/>
      <c r="AB643" s="90"/>
      <c r="AC643" s="90"/>
      <c r="AD643" s="90"/>
      <c r="AE643" s="90"/>
      <c r="AF643" s="90"/>
      <c r="AG643" s="90"/>
      <c r="AH643" s="90"/>
      <c r="AI643" s="90"/>
      <c r="AJ643" s="90"/>
      <c r="AK643" s="90"/>
      <c r="AL643" s="90"/>
      <c r="AM643" s="90"/>
      <c r="AN643" s="90"/>
      <c r="AO643" s="90"/>
      <c r="AP643" s="90"/>
      <c r="AQ643" s="90"/>
      <c r="AR643" s="90"/>
      <c r="AS643" s="90"/>
      <c r="AT643" s="90"/>
      <c r="AU643" s="90"/>
      <c r="AV643" s="90"/>
      <c r="AW643" s="90"/>
      <c r="AX643" s="90"/>
      <c r="AY643" s="90"/>
      <c r="AZ643" s="90"/>
      <c r="BA643" s="90"/>
    </row>
    <row r="644" spans="3:53"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0"/>
      <c r="R644" s="90"/>
      <c r="S644" s="90"/>
      <c r="T644" s="90"/>
      <c r="U644" s="90"/>
      <c r="V644" s="90"/>
      <c r="W644" s="90"/>
      <c r="X644" s="90"/>
      <c r="Y644" s="90"/>
      <c r="Z644" s="90"/>
      <c r="AA644" s="90"/>
      <c r="AB644" s="90"/>
      <c r="AC644" s="90"/>
      <c r="AD644" s="90"/>
      <c r="AE644" s="90"/>
      <c r="AF644" s="90"/>
      <c r="AG644" s="90"/>
      <c r="AH644" s="90"/>
      <c r="AI644" s="90"/>
      <c r="AJ644" s="90"/>
      <c r="AK644" s="90"/>
      <c r="AL644" s="90"/>
      <c r="AM644" s="90"/>
      <c r="AN644" s="90"/>
      <c r="AO644" s="90"/>
      <c r="AP644" s="90"/>
      <c r="AQ644" s="90"/>
      <c r="AR644" s="90"/>
      <c r="AS644" s="90"/>
      <c r="AT644" s="90"/>
      <c r="AU644" s="90"/>
      <c r="AV644" s="90"/>
      <c r="AW644" s="90"/>
      <c r="AX644" s="90"/>
      <c r="AY644" s="90"/>
      <c r="AZ644" s="90"/>
      <c r="BA644" s="90"/>
    </row>
    <row r="645" spans="3:53"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  <c r="P645" s="91"/>
      <c r="Q645" s="90"/>
      <c r="R645" s="90"/>
      <c r="S645" s="90"/>
      <c r="T645" s="90"/>
      <c r="U645" s="90"/>
      <c r="V645" s="90"/>
      <c r="W645" s="90"/>
      <c r="X645" s="90"/>
      <c r="Y645" s="90"/>
      <c r="Z645" s="90"/>
      <c r="AA645" s="90"/>
      <c r="AB645" s="90"/>
      <c r="AC645" s="90"/>
      <c r="AD645" s="90"/>
      <c r="AE645" s="90"/>
      <c r="AF645" s="90"/>
      <c r="AG645" s="90"/>
      <c r="AH645" s="90"/>
      <c r="AI645" s="90"/>
      <c r="AJ645" s="90"/>
      <c r="AK645" s="90"/>
      <c r="AL645" s="90"/>
      <c r="AM645" s="90"/>
      <c r="AN645" s="90"/>
      <c r="AO645" s="90"/>
      <c r="AP645" s="90"/>
      <c r="AQ645" s="90"/>
      <c r="AR645" s="90"/>
      <c r="AS645" s="90"/>
      <c r="AT645" s="90"/>
      <c r="AU645" s="90"/>
      <c r="AV645" s="90"/>
      <c r="AW645" s="90"/>
      <c r="AX645" s="90"/>
      <c r="AY645" s="90"/>
      <c r="AZ645" s="90"/>
      <c r="BA645" s="90"/>
    </row>
    <row r="646" spans="3:53"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  <c r="P646" s="91"/>
      <c r="Q646" s="90"/>
      <c r="R646" s="90"/>
      <c r="S646" s="90"/>
      <c r="T646" s="90"/>
      <c r="U646" s="90"/>
      <c r="V646" s="90"/>
      <c r="W646" s="90"/>
      <c r="X646" s="90"/>
      <c r="Y646" s="90"/>
      <c r="Z646" s="90"/>
      <c r="AA646" s="90"/>
      <c r="AB646" s="90"/>
      <c r="AC646" s="90"/>
      <c r="AD646" s="90"/>
      <c r="AE646" s="90"/>
      <c r="AF646" s="90"/>
      <c r="AG646" s="90"/>
      <c r="AH646" s="90"/>
      <c r="AI646" s="90"/>
      <c r="AJ646" s="90"/>
      <c r="AK646" s="90"/>
      <c r="AL646" s="90"/>
      <c r="AM646" s="90"/>
      <c r="AN646" s="90"/>
      <c r="AO646" s="90"/>
      <c r="AP646" s="90"/>
      <c r="AQ646" s="90"/>
      <c r="AR646" s="90"/>
      <c r="AS646" s="90"/>
      <c r="AT646" s="90"/>
      <c r="AU646" s="90"/>
      <c r="AV646" s="90"/>
      <c r="AW646" s="90"/>
      <c r="AX646" s="90"/>
      <c r="AY646" s="90"/>
      <c r="AZ646" s="90"/>
      <c r="BA646" s="90"/>
    </row>
    <row r="647" spans="3:53"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  <c r="P647" s="91"/>
      <c r="Q647" s="90"/>
      <c r="R647" s="90"/>
      <c r="S647" s="90"/>
      <c r="T647" s="90"/>
      <c r="U647" s="90"/>
      <c r="V647" s="90"/>
      <c r="W647" s="90"/>
      <c r="X647" s="90"/>
      <c r="Y647" s="90"/>
      <c r="Z647" s="90"/>
      <c r="AA647" s="90"/>
      <c r="AB647" s="90"/>
      <c r="AC647" s="90"/>
      <c r="AD647" s="90"/>
      <c r="AE647" s="90"/>
      <c r="AF647" s="90"/>
      <c r="AG647" s="90"/>
      <c r="AH647" s="90"/>
      <c r="AI647" s="90"/>
      <c r="AJ647" s="90"/>
      <c r="AK647" s="90"/>
      <c r="AL647" s="90"/>
      <c r="AM647" s="90"/>
      <c r="AN647" s="90"/>
      <c r="AO647" s="90"/>
      <c r="AP647" s="90"/>
      <c r="AQ647" s="90"/>
      <c r="AR647" s="90"/>
      <c r="AS647" s="90"/>
      <c r="AT647" s="90"/>
      <c r="AU647" s="90"/>
      <c r="AV647" s="90"/>
      <c r="AW647" s="90"/>
      <c r="AX647" s="90"/>
      <c r="AY647" s="90"/>
      <c r="AZ647" s="90"/>
      <c r="BA647" s="90"/>
    </row>
    <row r="648" spans="3:53"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  <c r="P648" s="91"/>
      <c r="Q648" s="90"/>
      <c r="R648" s="90"/>
      <c r="S648" s="90"/>
      <c r="T648" s="90"/>
      <c r="U648" s="90"/>
      <c r="V648" s="90"/>
      <c r="W648" s="90"/>
      <c r="X648" s="90"/>
      <c r="Y648" s="90"/>
      <c r="Z648" s="90"/>
      <c r="AA648" s="90"/>
      <c r="AB648" s="90"/>
      <c r="AC648" s="90"/>
      <c r="AD648" s="90"/>
      <c r="AE648" s="90"/>
      <c r="AF648" s="90"/>
      <c r="AG648" s="90"/>
      <c r="AH648" s="90"/>
      <c r="AI648" s="90"/>
      <c r="AJ648" s="90"/>
      <c r="AK648" s="90"/>
      <c r="AL648" s="90"/>
      <c r="AM648" s="90"/>
      <c r="AN648" s="90"/>
      <c r="AO648" s="90"/>
      <c r="AP648" s="90"/>
      <c r="AQ648" s="90"/>
      <c r="AR648" s="90"/>
      <c r="AS648" s="90"/>
      <c r="AT648" s="90"/>
      <c r="AU648" s="90"/>
      <c r="AV648" s="90"/>
      <c r="AW648" s="90"/>
      <c r="AX648" s="90"/>
      <c r="AY648" s="90"/>
      <c r="AZ648" s="90"/>
      <c r="BA648" s="90"/>
    </row>
    <row r="649" spans="3:53"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  <c r="P649" s="91"/>
      <c r="Q649" s="90"/>
      <c r="R649" s="90"/>
      <c r="S649" s="90"/>
      <c r="T649" s="90"/>
      <c r="U649" s="90"/>
      <c r="V649" s="90"/>
      <c r="W649" s="90"/>
      <c r="X649" s="90"/>
      <c r="Y649" s="90"/>
      <c r="Z649" s="90"/>
      <c r="AA649" s="90"/>
      <c r="AB649" s="90"/>
      <c r="AC649" s="90"/>
      <c r="AD649" s="90"/>
      <c r="AE649" s="90"/>
      <c r="AF649" s="90"/>
      <c r="AG649" s="90"/>
      <c r="AH649" s="90"/>
      <c r="AI649" s="90"/>
      <c r="AJ649" s="90"/>
      <c r="AK649" s="90"/>
      <c r="AL649" s="90"/>
      <c r="AM649" s="90"/>
      <c r="AN649" s="90"/>
      <c r="AO649" s="90"/>
      <c r="AP649" s="90"/>
      <c r="AQ649" s="90"/>
      <c r="AR649" s="90"/>
      <c r="AS649" s="90"/>
      <c r="AT649" s="90"/>
      <c r="AU649" s="90"/>
      <c r="AV649" s="90"/>
      <c r="AW649" s="90"/>
      <c r="AX649" s="90"/>
      <c r="AY649" s="90"/>
      <c r="AZ649" s="90"/>
      <c r="BA649" s="90"/>
    </row>
    <row r="650" spans="3:53"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0"/>
      <c r="R650" s="90"/>
      <c r="S650" s="90"/>
      <c r="T650" s="90"/>
      <c r="U650" s="90"/>
      <c r="V650" s="90"/>
      <c r="W650" s="90"/>
      <c r="X650" s="90"/>
      <c r="Y650" s="90"/>
      <c r="Z650" s="90"/>
      <c r="AA650" s="90"/>
      <c r="AB650" s="90"/>
      <c r="AC650" s="90"/>
      <c r="AD650" s="90"/>
      <c r="AE650" s="90"/>
      <c r="AF650" s="90"/>
      <c r="AG650" s="90"/>
      <c r="AH650" s="90"/>
      <c r="AI650" s="90"/>
      <c r="AJ650" s="90"/>
      <c r="AK650" s="90"/>
      <c r="AL650" s="90"/>
      <c r="AM650" s="90"/>
      <c r="AN650" s="90"/>
      <c r="AO650" s="90"/>
      <c r="AP650" s="90"/>
      <c r="AQ650" s="90"/>
      <c r="AR650" s="90"/>
      <c r="AS650" s="90"/>
      <c r="AT650" s="90"/>
      <c r="AU650" s="90"/>
      <c r="AV650" s="90"/>
      <c r="AW650" s="90"/>
      <c r="AX650" s="90"/>
      <c r="AY650" s="90"/>
      <c r="AZ650" s="90"/>
      <c r="BA650" s="90"/>
    </row>
    <row r="651" spans="3:53"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0"/>
      <c r="R651" s="90"/>
      <c r="S651" s="90"/>
      <c r="T651" s="90"/>
      <c r="U651" s="90"/>
      <c r="V651" s="90"/>
      <c r="W651" s="90"/>
      <c r="X651" s="90"/>
      <c r="Y651" s="90"/>
      <c r="Z651" s="90"/>
      <c r="AA651" s="90"/>
      <c r="AB651" s="90"/>
      <c r="AC651" s="90"/>
      <c r="AD651" s="90"/>
      <c r="AE651" s="90"/>
      <c r="AF651" s="90"/>
      <c r="AG651" s="90"/>
      <c r="AH651" s="90"/>
      <c r="AI651" s="90"/>
      <c r="AJ651" s="90"/>
      <c r="AK651" s="90"/>
      <c r="AL651" s="90"/>
      <c r="AM651" s="90"/>
      <c r="AN651" s="90"/>
      <c r="AO651" s="90"/>
      <c r="AP651" s="90"/>
      <c r="AQ651" s="90"/>
      <c r="AR651" s="90"/>
      <c r="AS651" s="90"/>
      <c r="AT651" s="90"/>
      <c r="AU651" s="90"/>
      <c r="AV651" s="90"/>
      <c r="AW651" s="90"/>
      <c r="AX651" s="90"/>
      <c r="AY651" s="90"/>
      <c r="AZ651" s="90"/>
      <c r="BA651" s="90"/>
    </row>
    <row r="652" spans="3:53"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0"/>
      <c r="R652" s="90"/>
      <c r="S652" s="90"/>
      <c r="T652" s="90"/>
      <c r="U652" s="90"/>
      <c r="V652" s="90"/>
      <c r="W652" s="90"/>
      <c r="X652" s="90"/>
      <c r="Y652" s="90"/>
      <c r="Z652" s="90"/>
      <c r="AA652" s="90"/>
      <c r="AB652" s="90"/>
      <c r="AC652" s="90"/>
      <c r="AD652" s="90"/>
      <c r="AE652" s="90"/>
      <c r="AF652" s="90"/>
      <c r="AG652" s="90"/>
      <c r="AH652" s="90"/>
      <c r="AI652" s="90"/>
      <c r="AJ652" s="90"/>
      <c r="AK652" s="90"/>
      <c r="AL652" s="90"/>
      <c r="AM652" s="90"/>
      <c r="AN652" s="90"/>
      <c r="AO652" s="90"/>
      <c r="AP652" s="90"/>
      <c r="AQ652" s="90"/>
      <c r="AR652" s="90"/>
      <c r="AS652" s="90"/>
      <c r="AT652" s="90"/>
      <c r="AU652" s="90"/>
      <c r="AV652" s="90"/>
      <c r="AW652" s="90"/>
      <c r="AX652" s="90"/>
      <c r="AY652" s="90"/>
      <c r="AZ652" s="90"/>
      <c r="BA652" s="90"/>
    </row>
    <row r="653" spans="3:53"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  <c r="AC653" s="90"/>
      <c r="AD653" s="90"/>
      <c r="AE653" s="90"/>
      <c r="AF653" s="90"/>
      <c r="AG653" s="90"/>
      <c r="AH653" s="90"/>
      <c r="AI653" s="90"/>
      <c r="AJ653" s="90"/>
      <c r="AK653" s="90"/>
      <c r="AL653" s="90"/>
      <c r="AM653" s="90"/>
      <c r="AN653" s="90"/>
      <c r="AO653" s="90"/>
      <c r="AP653" s="90"/>
      <c r="AQ653" s="90"/>
      <c r="AR653" s="90"/>
      <c r="AS653" s="90"/>
      <c r="AT653" s="90"/>
      <c r="AU653" s="90"/>
      <c r="AV653" s="90"/>
      <c r="AW653" s="90"/>
      <c r="AX653" s="90"/>
      <c r="AY653" s="90"/>
      <c r="AZ653" s="90"/>
      <c r="BA653" s="90"/>
    </row>
    <row r="654" spans="3:53"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  <c r="AC654" s="90"/>
      <c r="AD654" s="90"/>
      <c r="AE654" s="90"/>
      <c r="AF654" s="90"/>
      <c r="AG654" s="90"/>
      <c r="AH654" s="90"/>
      <c r="AI654" s="90"/>
      <c r="AJ654" s="90"/>
      <c r="AK654" s="90"/>
      <c r="AL654" s="90"/>
      <c r="AM654" s="90"/>
      <c r="AN654" s="90"/>
      <c r="AO654" s="90"/>
      <c r="AP654" s="90"/>
      <c r="AQ654" s="90"/>
      <c r="AR654" s="90"/>
      <c r="AS654" s="90"/>
      <c r="AT654" s="90"/>
      <c r="AU654" s="90"/>
      <c r="AV654" s="90"/>
      <c r="AW654" s="90"/>
      <c r="AX654" s="90"/>
      <c r="AY654" s="90"/>
      <c r="AZ654" s="90"/>
      <c r="BA654" s="90"/>
    </row>
    <row r="655" spans="3:53"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91"/>
      <c r="P655" s="91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  <c r="AC655" s="90"/>
      <c r="AD655" s="90"/>
      <c r="AE655" s="90"/>
      <c r="AF655" s="90"/>
      <c r="AG655" s="90"/>
      <c r="AH655" s="90"/>
      <c r="AI655" s="90"/>
      <c r="AJ655" s="90"/>
      <c r="AK655" s="90"/>
      <c r="AL655" s="90"/>
      <c r="AM655" s="90"/>
      <c r="AN655" s="90"/>
      <c r="AO655" s="90"/>
      <c r="AP655" s="90"/>
      <c r="AQ655" s="90"/>
      <c r="AR655" s="90"/>
      <c r="AS655" s="90"/>
      <c r="AT655" s="90"/>
      <c r="AU655" s="90"/>
      <c r="AV655" s="90"/>
      <c r="AW655" s="90"/>
      <c r="AX655" s="90"/>
      <c r="AY655" s="90"/>
      <c r="AZ655" s="90"/>
      <c r="BA655" s="90"/>
    </row>
    <row r="656" spans="3:53"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91"/>
      <c r="P656" s="91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  <c r="AC656" s="90"/>
      <c r="AD656" s="90"/>
      <c r="AE656" s="90"/>
      <c r="AF656" s="90"/>
      <c r="AG656" s="90"/>
      <c r="AH656" s="90"/>
      <c r="AI656" s="90"/>
      <c r="AJ656" s="90"/>
      <c r="AK656" s="90"/>
      <c r="AL656" s="90"/>
      <c r="AM656" s="90"/>
      <c r="AN656" s="90"/>
      <c r="AO656" s="90"/>
      <c r="AP656" s="90"/>
      <c r="AQ656" s="90"/>
      <c r="AR656" s="90"/>
      <c r="AS656" s="90"/>
      <c r="AT656" s="90"/>
      <c r="AU656" s="90"/>
      <c r="AV656" s="90"/>
      <c r="AW656" s="90"/>
      <c r="AX656" s="90"/>
      <c r="AY656" s="90"/>
      <c r="AZ656" s="90"/>
      <c r="BA656" s="90"/>
    </row>
    <row r="657" spans="3:53"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91"/>
      <c r="P657" s="91"/>
      <c r="Q657" s="90"/>
      <c r="R657" s="90"/>
      <c r="S657" s="90"/>
      <c r="T657" s="90"/>
      <c r="U657" s="90"/>
      <c r="V657" s="90"/>
      <c r="W657" s="90"/>
      <c r="X657" s="90"/>
      <c r="Y657" s="90"/>
      <c r="Z657" s="90"/>
      <c r="AA657" s="90"/>
      <c r="AB657" s="90"/>
      <c r="AC657" s="90"/>
      <c r="AD657" s="90"/>
      <c r="AE657" s="90"/>
      <c r="AF657" s="90"/>
      <c r="AG657" s="90"/>
      <c r="AH657" s="90"/>
      <c r="AI657" s="90"/>
      <c r="AJ657" s="90"/>
      <c r="AK657" s="90"/>
      <c r="AL657" s="90"/>
      <c r="AM657" s="90"/>
      <c r="AN657" s="90"/>
      <c r="AO657" s="90"/>
      <c r="AP657" s="90"/>
      <c r="AQ657" s="90"/>
      <c r="AR657" s="90"/>
      <c r="AS657" s="90"/>
      <c r="AT657" s="90"/>
      <c r="AU657" s="90"/>
      <c r="AV657" s="90"/>
      <c r="AW657" s="90"/>
      <c r="AX657" s="90"/>
      <c r="AY657" s="90"/>
      <c r="AZ657" s="90"/>
      <c r="BA657" s="90"/>
    </row>
    <row r="658" spans="3:53"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91"/>
      <c r="P658" s="91"/>
      <c r="Q658" s="90"/>
      <c r="R658" s="90"/>
      <c r="S658" s="90"/>
      <c r="T658" s="90"/>
      <c r="U658" s="90"/>
      <c r="V658" s="90"/>
      <c r="W658" s="90"/>
      <c r="X658" s="90"/>
      <c r="Y658" s="90"/>
      <c r="Z658" s="90"/>
      <c r="AA658" s="90"/>
      <c r="AB658" s="90"/>
      <c r="AC658" s="90"/>
      <c r="AD658" s="90"/>
      <c r="AE658" s="90"/>
      <c r="AF658" s="90"/>
      <c r="AG658" s="90"/>
      <c r="AH658" s="90"/>
      <c r="AI658" s="90"/>
      <c r="AJ658" s="90"/>
      <c r="AK658" s="90"/>
      <c r="AL658" s="90"/>
      <c r="AM658" s="90"/>
      <c r="AN658" s="90"/>
      <c r="AO658" s="90"/>
      <c r="AP658" s="90"/>
      <c r="AQ658" s="90"/>
      <c r="AR658" s="90"/>
      <c r="AS658" s="90"/>
      <c r="AT658" s="90"/>
      <c r="AU658" s="90"/>
      <c r="AV658" s="90"/>
      <c r="AW658" s="90"/>
      <c r="AX658" s="90"/>
      <c r="AY658" s="90"/>
      <c r="AZ658" s="90"/>
      <c r="BA658" s="90"/>
    </row>
    <row r="659" spans="3:53"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91"/>
      <c r="P659" s="91"/>
      <c r="Q659" s="90"/>
      <c r="R659" s="90"/>
      <c r="S659" s="90"/>
      <c r="T659" s="90"/>
      <c r="U659" s="90"/>
      <c r="V659" s="90"/>
      <c r="W659" s="90"/>
      <c r="X659" s="90"/>
      <c r="Y659" s="90"/>
      <c r="Z659" s="90"/>
      <c r="AA659" s="90"/>
      <c r="AB659" s="90"/>
      <c r="AC659" s="90"/>
      <c r="AD659" s="90"/>
      <c r="AE659" s="90"/>
      <c r="AF659" s="90"/>
      <c r="AG659" s="90"/>
      <c r="AH659" s="90"/>
      <c r="AI659" s="90"/>
      <c r="AJ659" s="90"/>
      <c r="AK659" s="90"/>
      <c r="AL659" s="90"/>
      <c r="AM659" s="90"/>
      <c r="AN659" s="90"/>
      <c r="AO659" s="90"/>
      <c r="AP659" s="90"/>
      <c r="AQ659" s="90"/>
      <c r="AR659" s="90"/>
      <c r="AS659" s="90"/>
      <c r="AT659" s="90"/>
      <c r="AU659" s="90"/>
      <c r="AV659" s="90"/>
      <c r="AW659" s="90"/>
      <c r="AX659" s="90"/>
      <c r="AY659" s="90"/>
      <c r="AZ659" s="90"/>
      <c r="BA659" s="90"/>
    </row>
    <row r="660" spans="3:53"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91"/>
      <c r="P660" s="91"/>
      <c r="Q660" s="90"/>
      <c r="R660" s="90"/>
      <c r="S660" s="90"/>
      <c r="T660" s="90"/>
      <c r="U660" s="90"/>
      <c r="V660" s="90"/>
      <c r="W660" s="90"/>
      <c r="X660" s="90"/>
      <c r="Y660" s="90"/>
      <c r="Z660" s="90"/>
      <c r="AA660" s="90"/>
      <c r="AB660" s="90"/>
      <c r="AC660" s="90"/>
      <c r="AD660" s="90"/>
      <c r="AE660" s="90"/>
      <c r="AF660" s="90"/>
      <c r="AG660" s="90"/>
      <c r="AH660" s="90"/>
      <c r="AI660" s="90"/>
      <c r="AJ660" s="90"/>
      <c r="AK660" s="90"/>
      <c r="AL660" s="90"/>
      <c r="AM660" s="90"/>
      <c r="AN660" s="90"/>
      <c r="AO660" s="90"/>
      <c r="AP660" s="90"/>
      <c r="AQ660" s="90"/>
      <c r="AR660" s="90"/>
      <c r="AS660" s="90"/>
      <c r="AT660" s="90"/>
      <c r="AU660" s="90"/>
      <c r="AV660" s="90"/>
      <c r="AW660" s="90"/>
      <c r="AX660" s="90"/>
      <c r="AY660" s="90"/>
      <c r="AZ660" s="90"/>
      <c r="BA660" s="90"/>
    </row>
    <row r="661" spans="3:53"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91"/>
      <c r="P661" s="91"/>
      <c r="Q661" s="90"/>
      <c r="R661" s="90"/>
      <c r="S661" s="90"/>
      <c r="T661" s="90"/>
      <c r="U661" s="90"/>
      <c r="V661" s="90"/>
      <c r="W661" s="90"/>
      <c r="X661" s="90"/>
      <c r="Y661" s="90"/>
      <c r="Z661" s="90"/>
      <c r="AA661" s="90"/>
      <c r="AB661" s="90"/>
      <c r="AC661" s="90"/>
      <c r="AD661" s="90"/>
      <c r="AE661" s="90"/>
      <c r="AF661" s="90"/>
      <c r="AG661" s="90"/>
      <c r="AH661" s="90"/>
      <c r="AI661" s="90"/>
      <c r="AJ661" s="90"/>
      <c r="AK661" s="90"/>
      <c r="AL661" s="90"/>
      <c r="AM661" s="90"/>
      <c r="AN661" s="90"/>
      <c r="AO661" s="90"/>
      <c r="AP661" s="90"/>
      <c r="AQ661" s="90"/>
      <c r="AR661" s="90"/>
      <c r="AS661" s="90"/>
      <c r="AT661" s="90"/>
      <c r="AU661" s="90"/>
      <c r="AV661" s="90"/>
      <c r="AW661" s="90"/>
      <c r="AX661" s="90"/>
      <c r="AY661" s="90"/>
      <c r="AZ661" s="90"/>
      <c r="BA661" s="90"/>
    </row>
    <row r="662" spans="3:53"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  <c r="P662" s="91"/>
      <c r="Q662" s="90"/>
      <c r="R662" s="90"/>
      <c r="S662" s="90"/>
      <c r="T662" s="90"/>
      <c r="U662" s="90"/>
      <c r="V662" s="90"/>
      <c r="W662" s="90"/>
      <c r="X662" s="90"/>
      <c r="Y662" s="90"/>
      <c r="Z662" s="90"/>
      <c r="AA662" s="90"/>
      <c r="AB662" s="90"/>
      <c r="AC662" s="90"/>
      <c r="AD662" s="90"/>
      <c r="AE662" s="90"/>
      <c r="AF662" s="90"/>
      <c r="AG662" s="90"/>
      <c r="AH662" s="90"/>
      <c r="AI662" s="90"/>
      <c r="AJ662" s="90"/>
      <c r="AK662" s="90"/>
      <c r="AL662" s="90"/>
      <c r="AM662" s="90"/>
      <c r="AN662" s="90"/>
      <c r="AO662" s="90"/>
      <c r="AP662" s="90"/>
      <c r="AQ662" s="90"/>
      <c r="AR662" s="90"/>
      <c r="AS662" s="90"/>
      <c r="AT662" s="90"/>
      <c r="AU662" s="90"/>
      <c r="AV662" s="90"/>
      <c r="AW662" s="90"/>
      <c r="AX662" s="90"/>
      <c r="AY662" s="90"/>
      <c r="AZ662" s="90"/>
      <c r="BA662" s="90"/>
    </row>
    <row r="663" spans="3:53"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  <c r="P663" s="91"/>
      <c r="Q663" s="90"/>
      <c r="R663" s="90"/>
      <c r="S663" s="90"/>
      <c r="T663" s="90"/>
      <c r="U663" s="90"/>
      <c r="V663" s="90"/>
      <c r="W663" s="90"/>
      <c r="X663" s="90"/>
      <c r="Y663" s="90"/>
      <c r="Z663" s="90"/>
      <c r="AA663" s="90"/>
      <c r="AB663" s="90"/>
      <c r="AC663" s="90"/>
      <c r="AD663" s="90"/>
      <c r="AE663" s="90"/>
      <c r="AF663" s="90"/>
      <c r="AG663" s="90"/>
      <c r="AH663" s="90"/>
      <c r="AI663" s="90"/>
      <c r="AJ663" s="90"/>
      <c r="AK663" s="90"/>
      <c r="AL663" s="90"/>
      <c r="AM663" s="90"/>
      <c r="AN663" s="90"/>
      <c r="AO663" s="90"/>
      <c r="AP663" s="90"/>
      <c r="AQ663" s="90"/>
      <c r="AR663" s="90"/>
      <c r="AS663" s="90"/>
      <c r="AT663" s="90"/>
      <c r="AU663" s="90"/>
      <c r="AV663" s="90"/>
      <c r="AW663" s="90"/>
      <c r="AX663" s="90"/>
      <c r="AY663" s="90"/>
      <c r="AZ663" s="90"/>
      <c r="BA663" s="90"/>
    </row>
    <row r="664" spans="3:53"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0"/>
      <c r="R664" s="90"/>
      <c r="S664" s="90"/>
      <c r="T664" s="90"/>
      <c r="U664" s="90"/>
      <c r="V664" s="90"/>
      <c r="W664" s="90"/>
      <c r="X664" s="90"/>
      <c r="Y664" s="90"/>
      <c r="Z664" s="90"/>
      <c r="AA664" s="90"/>
      <c r="AB664" s="90"/>
      <c r="AC664" s="90"/>
      <c r="AD664" s="90"/>
      <c r="AE664" s="90"/>
      <c r="AF664" s="90"/>
      <c r="AG664" s="90"/>
      <c r="AH664" s="90"/>
      <c r="AI664" s="90"/>
      <c r="AJ664" s="90"/>
      <c r="AK664" s="90"/>
      <c r="AL664" s="90"/>
      <c r="AM664" s="90"/>
      <c r="AN664" s="90"/>
      <c r="AO664" s="90"/>
      <c r="AP664" s="90"/>
      <c r="AQ664" s="90"/>
      <c r="AR664" s="90"/>
      <c r="AS664" s="90"/>
      <c r="AT664" s="90"/>
      <c r="AU664" s="90"/>
      <c r="AV664" s="90"/>
      <c r="AW664" s="90"/>
      <c r="AX664" s="90"/>
      <c r="AY664" s="90"/>
      <c r="AZ664" s="90"/>
      <c r="BA664" s="90"/>
    </row>
    <row r="665" spans="3:53"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91"/>
      <c r="P665" s="91"/>
      <c r="Q665" s="90"/>
      <c r="R665" s="90"/>
      <c r="S665" s="90"/>
      <c r="T665" s="90"/>
      <c r="U665" s="90"/>
      <c r="V665" s="90"/>
      <c r="W665" s="90"/>
      <c r="X665" s="90"/>
      <c r="Y665" s="90"/>
      <c r="Z665" s="90"/>
      <c r="AA665" s="90"/>
      <c r="AB665" s="90"/>
      <c r="AC665" s="90"/>
      <c r="AD665" s="90"/>
      <c r="AE665" s="90"/>
      <c r="AF665" s="90"/>
      <c r="AG665" s="90"/>
      <c r="AH665" s="90"/>
      <c r="AI665" s="90"/>
      <c r="AJ665" s="90"/>
      <c r="AK665" s="90"/>
      <c r="AL665" s="90"/>
      <c r="AM665" s="90"/>
      <c r="AN665" s="90"/>
      <c r="AO665" s="90"/>
      <c r="AP665" s="90"/>
      <c r="AQ665" s="90"/>
      <c r="AR665" s="90"/>
      <c r="AS665" s="90"/>
      <c r="AT665" s="90"/>
      <c r="AU665" s="90"/>
      <c r="AV665" s="90"/>
      <c r="AW665" s="90"/>
      <c r="AX665" s="90"/>
      <c r="AY665" s="90"/>
      <c r="AZ665" s="90"/>
      <c r="BA665" s="90"/>
    </row>
    <row r="666" spans="3:53"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91"/>
      <c r="P666" s="91"/>
      <c r="Q666" s="90"/>
      <c r="R666" s="90"/>
      <c r="S666" s="90"/>
      <c r="T666" s="90"/>
      <c r="U666" s="90"/>
      <c r="V666" s="90"/>
      <c r="W666" s="90"/>
      <c r="X666" s="90"/>
      <c r="Y666" s="90"/>
      <c r="Z666" s="90"/>
      <c r="AA666" s="90"/>
      <c r="AB666" s="90"/>
      <c r="AC666" s="90"/>
      <c r="AD666" s="90"/>
      <c r="AE666" s="90"/>
      <c r="AF666" s="90"/>
      <c r="AG666" s="90"/>
      <c r="AH666" s="90"/>
      <c r="AI666" s="90"/>
      <c r="AJ666" s="90"/>
      <c r="AK666" s="90"/>
      <c r="AL666" s="90"/>
      <c r="AM666" s="90"/>
      <c r="AN666" s="90"/>
      <c r="AO666" s="90"/>
      <c r="AP666" s="90"/>
      <c r="AQ666" s="90"/>
      <c r="AR666" s="90"/>
      <c r="AS666" s="90"/>
      <c r="AT666" s="90"/>
      <c r="AU666" s="90"/>
      <c r="AV666" s="90"/>
      <c r="AW666" s="90"/>
      <c r="AX666" s="90"/>
      <c r="AY666" s="90"/>
      <c r="AZ666" s="90"/>
      <c r="BA666" s="90"/>
    </row>
    <row r="667" spans="3:53"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0"/>
      <c r="R667" s="90"/>
      <c r="S667" s="90"/>
      <c r="T667" s="90"/>
      <c r="U667" s="90"/>
      <c r="V667" s="90"/>
      <c r="W667" s="90"/>
      <c r="X667" s="90"/>
      <c r="Y667" s="90"/>
      <c r="Z667" s="90"/>
      <c r="AA667" s="90"/>
      <c r="AB667" s="90"/>
      <c r="AC667" s="90"/>
      <c r="AD667" s="90"/>
      <c r="AE667" s="90"/>
      <c r="AF667" s="90"/>
      <c r="AG667" s="90"/>
      <c r="AH667" s="90"/>
      <c r="AI667" s="90"/>
      <c r="AJ667" s="90"/>
      <c r="AK667" s="90"/>
      <c r="AL667" s="90"/>
      <c r="AM667" s="90"/>
      <c r="AN667" s="90"/>
      <c r="AO667" s="90"/>
      <c r="AP667" s="90"/>
      <c r="AQ667" s="90"/>
      <c r="AR667" s="90"/>
      <c r="AS667" s="90"/>
      <c r="AT667" s="90"/>
      <c r="AU667" s="90"/>
      <c r="AV667" s="90"/>
      <c r="AW667" s="90"/>
      <c r="AX667" s="90"/>
      <c r="AY667" s="90"/>
      <c r="AZ667" s="90"/>
      <c r="BA667" s="90"/>
    </row>
    <row r="668" spans="3:53"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91"/>
      <c r="P668" s="91"/>
      <c r="Q668" s="90"/>
      <c r="R668" s="90"/>
      <c r="S668" s="90"/>
      <c r="T668" s="90"/>
      <c r="U668" s="90"/>
      <c r="V668" s="90"/>
      <c r="W668" s="90"/>
      <c r="X668" s="90"/>
      <c r="Y668" s="90"/>
      <c r="Z668" s="90"/>
      <c r="AA668" s="90"/>
      <c r="AB668" s="90"/>
      <c r="AC668" s="90"/>
      <c r="AD668" s="90"/>
      <c r="AE668" s="90"/>
      <c r="AF668" s="90"/>
      <c r="AG668" s="90"/>
      <c r="AH668" s="90"/>
      <c r="AI668" s="90"/>
      <c r="AJ668" s="90"/>
      <c r="AK668" s="90"/>
      <c r="AL668" s="90"/>
      <c r="AM668" s="90"/>
      <c r="AN668" s="90"/>
      <c r="AO668" s="90"/>
      <c r="AP668" s="90"/>
      <c r="AQ668" s="90"/>
      <c r="AR668" s="90"/>
      <c r="AS668" s="90"/>
      <c r="AT668" s="90"/>
      <c r="AU668" s="90"/>
      <c r="AV668" s="90"/>
      <c r="AW668" s="90"/>
      <c r="AX668" s="90"/>
      <c r="AY668" s="90"/>
      <c r="AZ668" s="90"/>
      <c r="BA668" s="90"/>
    </row>
    <row r="669" spans="3:53"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91"/>
      <c r="P669" s="91"/>
      <c r="Q669" s="90"/>
      <c r="R669" s="90"/>
      <c r="S669" s="90"/>
      <c r="T669" s="90"/>
      <c r="U669" s="90"/>
      <c r="V669" s="90"/>
      <c r="W669" s="90"/>
      <c r="X669" s="90"/>
      <c r="Y669" s="90"/>
      <c r="Z669" s="90"/>
      <c r="AA669" s="90"/>
      <c r="AB669" s="90"/>
      <c r="AC669" s="90"/>
      <c r="AD669" s="90"/>
      <c r="AE669" s="90"/>
      <c r="AF669" s="90"/>
      <c r="AG669" s="90"/>
      <c r="AH669" s="90"/>
      <c r="AI669" s="90"/>
      <c r="AJ669" s="90"/>
      <c r="AK669" s="90"/>
      <c r="AL669" s="90"/>
      <c r="AM669" s="90"/>
      <c r="AN669" s="90"/>
      <c r="AO669" s="90"/>
      <c r="AP669" s="90"/>
      <c r="AQ669" s="90"/>
      <c r="AR669" s="90"/>
      <c r="AS669" s="90"/>
      <c r="AT669" s="90"/>
      <c r="AU669" s="90"/>
      <c r="AV669" s="90"/>
      <c r="AW669" s="90"/>
      <c r="AX669" s="90"/>
      <c r="AY669" s="90"/>
      <c r="AZ669" s="90"/>
      <c r="BA669" s="90"/>
    </row>
    <row r="670" spans="3:53"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91"/>
      <c r="P670" s="91"/>
      <c r="Q670" s="90"/>
      <c r="R670" s="90"/>
      <c r="S670" s="90"/>
      <c r="T670" s="90"/>
      <c r="U670" s="90"/>
      <c r="V670" s="90"/>
      <c r="W670" s="90"/>
      <c r="X670" s="90"/>
      <c r="Y670" s="90"/>
      <c r="Z670" s="90"/>
      <c r="AA670" s="90"/>
      <c r="AB670" s="90"/>
      <c r="AC670" s="90"/>
      <c r="AD670" s="90"/>
      <c r="AE670" s="90"/>
      <c r="AF670" s="90"/>
      <c r="AG670" s="90"/>
      <c r="AH670" s="90"/>
      <c r="AI670" s="90"/>
      <c r="AJ670" s="90"/>
      <c r="AK670" s="90"/>
      <c r="AL670" s="90"/>
      <c r="AM670" s="90"/>
      <c r="AN670" s="90"/>
      <c r="AO670" s="90"/>
      <c r="AP670" s="90"/>
      <c r="AQ670" s="90"/>
      <c r="AR670" s="90"/>
      <c r="AS670" s="90"/>
      <c r="AT670" s="90"/>
      <c r="AU670" s="90"/>
      <c r="AV670" s="90"/>
      <c r="AW670" s="90"/>
      <c r="AX670" s="90"/>
      <c r="AY670" s="90"/>
      <c r="AZ670" s="90"/>
      <c r="BA670" s="90"/>
    </row>
    <row r="671" spans="3:53"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91"/>
      <c r="P671" s="91"/>
      <c r="Q671" s="90"/>
      <c r="R671" s="90"/>
      <c r="S671" s="90"/>
      <c r="T671" s="90"/>
      <c r="U671" s="90"/>
      <c r="V671" s="90"/>
      <c r="W671" s="90"/>
      <c r="X671" s="90"/>
      <c r="Y671" s="90"/>
      <c r="Z671" s="90"/>
      <c r="AA671" s="90"/>
      <c r="AB671" s="90"/>
      <c r="AC671" s="90"/>
      <c r="AD671" s="90"/>
      <c r="AE671" s="90"/>
      <c r="AF671" s="90"/>
      <c r="AG671" s="90"/>
      <c r="AH671" s="90"/>
      <c r="AI671" s="90"/>
      <c r="AJ671" s="90"/>
      <c r="AK671" s="90"/>
      <c r="AL671" s="90"/>
      <c r="AM671" s="90"/>
      <c r="AN671" s="90"/>
      <c r="AO671" s="90"/>
      <c r="AP671" s="90"/>
      <c r="AQ671" s="90"/>
      <c r="AR671" s="90"/>
      <c r="AS671" s="90"/>
      <c r="AT671" s="90"/>
      <c r="AU671" s="90"/>
      <c r="AV671" s="90"/>
      <c r="AW671" s="90"/>
      <c r="AX671" s="90"/>
      <c r="AY671" s="90"/>
      <c r="AZ671" s="90"/>
      <c r="BA671" s="90"/>
    </row>
    <row r="672" spans="3:53"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91"/>
      <c r="P672" s="91"/>
      <c r="Q672" s="90"/>
      <c r="R672" s="90"/>
      <c r="S672" s="90"/>
      <c r="T672" s="90"/>
      <c r="U672" s="90"/>
      <c r="V672" s="90"/>
      <c r="W672" s="90"/>
      <c r="X672" s="90"/>
      <c r="Y672" s="90"/>
      <c r="Z672" s="90"/>
      <c r="AA672" s="90"/>
      <c r="AB672" s="90"/>
      <c r="AC672" s="90"/>
      <c r="AD672" s="90"/>
      <c r="AE672" s="90"/>
      <c r="AF672" s="90"/>
      <c r="AG672" s="90"/>
      <c r="AH672" s="90"/>
      <c r="AI672" s="90"/>
      <c r="AJ672" s="90"/>
      <c r="AK672" s="90"/>
      <c r="AL672" s="90"/>
      <c r="AM672" s="90"/>
      <c r="AN672" s="90"/>
      <c r="AO672" s="90"/>
      <c r="AP672" s="90"/>
      <c r="AQ672" s="90"/>
      <c r="AR672" s="90"/>
      <c r="AS672" s="90"/>
      <c r="AT672" s="90"/>
      <c r="AU672" s="90"/>
      <c r="AV672" s="90"/>
      <c r="AW672" s="90"/>
      <c r="AX672" s="90"/>
      <c r="AY672" s="90"/>
      <c r="AZ672" s="90"/>
      <c r="BA672" s="90"/>
    </row>
    <row r="673" spans="3:53"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91"/>
      <c r="P673" s="91"/>
      <c r="Q673" s="90"/>
      <c r="R673" s="90"/>
      <c r="S673" s="90"/>
      <c r="T673" s="90"/>
      <c r="U673" s="90"/>
      <c r="V673" s="90"/>
      <c r="W673" s="90"/>
      <c r="X673" s="90"/>
      <c r="Y673" s="90"/>
      <c r="Z673" s="90"/>
      <c r="AA673" s="90"/>
      <c r="AB673" s="90"/>
      <c r="AC673" s="90"/>
      <c r="AD673" s="90"/>
      <c r="AE673" s="90"/>
      <c r="AF673" s="90"/>
      <c r="AG673" s="90"/>
      <c r="AH673" s="90"/>
      <c r="AI673" s="90"/>
      <c r="AJ673" s="90"/>
      <c r="AK673" s="90"/>
      <c r="AL673" s="90"/>
      <c r="AM673" s="90"/>
      <c r="AN673" s="90"/>
      <c r="AO673" s="90"/>
      <c r="AP673" s="90"/>
      <c r="AQ673" s="90"/>
      <c r="AR673" s="90"/>
      <c r="AS673" s="90"/>
      <c r="AT673" s="90"/>
      <c r="AU673" s="90"/>
      <c r="AV673" s="90"/>
      <c r="AW673" s="90"/>
      <c r="AX673" s="90"/>
      <c r="AY673" s="90"/>
      <c r="AZ673" s="90"/>
      <c r="BA673" s="90"/>
    </row>
    <row r="674" spans="3:53"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91"/>
      <c r="P674" s="91"/>
      <c r="Q674" s="90"/>
      <c r="R674" s="90"/>
      <c r="S674" s="90"/>
      <c r="T674" s="90"/>
      <c r="U674" s="90"/>
      <c r="V674" s="90"/>
      <c r="W674" s="90"/>
      <c r="X674" s="90"/>
      <c r="Y674" s="90"/>
      <c r="Z674" s="90"/>
      <c r="AA674" s="90"/>
      <c r="AB674" s="90"/>
      <c r="AC674" s="90"/>
      <c r="AD674" s="90"/>
      <c r="AE674" s="90"/>
      <c r="AF674" s="90"/>
      <c r="AG674" s="90"/>
      <c r="AH674" s="90"/>
      <c r="AI674" s="90"/>
      <c r="AJ674" s="90"/>
      <c r="AK674" s="90"/>
      <c r="AL674" s="90"/>
      <c r="AM674" s="90"/>
      <c r="AN674" s="90"/>
      <c r="AO674" s="90"/>
      <c r="AP674" s="90"/>
      <c r="AQ674" s="90"/>
      <c r="AR674" s="90"/>
      <c r="AS674" s="90"/>
      <c r="AT674" s="90"/>
      <c r="AU674" s="90"/>
      <c r="AV674" s="90"/>
      <c r="AW674" s="90"/>
      <c r="AX674" s="90"/>
      <c r="AY674" s="90"/>
      <c r="AZ674" s="90"/>
      <c r="BA674" s="90"/>
    </row>
    <row r="675" spans="3:53"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91"/>
      <c r="P675" s="91"/>
      <c r="Q675" s="90"/>
      <c r="R675" s="90"/>
      <c r="S675" s="90"/>
      <c r="T675" s="90"/>
      <c r="U675" s="90"/>
      <c r="V675" s="90"/>
      <c r="W675" s="90"/>
      <c r="X675" s="90"/>
      <c r="Y675" s="90"/>
      <c r="Z675" s="90"/>
      <c r="AA675" s="90"/>
      <c r="AB675" s="90"/>
      <c r="AC675" s="90"/>
      <c r="AD675" s="90"/>
      <c r="AE675" s="90"/>
      <c r="AF675" s="90"/>
      <c r="AG675" s="90"/>
      <c r="AH675" s="90"/>
      <c r="AI675" s="90"/>
      <c r="AJ675" s="90"/>
      <c r="AK675" s="90"/>
      <c r="AL675" s="90"/>
      <c r="AM675" s="90"/>
      <c r="AN675" s="90"/>
      <c r="AO675" s="90"/>
      <c r="AP675" s="90"/>
      <c r="AQ675" s="90"/>
      <c r="AR675" s="90"/>
      <c r="AS675" s="90"/>
      <c r="AT675" s="90"/>
      <c r="AU675" s="90"/>
      <c r="AV675" s="90"/>
      <c r="AW675" s="90"/>
      <c r="AX675" s="90"/>
      <c r="AY675" s="90"/>
      <c r="AZ675" s="90"/>
      <c r="BA675" s="90"/>
    </row>
    <row r="676" spans="3:53"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91"/>
      <c r="P676" s="91"/>
      <c r="Q676" s="90"/>
      <c r="R676" s="90"/>
      <c r="S676" s="90"/>
      <c r="T676" s="90"/>
      <c r="U676" s="90"/>
      <c r="V676" s="90"/>
      <c r="W676" s="90"/>
      <c r="X676" s="90"/>
      <c r="Y676" s="90"/>
      <c r="Z676" s="90"/>
      <c r="AA676" s="90"/>
      <c r="AB676" s="90"/>
      <c r="AC676" s="90"/>
      <c r="AD676" s="90"/>
      <c r="AE676" s="90"/>
      <c r="AF676" s="90"/>
      <c r="AG676" s="90"/>
      <c r="AH676" s="90"/>
      <c r="AI676" s="90"/>
      <c r="AJ676" s="90"/>
      <c r="AK676" s="90"/>
      <c r="AL676" s="90"/>
      <c r="AM676" s="90"/>
      <c r="AN676" s="90"/>
      <c r="AO676" s="90"/>
      <c r="AP676" s="90"/>
      <c r="AQ676" s="90"/>
      <c r="AR676" s="90"/>
      <c r="AS676" s="90"/>
      <c r="AT676" s="90"/>
      <c r="AU676" s="90"/>
      <c r="AV676" s="90"/>
      <c r="AW676" s="90"/>
      <c r="AX676" s="90"/>
      <c r="AY676" s="90"/>
      <c r="AZ676" s="90"/>
      <c r="BA676" s="90"/>
    </row>
    <row r="677" spans="3:53"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  <c r="P677" s="91"/>
      <c r="Q677" s="90"/>
      <c r="R677" s="90"/>
      <c r="S677" s="90"/>
      <c r="T677" s="90"/>
      <c r="U677" s="90"/>
      <c r="V677" s="90"/>
      <c r="W677" s="90"/>
      <c r="X677" s="90"/>
      <c r="Y677" s="90"/>
      <c r="Z677" s="90"/>
      <c r="AA677" s="90"/>
      <c r="AB677" s="90"/>
      <c r="AC677" s="90"/>
      <c r="AD677" s="90"/>
      <c r="AE677" s="90"/>
      <c r="AF677" s="90"/>
      <c r="AG677" s="90"/>
      <c r="AH677" s="90"/>
      <c r="AI677" s="90"/>
      <c r="AJ677" s="90"/>
      <c r="AK677" s="90"/>
      <c r="AL677" s="90"/>
      <c r="AM677" s="90"/>
      <c r="AN677" s="90"/>
      <c r="AO677" s="90"/>
      <c r="AP677" s="90"/>
      <c r="AQ677" s="90"/>
      <c r="AR677" s="90"/>
      <c r="AS677" s="90"/>
      <c r="AT677" s="90"/>
      <c r="AU677" s="90"/>
      <c r="AV677" s="90"/>
      <c r="AW677" s="90"/>
      <c r="AX677" s="90"/>
      <c r="AY677" s="90"/>
      <c r="AZ677" s="90"/>
      <c r="BA677" s="90"/>
    </row>
  </sheetData>
  <mergeCells count="2">
    <mergeCell ref="B4:Q4"/>
    <mergeCell ref="B3:Q3"/>
  </mergeCells>
  <phoneticPr fontId="24" type="noConversion"/>
  <printOptions horizontalCentered="1"/>
  <pageMargins left="0.2" right="0.2" top="0.28000000000000003" bottom="0.4" header="0.26" footer="0.22"/>
  <pageSetup scale="86" orientation="landscape" r:id="rId1"/>
  <headerFooter alignWithMargins="0">
    <oddFooter>&amp;C&amp;A&amp;R&amp;8&amp;F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>
      <selection activeCell="D35" sqref="D35"/>
    </sheetView>
  </sheetViews>
  <sheetFormatPr defaultColWidth="11.5" defaultRowHeight="12.75"/>
  <cols>
    <col min="1" max="1" width="8.33203125" style="5" customWidth="1"/>
    <col min="2" max="2" width="46" style="5" customWidth="1"/>
    <col min="3" max="3" width="17.1640625" style="5" customWidth="1"/>
    <col min="4" max="4" width="11.5" style="5" customWidth="1"/>
    <col min="5" max="5" width="14.33203125" style="5" customWidth="1"/>
    <col min="6" max="6" width="13.5" style="5" customWidth="1"/>
    <col min="7" max="7" width="12.83203125" style="5" customWidth="1"/>
    <col min="8" max="8" width="11.83203125" style="5" customWidth="1"/>
    <col min="9" max="253" width="8.83203125" style="5" customWidth="1"/>
    <col min="254" max="16384" width="11.5" style="5"/>
  </cols>
  <sheetData>
    <row r="1" spans="1:8">
      <c r="A1" s="3" t="s">
        <v>2</v>
      </c>
      <c r="B1" s="4"/>
      <c r="C1" s="4"/>
      <c r="D1" s="4"/>
      <c r="E1" s="4"/>
      <c r="F1" s="4"/>
      <c r="G1" s="4"/>
      <c r="H1" s="4"/>
    </row>
    <row r="2" spans="1:8" ht="15.75">
      <c r="A2" s="34"/>
      <c r="B2" s="329" t="s">
        <v>25</v>
      </c>
      <c r="C2" s="197"/>
      <c r="D2" s="197"/>
      <c r="E2" s="197"/>
      <c r="F2" s="197"/>
    </row>
    <row r="3" spans="1:8" ht="15.75">
      <c r="A3" s="34"/>
      <c r="B3" s="329" t="s">
        <v>37</v>
      </c>
      <c r="C3" s="197"/>
      <c r="D3" s="197"/>
      <c r="E3" s="197"/>
      <c r="F3" s="197"/>
    </row>
    <row r="4" spans="1:8" ht="15.75" customHeight="1">
      <c r="B4" s="330" t="str">
        <f>'New Format'!B5</f>
        <v>For The 12 Months Ending December 31, 2018</v>
      </c>
      <c r="C4" s="198"/>
      <c r="D4" s="198"/>
      <c r="E4" s="198"/>
      <c r="F4" s="198"/>
    </row>
    <row r="5" spans="1:8" ht="12.75" customHeight="1">
      <c r="B5" s="6"/>
      <c r="C5" s="6"/>
      <c r="D5" s="7"/>
      <c r="E5" s="7"/>
      <c r="F5" s="7"/>
    </row>
    <row r="6" spans="1:8">
      <c r="A6" s="3" t="s">
        <v>2</v>
      </c>
    </row>
    <row r="7" spans="1:8">
      <c r="A7" s="3" t="s">
        <v>2</v>
      </c>
      <c r="C7" s="5" t="s">
        <v>2</v>
      </c>
    </row>
    <row r="8" spans="1:8">
      <c r="A8" s="3">
        <v>1</v>
      </c>
      <c r="B8" s="69" t="s">
        <v>5</v>
      </c>
      <c r="C8" s="69" t="s">
        <v>27</v>
      </c>
      <c r="D8" s="69" t="s">
        <v>52</v>
      </c>
      <c r="E8" s="69" t="s">
        <v>64</v>
      </c>
      <c r="F8" s="69" t="s">
        <v>65</v>
      </c>
      <c r="G8" s="67"/>
    </row>
    <row r="9" spans="1:8">
      <c r="A9" s="3">
        <f t="shared" ref="A9:A28" si="0">A8+1</f>
        <v>2</v>
      </c>
      <c r="B9" s="68"/>
      <c r="C9" s="69"/>
      <c r="D9" s="68"/>
      <c r="E9" s="68"/>
      <c r="F9" s="68"/>
      <c r="G9" s="67"/>
    </row>
    <row r="10" spans="1:8">
      <c r="A10" s="3">
        <f t="shared" si="0"/>
        <v>3</v>
      </c>
      <c r="B10" s="68"/>
      <c r="C10" s="69" t="s">
        <v>53</v>
      </c>
      <c r="D10" s="69" t="s">
        <v>38</v>
      </c>
      <c r="E10" s="69" t="s">
        <v>18</v>
      </c>
      <c r="F10" s="69" t="s">
        <v>11</v>
      </c>
      <c r="G10" s="67"/>
    </row>
    <row r="11" spans="1:8">
      <c r="A11" s="3">
        <f t="shared" si="0"/>
        <v>4</v>
      </c>
      <c r="B11" s="70" t="s">
        <v>9</v>
      </c>
      <c r="C11" s="70" t="s">
        <v>78</v>
      </c>
      <c r="D11" s="70" t="s">
        <v>19</v>
      </c>
      <c r="E11" s="70" t="s">
        <v>20</v>
      </c>
      <c r="F11" s="70" t="s">
        <v>19</v>
      </c>
      <c r="G11" s="67"/>
    </row>
    <row r="12" spans="1:8">
      <c r="A12" s="3">
        <f t="shared" si="0"/>
        <v>5</v>
      </c>
      <c r="B12" s="71"/>
      <c r="C12" s="72"/>
      <c r="D12" s="72"/>
      <c r="E12" s="73"/>
      <c r="F12" s="72"/>
      <c r="G12" s="67"/>
    </row>
    <row r="13" spans="1:8">
      <c r="A13" s="3">
        <f t="shared" si="0"/>
        <v>6</v>
      </c>
      <c r="B13" s="71" t="s">
        <v>36</v>
      </c>
      <c r="C13" s="76">
        <f>'Pg 4 STD OS &amp; Comm Fees'!C11</f>
        <v>208103347.94999999</v>
      </c>
      <c r="D13" s="207">
        <f>IF(E13=0,"NA",(E13/C13))</f>
        <v>2.4064666038930014E-2</v>
      </c>
      <c r="E13" s="76">
        <f>'Pg 4 STD OS &amp; Comm Fees'!D11</f>
        <v>5007937.57</v>
      </c>
      <c r="F13" s="74"/>
      <c r="G13" s="75"/>
    </row>
    <row r="14" spans="1:8">
      <c r="A14" s="3">
        <f t="shared" si="0"/>
        <v>7</v>
      </c>
      <c r="B14" s="67" t="s">
        <v>109</v>
      </c>
      <c r="C14" s="85">
        <f>'Pg 4 STD OS &amp; Comm Fees'!C12</f>
        <v>0</v>
      </c>
      <c r="D14" s="207" t="str">
        <f>IF(E14=0,"NA",(E14/C14))</f>
        <v>NA</v>
      </c>
      <c r="E14" s="76">
        <f>'Pg 4 STD OS &amp; Comm Fees'!D12</f>
        <v>0</v>
      </c>
      <c r="F14" s="74"/>
      <c r="G14" s="75"/>
    </row>
    <row r="15" spans="1:8">
      <c r="A15" s="3">
        <v>10</v>
      </c>
      <c r="B15" s="67" t="s">
        <v>173</v>
      </c>
      <c r="C15" s="85">
        <f>'Pg 4 STD OS &amp; Comm Fees'!C13</f>
        <v>0</v>
      </c>
      <c r="D15" s="207" t="str">
        <f>IF(E15=0,"NA",(E15/C15))</f>
        <v>NA</v>
      </c>
      <c r="E15" s="76">
        <f>'Pg 4 STD OS &amp; Comm Fees'!D13</f>
        <v>0</v>
      </c>
      <c r="F15" s="74"/>
      <c r="G15" s="75"/>
    </row>
    <row r="16" spans="1:8">
      <c r="A16" s="3">
        <f>A15+1</f>
        <v>11</v>
      </c>
      <c r="B16" s="67" t="s">
        <v>198</v>
      </c>
      <c r="C16" s="85">
        <f>'Pg 4 STD OS &amp; Comm Fees'!C14</f>
        <v>767123.29</v>
      </c>
      <c r="D16" s="207">
        <f>IF(E16=0,"NA",(E16/C16))</f>
        <v>3.0435733479034378E-2</v>
      </c>
      <c r="E16" s="76">
        <f>'Pg 4 STD OS &amp; Comm Fees'!D14</f>
        <v>23347.96</v>
      </c>
    </row>
    <row r="17" spans="1:7">
      <c r="A17" s="3">
        <f t="shared" si="0"/>
        <v>12</v>
      </c>
      <c r="B17" s="323" t="s">
        <v>148</v>
      </c>
      <c r="C17" s="325">
        <f>SUM(C13:C16)</f>
        <v>208870471.23999998</v>
      </c>
      <c r="D17" s="326">
        <f>IF(E17=0,"NA",(E17/C17))</f>
        <v>2.4088065201992411E-2</v>
      </c>
      <c r="E17" s="324">
        <f>SUM(E13:E16)</f>
        <v>5031285.53</v>
      </c>
      <c r="F17" s="74">
        <f>E17/C23</f>
        <v>2.4088065201992411E-2</v>
      </c>
      <c r="G17" s="75"/>
    </row>
    <row r="18" spans="1:7">
      <c r="A18" s="3">
        <f t="shared" si="0"/>
        <v>13</v>
      </c>
      <c r="B18" s="67"/>
      <c r="C18" s="86"/>
      <c r="D18" s="208"/>
      <c r="E18" s="77"/>
      <c r="F18" s="67"/>
      <c r="G18" s="75"/>
    </row>
    <row r="19" spans="1:7">
      <c r="A19" s="3">
        <f t="shared" si="0"/>
        <v>14</v>
      </c>
      <c r="B19" s="71" t="s">
        <v>54</v>
      </c>
      <c r="C19" s="87"/>
      <c r="D19" s="88"/>
      <c r="E19" s="343">
        <f>'Pg 4 STD OS &amp; Comm Fees'!F16</f>
        <v>1449002.2664944446</v>
      </c>
      <c r="F19" s="414">
        <f>E19/C23</f>
        <v>6.9373246390079081E-3</v>
      </c>
      <c r="G19" s="187" t="s">
        <v>77</v>
      </c>
    </row>
    <row r="20" spans="1:7">
      <c r="A20" s="3">
        <f t="shared" si="0"/>
        <v>15</v>
      </c>
      <c r="B20" s="71"/>
      <c r="C20" s="78"/>
      <c r="D20" s="79"/>
      <c r="E20" s="83"/>
      <c r="F20" s="74"/>
      <c r="G20" s="75"/>
    </row>
    <row r="21" spans="1:7">
      <c r="A21" s="3">
        <f t="shared" si="0"/>
        <v>16</v>
      </c>
      <c r="B21" s="71" t="s">
        <v>55</v>
      </c>
      <c r="C21" s="78"/>
      <c r="D21" s="79"/>
      <c r="E21" s="343">
        <f>-'Pg 5 STD Amort'!I27</f>
        <v>783628.46</v>
      </c>
      <c r="F21" s="414">
        <f>E21/C23</f>
        <v>3.7517436301447394E-3</v>
      </c>
      <c r="G21" s="187" t="s">
        <v>92</v>
      </c>
    </row>
    <row r="22" spans="1:7" ht="13.5" thickBot="1">
      <c r="A22" s="3">
        <f t="shared" si="0"/>
        <v>17</v>
      </c>
      <c r="B22" s="67"/>
      <c r="C22" s="77"/>
      <c r="D22" s="76"/>
      <c r="E22" s="84"/>
      <c r="G22" s="67"/>
    </row>
    <row r="23" spans="1:7" ht="13.5" thickBot="1">
      <c r="A23" s="3">
        <f t="shared" si="0"/>
        <v>18</v>
      </c>
      <c r="B23" s="80" t="s">
        <v>39</v>
      </c>
      <c r="C23" s="81">
        <f>C17</f>
        <v>208870471.23999998</v>
      </c>
      <c r="D23" s="82"/>
      <c r="E23" s="81">
        <f>SUM(E17:E22)</f>
        <v>7263916.2564944448</v>
      </c>
      <c r="F23" s="212">
        <f>E23/C23</f>
        <v>3.4777133471145062E-2</v>
      </c>
      <c r="G23" s="75"/>
    </row>
    <row r="24" spans="1:7">
      <c r="A24" s="3">
        <f t="shared" si="0"/>
        <v>19</v>
      </c>
      <c r="B24" s="67"/>
      <c r="C24" s="67"/>
      <c r="D24" s="67"/>
      <c r="E24" s="67"/>
      <c r="F24" s="67"/>
      <c r="G24" s="75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131" t="s">
        <v>165</v>
      </c>
      <c r="C26" s="132"/>
      <c r="D26" s="132"/>
      <c r="E26" s="132"/>
      <c r="F26" s="71"/>
      <c r="G26" s="10"/>
    </row>
    <row r="27" spans="1:7">
      <c r="A27" s="3">
        <f t="shared" si="0"/>
        <v>22</v>
      </c>
      <c r="B27" s="131" t="s">
        <v>141</v>
      </c>
      <c r="C27" s="132"/>
      <c r="D27" s="132"/>
      <c r="E27" s="132"/>
      <c r="F27" s="71"/>
      <c r="G27" s="10"/>
    </row>
    <row r="28" spans="1:7">
      <c r="A28" s="3">
        <f t="shared" si="0"/>
        <v>23</v>
      </c>
      <c r="B28" s="131" t="s">
        <v>164</v>
      </c>
      <c r="C28" s="71"/>
      <c r="D28" s="71"/>
      <c r="E28" s="71"/>
      <c r="F28" s="71"/>
      <c r="G28" s="10"/>
    </row>
    <row r="29" spans="1:7">
      <c r="A29" s="3"/>
      <c r="B29" s="131"/>
    </row>
    <row r="30" spans="1:7">
      <c r="A30" s="3"/>
      <c r="B30" s="8"/>
    </row>
    <row r="31" spans="1:7">
      <c r="A31" s="3"/>
      <c r="B31" s="8"/>
    </row>
    <row r="32" spans="1:7">
      <c r="A32" s="3" t="s">
        <v>2</v>
      </c>
    </row>
    <row r="33" spans="1:7" ht="12.75" customHeight="1">
      <c r="A33" s="11"/>
    </row>
    <row r="34" spans="1:7">
      <c r="A34" s="3" t="s">
        <v>2</v>
      </c>
      <c r="E34" s="10"/>
      <c r="F34" s="9"/>
      <c r="G34" s="10"/>
    </row>
    <row r="35" spans="1:7">
      <c r="A35" s="3" t="s">
        <v>2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phoneticPr fontId="24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S36"/>
  <sheetViews>
    <sheetView zoomScaleNormal="100" workbookViewId="0">
      <selection activeCell="B3" sqref="B3"/>
    </sheetView>
  </sheetViews>
  <sheetFormatPr defaultRowHeight="11.25"/>
  <cols>
    <col min="1" max="1" width="5.6640625" bestFit="1" customWidth="1"/>
    <col min="2" max="2" width="24.6640625" customWidth="1"/>
    <col min="3" max="3" width="16.1640625" customWidth="1"/>
    <col min="4" max="4" width="15.1640625" customWidth="1"/>
    <col min="5" max="5" width="11.83203125" customWidth="1"/>
    <col min="6" max="6" width="17.1640625" customWidth="1"/>
    <col min="7" max="7" width="15" customWidth="1"/>
    <col min="8" max="8" width="14.83203125" bestFit="1" customWidth="1"/>
    <col min="9" max="9" width="12.83203125" customWidth="1"/>
    <col min="10" max="10" width="12.1640625" bestFit="1" customWidth="1"/>
    <col min="11" max="11" width="5.83203125" customWidth="1"/>
    <col min="12" max="12" width="8.5" customWidth="1"/>
    <col min="13" max="13" width="10" customWidth="1"/>
    <col min="14" max="14" width="11.1640625" customWidth="1"/>
    <col min="15" max="15" width="11.5" customWidth="1"/>
  </cols>
  <sheetData>
    <row r="1" spans="1:15" ht="12">
      <c r="A1" s="35"/>
      <c r="B1" s="36" t="s">
        <v>46</v>
      </c>
      <c r="C1" s="36"/>
      <c r="D1" s="35"/>
      <c r="E1" s="35"/>
      <c r="F1" s="35"/>
      <c r="G1" s="36"/>
      <c r="H1" s="36"/>
      <c r="I1" s="36"/>
      <c r="J1" s="36"/>
      <c r="K1" s="35"/>
      <c r="L1" s="35"/>
      <c r="M1" s="35"/>
      <c r="N1" s="35"/>
      <c r="O1" s="35"/>
    </row>
    <row r="2" spans="1:15" ht="12">
      <c r="A2" s="35"/>
      <c r="B2" s="36" t="s">
        <v>47</v>
      </c>
      <c r="C2" s="36"/>
      <c r="D2" s="35"/>
      <c r="E2" s="35"/>
      <c r="F2" s="35"/>
      <c r="G2" s="36"/>
      <c r="H2" s="36"/>
      <c r="I2" s="36"/>
      <c r="J2" s="36"/>
      <c r="K2" s="37"/>
      <c r="L2" s="35"/>
      <c r="N2" s="35"/>
      <c r="O2" s="35"/>
    </row>
    <row r="3" spans="1:15" ht="12.75">
      <c r="A3" s="35"/>
      <c r="B3" s="261" t="str">
        <f>'New Format'!B5</f>
        <v>For The 12 Months Ending December 31, 2018</v>
      </c>
      <c r="C3" s="252"/>
      <c r="D3" s="253"/>
      <c r="E3" s="253"/>
      <c r="F3" s="253"/>
      <c r="G3" s="254"/>
      <c r="H3" s="254"/>
      <c r="I3" s="254"/>
      <c r="J3" s="254"/>
      <c r="K3" s="35"/>
      <c r="L3" s="35"/>
      <c r="N3" s="35"/>
      <c r="O3" s="35"/>
    </row>
    <row r="4" spans="1:15" ht="12">
      <c r="A4" s="35"/>
      <c r="B4" s="36"/>
      <c r="C4" s="43"/>
      <c r="D4" s="35"/>
      <c r="E4" s="35"/>
      <c r="F4" s="35"/>
      <c r="G4" s="35"/>
      <c r="H4" s="35"/>
      <c r="I4" s="35"/>
      <c r="J4" s="35"/>
      <c r="K4" s="35"/>
      <c r="L4" s="35"/>
      <c r="N4" s="35"/>
      <c r="O4" s="35"/>
    </row>
    <row r="5" spans="1:15" ht="13.5" thickBot="1">
      <c r="A5" s="188">
        <v>1</v>
      </c>
      <c r="B5" s="345" t="s">
        <v>5</v>
      </c>
      <c r="C5" s="345" t="s">
        <v>27</v>
      </c>
      <c r="D5" s="345" t="s">
        <v>52</v>
      </c>
      <c r="E5" s="345" t="s">
        <v>64</v>
      </c>
      <c r="F5" s="345" t="s">
        <v>65</v>
      </c>
      <c r="G5" s="345" t="s">
        <v>66</v>
      </c>
      <c r="H5" s="345" t="s">
        <v>67</v>
      </c>
      <c r="I5" s="345" t="s">
        <v>68</v>
      </c>
      <c r="J5" s="345" t="s">
        <v>69</v>
      </c>
      <c r="K5" s="69"/>
      <c r="L5" s="69"/>
      <c r="N5" s="35"/>
      <c r="O5" s="35"/>
    </row>
    <row r="6" spans="1:15" ht="12">
      <c r="A6" s="188">
        <f>+A5+1</f>
        <v>2</v>
      </c>
      <c r="B6" s="346" t="s">
        <v>115</v>
      </c>
      <c r="C6" s="347"/>
      <c r="D6" s="347"/>
      <c r="E6" s="347"/>
      <c r="F6" s="347"/>
      <c r="G6" s="347"/>
      <c r="H6" s="150"/>
      <c r="I6" s="150"/>
      <c r="J6" s="150"/>
      <c r="K6" s="348"/>
      <c r="M6" s="35"/>
      <c r="N6" s="35"/>
      <c r="O6" s="35"/>
    </row>
    <row r="7" spans="1:15" ht="12">
      <c r="A7" s="188">
        <f>+A6+1</f>
        <v>3</v>
      </c>
      <c r="B7" s="201"/>
      <c r="C7" s="202"/>
      <c r="D7" s="202"/>
      <c r="E7" s="202"/>
      <c r="F7" s="202" t="s">
        <v>2</v>
      </c>
      <c r="G7" s="38" t="s">
        <v>2</v>
      </c>
      <c r="H7" s="38"/>
      <c r="I7" s="38"/>
      <c r="J7" s="38"/>
      <c r="K7" s="349" t="s">
        <v>2</v>
      </c>
      <c r="L7" s="35"/>
      <c r="M7" s="269"/>
      <c r="N7" s="35"/>
      <c r="O7" s="35"/>
    </row>
    <row r="8" spans="1:15" ht="12">
      <c r="A8" s="188">
        <f>A7+1</f>
        <v>4</v>
      </c>
      <c r="B8" s="201"/>
      <c r="C8" s="209" t="s">
        <v>50</v>
      </c>
      <c r="D8" s="209" t="s">
        <v>108</v>
      </c>
      <c r="E8" s="209" t="s">
        <v>50</v>
      </c>
      <c r="F8" s="209" t="s">
        <v>125</v>
      </c>
      <c r="G8" s="38"/>
      <c r="H8" s="38"/>
      <c r="I8" s="38"/>
      <c r="J8" s="38"/>
      <c r="K8" s="349"/>
      <c r="L8" s="200"/>
      <c r="M8" s="35"/>
      <c r="N8" s="35"/>
      <c r="O8" s="35"/>
    </row>
    <row r="9" spans="1:15" ht="12">
      <c r="A9" s="188">
        <f>A8+1</f>
        <v>5</v>
      </c>
      <c r="B9" s="201"/>
      <c r="C9" s="210" t="s">
        <v>143</v>
      </c>
      <c r="D9" s="210" t="s">
        <v>38</v>
      </c>
      <c r="E9" s="210" t="s">
        <v>93</v>
      </c>
      <c r="F9" s="210" t="s">
        <v>144</v>
      </c>
      <c r="G9" s="40"/>
      <c r="H9" s="40"/>
      <c r="I9" s="38"/>
      <c r="J9" s="38"/>
      <c r="K9" s="349"/>
      <c r="L9" s="200"/>
      <c r="M9" s="235"/>
      <c r="N9" s="35"/>
      <c r="O9" s="35"/>
    </row>
    <row r="10" spans="1:15" ht="12">
      <c r="A10" s="188">
        <f>A9+1</f>
        <v>6</v>
      </c>
      <c r="B10" s="201"/>
      <c r="C10" s="89"/>
      <c r="D10" s="89"/>
      <c r="E10" s="89"/>
      <c r="F10" s="322"/>
      <c r="G10" s="38"/>
      <c r="H10" s="38"/>
      <c r="I10" s="38"/>
      <c r="J10" s="38"/>
      <c r="K10" s="349"/>
      <c r="L10" s="35"/>
      <c r="M10" s="35"/>
      <c r="O10" s="35"/>
    </row>
    <row r="11" spans="1:15" ht="12">
      <c r="A11" s="188">
        <f t="shared" ref="A11:A36" si="0">A10+1</f>
        <v>7</v>
      </c>
      <c r="B11" s="201" t="s">
        <v>36</v>
      </c>
      <c r="C11" s="317">
        <v>208103347.94999999</v>
      </c>
      <c r="D11" s="317">
        <v>5007937.57</v>
      </c>
      <c r="E11" s="263">
        <f>IF(C11=0,"NA",(D11/C11))</f>
        <v>2.4064666038930014E-2</v>
      </c>
      <c r="F11" s="372">
        <v>0</v>
      </c>
      <c r="G11" s="340"/>
      <c r="I11" s="38"/>
      <c r="J11" s="38"/>
      <c r="K11" s="349"/>
      <c r="L11" s="35"/>
      <c r="M11" s="361"/>
      <c r="O11" s="35"/>
    </row>
    <row r="12" spans="1:15" ht="12">
      <c r="A12" s="188">
        <f t="shared" si="0"/>
        <v>8</v>
      </c>
      <c r="B12" s="201" t="s">
        <v>109</v>
      </c>
      <c r="C12" s="317">
        <v>0</v>
      </c>
      <c r="D12" s="317">
        <v>0</v>
      </c>
      <c r="E12" s="263" t="str">
        <f>IF(C12=0,"NA",(D12/C12))</f>
        <v>NA</v>
      </c>
      <c r="F12" s="372">
        <v>0</v>
      </c>
      <c r="G12" s="340"/>
      <c r="H12" s="318"/>
      <c r="I12" s="38"/>
      <c r="J12" s="38"/>
      <c r="K12" s="349"/>
      <c r="L12" s="35"/>
      <c r="M12" s="361"/>
      <c r="O12" s="35"/>
    </row>
    <row r="13" spans="1:15" ht="12">
      <c r="A13" s="188">
        <v>9</v>
      </c>
      <c r="B13" s="201" t="s">
        <v>173</v>
      </c>
      <c r="C13" s="317">
        <v>0</v>
      </c>
      <c r="D13" s="317">
        <v>0</v>
      </c>
      <c r="E13" s="263" t="str">
        <f>IF(C13=0,"NA",(D13/C13))</f>
        <v>NA</v>
      </c>
      <c r="F13" s="206">
        <f>J26</f>
        <v>0</v>
      </c>
      <c r="G13" s="340"/>
      <c r="H13" s="360"/>
      <c r="I13" s="38"/>
      <c r="J13" s="38"/>
      <c r="K13" s="349"/>
      <c r="L13" s="35"/>
      <c r="M13" s="361"/>
      <c r="O13" s="35"/>
    </row>
    <row r="14" spans="1:15" ht="12">
      <c r="A14" s="188">
        <f>A13+1</f>
        <v>10</v>
      </c>
      <c r="B14" s="201" t="s">
        <v>198</v>
      </c>
      <c r="C14" s="317">
        <v>767123.29</v>
      </c>
      <c r="D14" s="317">
        <v>23347.96</v>
      </c>
      <c r="E14" s="263">
        <f>IF(C14=0,"NA",(D14/C14))</f>
        <v>3.0435733479034378E-2</v>
      </c>
      <c r="F14" s="206">
        <f>J27</f>
        <v>1418083.3333000001</v>
      </c>
      <c r="G14" s="340"/>
      <c r="H14" s="318"/>
      <c r="I14" s="38"/>
      <c r="J14" s="38"/>
      <c r="K14" s="349"/>
      <c r="L14" s="35"/>
      <c r="M14" s="199"/>
      <c r="N14" s="35"/>
      <c r="O14" s="35"/>
    </row>
    <row r="15" spans="1:15" ht="12">
      <c r="A15" s="188">
        <f t="shared" si="0"/>
        <v>11</v>
      </c>
      <c r="B15" s="201" t="s">
        <v>150</v>
      </c>
      <c r="C15" s="317">
        <v>0</v>
      </c>
      <c r="D15" s="317">
        <v>0</v>
      </c>
      <c r="E15" s="263" t="str">
        <f>IF(C15=0,"NA",(D15/C15))</f>
        <v>NA</v>
      </c>
      <c r="F15" s="206">
        <f>J32</f>
        <v>30918.933194444446</v>
      </c>
      <c r="G15" s="38"/>
      <c r="H15" s="38"/>
      <c r="I15" s="38"/>
      <c r="J15" s="38"/>
      <c r="K15" s="349"/>
      <c r="L15" s="35"/>
      <c r="M15" s="35"/>
      <c r="N15" s="35"/>
      <c r="O15" s="35"/>
    </row>
    <row r="16" spans="1:15" ht="12.75" thickBot="1">
      <c r="A16" s="188">
        <f t="shared" si="0"/>
        <v>12</v>
      </c>
      <c r="B16" s="328" t="s">
        <v>154</v>
      </c>
      <c r="C16" s="364">
        <f>SUM(C10:C15)</f>
        <v>208870471.23999998</v>
      </c>
      <c r="D16" s="366">
        <f>SUM(D10:D15)</f>
        <v>5031285.53</v>
      </c>
      <c r="E16" s="365">
        <f>D16/C16</f>
        <v>2.4088065201992411E-2</v>
      </c>
      <c r="F16" s="366">
        <f>SUM(F10:F15)</f>
        <v>1449002.2664944446</v>
      </c>
      <c r="G16" s="38"/>
      <c r="H16" s="38"/>
      <c r="I16" s="38"/>
      <c r="J16" s="38"/>
      <c r="K16" s="349"/>
      <c r="L16" s="35"/>
      <c r="M16" s="35"/>
      <c r="N16" s="35"/>
      <c r="O16" s="35"/>
    </row>
    <row r="17" spans="1:15" ht="12.75" thickTop="1">
      <c r="A17" s="188"/>
      <c r="B17" s="328"/>
      <c r="C17" s="405"/>
      <c r="D17" s="432"/>
      <c r="E17" s="433"/>
      <c r="F17" s="432"/>
      <c r="G17" s="38"/>
      <c r="H17" s="38"/>
      <c r="I17" s="38"/>
      <c r="J17" s="38"/>
      <c r="K17" s="349"/>
      <c r="L17" s="35"/>
      <c r="M17" s="35"/>
      <c r="N17" s="35"/>
      <c r="O17" s="35"/>
    </row>
    <row r="18" spans="1:15" ht="12">
      <c r="A18" s="188"/>
      <c r="B18" s="424" t="s">
        <v>192</v>
      </c>
      <c r="C18" s="203"/>
      <c r="D18" s="204"/>
      <c r="E18" s="202"/>
      <c r="F18" s="423">
        <f>'New Format'!C30</f>
        <v>7860865544</v>
      </c>
      <c r="G18" s="38"/>
      <c r="H18" s="38"/>
      <c r="I18" s="38"/>
      <c r="J18" s="38"/>
      <c r="K18" s="349"/>
      <c r="L18" s="35"/>
      <c r="M18" s="35"/>
      <c r="N18" s="35"/>
      <c r="O18" s="35"/>
    </row>
    <row r="19" spans="1:15" ht="12">
      <c r="A19" s="188"/>
      <c r="B19" s="201"/>
      <c r="C19" s="203"/>
      <c r="D19" s="204"/>
      <c r="E19" s="202"/>
      <c r="F19" s="203"/>
      <c r="G19" s="38"/>
      <c r="H19" s="38"/>
      <c r="I19" s="38"/>
      <c r="J19" s="38"/>
      <c r="K19" s="349"/>
      <c r="L19" s="35"/>
      <c r="M19" s="35"/>
      <c r="N19" s="35"/>
      <c r="O19" s="35"/>
    </row>
    <row r="20" spans="1:15" ht="12">
      <c r="A20" s="188"/>
      <c r="B20" s="424" t="s">
        <v>194</v>
      </c>
      <c r="C20" s="203"/>
      <c r="D20" s="204"/>
      <c r="E20" s="202"/>
      <c r="F20" s="419">
        <f>ROUND(F16/F18,4)</f>
        <v>2.0000000000000001E-4</v>
      </c>
      <c r="G20" s="38"/>
      <c r="H20" s="38"/>
      <c r="I20" s="38"/>
      <c r="J20" s="38"/>
      <c r="K20" s="349"/>
      <c r="L20" s="35"/>
      <c r="M20" s="35"/>
      <c r="N20" s="35"/>
      <c r="O20" s="35"/>
    </row>
    <row r="21" spans="1:15" ht="12.75" thickBot="1">
      <c r="A21" s="188">
        <f>A16+1</f>
        <v>13</v>
      </c>
      <c r="B21" s="342"/>
      <c r="C21" s="205"/>
      <c r="D21" s="205"/>
      <c r="E21" s="205"/>
      <c r="F21" s="205"/>
      <c r="G21" s="350"/>
      <c r="H21" s="350"/>
      <c r="I21" s="350"/>
      <c r="J21" s="350"/>
      <c r="K21" s="351"/>
      <c r="L21" s="38"/>
      <c r="M21" s="35"/>
      <c r="N21" s="35"/>
      <c r="O21" s="35"/>
    </row>
    <row r="22" spans="1:15" ht="12">
      <c r="A22" s="188">
        <f t="shared" si="0"/>
        <v>14</v>
      </c>
      <c r="B22" s="457" t="s">
        <v>91</v>
      </c>
      <c r="C22" s="458"/>
      <c r="D22" s="150"/>
      <c r="E22" s="150"/>
      <c r="F22" s="150"/>
      <c r="G22" s="150"/>
      <c r="H22" s="180"/>
      <c r="I22" s="180"/>
      <c r="J22" s="180"/>
      <c r="K22" s="147"/>
      <c r="L22" s="38" t="s">
        <v>2</v>
      </c>
      <c r="M22" s="35"/>
      <c r="N22" s="35"/>
      <c r="O22" s="35"/>
    </row>
    <row r="23" spans="1:15" ht="12">
      <c r="A23" s="188">
        <f t="shared" si="0"/>
        <v>15</v>
      </c>
      <c r="B23" s="455" t="s">
        <v>100</v>
      </c>
      <c r="C23" s="456"/>
      <c r="D23" s="38"/>
      <c r="E23" s="38"/>
      <c r="F23" s="38"/>
      <c r="G23" s="215" t="s">
        <v>174</v>
      </c>
      <c r="H23" s="215" t="s">
        <v>174</v>
      </c>
      <c r="I23" s="42"/>
      <c r="J23" s="42"/>
      <c r="K23" s="152"/>
      <c r="L23" s="38"/>
      <c r="M23" s="35"/>
      <c r="N23" s="35"/>
      <c r="O23" s="35"/>
    </row>
    <row r="24" spans="1:15" ht="12">
      <c r="A24" s="188">
        <f t="shared" si="0"/>
        <v>16</v>
      </c>
      <c r="B24" s="181"/>
      <c r="C24" s="179"/>
      <c r="D24" s="38"/>
      <c r="E24" s="38"/>
      <c r="F24" s="38"/>
      <c r="G24" s="215" t="s">
        <v>146</v>
      </c>
      <c r="H24" s="215" t="s">
        <v>147</v>
      </c>
      <c r="I24" s="42"/>
      <c r="J24" s="42"/>
      <c r="K24" s="152"/>
      <c r="L24" s="38"/>
      <c r="M24" s="35"/>
      <c r="N24" s="35"/>
      <c r="O24" s="35"/>
    </row>
    <row r="25" spans="1:15" ht="12">
      <c r="A25" s="188">
        <f t="shared" si="0"/>
        <v>17</v>
      </c>
      <c r="B25" s="151"/>
      <c r="C25" s="39" t="s">
        <v>48</v>
      </c>
      <c r="D25" s="39" t="s">
        <v>49</v>
      </c>
      <c r="E25" s="40" t="s">
        <v>51</v>
      </c>
      <c r="F25" s="40" t="s">
        <v>125</v>
      </c>
      <c r="G25" s="40" t="s">
        <v>145</v>
      </c>
      <c r="H25" s="40" t="s">
        <v>125</v>
      </c>
      <c r="I25" s="40" t="s">
        <v>60</v>
      </c>
      <c r="J25" s="40" t="s">
        <v>61</v>
      </c>
      <c r="K25" s="182"/>
      <c r="L25" s="38"/>
      <c r="M25" s="35"/>
      <c r="N25" s="35"/>
      <c r="O25" s="35"/>
    </row>
    <row r="26" spans="1:15" ht="12">
      <c r="A26" s="188">
        <v>18</v>
      </c>
      <c r="B26" s="201" t="s">
        <v>173</v>
      </c>
      <c r="C26" s="318"/>
      <c r="D26" s="318"/>
      <c r="E26" s="341">
        <f>D26-C26</f>
        <v>0</v>
      </c>
      <c r="F26" s="362">
        <v>650000000</v>
      </c>
      <c r="G26" s="255">
        <f>C13+H32</f>
        <v>0</v>
      </c>
      <c r="H26" s="255">
        <f>F26-G26</f>
        <v>650000000</v>
      </c>
      <c r="I26" s="373">
        <v>1.75E-3</v>
      </c>
      <c r="J26" s="206">
        <f>ROUND(H26*I26*E26/360,4)</f>
        <v>0</v>
      </c>
      <c r="K26" s="152"/>
      <c r="L26" s="38"/>
      <c r="M26" s="35"/>
      <c r="N26" s="35"/>
      <c r="O26" s="35"/>
    </row>
    <row r="27" spans="1:15" ht="12">
      <c r="A27" s="188">
        <f>A26+1</f>
        <v>19</v>
      </c>
      <c r="B27" s="201" t="s">
        <v>198</v>
      </c>
      <c r="C27" s="318">
        <v>43101</v>
      </c>
      <c r="D27" s="318">
        <v>43465</v>
      </c>
      <c r="E27" s="341">
        <f>D27-C27+1</f>
        <v>365</v>
      </c>
      <c r="F27" s="362">
        <v>800000000</v>
      </c>
      <c r="G27" s="255">
        <f>C14+H33</f>
        <v>767123.29</v>
      </c>
      <c r="H27" s="255">
        <f>F27-G27</f>
        <v>799232876.71000004</v>
      </c>
      <c r="I27" s="373">
        <v>1.75E-3</v>
      </c>
      <c r="J27" s="206">
        <f>ROUND(H27*I27*E27/360,4)</f>
        <v>1418083.3333000001</v>
      </c>
      <c r="K27" s="183"/>
      <c r="L27" s="38"/>
      <c r="M27" s="35"/>
      <c r="N27" s="35"/>
      <c r="O27" s="35"/>
    </row>
    <row r="28" spans="1:15" ht="12.75" thickBot="1">
      <c r="A28" s="188">
        <f t="shared" si="0"/>
        <v>20</v>
      </c>
      <c r="B28" s="259" t="s">
        <v>124</v>
      </c>
      <c r="C28" s="41"/>
      <c r="D28" s="271"/>
      <c r="E28" s="321"/>
      <c r="F28" s="272"/>
      <c r="G28" s="428"/>
      <c r="H28" s="428"/>
      <c r="I28" s="273"/>
      <c r="J28" s="431">
        <f>+J26+J27</f>
        <v>1418083.3333000001</v>
      </c>
      <c r="K28" s="183"/>
      <c r="L28" s="38"/>
      <c r="M28" s="35"/>
      <c r="N28" s="35"/>
      <c r="O28" s="35"/>
    </row>
    <row r="29" spans="1:15" ht="12.75" thickTop="1">
      <c r="A29" s="188">
        <f t="shared" si="0"/>
        <v>21</v>
      </c>
      <c r="B29" s="238"/>
      <c r="C29" s="41"/>
      <c r="D29" s="271"/>
      <c r="E29" s="321"/>
      <c r="F29" s="321"/>
      <c r="G29" s="271"/>
      <c r="H29" s="274"/>
      <c r="I29" s="274"/>
      <c r="J29" s="274"/>
      <c r="K29" s="183"/>
      <c r="L29" s="38"/>
      <c r="M29" s="35"/>
      <c r="N29" s="35"/>
      <c r="O29" s="35"/>
    </row>
    <row r="30" spans="1:15" ht="12">
      <c r="A30" s="188">
        <f t="shared" si="0"/>
        <v>22</v>
      </c>
      <c r="B30" s="258" t="s">
        <v>126</v>
      </c>
      <c r="C30" s="275"/>
      <c r="D30" s="89"/>
      <c r="E30" s="89"/>
      <c r="F30" s="40" t="s">
        <v>166</v>
      </c>
      <c r="G30" s="40" t="s">
        <v>51</v>
      </c>
      <c r="H30" s="40" t="s">
        <v>151</v>
      </c>
      <c r="I30" s="271"/>
      <c r="J30" s="274"/>
      <c r="K30" s="183"/>
      <c r="L30" s="38"/>
      <c r="M30" s="35"/>
      <c r="N30" s="35"/>
      <c r="O30" s="35"/>
    </row>
    <row r="31" spans="1:15" ht="12">
      <c r="A31" s="188">
        <f t="shared" si="0"/>
        <v>23</v>
      </c>
      <c r="B31" s="259" t="s">
        <v>152</v>
      </c>
      <c r="C31" s="428"/>
      <c r="D31" s="89"/>
      <c r="E31" s="89"/>
      <c r="F31" s="429" t="s">
        <v>168</v>
      </c>
      <c r="G31" s="398">
        <v>365</v>
      </c>
      <c r="H31" s="317">
        <v>3034247</v>
      </c>
      <c r="I31" s="373">
        <v>0.01</v>
      </c>
      <c r="J31" s="255">
        <f>(I31*H31)*(G31/360)+(12.92*12)</f>
        <v>30918.933194444446</v>
      </c>
      <c r="K31" s="183"/>
      <c r="L31" s="38"/>
      <c r="M31" s="35"/>
      <c r="N31" s="35"/>
      <c r="O31" s="35"/>
    </row>
    <row r="32" spans="1:15" ht="12.75" customHeight="1" thickBot="1">
      <c r="A32" s="188">
        <f>A31+1</f>
        <v>24</v>
      </c>
      <c r="B32" s="259"/>
      <c r="C32" s="428"/>
      <c r="D32" s="89"/>
      <c r="E32" s="89"/>
      <c r="F32" s="429"/>
      <c r="G32" s="398"/>
      <c r="H32" s="317"/>
      <c r="I32" s="373"/>
      <c r="J32" s="363">
        <f>SUM(J31)</f>
        <v>30918.933194444446</v>
      </c>
      <c r="K32" s="152"/>
      <c r="L32" s="38"/>
      <c r="M32" s="35"/>
      <c r="N32" s="35"/>
      <c r="O32" s="35"/>
    </row>
    <row r="33" spans="1:19" ht="12.75" customHeight="1" thickTop="1">
      <c r="A33" s="188">
        <f t="shared" si="0"/>
        <v>25</v>
      </c>
      <c r="B33" s="327" t="s">
        <v>153</v>
      </c>
      <c r="C33" s="428"/>
      <c r="D33" s="428"/>
      <c r="E33" s="430"/>
      <c r="F33" s="362"/>
      <c r="G33" s="341"/>
      <c r="H33" s="42"/>
      <c r="I33" s="42"/>
      <c r="K33" s="152"/>
      <c r="L33" s="38"/>
      <c r="M33" s="35"/>
      <c r="N33" s="35"/>
      <c r="O33" s="35"/>
    </row>
    <row r="34" spans="1:19" ht="12.75" customHeight="1">
      <c r="A34" s="188">
        <f t="shared" si="0"/>
        <v>26</v>
      </c>
      <c r="B34" s="259"/>
      <c r="C34" s="428"/>
      <c r="D34" s="428"/>
      <c r="E34" s="428"/>
      <c r="F34" s="319"/>
      <c r="G34" s="320"/>
      <c r="H34" s="42"/>
      <c r="I34" s="42"/>
      <c r="J34" s="42"/>
      <c r="K34" s="152"/>
      <c r="L34" s="38"/>
      <c r="M34" s="35"/>
      <c r="N34" s="35"/>
      <c r="O34" s="35"/>
    </row>
    <row r="35" spans="1:19" ht="12">
      <c r="A35" s="188">
        <f t="shared" si="0"/>
        <v>27</v>
      </c>
      <c r="B35" s="181"/>
      <c r="C35" s="179"/>
      <c r="D35" s="179"/>
      <c r="E35" s="89"/>
      <c r="F35" s="89"/>
      <c r="G35" s="89"/>
      <c r="H35" s="148"/>
      <c r="I35" s="148"/>
      <c r="J35" s="148"/>
      <c r="K35" s="152"/>
    </row>
    <row r="36" spans="1:19" ht="12.75" thickBot="1">
      <c r="A36" s="188">
        <f t="shared" si="0"/>
        <v>28</v>
      </c>
      <c r="B36" s="126" t="s">
        <v>83</v>
      </c>
      <c r="C36" s="185"/>
      <c r="D36" s="185"/>
      <c r="E36" s="153"/>
      <c r="F36" s="153"/>
      <c r="G36" s="153"/>
      <c r="H36" s="186"/>
      <c r="I36" s="186"/>
      <c r="J36" s="186"/>
      <c r="K36" s="184"/>
      <c r="S36" s="125"/>
    </row>
  </sheetData>
  <mergeCells count="2">
    <mergeCell ref="B23:C23"/>
    <mergeCell ref="B22:C22"/>
  </mergeCells>
  <phoneticPr fontId="24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Normal="100" workbookViewId="0">
      <selection activeCell="B3" sqref="B3"/>
    </sheetView>
  </sheetViews>
  <sheetFormatPr defaultRowHeight="11.25"/>
  <cols>
    <col min="1" max="1" width="4.83203125" customWidth="1"/>
    <col min="2" max="2" width="52.6640625" bestFit="1" customWidth="1"/>
    <col min="3" max="8" width="21.6640625" customWidth="1"/>
    <col min="9" max="9" width="15.83203125" customWidth="1"/>
    <col min="10" max="11" width="12" style="125" customWidth="1"/>
  </cols>
  <sheetData>
    <row r="1" spans="1:11" ht="12">
      <c r="B1" s="36" t="s">
        <v>46</v>
      </c>
    </row>
    <row r="2" spans="1:11" ht="12">
      <c r="A2" s="89"/>
      <c r="B2" s="127" t="s">
        <v>99</v>
      </c>
    </row>
    <row r="3" spans="1:11" ht="12">
      <c r="A3" s="89"/>
      <c r="B3" s="410" t="str">
        <f>'New Format'!B5</f>
        <v>For The 12 Months Ending December 31, 2018</v>
      </c>
    </row>
    <row r="4" spans="1:11" ht="12">
      <c r="A4" s="38"/>
      <c r="B4" s="36"/>
      <c r="C4" s="374"/>
      <c r="D4" s="374"/>
      <c r="E4" s="374"/>
      <c r="F4" s="374"/>
      <c r="G4" s="374"/>
      <c r="H4" s="374"/>
      <c r="I4" s="374"/>
    </row>
    <row r="5" spans="1:11" ht="12">
      <c r="A5" s="375" t="s">
        <v>5</v>
      </c>
      <c r="B5" s="375" t="s">
        <v>27</v>
      </c>
      <c r="C5" s="375" t="s">
        <v>52</v>
      </c>
      <c r="D5" s="375" t="s">
        <v>64</v>
      </c>
      <c r="E5" s="375" t="s">
        <v>64</v>
      </c>
      <c r="F5" s="375" t="s">
        <v>65</v>
      </c>
      <c r="G5" s="375" t="s">
        <v>66</v>
      </c>
      <c r="H5" s="375" t="s">
        <v>67</v>
      </c>
      <c r="I5" s="375" t="s">
        <v>68</v>
      </c>
    </row>
    <row r="6" spans="1:11" ht="11.25" customHeight="1">
      <c r="A6" s="374"/>
      <c r="B6" s="376"/>
      <c r="C6" s="376"/>
      <c r="D6" s="376"/>
      <c r="E6" s="376"/>
      <c r="F6" s="376"/>
      <c r="G6" s="376"/>
      <c r="H6" s="376"/>
      <c r="I6" s="376"/>
    </row>
    <row r="7" spans="1:11" ht="11.25" customHeight="1">
      <c r="A7" s="188"/>
      <c r="B7" s="162"/>
      <c r="C7" s="331"/>
      <c r="D7" s="331"/>
      <c r="E7" s="331"/>
      <c r="F7" s="331"/>
      <c r="G7" s="331"/>
      <c r="H7" s="331"/>
    </row>
    <row r="8" spans="1:11" ht="11.25" customHeight="1">
      <c r="A8" s="188">
        <v>1</v>
      </c>
      <c r="B8" s="377" t="s">
        <v>9</v>
      </c>
      <c r="C8" s="378" t="s">
        <v>157</v>
      </c>
      <c r="D8" s="378" t="s">
        <v>157</v>
      </c>
      <c r="E8" s="378" t="s">
        <v>175</v>
      </c>
      <c r="F8" s="378" t="s">
        <v>175</v>
      </c>
      <c r="G8" s="378" t="s">
        <v>197</v>
      </c>
      <c r="H8" s="378" t="s">
        <v>175</v>
      </c>
      <c r="I8" s="374"/>
    </row>
    <row r="9" spans="1:11" ht="11.25" customHeight="1">
      <c r="A9" s="188">
        <f>A8+1</f>
        <v>2</v>
      </c>
      <c r="B9" s="377"/>
      <c r="C9" s="379" t="s">
        <v>158</v>
      </c>
      <c r="D9" s="379" t="s">
        <v>180</v>
      </c>
      <c r="E9" s="379" t="s">
        <v>176</v>
      </c>
      <c r="F9" s="379" t="s">
        <v>182</v>
      </c>
      <c r="G9" s="379" t="s">
        <v>176</v>
      </c>
      <c r="H9" s="379" t="s">
        <v>182</v>
      </c>
      <c r="I9" s="380" t="s">
        <v>159</v>
      </c>
    </row>
    <row r="10" spans="1:11" ht="11.25" customHeight="1">
      <c r="A10" s="188">
        <f t="shared" ref="A10:A35" si="0">A9+1</f>
        <v>3</v>
      </c>
      <c r="B10" s="127" t="s">
        <v>142</v>
      </c>
      <c r="C10" s="381" t="s">
        <v>181</v>
      </c>
      <c r="D10" s="381">
        <v>18900423</v>
      </c>
      <c r="E10" s="381">
        <v>18100673</v>
      </c>
      <c r="F10" s="381">
        <v>18900443</v>
      </c>
      <c r="G10" s="381">
        <v>18100683</v>
      </c>
      <c r="H10" s="381">
        <v>18900473</v>
      </c>
      <c r="I10" s="381" t="s">
        <v>160</v>
      </c>
    </row>
    <row r="11" spans="1:11" ht="11.25" customHeight="1">
      <c r="A11" s="188">
        <f t="shared" si="0"/>
        <v>4</v>
      </c>
      <c r="B11" s="127"/>
      <c r="C11" s="382"/>
      <c r="D11" s="382"/>
      <c r="E11" s="374"/>
      <c r="F11" s="374"/>
      <c r="G11" s="374"/>
      <c r="I11" s="374"/>
    </row>
    <row r="12" spans="1:11" ht="12">
      <c r="A12" s="188">
        <f t="shared" si="0"/>
        <v>5</v>
      </c>
      <c r="B12" s="383" t="s">
        <v>62</v>
      </c>
      <c r="C12" s="374"/>
      <c r="D12" s="374"/>
      <c r="E12" s="374"/>
      <c r="F12" s="374"/>
      <c r="G12" s="374"/>
      <c r="H12" s="374"/>
      <c r="I12" s="384"/>
    </row>
    <row r="13" spans="1:11" ht="12">
      <c r="A13" s="188">
        <f t="shared" si="0"/>
        <v>6</v>
      </c>
      <c r="B13" s="417" t="s">
        <v>200</v>
      </c>
      <c r="C13" s="415">
        <f>22343.27+5275.39</f>
        <v>27618.66</v>
      </c>
      <c r="D13" s="415">
        <v>27619.17</v>
      </c>
      <c r="E13" s="415">
        <v>594685.77</v>
      </c>
      <c r="F13" s="415">
        <v>36561.47</v>
      </c>
      <c r="G13" s="415">
        <v>2672991.2599999998</v>
      </c>
      <c r="H13" s="415">
        <v>91643.5</v>
      </c>
      <c r="I13" s="386"/>
      <c r="K13" s="125" t="s">
        <v>179</v>
      </c>
    </row>
    <row r="14" spans="1:11" ht="12">
      <c r="A14" s="188">
        <f t="shared" si="0"/>
        <v>7</v>
      </c>
      <c r="B14" s="35"/>
      <c r="C14" s="387"/>
      <c r="D14" s="387"/>
      <c r="E14" s="387"/>
      <c r="F14" s="387"/>
      <c r="G14" s="387"/>
      <c r="H14" s="387"/>
      <c r="I14" s="386"/>
    </row>
    <row r="15" spans="1:11" ht="12">
      <c r="A15" s="188">
        <f t="shared" si="0"/>
        <v>8</v>
      </c>
      <c r="B15" s="397">
        <v>43101</v>
      </c>
      <c r="C15" s="387">
        <f>-22343.27-5275.39</f>
        <v>-27618.66</v>
      </c>
      <c r="D15" s="387">
        <v>-27619.17</v>
      </c>
      <c r="E15" s="387">
        <v>-10211.44</v>
      </c>
      <c r="F15" s="387">
        <v>-2285.1</v>
      </c>
      <c r="G15" s="387">
        <v>-46204.63</v>
      </c>
      <c r="H15" s="387">
        <v>-1580.06</v>
      </c>
      <c r="I15" s="386"/>
    </row>
    <row r="16" spans="1:11" ht="12">
      <c r="A16" s="188">
        <f t="shared" si="0"/>
        <v>9</v>
      </c>
      <c r="B16" s="397">
        <v>43132</v>
      </c>
      <c r="C16" s="387">
        <v>0</v>
      </c>
      <c r="D16" s="387">
        <v>0</v>
      </c>
      <c r="E16" s="387">
        <v>-10211.44</v>
      </c>
      <c r="F16" s="387">
        <v>-2285.1</v>
      </c>
      <c r="G16" s="387">
        <v>-46204.63</v>
      </c>
      <c r="H16" s="387">
        <v>-1580.06</v>
      </c>
      <c r="I16" s="386"/>
    </row>
    <row r="17" spans="1:10" ht="12">
      <c r="A17" s="188">
        <f t="shared" si="0"/>
        <v>10</v>
      </c>
      <c r="B17" s="397">
        <v>43160</v>
      </c>
      <c r="C17" s="387">
        <v>0</v>
      </c>
      <c r="D17" s="387">
        <v>0</v>
      </c>
      <c r="E17" s="387">
        <v>-10211.44</v>
      </c>
      <c r="F17" s="387">
        <v>-2285.1</v>
      </c>
      <c r="G17" s="387">
        <v>-46204.63</v>
      </c>
      <c r="H17" s="387">
        <v>-1580.06</v>
      </c>
      <c r="I17" s="386"/>
    </row>
    <row r="18" spans="1:10" ht="12">
      <c r="A18" s="188">
        <f t="shared" si="0"/>
        <v>11</v>
      </c>
      <c r="B18" s="397">
        <v>43191</v>
      </c>
      <c r="C18" s="387">
        <v>0</v>
      </c>
      <c r="D18" s="387">
        <v>0</v>
      </c>
      <c r="E18" s="387">
        <v>-10211.44</v>
      </c>
      <c r="F18" s="387">
        <v>-2285.1</v>
      </c>
      <c r="G18" s="387">
        <v>-46204.62</v>
      </c>
      <c r="H18" s="387">
        <v>-1580.06</v>
      </c>
      <c r="I18" s="386"/>
    </row>
    <row r="19" spans="1:10" ht="12">
      <c r="A19" s="188">
        <f t="shared" si="0"/>
        <v>12</v>
      </c>
      <c r="B19" s="397">
        <v>43221</v>
      </c>
      <c r="C19" s="387">
        <v>0</v>
      </c>
      <c r="D19" s="387">
        <v>0</v>
      </c>
      <c r="E19" s="387">
        <v>-10211.44</v>
      </c>
      <c r="F19" s="387">
        <v>-2285.1</v>
      </c>
      <c r="G19" s="387">
        <v>-46204.63</v>
      </c>
      <c r="H19" s="387">
        <v>-1580.06</v>
      </c>
      <c r="I19" s="385"/>
      <c r="J19" s="359"/>
    </row>
    <row r="20" spans="1:10" ht="12">
      <c r="A20" s="188">
        <f t="shared" si="0"/>
        <v>13</v>
      </c>
      <c r="B20" s="397">
        <v>43252</v>
      </c>
      <c r="C20" s="387">
        <v>0</v>
      </c>
      <c r="D20" s="387">
        <v>0</v>
      </c>
      <c r="E20" s="387">
        <v>-10211.44</v>
      </c>
      <c r="F20" s="387">
        <v>-2285.1</v>
      </c>
      <c r="G20" s="387">
        <v>-46831.96</v>
      </c>
      <c r="H20" s="387">
        <v>-1580.06</v>
      </c>
      <c r="I20" s="386"/>
    </row>
    <row r="21" spans="1:10" ht="12">
      <c r="A21" s="188">
        <f t="shared" si="0"/>
        <v>14</v>
      </c>
      <c r="B21" s="397">
        <v>43282</v>
      </c>
      <c r="C21" s="387">
        <v>0</v>
      </c>
      <c r="D21" s="387">
        <v>0</v>
      </c>
      <c r="E21" s="387">
        <v>-10211.44</v>
      </c>
      <c r="F21" s="387">
        <v>-2285.1</v>
      </c>
      <c r="G21" s="387">
        <v>-46831.96</v>
      </c>
      <c r="H21" s="387">
        <v>-1580.06</v>
      </c>
      <c r="I21" s="386"/>
    </row>
    <row r="22" spans="1:10" ht="12">
      <c r="A22" s="188">
        <f t="shared" si="0"/>
        <v>15</v>
      </c>
      <c r="B22" s="397">
        <v>43313</v>
      </c>
      <c r="C22" s="387">
        <v>0</v>
      </c>
      <c r="D22" s="387">
        <v>0</v>
      </c>
      <c r="E22" s="387">
        <v>-10211.44</v>
      </c>
      <c r="F22" s="387">
        <v>-2285.1</v>
      </c>
      <c r="G22" s="387">
        <v>-46955.48</v>
      </c>
      <c r="H22" s="387">
        <v>-1580.06</v>
      </c>
      <c r="I22" s="386"/>
    </row>
    <row r="23" spans="1:10" ht="12">
      <c r="A23" s="188">
        <f t="shared" si="0"/>
        <v>16</v>
      </c>
      <c r="B23" s="397">
        <v>43344</v>
      </c>
      <c r="C23" s="387">
        <v>0</v>
      </c>
      <c r="D23" s="387">
        <v>0</v>
      </c>
      <c r="E23" s="387">
        <v>-10211.44</v>
      </c>
      <c r="F23" s="387">
        <v>-2285.1</v>
      </c>
      <c r="G23" s="387">
        <v>-46955.48</v>
      </c>
      <c r="H23" s="387">
        <v>-1580.06</v>
      </c>
      <c r="I23" s="386"/>
    </row>
    <row r="24" spans="1:10" ht="12">
      <c r="A24" s="188">
        <f t="shared" si="0"/>
        <v>17</v>
      </c>
      <c r="B24" s="397">
        <v>43374</v>
      </c>
      <c r="C24" s="387">
        <v>0</v>
      </c>
      <c r="D24" s="387">
        <v>0</v>
      </c>
      <c r="E24" s="387">
        <v>-10211.44</v>
      </c>
      <c r="F24" s="387">
        <v>-2285.1</v>
      </c>
      <c r="G24" s="387">
        <v>-46955.48</v>
      </c>
      <c r="H24" s="387">
        <v>-1580.06</v>
      </c>
      <c r="I24" s="386"/>
    </row>
    <row r="25" spans="1:10" ht="12">
      <c r="A25" s="188">
        <v>18</v>
      </c>
      <c r="B25" s="397">
        <v>43405</v>
      </c>
      <c r="C25" s="387">
        <v>0</v>
      </c>
      <c r="D25" s="387">
        <v>0</v>
      </c>
      <c r="E25" s="387">
        <v>-10211.44</v>
      </c>
      <c r="F25" s="387">
        <v>-2285.1</v>
      </c>
      <c r="G25" s="387">
        <v>-46955.48</v>
      </c>
      <c r="H25" s="387">
        <v>-1580.06</v>
      </c>
      <c r="I25" s="386"/>
    </row>
    <row r="26" spans="1:10" ht="12.75" thickBot="1">
      <c r="A26" s="188">
        <v>19</v>
      </c>
      <c r="B26" s="397">
        <v>43435</v>
      </c>
      <c r="C26" s="387">
        <v>0</v>
      </c>
      <c r="D26" s="387">
        <v>0</v>
      </c>
      <c r="E26" s="387">
        <v>-10211.44</v>
      </c>
      <c r="F26" s="387">
        <v>-2285.1</v>
      </c>
      <c r="G26" s="387">
        <v>-46962.45</v>
      </c>
      <c r="H26" s="387">
        <v>-1580.06</v>
      </c>
      <c r="I26" s="386"/>
    </row>
    <row r="27" spans="1:10" ht="12.75" thickBot="1">
      <c r="A27" s="188">
        <f>A26+1</f>
        <v>20</v>
      </c>
      <c r="B27" s="388" t="s">
        <v>201</v>
      </c>
      <c r="C27" s="394">
        <f t="shared" ref="C27:H27" si="1">SUM(C15:C26)</f>
        <v>-27618.66</v>
      </c>
      <c r="D27" s="394">
        <f t="shared" si="1"/>
        <v>-27619.17</v>
      </c>
      <c r="E27" s="394">
        <f t="shared" si="1"/>
        <v>-122537.28000000001</v>
      </c>
      <c r="F27" s="394">
        <f t="shared" si="1"/>
        <v>-27421.199999999993</v>
      </c>
      <c r="G27" s="394">
        <f t="shared" si="1"/>
        <v>-559471.42999999993</v>
      </c>
      <c r="H27" s="394">
        <f t="shared" si="1"/>
        <v>-18960.719999999998</v>
      </c>
      <c r="I27" s="395">
        <f>SUM(C27:H27)</f>
        <v>-783628.46</v>
      </c>
    </row>
    <row r="28" spans="1:10" ht="12">
      <c r="A28" s="188">
        <f t="shared" si="0"/>
        <v>21</v>
      </c>
      <c r="B28" s="383"/>
      <c r="C28" s="389"/>
      <c r="D28" s="389"/>
      <c r="E28" s="389"/>
      <c r="F28" s="389"/>
      <c r="G28" s="389"/>
      <c r="H28" s="389"/>
      <c r="I28" s="384"/>
    </row>
    <row r="29" spans="1:10" ht="12">
      <c r="A29" s="188">
        <f t="shared" si="0"/>
        <v>22</v>
      </c>
      <c r="B29" s="390" t="s">
        <v>155</v>
      </c>
      <c r="C29" s="387"/>
      <c r="D29" s="387"/>
      <c r="E29" s="387"/>
      <c r="F29" s="387"/>
      <c r="G29" s="387">
        <f>6877+33249+6299.37+327.5</f>
        <v>46752.87</v>
      </c>
      <c r="H29" s="387"/>
      <c r="I29" s="386"/>
    </row>
    <row r="30" spans="1:10" ht="12">
      <c r="A30" s="188">
        <f t="shared" si="0"/>
        <v>23</v>
      </c>
      <c r="B30" s="391" t="s">
        <v>156</v>
      </c>
      <c r="C30" s="387"/>
      <c r="D30" s="387"/>
      <c r="F30" s="387"/>
      <c r="G30" s="387"/>
      <c r="H30" s="387"/>
      <c r="I30" s="386"/>
    </row>
    <row r="31" spans="1:10" ht="12.75" thickBot="1">
      <c r="A31" s="188">
        <f t="shared" si="0"/>
        <v>24</v>
      </c>
      <c r="B31" s="202" t="s">
        <v>63</v>
      </c>
      <c r="C31" s="396">
        <f t="shared" ref="C31:H31" si="2">C13+C27+C29+C30</f>
        <v>0</v>
      </c>
      <c r="D31" s="396">
        <f t="shared" si="2"/>
        <v>0</v>
      </c>
      <c r="E31" s="396">
        <f>E13+E27+E29+E30</f>
        <v>472148.49</v>
      </c>
      <c r="F31" s="396">
        <f t="shared" si="2"/>
        <v>9140.2700000000077</v>
      </c>
      <c r="G31" s="396">
        <f t="shared" si="2"/>
        <v>2160272.7000000002</v>
      </c>
      <c r="H31" s="396">
        <f t="shared" si="2"/>
        <v>72682.78</v>
      </c>
      <c r="I31" s="386"/>
    </row>
    <row r="32" spans="1:10" ht="12.75" thickTop="1">
      <c r="A32" s="188">
        <f t="shared" si="0"/>
        <v>25</v>
      </c>
      <c r="B32" s="392"/>
      <c r="C32" s="374"/>
      <c r="D32" s="374"/>
      <c r="E32" s="374"/>
      <c r="F32" s="374"/>
      <c r="G32" s="374"/>
      <c r="H32" s="374"/>
      <c r="I32" s="374"/>
    </row>
    <row r="33" spans="1:10" ht="12">
      <c r="A33" s="188">
        <f t="shared" si="0"/>
        <v>26</v>
      </c>
      <c r="B33" s="36" t="s">
        <v>192</v>
      </c>
      <c r="C33" s="385"/>
      <c r="D33" s="385"/>
      <c r="E33" s="385"/>
      <c r="F33" s="385"/>
      <c r="G33" s="385"/>
      <c r="H33" s="385"/>
      <c r="I33" s="35">
        <f>'New Format'!C30</f>
        <v>7860865544</v>
      </c>
    </row>
    <row r="34" spans="1:10" ht="12">
      <c r="A34" s="188">
        <f t="shared" si="0"/>
        <v>27</v>
      </c>
      <c r="B34" s="35"/>
      <c r="C34" s="393"/>
      <c r="D34" s="393"/>
      <c r="E34" s="393"/>
      <c r="F34" s="393"/>
      <c r="G34" s="393"/>
      <c r="H34" s="393"/>
      <c r="I34" s="35"/>
    </row>
    <row r="35" spans="1:10" ht="12">
      <c r="A35" s="188">
        <f t="shared" si="0"/>
        <v>28</v>
      </c>
      <c r="B35" s="36" t="s">
        <v>193</v>
      </c>
      <c r="C35" s="35"/>
      <c r="D35" s="35"/>
      <c r="E35" s="35"/>
      <c r="F35" s="35"/>
      <c r="G35" s="35"/>
      <c r="H35" s="35"/>
      <c r="I35" s="420">
        <f>ROUND(-I27/I33,4)</f>
        <v>1E-4</v>
      </c>
      <c r="J35" s="435"/>
    </row>
    <row r="36" spans="1:10">
      <c r="A36" s="188"/>
    </row>
    <row r="37" spans="1:10">
      <c r="A37" s="188"/>
    </row>
    <row r="38" spans="1:10">
      <c r="A38" s="188"/>
      <c r="B38" s="217"/>
    </row>
    <row r="39" spans="1:10">
      <c r="A39" s="188"/>
    </row>
    <row r="40" spans="1:10">
      <c r="A40" s="188"/>
    </row>
    <row r="41" spans="1:10">
      <c r="A41" s="188"/>
    </row>
    <row r="42" spans="1:10">
      <c r="A42" s="188"/>
    </row>
    <row r="43" spans="1:10">
      <c r="A43" s="188"/>
      <c r="B43" s="160"/>
    </row>
    <row r="44" spans="1:10">
      <c r="A44" s="188"/>
    </row>
    <row r="45" spans="1:10">
      <c r="A45" s="188"/>
    </row>
    <row r="46" spans="1:10">
      <c r="A46" s="188"/>
      <c r="B46" s="219"/>
    </row>
    <row r="47" spans="1:10">
      <c r="A47" s="188"/>
    </row>
    <row r="48" spans="1:10">
      <c r="A48" s="188"/>
    </row>
    <row r="49" spans="1:2">
      <c r="A49" s="188"/>
    </row>
    <row r="50" spans="1:2">
      <c r="A50" s="188"/>
    </row>
    <row r="51" spans="1:2">
      <c r="A51" s="188"/>
    </row>
    <row r="52" spans="1:2">
      <c r="A52" s="188"/>
    </row>
    <row r="53" spans="1:2">
      <c r="A53" s="188"/>
      <c r="B53" s="161"/>
    </row>
    <row r="54" spans="1:2">
      <c r="A54" s="188"/>
      <c r="B54" s="161"/>
    </row>
    <row r="55" spans="1:2">
      <c r="A55" s="188"/>
      <c r="B55" s="219"/>
    </row>
  </sheetData>
  <phoneticPr fontId="24" type="noConversion"/>
  <pageMargins left="0.79" right="0.67" top="0.44" bottom="0.44" header="0.23" footer="0.17"/>
  <pageSetup scale="67" orientation="landscape" r:id="rId1"/>
  <headerFooter alignWithMargins="0">
    <oddFooter>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BC166"/>
  <sheetViews>
    <sheetView zoomScaleNormal="100" workbookViewId="0">
      <pane xSplit="5" ySplit="5" topLeftCell="F6" activePane="bottomRight" state="frozen"/>
      <selection activeCell="I9" sqref="I9"/>
      <selection pane="topRight" activeCell="I9" sqref="I9"/>
      <selection pane="bottomLeft" activeCell="I9" sqref="I9"/>
      <selection pane="bottomRight" activeCell="J29" sqref="J29"/>
    </sheetView>
  </sheetViews>
  <sheetFormatPr defaultColWidth="8.83203125" defaultRowHeight="12.75" outlineLevelCol="1"/>
  <cols>
    <col min="1" max="1" width="5.6640625" style="25" bestFit="1" customWidth="1"/>
    <col min="2" max="2" width="7" style="23" customWidth="1"/>
    <col min="3" max="3" width="8.33203125" style="23" customWidth="1"/>
    <col min="4" max="5" width="7.1640625" style="23" customWidth="1"/>
    <col min="6" max="6" width="10" style="26" customWidth="1"/>
    <col min="7" max="7" width="9.83203125" style="23" customWidth="1"/>
    <col min="8" max="8" width="8" style="23" customWidth="1"/>
    <col min="9" max="9" width="7.83203125" style="26" customWidth="1"/>
    <col min="10" max="11" width="9.1640625" style="23" customWidth="1"/>
    <col min="12" max="12" width="9.83203125" style="23" customWidth="1"/>
    <col min="13" max="13" width="9.1640625" style="23" customWidth="1"/>
    <col min="14" max="14" width="9.83203125" style="23" customWidth="1"/>
    <col min="15" max="23" width="8.83203125" style="23" customWidth="1"/>
    <col min="24" max="24" width="8.83203125" style="23" customWidth="1" outlineLevel="1"/>
    <col min="25" max="25" width="12.33203125" style="23" customWidth="1" outlineLevel="1"/>
    <col min="26" max="26" width="14.6640625" style="23" customWidth="1" outlineLevel="1"/>
    <col min="27" max="27" width="12.6640625" style="23" customWidth="1"/>
    <col min="28" max="28" width="8.83203125" style="23"/>
    <col min="29" max="30" width="10.83203125" style="23" bestFit="1" customWidth="1"/>
    <col min="31" max="16384" width="8.83203125" style="23"/>
  </cols>
  <sheetData>
    <row r="1" spans="1:25" ht="12.75" customHeight="1">
      <c r="A1" s="229" t="s">
        <v>90</v>
      </c>
      <c r="B1" s="155"/>
      <c r="C1" s="155"/>
      <c r="D1" s="154"/>
      <c r="E1" s="156"/>
      <c r="F1" s="154"/>
      <c r="G1" s="155"/>
      <c r="H1" s="155"/>
      <c r="I1" s="155"/>
    </row>
    <row r="2" spans="1:25" s="57" customFormat="1" ht="12.75" customHeight="1">
      <c r="A2" s="262" t="str">
        <f>'New Format'!B5</f>
        <v>For The 12 Months Ending December 31, 2018</v>
      </c>
      <c r="B2" s="157"/>
      <c r="C2" s="157"/>
      <c r="D2" s="157"/>
      <c r="E2" s="158"/>
      <c r="F2" s="157"/>
      <c r="G2" s="159"/>
      <c r="H2" s="158"/>
      <c r="I2" s="157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3" spans="1:25" s="57" customFormat="1" ht="12.75" customHeight="1">
      <c r="A3" s="262"/>
      <c r="B3" s="157"/>
      <c r="C3" s="157"/>
      <c r="D3" s="157"/>
      <c r="E3" s="158"/>
      <c r="F3" s="157"/>
      <c r="G3" s="159"/>
      <c r="H3" s="158"/>
      <c r="I3" s="157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</row>
    <row r="4" spans="1:25" ht="11.1" customHeight="1">
      <c r="A4" s="175" t="s">
        <v>5</v>
      </c>
      <c r="B4" s="175" t="s">
        <v>27</v>
      </c>
      <c r="C4" s="175" t="s">
        <v>52</v>
      </c>
      <c r="D4" s="175" t="s">
        <v>64</v>
      </c>
      <c r="E4" s="175" t="s">
        <v>65</v>
      </c>
      <c r="F4" s="175" t="s">
        <v>66</v>
      </c>
      <c r="G4" s="175" t="s">
        <v>67</v>
      </c>
      <c r="H4" s="175" t="s">
        <v>68</v>
      </c>
      <c r="I4" s="175" t="s">
        <v>69</v>
      </c>
      <c r="J4" s="175" t="s">
        <v>68</v>
      </c>
      <c r="K4" s="175" t="s">
        <v>69</v>
      </c>
      <c r="L4" s="175" t="s">
        <v>68</v>
      </c>
      <c r="M4" s="175" t="s">
        <v>69</v>
      </c>
      <c r="N4" s="175" t="s">
        <v>68</v>
      </c>
      <c r="O4" s="175" t="s">
        <v>69</v>
      </c>
      <c r="P4" s="175" t="s">
        <v>68</v>
      </c>
      <c r="Q4" s="175" t="s">
        <v>69</v>
      </c>
      <c r="R4" s="175" t="s">
        <v>68</v>
      </c>
      <c r="S4" s="175" t="s">
        <v>69</v>
      </c>
      <c r="T4" s="175" t="s">
        <v>68</v>
      </c>
      <c r="U4" s="175" t="s">
        <v>69</v>
      </c>
      <c r="V4" s="175" t="s">
        <v>68</v>
      </c>
      <c r="W4" s="175"/>
      <c r="X4" s="399" t="s">
        <v>169</v>
      </c>
    </row>
    <row r="5" spans="1:25" ht="33.75">
      <c r="A5" s="354">
        <v>1</v>
      </c>
      <c r="B5" s="355" t="s">
        <v>121</v>
      </c>
      <c r="C5" s="355" t="s">
        <v>94</v>
      </c>
      <c r="D5" s="355" t="s">
        <v>57</v>
      </c>
      <c r="E5" s="355" t="s">
        <v>98</v>
      </c>
      <c r="F5" s="355" t="s">
        <v>111</v>
      </c>
      <c r="G5" s="355" t="s">
        <v>84</v>
      </c>
      <c r="H5" s="355" t="s">
        <v>88</v>
      </c>
      <c r="I5" s="355" t="s">
        <v>80</v>
      </c>
      <c r="J5" s="356">
        <f>'Pg 2 CapStructure'!C6</f>
        <v>43100</v>
      </c>
      <c r="K5" s="356">
        <f>'Pg 2 CapStructure'!D6</f>
        <v>43131</v>
      </c>
      <c r="L5" s="356">
        <f>'Pg 2 CapStructure'!E6</f>
        <v>43159</v>
      </c>
      <c r="M5" s="356">
        <f>'Pg 2 CapStructure'!F6</f>
        <v>43190</v>
      </c>
      <c r="N5" s="356">
        <f>'Pg 2 CapStructure'!G6</f>
        <v>43220</v>
      </c>
      <c r="O5" s="356">
        <f>'Pg 2 CapStructure'!H6</f>
        <v>43251</v>
      </c>
      <c r="P5" s="356">
        <f>'Pg 2 CapStructure'!I6</f>
        <v>43281</v>
      </c>
      <c r="Q5" s="356">
        <f>'Pg 2 CapStructure'!J6</f>
        <v>43312</v>
      </c>
      <c r="R5" s="356">
        <f>'Pg 2 CapStructure'!K6</f>
        <v>43343</v>
      </c>
      <c r="S5" s="356">
        <f>'Pg 2 CapStructure'!L6</f>
        <v>43373</v>
      </c>
      <c r="T5" s="356">
        <f>'Pg 2 CapStructure'!M6</f>
        <v>43404</v>
      </c>
      <c r="U5" s="356">
        <f>'Pg 2 CapStructure'!N6</f>
        <v>43434</v>
      </c>
      <c r="V5" s="356">
        <f>'Pg 2 CapStructure'!O6</f>
        <v>43465</v>
      </c>
      <c r="W5" s="356"/>
      <c r="X5" s="400" t="s">
        <v>38</v>
      </c>
      <c r="Y5" s="400" t="s">
        <v>170</v>
      </c>
    </row>
    <row r="6" spans="1:25" s="27" customFormat="1">
      <c r="A6" s="133">
        <v>6</v>
      </c>
      <c r="B6" s="137" t="s">
        <v>21</v>
      </c>
      <c r="C6" s="276">
        <v>6.7400000000000002E-2</v>
      </c>
      <c r="D6" s="277">
        <v>35961</v>
      </c>
      <c r="E6" s="277">
        <v>43266</v>
      </c>
      <c r="F6" s="267">
        <f>ROUND(((J6+V6)+(SUM(K6:U6)*2))/24,0)</f>
        <v>91666667</v>
      </c>
      <c r="G6" s="278">
        <v>98.98509159000001</v>
      </c>
      <c r="H6" s="178">
        <f t="shared" ref="H6:H10" si="0">ROUND(YIELD(D6,E6,C6,G6,100,2,2),4)</f>
        <v>6.83E-2</v>
      </c>
      <c r="I6" s="267">
        <f>ROUND(+H6*F6,0)</f>
        <v>6260833</v>
      </c>
      <c r="J6" s="267">
        <v>200000000</v>
      </c>
      <c r="K6" s="267">
        <v>200000000</v>
      </c>
      <c r="L6" s="267">
        <v>200000000</v>
      </c>
      <c r="M6" s="267">
        <v>200000000</v>
      </c>
      <c r="N6" s="267">
        <v>200000000</v>
      </c>
      <c r="O6" s="267">
        <v>200000000</v>
      </c>
      <c r="P6" s="267"/>
      <c r="Q6" s="267"/>
      <c r="R6" s="267"/>
      <c r="S6" s="267">
        <v>0</v>
      </c>
      <c r="T6" s="267"/>
      <c r="U6" s="267"/>
      <c r="V6" s="267"/>
      <c r="W6" s="267"/>
      <c r="X6" s="267">
        <f t="shared" ref="X6:X23" si="1">H6*S6</f>
        <v>0</v>
      </c>
    </row>
    <row r="7" spans="1:25" s="28" customFormat="1">
      <c r="A7" s="354">
        <v>7</v>
      </c>
      <c r="B7" s="137" t="s">
        <v>23</v>
      </c>
      <c r="C7" s="276">
        <v>7.1499999999999994E-2</v>
      </c>
      <c r="D7" s="277">
        <v>35053</v>
      </c>
      <c r="E7" s="277">
        <v>46010</v>
      </c>
      <c r="F7" s="267">
        <f t="shared" ref="F7:F23" si="2">ROUND(((J7+V7)+(SUM(K7:U7)*2))/24,0)</f>
        <v>15000000</v>
      </c>
      <c r="G7" s="278">
        <v>99.211911999999998</v>
      </c>
      <c r="H7" s="178">
        <f t="shared" si="0"/>
        <v>7.2099999999999997E-2</v>
      </c>
      <c r="I7" s="267">
        <f t="shared" ref="I7:I10" si="3">ROUND(+H7*F7,0)</f>
        <v>1081500</v>
      </c>
      <c r="J7" s="267">
        <v>15000000</v>
      </c>
      <c r="K7" s="267">
        <v>15000000</v>
      </c>
      <c r="L7" s="267">
        <v>15000000</v>
      </c>
      <c r="M7" s="267">
        <v>15000000</v>
      </c>
      <c r="N7" s="267">
        <v>15000000</v>
      </c>
      <c r="O7" s="267">
        <v>15000000</v>
      </c>
      <c r="P7" s="267">
        <v>15000000</v>
      </c>
      <c r="Q7" s="267">
        <v>15000000</v>
      </c>
      <c r="R7" s="267">
        <v>15000000</v>
      </c>
      <c r="S7" s="267">
        <v>15000000</v>
      </c>
      <c r="T7" s="267">
        <v>15000000</v>
      </c>
      <c r="U7" s="267">
        <v>15000000</v>
      </c>
      <c r="V7" s="267">
        <v>15000000</v>
      </c>
      <c r="W7" s="267"/>
      <c r="X7" s="267">
        <f t="shared" si="1"/>
        <v>1081500</v>
      </c>
      <c r="Y7" s="27"/>
    </row>
    <row r="8" spans="1:25" s="28" customFormat="1">
      <c r="A8" s="133">
        <v>8</v>
      </c>
      <c r="B8" s="137" t="s">
        <v>23</v>
      </c>
      <c r="C8" s="276">
        <v>7.1999999999999995E-2</v>
      </c>
      <c r="D8" s="277">
        <v>35054</v>
      </c>
      <c r="E8" s="277">
        <v>46013</v>
      </c>
      <c r="F8" s="267">
        <f t="shared" si="2"/>
        <v>2000000</v>
      </c>
      <c r="G8" s="278">
        <v>99.211600000000004</v>
      </c>
      <c r="H8" s="178">
        <f t="shared" si="0"/>
        <v>7.2599999999999998E-2</v>
      </c>
      <c r="I8" s="267">
        <f t="shared" si="3"/>
        <v>145200</v>
      </c>
      <c r="J8" s="267">
        <v>2000000</v>
      </c>
      <c r="K8" s="267">
        <v>2000000</v>
      </c>
      <c r="L8" s="267">
        <v>2000000</v>
      </c>
      <c r="M8" s="267">
        <v>2000000</v>
      </c>
      <c r="N8" s="267">
        <v>2000000</v>
      </c>
      <c r="O8" s="267">
        <v>2000000</v>
      </c>
      <c r="P8" s="267">
        <v>2000000</v>
      </c>
      <c r="Q8" s="267">
        <v>2000000</v>
      </c>
      <c r="R8" s="267">
        <v>2000000</v>
      </c>
      <c r="S8" s="267">
        <v>2000000</v>
      </c>
      <c r="T8" s="267">
        <v>2000000</v>
      </c>
      <c r="U8" s="267">
        <v>2000000</v>
      </c>
      <c r="V8" s="267">
        <v>2000000</v>
      </c>
      <c r="W8" s="267"/>
      <c r="X8" s="267">
        <f t="shared" si="1"/>
        <v>145200</v>
      </c>
    </row>
    <row r="9" spans="1:25" s="28" customFormat="1">
      <c r="A9" s="354">
        <v>9</v>
      </c>
      <c r="B9" s="137" t="s">
        <v>21</v>
      </c>
      <c r="C9" s="276">
        <v>7.0199999999999999E-2</v>
      </c>
      <c r="D9" s="277">
        <v>35786</v>
      </c>
      <c r="E9" s="277">
        <v>46722</v>
      </c>
      <c r="F9" s="267">
        <f t="shared" si="2"/>
        <v>300000000</v>
      </c>
      <c r="G9" s="278">
        <v>98.985735776666658</v>
      </c>
      <c r="H9" s="178">
        <f t="shared" si="0"/>
        <v>7.0999999999999994E-2</v>
      </c>
      <c r="I9" s="267">
        <f t="shared" si="3"/>
        <v>21300000</v>
      </c>
      <c r="J9" s="267">
        <v>300000000</v>
      </c>
      <c r="K9" s="267">
        <v>300000000</v>
      </c>
      <c r="L9" s="267">
        <v>300000000</v>
      </c>
      <c r="M9" s="267">
        <v>300000000</v>
      </c>
      <c r="N9" s="267">
        <v>300000000</v>
      </c>
      <c r="O9" s="267">
        <v>300000000</v>
      </c>
      <c r="P9" s="267">
        <v>300000000</v>
      </c>
      <c r="Q9" s="267">
        <v>300000000</v>
      </c>
      <c r="R9" s="267">
        <v>300000000</v>
      </c>
      <c r="S9" s="267">
        <v>300000000</v>
      </c>
      <c r="T9" s="267">
        <v>300000000</v>
      </c>
      <c r="U9" s="267">
        <v>300000000</v>
      </c>
      <c r="V9" s="267">
        <v>300000000</v>
      </c>
      <c r="W9" s="267"/>
      <c r="X9" s="267">
        <f t="shared" si="1"/>
        <v>21299999.999999996</v>
      </c>
    </row>
    <row r="10" spans="1:25">
      <c r="A10" s="133">
        <v>10</v>
      </c>
      <c r="B10" s="137" t="s">
        <v>22</v>
      </c>
      <c r="C10" s="276">
        <v>7.0000000000000007E-2</v>
      </c>
      <c r="D10" s="277">
        <v>36228</v>
      </c>
      <c r="E10" s="277">
        <v>47186</v>
      </c>
      <c r="F10" s="267">
        <f t="shared" si="2"/>
        <v>100000000</v>
      </c>
      <c r="G10" s="278">
        <v>99.042870549999989</v>
      </c>
      <c r="H10" s="178">
        <f t="shared" si="0"/>
        <v>7.0800000000000002E-2</v>
      </c>
      <c r="I10" s="267">
        <f t="shared" si="3"/>
        <v>7080000</v>
      </c>
      <c r="J10" s="267">
        <v>100000000</v>
      </c>
      <c r="K10" s="267">
        <v>100000000</v>
      </c>
      <c r="L10" s="267">
        <v>100000000</v>
      </c>
      <c r="M10" s="267">
        <v>100000000</v>
      </c>
      <c r="N10" s="267">
        <v>100000000</v>
      </c>
      <c r="O10" s="267">
        <v>100000000</v>
      </c>
      <c r="P10" s="267">
        <v>100000000</v>
      </c>
      <c r="Q10" s="267">
        <v>100000000</v>
      </c>
      <c r="R10" s="267">
        <v>100000000</v>
      </c>
      <c r="S10" s="267">
        <v>100000000</v>
      </c>
      <c r="T10" s="267">
        <v>100000000</v>
      </c>
      <c r="U10" s="267">
        <v>100000000</v>
      </c>
      <c r="V10" s="267">
        <v>100000000</v>
      </c>
      <c r="W10" s="267"/>
      <c r="X10" s="267">
        <f t="shared" si="1"/>
        <v>7080000</v>
      </c>
      <c r="Y10" s="28"/>
    </row>
    <row r="11" spans="1:25">
      <c r="A11" s="354">
        <v>11</v>
      </c>
      <c r="B11" s="279" t="s">
        <v>24</v>
      </c>
      <c r="C11" s="276">
        <v>3.9E-2</v>
      </c>
      <c r="D11" s="280">
        <v>41417</v>
      </c>
      <c r="E11" s="281">
        <v>47908</v>
      </c>
      <c r="F11" s="267">
        <f t="shared" si="2"/>
        <v>138460000</v>
      </c>
      <c r="G11" s="278">
        <v>98.939099999999996</v>
      </c>
      <c r="H11" s="178">
        <f t="shared" ref="H11:H24" si="4">ROUND(YIELD(D11,E11,C11,G11,100,2,2),4)</f>
        <v>3.9800000000000002E-2</v>
      </c>
      <c r="I11" s="267">
        <f t="shared" ref="I11:I24" si="5">ROUND(+H11*F11,0)</f>
        <v>5510708</v>
      </c>
      <c r="J11" s="267">
        <v>138460000</v>
      </c>
      <c r="K11" s="267">
        <v>138460000</v>
      </c>
      <c r="L11" s="267">
        <v>138460000</v>
      </c>
      <c r="M11" s="267">
        <v>138460000</v>
      </c>
      <c r="N11" s="267">
        <v>138460000</v>
      </c>
      <c r="O11" s="267">
        <v>138460000</v>
      </c>
      <c r="P11" s="267">
        <v>138460000</v>
      </c>
      <c r="Q11" s="267">
        <v>138460000</v>
      </c>
      <c r="R11" s="267">
        <v>138460000</v>
      </c>
      <c r="S11" s="267">
        <v>138460000</v>
      </c>
      <c r="T11" s="267">
        <v>138460000</v>
      </c>
      <c r="U11" s="267">
        <v>138460000</v>
      </c>
      <c r="V11" s="267">
        <v>138460000</v>
      </c>
      <c r="W11" s="267"/>
      <c r="X11" s="267">
        <f t="shared" si="1"/>
        <v>5510708</v>
      </c>
    </row>
    <row r="12" spans="1:25">
      <c r="A12" s="133">
        <v>12</v>
      </c>
      <c r="B12" s="279" t="s">
        <v>24</v>
      </c>
      <c r="C12" s="276">
        <v>0.04</v>
      </c>
      <c r="D12" s="280">
        <v>41417</v>
      </c>
      <c r="E12" s="281">
        <v>47908</v>
      </c>
      <c r="F12" s="267">
        <f t="shared" si="2"/>
        <v>23400000</v>
      </c>
      <c r="G12" s="278">
        <v>98.939099999999996</v>
      </c>
      <c r="H12" s="178">
        <f t="shared" si="4"/>
        <v>4.0800000000000003E-2</v>
      </c>
      <c r="I12" s="267">
        <f t="shared" si="5"/>
        <v>954720</v>
      </c>
      <c r="J12" s="267">
        <v>23400000</v>
      </c>
      <c r="K12" s="267">
        <v>23400000</v>
      </c>
      <c r="L12" s="267">
        <v>23400000</v>
      </c>
      <c r="M12" s="267">
        <v>23400000</v>
      </c>
      <c r="N12" s="267">
        <v>23400000</v>
      </c>
      <c r="O12" s="267">
        <v>23400000</v>
      </c>
      <c r="P12" s="267">
        <v>23400000</v>
      </c>
      <c r="Q12" s="267">
        <v>23400000</v>
      </c>
      <c r="R12" s="267">
        <v>23400000</v>
      </c>
      <c r="S12" s="267">
        <v>23400000</v>
      </c>
      <c r="T12" s="267">
        <v>23400000</v>
      </c>
      <c r="U12" s="267">
        <v>23400000</v>
      </c>
      <c r="V12" s="267">
        <v>23400000</v>
      </c>
      <c r="W12" s="267"/>
      <c r="X12" s="267">
        <f t="shared" si="1"/>
        <v>954720.00000000012</v>
      </c>
    </row>
    <row r="13" spans="1:25">
      <c r="A13" s="354">
        <v>13</v>
      </c>
      <c r="B13" s="137" t="s">
        <v>89</v>
      </c>
      <c r="C13" s="276">
        <v>5.4829999999999997E-2</v>
      </c>
      <c r="D13" s="277">
        <v>38499</v>
      </c>
      <c r="E13" s="277">
        <v>49461</v>
      </c>
      <c r="F13" s="267">
        <f t="shared" si="2"/>
        <v>250000000</v>
      </c>
      <c r="G13" s="278">
        <v>84.886606835999999</v>
      </c>
      <c r="H13" s="178">
        <f t="shared" si="4"/>
        <v>6.6500000000000004E-2</v>
      </c>
      <c r="I13" s="270">
        <f t="shared" si="5"/>
        <v>16625000</v>
      </c>
      <c r="J13" s="270">
        <v>250000000</v>
      </c>
      <c r="K13" s="270">
        <v>250000000</v>
      </c>
      <c r="L13" s="270">
        <v>250000000</v>
      </c>
      <c r="M13" s="270">
        <v>250000000</v>
      </c>
      <c r="N13" s="270">
        <v>250000000</v>
      </c>
      <c r="O13" s="270">
        <v>250000000</v>
      </c>
      <c r="P13" s="270">
        <v>250000000</v>
      </c>
      <c r="Q13" s="270">
        <v>250000000</v>
      </c>
      <c r="R13" s="270">
        <v>250000000</v>
      </c>
      <c r="S13" s="270">
        <v>250000000</v>
      </c>
      <c r="T13" s="270">
        <v>250000000</v>
      </c>
      <c r="U13" s="270">
        <v>250000000</v>
      </c>
      <c r="V13" s="270">
        <v>250000000</v>
      </c>
      <c r="W13" s="270"/>
      <c r="X13" s="267">
        <f t="shared" si="1"/>
        <v>16625000</v>
      </c>
    </row>
    <row r="14" spans="1:25">
      <c r="A14" s="133">
        <v>14</v>
      </c>
      <c r="B14" s="137" t="s">
        <v>89</v>
      </c>
      <c r="C14" s="276">
        <v>6.7239999999999994E-2</v>
      </c>
      <c r="D14" s="277">
        <v>38898</v>
      </c>
      <c r="E14" s="277">
        <v>49841</v>
      </c>
      <c r="F14" s="267">
        <f t="shared" si="2"/>
        <v>250000000</v>
      </c>
      <c r="G14" s="278">
        <v>107.515271756</v>
      </c>
      <c r="H14" s="178">
        <f t="shared" si="4"/>
        <v>6.1699999999999998E-2</v>
      </c>
      <c r="I14" s="270">
        <f t="shared" si="5"/>
        <v>15425000</v>
      </c>
      <c r="J14" s="270">
        <v>250000000</v>
      </c>
      <c r="K14" s="270">
        <v>250000000</v>
      </c>
      <c r="L14" s="270">
        <v>250000000</v>
      </c>
      <c r="M14" s="270">
        <v>250000000</v>
      </c>
      <c r="N14" s="270">
        <v>250000000</v>
      </c>
      <c r="O14" s="270">
        <v>250000000</v>
      </c>
      <c r="P14" s="270">
        <v>250000000</v>
      </c>
      <c r="Q14" s="270">
        <v>250000000</v>
      </c>
      <c r="R14" s="270">
        <v>250000000</v>
      </c>
      <c r="S14" s="270">
        <v>250000000</v>
      </c>
      <c r="T14" s="270">
        <v>250000000</v>
      </c>
      <c r="U14" s="270">
        <v>250000000</v>
      </c>
      <c r="V14" s="270">
        <v>250000000</v>
      </c>
      <c r="W14" s="270"/>
      <c r="X14" s="267">
        <f t="shared" si="1"/>
        <v>15425000</v>
      </c>
    </row>
    <row r="15" spans="1:25">
      <c r="A15" s="354">
        <v>15</v>
      </c>
      <c r="B15" s="137" t="s">
        <v>89</v>
      </c>
      <c r="C15" s="276">
        <v>6.2740000000000004E-2</v>
      </c>
      <c r="D15" s="277">
        <v>38978</v>
      </c>
      <c r="E15" s="277">
        <v>50114</v>
      </c>
      <c r="F15" s="267">
        <f t="shared" si="2"/>
        <v>300000000</v>
      </c>
      <c r="G15" s="278">
        <v>98.812700000000007</v>
      </c>
      <c r="H15" s="178">
        <f t="shared" si="4"/>
        <v>6.3600000000000004E-2</v>
      </c>
      <c r="I15" s="270">
        <f t="shared" si="5"/>
        <v>19080000</v>
      </c>
      <c r="J15" s="270">
        <v>300000000</v>
      </c>
      <c r="K15" s="270">
        <v>300000000</v>
      </c>
      <c r="L15" s="270">
        <v>300000000</v>
      </c>
      <c r="M15" s="270">
        <v>300000000</v>
      </c>
      <c r="N15" s="270">
        <v>300000000</v>
      </c>
      <c r="O15" s="270">
        <v>300000000</v>
      </c>
      <c r="P15" s="270">
        <v>300000000</v>
      </c>
      <c r="Q15" s="270">
        <v>300000000</v>
      </c>
      <c r="R15" s="270">
        <v>300000000</v>
      </c>
      <c r="S15" s="270">
        <v>300000000</v>
      </c>
      <c r="T15" s="270">
        <v>300000000</v>
      </c>
      <c r="U15" s="270">
        <v>300000000</v>
      </c>
      <c r="V15" s="270">
        <v>300000000</v>
      </c>
      <c r="W15" s="270"/>
      <c r="X15" s="267">
        <f t="shared" si="1"/>
        <v>19080000</v>
      </c>
    </row>
    <row r="16" spans="1:25">
      <c r="A16" s="133">
        <v>16</v>
      </c>
      <c r="B16" s="137" t="s">
        <v>89</v>
      </c>
      <c r="C16" s="276">
        <v>5.7570000000000003E-2</v>
      </c>
      <c r="D16" s="277">
        <v>40067</v>
      </c>
      <c r="E16" s="277">
        <v>51058</v>
      </c>
      <c r="F16" s="267">
        <f t="shared" si="2"/>
        <v>350000000</v>
      </c>
      <c r="G16" s="278">
        <v>98.983599999999996</v>
      </c>
      <c r="H16" s="178">
        <f t="shared" si="4"/>
        <v>5.8299999999999998E-2</v>
      </c>
      <c r="I16" s="270">
        <f t="shared" si="5"/>
        <v>20405000</v>
      </c>
      <c r="J16" s="270">
        <v>350000000</v>
      </c>
      <c r="K16" s="270">
        <v>350000000</v>
      </c>
      <c r="L16" s="270">
        <v>350000000</v>
      </c>
      <c r="M16" s="270">
        <v>350000000</v>
      </c>
      <c r="N16" s="270">
        <v>350000000</v>
      </c>
      <c r="O16" s="270">
        <v>350000000</v>
      </c>
      <c r="P16" s="270">
        <v>350000000</v>
      </c>
      <c r="Q16" s="270">
        <v>350000000</v>
      </c>
      <c r="R16" s="270">
        <v>350000000</v>
      </c>
      <c r="S16" s="270">
        <v>350000000</v>
      </c>
      <c r="T16" s="270">
        <v>350000000</v>
      </c>
      <c r="U16" s="270">
        <v>350000000</v>
      </c>
      <c r="V16" s="270">
        <v>350000000</v>
      </c>
      <c r="W16" s="270"/>
      <c r="X16" s="267">
        <f t="shared" si="1"/>
        <v>20405000</v>
      </c>
    </row>
    <row r="17" spans="1:25">
      <c r="A17" s="354">
        <v>17</v>
      </c>
      <c r="B17" s="137" t="s">
        <v>89</v>
      </c>
      <c r="C17" s="276">
        <v>5.7950000000000002E-2</v>
      </c>
      <c r="D17" s="277">
        <v>40245</v>
      </c>
      <c r="E17" s="277">
        <v>51210</v>
      </c>
      <c r="F17" s="267">
        <f t="shared" si="2"/>
        <v>325000000</v>
      </c>
      <c r="G17" s="278">
        <v>98.958799999999997</v>
      </c>
      <c r="H17" s="178">
        <f t="shared" si="4"/>
        <v>5.8700000000000002E-2</v>
      </c>
      <c r="I17" s="270">
        <f t="shared" si="5"/>
        <v>19077500</v>
      </c>
      <c r="J17" s="270">
        <v>325000000</v>
      </c>
      <c r="K17" s="270">
        <v>325000000</v>
      </c>
      <c r="L17" s="270">
        <v>325000000</v>
      </c>
      <c r="M17" s="270">
        <v>325000000</v>
      </c>
      <c r="N17" s="270">
        <v>325000000</v>
      </c>
      <c r="O17" s="270">
        <v>325000000</v>
      </c>
      <c r="P17" s="270">
        <v>325000000</v>
      </c>
      <c r="Q17" s="270">
        <v>325000000</v>
      </c>
      <c r="R17" s="270">
        <v>325000000</v>
      </c>
      <c r="S17" s="270">
        <v>325000000</v>
      </c>
      <c r="T17" s="270">
        <v>325000000</v>
      </c>
      <c r="U17" s="270">
        <v>325000000</v>
      </c>
      <c r="V17" s="270">
        <v>325000000</v>
      </c>
      <c r="W17" s="270"/>
      <c r="X17" s="267">
        <f t="shared" si="1"/>
        <v>19077500</v>
      </c>
    </row>
    <row r="18" spans="1:25">
      <c r="A18" s="133">
        <v>18</v>
      </c>
      <c r="B18" s="137" t="s">
        <v>89</v>
      </c>
      <c r="C18" s="276">
        <v>5.7639999999999997E-2</v>
      </c>
      <c r="D18" s="277">
        <v>40358</v>
      </c>
      <c r="E18" s="277">
        <v>51332</v>
      </c>
      <c r="F18" s="267">
        <f t="shared" si="2"/>
        <v>250000000</v>
      </c>
      <c r="G18" s="278">
        <v>98.965199999999996</v>
      </c>
      <c r="H18" s="178">
        <f t="shared" si="4"/>
        <v>5.8400000000000001E-2</v>
      </c>
      <c r="I18" s="270">
        <f t="shared" si="5"/>
        <v>14600000</v>
      </c>
      <c r="J18" s="270">
        <v>250000000</v>
      </c>
      <c r="K18" s="270">
        <v>250000000</v>
      </c>
      <c r="L18" s="270">
        <v>250000000</v>
      </c>
      <c r="M18" s="270">
        <v>250000000</v>
      </c>
      <c r="N18" s="270">
        <v>250000000</v>
      </c>
      <c r="O18" s="270">
        <v>250000000</v>
      </c>
      <c r="P18" s="270">
        <v>250000000</v>
      </c>
      <c r="Q18" s="270">
        <v>250000000</v>
      </c>
      <c r="R18" s="270">
        <v>250000000</v>
      </c>
      <c r="S18" s="270">
        <v>250000000</v>
      </c>
      <c r="T18" s="270">
        <v>250000000</v>
      </c>
      <c r="U18" s="270">
        <v>250000000</v>
      </c>
      <c r="V18" s="270">
        <v>250000000</v>
      </c>
      <c r="W18" s="270"/>
      <c r="X18" s="267">
        <f t="shared" si="1"/>
        <v>14600000</v>
      </c>
    </row>
    <row r="19" spans="1:25">
      <c r="A19" s="354">
        <v>19</v>
      </c>
      <c r="B19" s="137" t="s">
        <v>89</v>
      </c>
      <c r="C19" s="276">
        <v>5.638E-2</v>
      </c>
      <c r="D19" s="277">
        <v>40627</v>
      </c>
      <c r="E19" s="277">
        <v>51606</v>
      </c>
      <c r="F19" s="267">
        <f t="shared" si="2"/>
        <v>300000000</v>
      </c>
      <c r="G19" s="278">
        <v>98.971000000000004</v>
      </c>
      <c r="H19" s="178">
        <f t="shared" si="4"/>
        <v>5.7099999999999998E-2</v>
      </c>
      <c r="I19" s="270">
        <f t="shared" si="5"/>
        <v>17130000</v>
      </c>
      <c r="J19" s="270">
        <v>300000000</v>
      </c>
      <c r="K19" s="270">
        <v>300000000</v>
      </c>
      <c r="L19" s="270">
        <v>300000000</v>
      </c>
      <c r="M19" s="270">
        <v>300000000</v>
      </c>
      <c r="N19" s="270">
        <v>300000000</v>
      </c>
      <c r="O19" s="270">
        <v>300000000</v>
      </c>
      <c r="P19" s="270">
        <v>300000000</v>
      </c>
      <c r="Q19" s="270">
        <v>300000000</v>
      </c>
      <c r="R19" s="270">
        <v>300000000</v>
      </c>
      <c r="S19" s="270">
        <v>300000000</v>
      </c>
      <c r="T19" s="270">
        <v>300000000</v>
      </c>
      <c r="U19" s="270">
        <v>300000000</v>
      </c>
      <c r="V19" s="270">
        <v>300000000</v>
      </c>
      <c r="W19" s="270"/>
      <c r="X19" s="267">
        <f t="shared" si="1"/>
        <v>17130000</v>
      </c>
    </row>
    <row r="20" spans="1:25">
      <c r="A20" s="133">
        <v>20</v>
      </c>
      <c r="B20" s="137" t="s">
        <v>89</v>
      </c>
      <c r="C20" s="276">
        <v>4.4339999999999997E-2</v>
      </c>
      <c r="D20" s="277">
        <v>40863</v>
      </c>
      <c r="E20" s="277">
        <v>51820</v>
      </c>
      <c r="F20" s="267">
        <f t="shared" si="2"/>
        <v>250000000</v>
      </c>
      <c r="G20" s="278">
        <v>98.962999999999994</v>
      </c>
      <c r="H20" s="178">
        <f t="shared" si="4"/>
        <v>4.4999999999999998E-2</v>
      </c>
      <c r="I20" s="270">
        <f t="shared" si="5"/>
        <v>11250000</v>
      </c>
      <c r="J20" s="270">
        <v>250000000</v>
      </c>
      <c r="K20" s="270">
        <v>250000000</v>
      </c>
      <c r="L20" s="270">
        <v>250000000</v>
      </c>
      <c r="M20" s="270">
        <v>250000000</v>
      </c>
      <c r="N20" s="270">
        <v>250000000</v>
      </c>
      <c r="O20" s="270">
        <v>250000000</v>
      </c>
      <c r="P20" s="270">
        <v>250000000</v>
      </c>
      <c r="Q20" s="270">
        <v>250000000</v>
      </c>
      <c r="R20" s="270">
        <v>250000000</v>
      </c>
      <c r="S20" s="270">
        <v>250000000</v>
      </c>
      <c r="T20" s="270">
        <v>250000000</v>
      </c>
      <c r="U20" s="270">
        <v>250000000</v>
      </c>
      <c r="V20" s="270">
        <v>250000000</v>
      </c>
      <c r="W20" s="270"/>
      <c r="X20" s="267">
        <f t="shared" si="1"/>
        <v>11250000</v>
      </c>
    </row>
    <row r="21" spans="1:25">
      <c r="A21" s="354">
        <v>21</v>
      </c>
      <c r="B21" s="137" t="s">
        <v>89</v>
      </c>
      <c r="C21" s="276">
        <v>4.7E-2</v>
      </c>
      <c r="D21" s="277">
        <v>40869</v>
      </c>
      <c r="E21" s="277">
        <v>55472</v>
      </c>
      <c r="F21" s="267">
        <f t="shared" si="2"/>
        <v>45000000</v>
      </c>
      <c r="G21" s="278">
        <v>98.863900000000001</v>
      </c>
      <c r="H21" s="178">
        <f t="shared" si="4"/>
        <v>4.7600000000000003E-2</v>
      </c>
      <c r="I21" s="270">
        <f t="shared" si="5"/>
        <v>2142000</v>
      </c>
      <c r="J21" s="270">
        <v>45000000</v>
      </c>
      <c r="K21" s="270">
        <v>45000000</v>
      </c>
      <c r="L21" s="270">
        <v>45000000</v>
      </c>
      <c r="M21" s="270">
        <v>45000000</v>
      </c>
      <c r="N21" s="270">
        <v>45000000</v>
      </c>
      <c r="O21" s="270">
        <v>45000000</v>
      </c>
      <c r="P21" s="270">
        <v>45000000</v>
      </c>
      <c r="Q21" s="270">
        <v>45000000</v>
      </c>
      <c r="R21" s="270">
        <v>45000000</v>
      </c>
      <c r="S21" s="270">
        <v>45000000</v>
      </c>
      <c r="T21" s="270">
        <v>45000000</v>
      </c>
      <c r="U21" s="270">
        <v>45000000</v>
      </c>
      <c r="V21" s="270">
        <v>45000000</v>
      </c>
      <c r="W21" s="270"/>
      <c r="X21" s="267">
        <f t="shared" si="1"/>
        <v>2142000</v>
      </c>
    </row>
    <row r="22" spans="1:25" s="291" customFormat="1">
      <c r="A22" s="438">
        <v>22</v>
      </c>
      <c r="B22" s="292" t="s">
        <v>120</v>
      </c>
      <c r="C22" s="439">
        <v>6.9739999999999996E-2</v>
      </c>
      <c r="D22" s="440">
        <v>39237</v>
      </c>
      <c r="E22" s="440">
        <v>43217</v>
      </c>
      <c r="F22" s="267">
        <f t="shared" si="2"/>
        <v>56796083</v>
      </c>
      <c r="G22" s="278">
        <v>98.226200000000006</v>
      </c>
      <c r="H22" s="441">
        <f>ROUND(YIELD(D22,E22,C22,G22,100,2,2),4)</f>
        <v>7.2099999999999997E-2</v>
      </c>
      <c r="I22" s="270">
        <f>ROUND(((0.0721*250000000/12)*6)+((250000000*0.0401063/360)*90)+((250000000*0.0453625/360)*19)+((56553000*0.0453625/360)*38),0)</f>
        <v>12388467</v>
      </c>
      <c r="J22" s="267">
        <v>250000000</v>
      </c>
      <c r="K22" s="267">
        <v>250000000</v>
      </c>
      <c r="L22" s="267">
        <v>250000000</v>
      </c>
      <c r="M22" s="267">
        <v>56553000</v>
      </c>
      <c r="N22" s="267"/>
      <c r="O22" s="267"/>
      <c r="P22" s="267"/>
      <c r="Q22" s="267">
        <v>0</v>
      </c>
      <c r="R22" s="267">
        <v>0</v>
      </c>
      <c r="S22" s="267">
        <v>0</v>
      </c>
      <c r="T22" s="267"/>
      <c r="U22" s="267">
        <v>0</v>
      </c>
      <c r="V22" s="267">
        <v>0</v>
      </c>
      <c r="W22" s="267"/>
      <c r="X22" s="267">
        <f t="shared" si="1"/>
        <v>0</v>
      </c>
    </row>
    <row r="23" spans="1:25">
      <c r="A23" s="354">
        <v>23</v>
      </c>
      <c r="B23" s="137" t="s">
        <v>89</v>
      </c>
      <c r="C23" s="276">
        <v>4.2999999999999997E-2</v>
      </c>
      <c r="D23" s="277">
        <v>42150</v>
      </c>
      <c r="E23" s="277">
        <v>53102</v>
      </c>
      <c r="F23" s="267">
        <f t="shared" si="2"/>
        <v>425000000</v>
      </c>
      <c r="G23" s="278">
        <v>98.483019762352939</v>
      </c>
      <c r="H23" s="178">
        <f t="shared" si="4"/>
        <v>4.3900000000000002E-2</v>
      </c>
      <c r="I23" s="270">
        <f t="shared" si="5"/>
        <v>18657500</v>
      </c>
      <c r="J23" s="267">
        <v>425000000</v>
      </c>
      <c r="K23" s="267">
        <v>425000000</v>
      </c>
      <c r="L23" s="267">
        <v>425000000</v>
      </c>
      <c r="M23" s="267">
        <v>425000000</v>
      </c>
      <c r="N23" s="267">
        <v>425000000</v>
      </c>
      <c r="O23" s="267">
        <v>425000000</v>
      </c>
      <c r="P23" s="267">
        <v>425000000</v>
      </c>
      <c r="Q23" s="267">
        <v>425000000</v>
      </c>
      <c r="R23" s="267">
        <v>425000000</v>
      </c>
      <c r="S23" s="267">
        <v>425000000</v>
      </c>
      <c r="T23" s="267">
        <v>425000000</v>
      </c>
      <c r="U23" s="267">
        <v>425000000</v>
      </c>
      <c r="V23" s="267">
        <v>425000000</v>
      </c>
      <c r="W23" s="267"/>
      <c r="X23" s="267">
        <f t="shared" si="1"/>
        <v>18657500</v>
      </c>
    </row>
    <row r="24" spans="1:25">
      <c r="A24" s="438">
        <v>24</v>
      </c>
      <c r="B24" s="137" t="s">
        <v>89</v>
      </c>
      <c r="C24" s="276">
        <v>4.2229999999999997E-2</v>
      </c>
      <c r="D24" s="277">
        <v>43265</v>
      </c>
      <c r="E24" s="277">
        <v>54224</v>
      </c>
      <c r="F24" s="267">
        <f t="shared" ref="F24" si="6">ROUND(((J24+V24)+(SUM(K24:U24)*2))/24,0)</f>
        <v>325000000</v>
      </c>
      <c r="G24" s="278">
        <v>98.886799999999994</v>
      </c>
      <c r="H24" s="178">
        <f t="shared" si="4"/>
        <v>4.2900000000000001E-2</v>
      </c>
      <c r="I24" s="270">
        <f t="shared" si="5"/>
        <v>13942500</v>
      </c>
      <c r="J24" s="267"/>
      <c r="K24" s="267"/>
      <c r="L24" s="267"/>
      <c r="M24" s="267"/>
      <c r="N24" s="267"/>
      <c r="O24" s="267"/>
      <c r="P24" s="267">
        <v>600000000</v>
      </c>
      <c r="Q24" s="267">
        <v>600000000</v>
      </c>
      <c r="R24" s="267">
        <v>600000000</v>
      </c>
      <c r="S24" s="267">
        <v>600000000</v>
      </c>
      <c r="T24" s="267">
        <v>600000000</v>
      </c>
      <c r="U24" s="267">
        <v>600000000</v>
      </c>
      <c r="V24" s="267">
        <v>600000000</v>
      </c>
      <c r="W24" s="267"/>
      <c r="X24" s="267">
        <f>H24*V24/360*16</f>
        <v>1144000</v>
      </c>
    </row>
    <row r="25" spans="1:25">
      <c r="A25" s="354">
        <v>25</v>
      </c>
      <c r="B25" s="137"/>
      <c r="C25" s="276"/>
      <c r="D25" s="277"/>
      <c r="E25" s="277"/>
      <c r="F25" s="267"/>
      <c r="G25" s="286"/>
      <c r="H25" s="178"/>
      <c r="I25" s="270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401">
        <f>SUM(X6:X24)</f>
        <v>191608128</v>
      </c>
    </row>
    <row r="26" spans="1:25" ht="13.5" thickBot="1">
      <c r="A26" s="438">
        <v>26</v>
      </c>
      <c r="B26" s="137"/>
      <c r="C26" s="139" t="s">
        <v>110</v>
      </c>
      <c r="D26" s="277"/>
      <c r="E26" s="277"/>
      <c r="F26" s="267"/>
      <c r="G26" s="282"/>
      <c r="H26" s="178"/>
      <c r="I26" s="283">
        <f>'Pg 7 Reacquired Debt'!I31</f>
        <v>2133970.61</v>
      </c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70"/>
      <c r="X26" s="401">
        <f>I26</f>
        <v>2133970.61</v>
      </c>
    </row>
    <row r="27" spans="1:25" ht="13.5" thickBot="1">
      <c r="A27" s="354">
        <v>27</v>
      </c>
      <c r="B27" s="139" t="s">
        <v>123</v>
      </c>
      <c r="C27" s="276"/>
      <c r="D27" s="277"/>
      <c r="E27" s="277"/>
      <c r="F27" s="283">
        <f>SUM(F6:F26)</f>
        <v>3797322750</v>
      </c>
      <c r="G27" s="284"/>
      <c r="H27" s="211">
        <f>ROUND(+I27/F27,4)</f>
        <v>5.9299999999999999E-2</v>
      </c>
      <c r="I27" s="287">
        <f t="shared" ref="I27:V27" si="7">SUM(I6:I26)</f>
        <v>225189898.61000001</v>
      </c>
      <c r="J27" s="287">
        <f t="shared" si="7"/>
        <v>3773860000</v>
      </c>
      <c r="K27" s="287">
        <f t="shared" si="7"/>
        <v>3773860000</v>
      </c>
      <c r="L27" s="287">
        <f t="shared" si="7"/>
        <v>3773860000</v>
      </c>
      <c r="M27" s="287">
        <f t="shared" si="7"/>
        <v>3580413000</v>
      </c>
      <c r="N27" s="287">
        <f t="shared" si="7"/>
        <v>3523860000</v>
      </c>
      <c r="O27" s="287">
        <f t="shared" si="7"/>
        <v>3523860000</v>
      </c>
      <c r="P27" s="287">
        <f t="shared" si="7"/>
        <v>3923860000</v>
      </c>
      <c r="Q27" s="287">
        <f t="shared" si="7"/>
        <v>3923860000</v>
      </c>
      <c r="R27" s="287">
        <f t="shared" si="7"/>
        <v>3923860000</v>
      </c>
      <c r="S27" s="287">
        <f t="shared" si="7"/>
        <v>3923860000</v>
      </c>
      <c r="T27" s="287">
        <f t="shared" si="7"/>
        <v>3923860000</v>
      </c>
      <c r="U27" s="287">
        <f t="shared" si="7"/>
        <v>3923860000</v>
      </c>
      <c r="V27" s="287">
        <f t="shared" si="7"/>
        <v>3923860000</v>
      </c>
      <c r="W27" s="285"/>
      <c r="X27" s="287">
        <f>SUM(X25:X26)</f>
        <v>193742098.61000001</v>
      </c>
      <c r="Y27" s="402">
        <f>X27/S27</f>
        <v>4.9375385108031383E-2</v>
      </c>
    </row>
    <row r="28" spans="1:25" ht="13.5" thickBot="1">
      <c r="A28" s="438">
        <v>28</v>
      </c>
      <c r="B28" s="137"/>
      <c r="C28" s="276"/>
      <c r="D28" s="277"/>
      <c r="E28" s="277"/>
      <c r="F28" s="285"/>
      <c r="G28" s="282"/>
      <c r="H28" s="240"/>
      <c r="I28" s="285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268">
        <f>H28*S28</f>
        <v>0</v>
      </c>
    </row>
    <row r="29" spans="1:25" ht="13.5" thickBot="1">
      <c r="A29" s="354">
        <v>29</v>
      </c>
      <c r="B29" s="139" t="s">
        <v>196</v>
      </c>
      <c r="C29" s="276"/>
      <c r="D29" s="277"/>
      <c r="E29" s="277"/>
      <c r="F29" s="285">
        <f>F27</f>
        <v>3797322750</v>
      </c>
      <c r="G29" s="282"/>
      <c r="H29" s="211">
        <f>ROUND(+I29/F29,4)</f>
        <v>5.8700000000000002E-2</v>
      </c>
      <c r="I29" s="285">
        <f>SUM(I6:I24)</f>
        <v>223055928</v>
      </c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268"/>
    </row>
    <row r="30" spans="1:25">
      <c r="A30" s="438">
        <v>30</v>
      </c>
      <c r="B30" s="137"/>
      <c r="C30" s="276"/>
      <c r="D30" s="277"/>
      <c r="E30" s="277"/>
      <c r="F30" s="285"/>
      <c r="G30" s="282"/>
      <c r="H30" s="240"/>
      <c r="I30" s="285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268"/>
    </row>
    <row r="31" spans="1:25">
      <c r="A31" s="354">
        <v>31</v>
      </c>
      <c r="B31" s="418" t="s">
        <v>186</v>
      </c>
      <c r="C31" s="276"/>
      <c r="D31" s="277"/>
      <c r="E31" s="277"/>
      <c r="F31" s="285">
        <f>'Pg 3 STD Cost Rate'!C17</f>
        <v>208870471.23999998</v>
      </c>
      <c r="G31" s="282"/>
      <c r="H31" s="425">
        <f>ROUND(I31/F31,4)</f>
        <v>2.41E-2</v>
      </c>
      <c r="I31" s="285">
        <f>'Pg 3 STD Cost Rate'!E17</f>
        <v>5031285.53</v>
      </c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268"/>
    </row>
    <row r="32" spans="1:25">
      <c r="A32" s="438">
        <v>32</v>
      </c>
      <c r="B32" s="137"/>
      <c r="C32" s="276"/>
      <c r="D32" s="277"/>
      <c r="E32" s="277"/>
      <c r="F32" s="285"/>
      <c r="G32" s="282"/>
      <c r="H32" s="240"/>
      <c r="I32" s="285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268"/>
    </row>
    <row r="33" spans="1:55">
      <c r="A33" s="354">
        <v>33</v>
      </c>
      <c r="B33" s="426" t="s">
        <v>187</v>
      </c>
      <c r="C33" s="276"/>
      <c r="D33" s="277"/>
      <c r="E33" s="277"/>
      <c r="F33" s="285">
        <f>F31+F27</f>
        <v>4006193221.2399998</v>
      </c>
      <c r="G33" s="282"/>
      <c r="H33" s="425">
        <f>ROUND(I33/F33,4)</f>
        <v>5.6899999999999999E-2</v>
      </c>
      <c r="I33" s="285">
        <f>I31+I29</f>
        <v>228087213.53</v>
      </c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268"/>
    </row>
    <row r="34" spans="1:55">
      <c r="A34" s="438">
        <v>34</v>
      </c>
      <c r="B34" s="137"/>
      <c r="C34" s="276"/>
      <c r="D34" s="277"/>
      <c r="E34" s="277"/>
      <c r="F34" s="285"/>
      <c r="G34" s="282"/>
      <c r="H34" s="240"/>
      <c r="I34" s="285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268"/>
    </row>
    <row r="35" spans="1:55">
      <c r="A35" s="354">
        <v>35</v>
      </c>
      <c r="B35" s="135" t="s">
        <v>85</v>
      </c>
      <c r="C35" s="136"/>
      <c r="D35" s="136"/>
      <c r="E35" s="136"/>
      <c r="F35" s="136"/>
      <c r="G35" s="136"/>
      <c r="H35" s="136"/>
      <c r="I35" s="136"/>
      <c r="X35" s="285"/>
      <c r="Y35" s="240"/>
    </row>
    <row r="36" spans="1:55">
      <c r="A36" s="438">
        <v>36</v>
      </c>
      <c r="B36" s="135" t="s">
        <v>87</v>
      </c>
      <c r="C36" s="136"/>
      <c r="D36" s="136"/>
      <c r="E36" s="136"/>
      <c r="F36" s="136"/>
      <c r="G36" s="138"/>
      <c r="H36" s="136"/>
      <c r="I36" s="136"/>
    </row>
    <row r="37" spans="1:55">
      <c r="A37" s="133"/>
      <c r="B37" s="135"/>
      <c r="C37" s="136"/>
      <c r="D37" s="136"/>
      <c r="E37" s="136"/>
      <c r="F37" s="136"/>
      <c r="G37" s="138"/>
      <c r="H37" s="136"/>
      <c r="I37" s="136"/>
    </row>
    <row r="38" spans="1:55">
      <c r="A38" s="133"/>
      <c r="B38" s="135"/>
      <c r="C38" s="136"/>
      <c r="D38" s="136"/>
      <c r="E38" s="136"/>
      <c r="F38" s="136"/>
      <c r="G38" s="138"/>
      <c r="H38" s="136"/>
      <c r="I38" s="136"/>
    </row>
    <row r="39" spans="1:55">
      <c r="A39" s="133"/>
      <c r="B39" s="134"/>
      <c r="C39" s="134"/>
      <c r="D39" s="134"/>
      <c r="E39" s="316"/>
      <c r="G39" s="134"/>
      <c r="H39" s="288"/>
      <c r="I39" s="289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</row>
    <row r="40" spans="1:55">
      <c r="A40" s="44"/>
      <c r="B40" s="291"/>
      <c r="C40" s="291"/>
      <c r="D40" s="291"/>
      <c r="E40" s="291"/>
      <c r="F40" s="266"/>
      <c r="G40" s="291"/>
      <c r="H40" s="136"/>
      <c r="I40" s="174"/>
      <c r="J40" s="292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</row>
    <row r="41" spans="1:55">
      <c r="A41" s="44"/>
      <c r="B41" s="291"/>
      <c r="C41" s="291"/>
      <c r="D41" s="291"/>
      <c r="E41" s="291"/>
      <c r="F41" s="265"/>
      <c r="G41" s="291"/>
      <c r="H41" s="134"/>
      <c r="I41" s="289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</row>
    <row r="42" spans="1:55">
      <c r="A42" s="44"/>
      <c r="B42" s="28"/>
      <c r="C42" s="28"/>
      <c r="D42" s="28"/>
      <c r="E42" s="28"/>
      <c r="F42" s="266"/>
      <c r="G42" s="28"/>
      <c r="H42" s="28"/>
      <c r="I42" s="45"/>
      <c r="J42" s="216" t="str">
        <f t="shared" ref="J42:S42" si="8">IF(J41&lt;&gt;0,"ERROR","")</f>
        <v/>
      </c>
      <c r="K42" s="216" t="str">
        <f t="shared" si="8"/>
        <v/>
      </c>
      <c r="L42" s="216" t="str">
        <f t="shared" si="8"/>
        <v/>
      </c>
      <c r="M42" s="216" t="str">
        <f t="shared" si="8"/>
        <v/>
      </c>
      <c r="N42" s="216" t="str">
        <f t="shared" si="8"/>
        <v/>
      </c>
      <c r="O42" s="216" t="str">
        <f t="shared" si="8"/>
        <v/>
      </c>
      <c r="P42" s="216" t="str">
        <f t="shared" si="8"/>
        <v/>
      </c>
      <c r="Q42" s="216" t="str">
        <f t="shared" si="8"/>
        <v/>
      </c>
      <c r="R42" s="216" t="str">
        <f t="shared" si="8"/>
        <v/>
      </c>
      <c r="S42" s="44" t="str">
        <f t="shared" si="8"/>
        <v/>
      </c>
      <c r="T42" s="44"/>
      <c r="U42" s="44"/>
      <c r="V42" s="44"/>
      <c r="W42" s="44"/>
    </row>
    <row r="43" spans="1:55">
      <c r="A43" s="44"/>
      <c r="B43" s="28"/>
      <c r="C43" s="28"/>
      <c r="D43" s="28"/>
      <c r="E43" s="28"/>
      <c r="F43" s="45"/>
      <c r="G43" s="28"/>
      <c r="H43" s="178"/>
      <c r="Y43" s="443"/>
    </row>
    <row r="44" spans="1:55">
      <c r="A44" s="46"/>
      <c r="B44" s="47"/>
      <c r="C44" s="48"/>
      <c r="D44" s="49"/>
      <c r="E44" s="49"/>
      <c r="F44" s="256"/>
      <c r="G44" s="51"/>
      <c r="H44" s="178"/>
      <c r="I44" s="97"/>
      <c r="Y44" s="443"/>
    </row>
    <row r="45" spans="1:55">
      <c r="A45" s="46"/>
      <c r="B45" s="47"/>
      <c r="C45" s="48"/>
      <c r="D45" s="49"/>
      <c r="E45" s="49"/>
      <c r="F45" s="50"/>
      <c r="G45" s="51"/>
      <c r="H45" s="52"/>
      <c r="I45" s="53"/>
      <c r="Y45" s="443"/>
    </row>
    <row r="46" spans="1:55">
      <c r="A46" s="46"/>
      <c r="B46" s="47"/>
      <c r="C46" s="48"/>
      <c r="D46" s="49"/>
      <c r="E46" s="49"/>
      <c r="F46" s="50"/>
      <c r="G46" s="51"/>
      <c r="H46" s="52"/>
      <c r="I46" s="53"/>
      <c r="Y46" s="443"/>
    </row>
    <row r="47" spans="1:55" hidden="1">
      <c r="A47" s="54"/>
      <c r="B47" s="28"/>
      <c r="C47" s="28"/>
      <c r="D47" s="28"/>
      <c r="E47" s="28"/>
      <c r="F47" s="45"/>
      <c r="G47" s="28"/>
      <c r="H47" s="55"/>
      <c r="I47" s="45"/>
      <c r="Y47" s="443"/>
    </row>
    <row r="48" spans="1:55" hidden="1">
      <c r="A48" s="54"/>
      <c r="B48" s="28"/>
      <c r="C48" s="28"/>
      <c r="D48" s="28"/>
      <c r="E48" s="28"/>
      <c r="F48" s="45"/>
      <c r="G48" s="28"/>
      <c r="H48" s="56"/>
      <c r="I48" s="45"/>
      <c r="Y48" s="443"/>
    </row>
    <row r="49" spans="1:25" hidden="1">
      <c r="A49" s="54"/>
      <c r="B49" s="28"/>
      <c r="C49" s="28"/>
      <c r="D49" s="28"/>
      <c r="E49" s="28"/>
      <c r="F49" s="45"/>
      <c r="G49" s="28"/>
      <c r="H49" s="28"/>
      <c r="I49" s="45"/>
      <c r="Y49" s="443"/>
    </row>
    <row r="50" spans="1:25">
      <c r="A50" s="46"/>
      <c r="B50" s="47"/>
      <c r="C50" s="48"/>
      <c r="D50" s="49"/>
      <c r="E50" s="49"/>
      <c r="F50" s="50"/>
      <c r="G50" s="51"/>
      <c r="H50" s="52"/>
      <c r="I50" s="53"/>
      <c r="Y50" s="443"/>
    </row>
    <row r="51" spans="1:25">
      <c r="A51" s="46"/>
      <c r="B51" s="47"/>
      <c r="C51" s="48"/>
      <c r="D51" s="49"/>
      <c r="E51" s="49"/>
      <c r="F51" s="50"/>
      <c r="G51" s="51"/>
      <c r="H51" s="52"/>
      <c r="I51" s="53"/>
      <c r="Y51" s="443"/>
    </row>
    <row r="52" spans="1:25">
      <c r="A52" s="54"/>
      <c r="B52" s="28"/>
      <c r="C52" s="28"/>
      <c r="D52" s="28"/>
      <c r="E52" s="28"/>
      <c r="F52" s="45"/>
      <c r="G52" s="28"/>
      <c r="H52" s="28"/>
      <c r="I52" s="45"/>
      <c r="Y52" s="443"/>
    </row>
    <row r="53" spans="1:25">
      <c r="A53" s="54"/>
      <c r="B53" s="28"/>
      <c r="C53" s="28"/>
      <c r="D53" s="28"/>
      <c r="E53" s="28"/>
      <c r="F53" s="45"/>
      <c r="G53" s="28"/>
      <c r="H53" s="28"/>
      <c r="I53" s="45"/>
      <c r="Y53" s="443"/>
    </row>
    <row r="54" spans="1:25">
      <c r="A54" s="54"/>
      <c r="B54" s="28"/>
      <c r="C54" s="28"/>
      <c r="D54" s="28"/>
      <c r="E54" s="28"/>
      <c r="F54" s="45"/>
      <c r="G54" s="28"/>
      <c r="H54" s="28"/>
      <c r="I54" s="45"/>
      <c r="Y54" s="443"/>
    </row>
    <row r="55" spans="1:25">
      <c r="A55" s="54"/>
      <c r="B55" s="28"/>
      <c r="C55" s="28"/>
      <c r="D55" s="28"/>
      <c r="E55" s="28"/>
      <c r="F55" s="45"/>
      <c r="G55" s="28"/>
      <c r="H55" s="28"/>
      <c r="I55" s="45"/>
      <c r="Y55" s="443"/>
    </row>
    <row r="56" spans="1:25">
      <c r="A56" s="54"/>
      <c r="B56" s="28"/>
      <c r="C56" s="28"/>
      <c r="D56" s="28"/>
      <c r="E56" s="28"/>
      <c r="F56" s="45"/>
      <c r="G56" s="28"/>
      <c r="H56" s="28"/>
      <c r="I56" s="45"/>
      <c r="Y56" s="443"/>
    </row>
    <row r="57" spans="1:25">
      <c r="A57" s="54"/>
      <c r="B57" s="28"/>
      <c r="C57" s="28"/>
      <c r="D57" s="28"/>
      <c r="E57" s="28"/>
      <c r="F57" s="45"/>
      <c r="G57" s="28"/>
      <c r="H57" s="28"/>
      <c r="I57" s="45"/>
      <c r="Y57" s="443"/>
    </row>
    <row r="58" spans="1:25">
      <c r="A58" s="54"/>
      <c r="B58" s="28"/>
      <c r="C58" s="28"/>
      <c r="D58" s="28"/>
      <c r="E58" s="28"/>
      <c r="F58" s="45"/>
      <c r="G58" s="28"/>
      <c r="H58" s="28"/>
      <c r="I58" s="45"/>
      <c r="Y58" s="443"/>
    </row>
    <row r="59" spans="1:25">
      <c r="A59" s="54"/>
      <c r="B59" s="28"/>
      <c r="C59" s="28"/>
      <c r="D59" s="28"/>
      <c r="E59" s="28"/>
      <c r="F59" s="45"/>
      <c r="G59" s="28"/>
      <c r="H59" s="28"/>
      <c r="I59" s="45"/>
      <c r="Y59" s="443"/>
    </row>
    <row r="60" spans="1:25">
      <c r="A60" s="54"/>
      <c r="B60" s="28"/>
      <c r="C60" s="28"/>
      <c r="D60" s="28"/>
      <c r="E60" s="28"/>
      <c r="F60" s="45"/>
      <c r="G60" s="28"/>
      <c r="H60" s="28"/>
      <c r="I60" s="45"/>
      <c r="Y60" s="443"/>
    </row>
    <row r="61" spans="1:25">
      <c r="A61" s="44"/>
      <c r="B61" s="28"/>
      <c r="C61" s="47"/>
      <c r="D61" s="28"/>
      <c r="E61" s="28"/>
      <c r="F61" s="45"/>
      <c r="G61" s="28"/>
      <c r="H61" s="28"/>
      <c r="I61" s="45"/>
      <c r="Y61" s="443"/>
    </row>
    <row r="62" spans="1:25">
      <c r="C62" s="24"/>
      <c r="E62" s="30"/>
      <c r="Y62" s="443"/>
    </row>
    <row r="63" spans="1:25">
      <c r="C63" s="29"/>
      <c r="Y63" s="443"/>
    </row>
    <row r="64" spans="1:25">
      <c r="Y64" s="443"/>
    </row>
    <row r="65" spans="25:25">
      <c r="Y65" s="443"/>
    </row>
    <row r="66" spans="25:25">
      <c r="Y66" s="443"/>
    </row>
    <row r="67" spans="25:25">
      <c r="Y67" s="443"/>
    </row>
    <row r="68" spans="25:25">
      <c r="Y68" s="443"/>
    </row>
    <row r="69" spans="25:25">
      <c r="Y69" s="443"/>
    </row>
    <row r="70" spans="25:25">
      <c r="Y70" s="443"/>
    </row>
    <row r="71" spans="25:25">
      <c r="Y71" s="443"/>
    </row>
    <row r="72" spans="25:25">
      <c r="Y72" s="443"/>
    </row>
    <row r="73" spans="25:25">
      <c r="Y73" s="443"/>
    </row>
    <row r="74" spans="25:25">
      <c r="Y74" s="443"/>
    </row>
    <row r="75" spans="25:25">
      <c r="Y75" s="443"/>
    </row>
    <row r="76" spans="25:25">
      <c r="Y76" s="443"/>
    </row>
    <row r="77" spans="25:25">
      <c r="Y77" s="443"/>
    </row>
    <row r="78" spans="25:25">
      <c r="Y78" s="443"/>
    </row>
    <row r="79" spans="25:25">
      <c r="Y79" s="443"/>
    </row>
    <row r="80" spans="25:25">
      <c r="Y80" s="443"/>
    </row>
    <row r="81" spans="25:25">
      <c r="Y81" s="443"/>
    </row>
    <row r="82" spans="25:25">
      <c r="Y82" s="443"/>
    </row>
    <row r="83" spans="25:25">
      <c r="Y83" s="443"/>
    </row>
    <row r="84" spans="25:25">
      <c r="Y84" s="443"/>
    </row>
    <row r="85" spans="25:25">
      <c r="Y85" s="443"/>
    </row>
    <row r="86" spans="25:25">
      <c r="Y86" s="443"/>
    </row>
    <row r="87" spans="25:25">
      <c r="Y87" s="443"/>
    </row>
    <row r="88" spans="25:25">
      <c r="Y88" s="443"/>
    </row>
    <row r="89" spans="25:25">
      <c r="Y89" s="443"/>
    </row>
    <row r="90" spans="25:25">
      <c r="Y90" s="443"/>
    </row>
    <row r="91" spans="25:25">
      <c r="Y91" s="443"/>
    </row>
    <row r="92" spans="25:25">
      <c r="Y92" s="443"/>
    </row>
    <row r="93" spans="25:25">
      <c r="Y93" s="443"/>
    </row>
    <row r="94" spans="25:25">
      <c r="Y94" s="443"/>
    </row>
    <row r="95" spans="25:25">
      <c r="Y95" s="443"/>
    </row>
    <row r="96" spans="25:25">
      <c r="Y96" s="443"/>
    </row>
    <row r="97" spans="25:25">
      <c r="Y97" s="443"/>
    </row>
    <row r="98" spans="25:25">
      <c r="Y98" s="443"/>
    </row>
    <row r="99" spans="25:25">
      <c r="Y99" s="443"/>
    </row>
    <row r="100" spans="25:25">
      <c r="Y100" s="443"/>
    </row>
    <row r="101" spans="25:25">
      <c r="Y101" s="443"/>
    </row>
    <row r="102" spans="25:25">
      <c r="Y102" s="443"/>
    </row>
    <row r="103" spans="25:25">
      <c r="Y103" s="443"/>
    </row>
    <row r="106" spans="25:25">
      <c r="Y106" s="443"/>
    </row>
    <row r="107" spans="25:25">
      <c r="Y107" s="443"/>
    </row>
    <row r="108" spans="25:25">
      <c r="Y108" s="443"/>
    </row>
    <row r="109" spans="25:25">
      <c r="Y109" s="443"/>
    </row>
    <row r="110" spans="25:25">
      <c r="Y110" s="443"/>
    </row>
    <row r="111" spans="25:25">
      <c r="Y111" s="443"/>
    </row>
    <row r="112" spans="25:25">
      <c r="Y112" s="443"/>
    </row>
    <row r="113" spans="25:25">
      <c r="Y113" s="443"/>
    </row>
    <row r="114" spans="25:25">
      <c r="Y114" s="443"/>
    </row>
    <row r="115" spans="25:25">
      <c r="Y115" s="443"/>
    </row>
    <row r="116" spans="25:25">
      <c r="Y116" s="443"/>
    </row>
    <row r="117" spans="25:25">
      <c r="Y117" s="443"/>
    </row>
    <row r="118" spans="25:25">
      <c r="Y118" s="443"/>
    </row>
    <row r="119" spans="25:25">
      <c r="Y119" s="443"/>
    </row>
    <row r="120" spans="25:25">
      <c r="Y120" s="443"/>
    </row>
    <row r="121" spans="25:25">
      <c r="Y121" s="443"/>
    </row>
    <row r="122" spans="25:25">
      <c r="Y122" s="443"/>
    </row>
    <row r="123" spans="25:25">
      <c r="Y123" s="443"/>
    </row>
    <row r="124" spans="25:25">
      <c r="Y124" s="443"/>
    </row>
    <row r="125" spans="25:25">
      <c r="Y125" s="443"/>
    </row>
    <row r="126" spans="25:25">
      <c r="Y126" s="443"/>
    </row>
    <row r="127" spans="25:25">
      <c r="Y127" s="443"/>
    </row>
    <row r="128" spans="25:25">
      <c r="Y128" s="443"/>
    </row>
    <row r="129" spans="25:25">
      <c r="Y129" s="443"/>
    </row>
    <row r="130" spans="25:25">
      <c r="Y130" s="443"/>
    </row>
    <row r="131" spans="25:25">
      <c r="Y131" s="443"/>
    </row>
    <row r="132" spans="25:25">
      <c r="Y132" s="443"/>
    </row>
    <row r="133" spans="25:25">
      <c r="Y133" s="443"/>
    </row>
    <row r="134" spans="25:25">
      <c r="Y134" s="443"/>
    </row>
    <row r="135" spans="25:25">
      <c r="Y135" s="443"/>
    </row>
    <row r="137" spans="25:25">
      <c r="Y137" s="443"/>
    </row>
    <row r="138" spans="25:25">
      <c r="Y138" s="443"/>
    </row>
    <row r="139" spans="25:25">
      <c r="Y139" s="443"/>
    </row>
    <row r="140" spans="25:25">
      <c r="Y140" s="443"/>
    </row>
    <row r="141" spans="25:25">
      <c r="Y141" s="443"/>
    </row>
    <row r="142" spans="25:25">
      <c r="Y142" s="443"/>
    </row>
    <row r="143" spans="25:25">
      <c r="Y143" s="443"/>
    </row>
    <row r="144" spans="25:25">
      <c r="Y144" s="443"/>
    </row>
    <row r="145" spans="25:25">
      <c r="Y145" s="443"/>
    </row>
    <row r="146" spans="25:25">
      <c r="Y146" s="443"/>
    </row>
    <row r="147" spans="25:25">
      <c r="Y147" s="443"/>
    </row>
    <row r="148" spans="25:25">
      <c r="Y148" s="443"/>
    </row>
    <row r="149" spans="25:25">
      <c r="Y149" s="443"/>
    </row>
    <row r="150" spans="25:25">
      <c r="Y150" s="443"/>
    </row>
    <row r="151" spans="25:25">
      <c r="Y151" s="443"/>
    </row>
    <row r="152" spans="25:25">
      <c r="Y152" s="443"/>
    </row>
    <row r="153" spans="25:25">
      <c r="Y153" s="443"/>
    </row>
    <row r="154" spans="25:25">
      <c r="Y154" s="443"/>
    </row>
    <row r="155" spans="25:25">
      <c r="Y155" s="443"/>
    </row>
    <row r="156" spans="25:25">
      <c r="Y156" s="443"/>
    </row>
    <row r="157" spans="25:25">
      <c r="Y157" s="443"/>
    </row>
    <row r="158" spans="25:25">
      <c r="Y158" s="443"/>
    </row>
    <row r="159" spans="25:25">
      <c r="Y159" s="443"/>
    </row>
    <row r="160" spans="25:25">
      <c r="Y160" s="443"/>
    </row>
    <row r="161" spans="25:25">
      <c r="Y161" s="443"/>
    </row>
    <row r="162" spans="25:25">
      <c r="Y162" s="443"/>
    </row>
    <row r="163" spans="25:25">
      <c r="Y163" s="443"/>
    </row>
    <row r="164" spans="25:25">
      <c r="Y164" s="443"/>
    </row>
    <row r="165" spans="25:25">
      <c r="Y165" s="443"/>
    </row>
    <row r="166" spans="25:25">
      <c r="Y166" s="443"/>
    </row>
  </sheetData>
  <phoneticPr fontId="24" type="noConversion"/>
  <printOptions horizontalCentered="1"/>
  <pageMargins left="0.2" right="0.2" top="0.41" bottom="0.35" header="0.17" footer="0.17"/>
  <pageSetup scale="73" orientation="landscape" r:id="rId1"/>
  <headerFooter alignWithMargins="0">
    <oddFooter>&amp;C&amp;A&amp;R&amp;8&amp;F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S83"/>
  <sheetViews>
    <sheetView zoomScaleNormal="100" workbookViewId="0">
      <pane xSplit="2" ySplit="7" topLeftCell="C8" activePane="bottomRight" state="frozen"/>
      <selection activeCell="N27" sqref="N27"/>
      <selection pane="topRight" activeCell="N27" sqref="N27"/>
      <selection pane="bottomLeft" activeCell="N27" sqref="N27"/>
      <selection pane="bottomRight" activeCell="K10" sqref="K10"/>
    </sheetView>
  </sheetViews>
  <sheetFormatPr defaultColWidth="8.83203125" defaultRowHeight="15"/>
  <cols>
    <col min="1" max="1" width="4.6640625" style="31" customWidth="1"/>
    <col min="2" max="2" width="46" style="31" customWidth="1"/>
    <col min="3" max="3" width="10.83203125" style="31" customWidth="1"/>
    <col min="4" max="4" width="11.83203125" style="31" customWidth="1"/>
    <col min="5" max="5" width="12.83203125" style="31" customWidth="1"/>
    <col min="6" max="6" width="15.83203125" style="31" customWidth="1"/>
    <col min="7" max="7" width="13" style="31" customWidth="1"/>
    <col min="8" max="8" width="13.83203125" style="31" customWidth="1"/>
    <col min="9" max="9" width="18" style="31" customWidth="1"/>
    <col min="10" max="10" width="12.1640625" style="31" customWidth="1"/>
    <col min="11" max="11" width="6.33203125" style="31" customWidth="1"/>
    <col min="12" max="12" width="12" customWidth="1"/>
    <col min="13" max="13" width="14.6640625" customWidth="1"/>
    <col min="14" max="14" width="15.1640625" customWidth="1"/>
    <col min="15" max="15" width="12.1640625" customWidth="1"/>
    <col min="16" max="16" width="9.6640625" customWidth="1"/>
    <col min="17" max="17" width="13.5" bestFit="1" customWidth="1"/>
    <col min="18" max="18" width="13.5" style="31" bestFit="1" customWidth="1"/>
    <col min="19" max="19" width="9.1640625" style="31" bestFit="1" customWidth="1"/>
    <col min="20" max="16384" width="8.83203125" style="31"/>
  </cols>
  <sheetData>
    <row r="1" spans="1:19" ht="12.75" customHeight="1">
      <c r="B1" s="66" t="s">
        <v>25</v>
      </c>
      <c r="C1" s="59"/>
      <c r="D1" s="59"/>
      <c r="E1" s="59"/>
      <c r="F1" s="59"/>
      <c r="G1" s="59"/>
      <c r="H1" s="59"/>
      <c r="I1" s="59"/>
      <c r="J1" s="60"/>
      <c r="K1" s="58"/>
    </row>
    <row r="2" spans="1:19" s="32" customFormat="1" ht="12.75" customHeight="1">
      <c r="B2" s="66" t="s">
        <v>26</v>
      </c>
      <c r="C2" s="59"/>
      <c r="D2" s="59"/>
      <c r="E2" s="59"/>
      <c r="F2" s="59"/>
      <c r="G2" s="59"/>
      <c r="H2" s="59"/>
      <c r="I2" s="59"/>
      <c r="J2" s="62"/>
      <c r="K2" s="58"/>
      <c r="L2"/>
      <c r="M2"/>
      <c r="N2"/>
      <c r="O2"/>
      <c r="P2"/>
      <c r="Q2"/>
    </row>
    <row r="3" spans="1:19" s="32" customFormat="1" ht="12.75" customHeight="1">
      <c r="B3" s="459" t="str">
        <f>'New Format'!B5</f>
        <v>For The 12 Months Ending December 31, 2018</v>
      </c>
      <c r="C3" s="459"/>
      <c r="D3" s="459"/>
      <c r="E3" s="59"/>
      <c r="F3" s="59"/>
      <c r="G3" s="59"/>
      <c r="H3" s="59"/>
      <c r="I3" s="59"/>
      <c r="J3" s="60"/>
      <c r="K3" s="58"/>
      <c r="L3"/>
      <c r="M3"/>
      <c r="N3"/>
      <c r="O3"/>
      <c r="P3"/>
      <c r="Q3"/>
    </row>
    <row r="4" spans="1:19" s="32" customFormat="1" ht="12.75" customHeight="1">
      <c r="B4" s="124"/>
      <c r="C4" s="124"/>
      <c r="D4" s="124"/>
      <c r="E4" s="59"/>
      <c r="F4" s="59"/>
      <c r="G4" s="59"/>
      <c r="H4" s="59"/>
      <c r="I4" s="59"/>
      <c r="J4" s="60"/>
      <c r="K4" s="58"/>
      <c r="L4"/>
      <c r="M4"/>
      <c r="N4"/>
      <c r="O4"/>
      <c r="P4"/>
      <c r="Q4"/>
    </row>
    <row r="5" spans="1:19" s="32" customFormat="1" ht="12.75" customHeight="1">
      <c r="A5" s="232">
        <v>1</v>
      </c>
      <c r="B5" s="128" t="s">
        <v>5</v>
      </c>
      <c r="C5" s="128" t="s">
        <v>27</v>
      </c>
      <c r="D5" s="128" t="s">
        <v>52</v>
      </c>
      <c r="E5" s="128" t="s">
        <v>64</v>
      </c>
      <c r="F5" s="128" t="s">
        <v>65</v>
      </c>
      <c r="G5" s="257" t="s">
        <v>66</v>
      </c>
      <c r="H5" s="128" t="s">
        <v>67</v>
      </c>
      <c r="I5" s="128" t="s">
        <v>68</v>
      </c>
      <c r="J5" s="128" t="s">
        <v>69</v>
      </c>
      <c r="K5" s="58"/>
      <c r="L5"/>
      <c r="M5"/>
      <c r="N5"/>
      <c r="O5"/>
      <c r="P5"/>
      <c r="Q5"/>
    </row>
    <row r="6" spans="1:19" s="32" customFormat="1" ht="12.75" customHeight="1">
      <c r="A6" s="232">
        <f t="shared" ref="A6:A40" si="0">A5+1</f>
        <v>2</v>
      </c>
      <c r="B6" s="61" t="s">
        <v>2</v>
      </c>
      <c r="C6" s="243" t="s">
        <v>17</v>
      </c>
      <c r="D6" s="244" t="s">
        <v>101</v>
      </c>
      <c r="E6" s="218" t="s">
        <v>137</v>
      </c>
      <c r="F6" s="218" t="s">
        <v>138</v>
      </c>
      <c r="G6" s="218" t="s">
        <v>138</v>
      </c>
      <c r="H6" s="218" t="s">
        <v>70</v>
      </c>
      <c r="I6" s="244" t="s">
        <v>18</v>
      </c>
      <c r="J6" s="60"/>
      <c r="K6" s="58"/>
      <c r="L6"/>
      <c r="M6"/>
      <c r="N6"/>
      <c r="O6"/>
      <c r="P6"/>
      <c r="Q6"/>
    </row>
    <row r="7" spans="1:19" s="32" customFormat="1" ht="12.75" customHeight="1">
      <c r="A7" s="232">
        <f t="shared" si="0"/>
        <v>3</v>
      </c>
      <c r="B7" s="114" t="s">
        <v>17</v>
      </c>
      <c r="C7" s="63" t="s">
        <v>102</v>
      </c>
      <c r="D7" s="63" t="s">
        <v>102</v>
      </c>
      <c r="E7" s="63" t="s">
        <v>102</v>
      </c>
      <c r="F7" s="63" t="s">
        <v>17</v>
      </c>
      <c r="G7" s="63" t="s">
        <v>102</v>
      </c>
      <c r="H7" s="63" t="s">
        <v>139</v>
      </c>
      <c r="I7" s="63" t="s">
        <v>136</v>
      </c>
      <c r="J7" s="64" t="s">
        <v>56</v>
      </c>
      <c r="K7" s="58"/>
      <c r="L7"/>
      <c r="M7"/>
      <c r="N7"/>
      <c r="O7"/>
      <c r="P7"/>
      <c r="Q7"/>
    </row>
    <row r="8" spans="1:19" s="32" customFormat="1" ht="12.75" customHeight="1">
      <c r="A8" s="232">
        <f t="shared" si="0"/>
        <v>4</v>
      </c>
      <c r="B8" s="115"/>
      <c r="C8" s="116"/>
      <c r="D8" s="116"/>
      <c r="E8" s="116"/>
      <c r="F8" s="116"/>
      <c r="G8" s="116"/>
      <c r="H8" s="293"/>
      <c r="I8" s="65"/>
      <c r="J8" s="117"/>
      <c r="L8"/>
      <c r="M8"/>
      <c r="N8"/>
      <c r="O8"/>
      <c r="P8"/>
      <c r="Q8"/>
    </row>
    <row r="9" spans="1:19" s="32" customFormat="1" ht="12.75" customHeight="1">
      <c r="A9" s="232">
        <f>A8+1</f>
        <v>5</v>
      </c>
      <c r="B9" s="115">
        <v>0.10249999999999999</v>
      </c>
      <c r="C9" s="116">
        <v>32140</v>
      </c>
      <c r="D9" s="116">
        <v>35779</v>
      </c>
      <c r="E9" s="116">
        <v>35048</v>
      </c>
      <c r="F9" s="116"/>
      <c r="G9" s="116"/>
      <c r="H9" s="293">
        <v>42684</v>
      </c>
      <c r="I9" s="294">
        <v>0</v>
      </c>
      <c r="J9" s="117">
        <v>18900013</v>
      </c>
      <c r="L9"/>
      <c r="M9"/>
      <c r="N9"/>
      <c r="O9"/>
      <c r="P9"/>
      <c r="Q9"/>
      <c r="R9" s="294"/>
      <c r="S9" s="411"/>
    </row>
    <row r="10" spans="1:19" s="32" customFormat="1" ht="12.75" customHeight="1">
      <c r="A10" s="232">
        <f t="shared" si="0"/>
        <v>6</v>
      </c>
      <c r="B10" s="115" t="s">
        <v>118</v>
      </c>
      <c r="C10" s="116">
        <v>35587</v>
      </c>
      <c r="D10" s="116">
        <v>46539</v>
      </c>
      <c r="E10" s="116">
        <v>39234</v>
      </c>
      <c r="F10" s="116" t="s">
        <v>127</v>
      </c>
      <c r="G10" s="116">
        <v>39237</v>
      </c>
      <c r="H10" s="293">
        <v>42887</v>
      </c>
      <c r="I10" s="294">
        <v>0</v>
      </c>
      <c r="J10" s="117">
        <v>18900383</v>
      </c>
      <c r="L10"/>
      <c r="M10"/>
      <c r="N10"/>
      <c r="O10"/>
      <c r="P10"/>
      <c r="Q10"/>
      <c r="R10" s="427"/>
      <c r="S10" s="411"/>
    </row>
    <row r="11" spans="1:19" s="32" customFormat="1" ht="12.75" customHeight="1">
      <c r="A11" s="232">
        <f t="shared" si="0"/>
        <v>7</v>
      </c>
      <c r="B11" s="115" t="s">
        <v>132</v>
      </c>
      <c r="C11" s="116">
        <v>33410</v>
      </c>
      <c r="D11" s="116">
        <v>37063</v>
      </c>
      <c r="E11" s="116">
        <v>35961</v>
      </c>
      <c r="F11" s="116" t="s">
        <v>128</v>
      </c>
      <c r="G11" s="116">
        <v>35961</v>
      </c>
      <c r="H11" s="293">
        <v>43266</v>
      </c>
      <c r="I11" s="294">
        <v>1748.99</v>
      </c>
      <c r="J11" s="117">
        <v>18900243</v>
      </c>
      <c r="L11"/>
      <c r="M11"/>
      <c r="N11"/>
      <c r="O11"/>
      <c r="P11"/>
      <c r="Q11"/>
      <c r="R11" s="427"/>
      <c r="S11" s="411"/>
    </row>
    <row r="12" spans="1:19" s="32" customFormat="1" ht="12.75" customHeight="1">
      <c r="A12" s="232">
        <f t="shared" si="0"/>
        <v>8</v>
      </c>
      <c r="B12" s="295" t="s">
        <v>44</v>
      </c>
      <c r="C12" s="116">
        <v>33616</v>
      </c>
      <c r="D12" s="116">
        <f>DATE(2022,1,12)</f>
        <v>44573</v>
      </c>
      <c r="E12" s="296">
        <v>37701</v>
      </c>
      <c r="F12" s="296"/>
      <c r="G12" s="296"/>
      <c r="H12" s="293">
        <f>DATE(2022,1,12)</f>
        <v>44573</v>
      </c>
      <c r="I12" s="294">
        <v>1141.08</v>
      </c>
      <c r="J12" s="117">
        <v>18900293</v>
      </c>
      <c r="L12"/>
      <c r="M12"/>
      <c r="N12"/>
      <c r="O12"/>
      <c r="P12"/>
      <c r="Q12"/>
      <c r="R12" s="427"/>
      <c r="S12" s="411"/>
    </row>
    <row r="13" spans="1:19" s="32" customFormat="1" ht="12.75" customHeight="1">
      <c r="A13" s="232">
        <f t="shared" si="0"/>
        <v>9</v>
      </c>
      <c r="B13" s="295" t="s">
        <v>45</v>
      </c>
      <c r="C13" s="116">
        <v>33616</v>
      </c>
      <c r="D13" s="116">
        <f>DATE(2022,1,13)</f>
        <v>44574</v>
      </c>
      <c r="E13" s="296">
        <v>37701</v>
      </c>
      <c r="F13" s="296"/>
      <c r="G13" s="296"/>
      <c r="H13" s="293">
        <f>DATE(2022,1,13)</f>
        <v>44574</v>
      </c>
      <c r="I13" s="294">
        <v>2662.56</v>
      </c>
      <c r="J13" s="117">
        <v>18900303</v>
      </c>
      <c r="K13" s="404"/>
      <c r="L13"/>
      <c r="M13"/>
      <c r="N13"/>
      <c r="O13"/>
      <c r="P13"/>
      <c r="Q13"/>
      <c r="R13" s="427"/>
    </row>
    <row r="14" spans="1:19" s="32" customFormat="1" ht="12.75" customHeight="1">
      <c r="A14" s="232">
        <f t="shared" si="0"/>
        <v>10</v>
      </c>
      <c r="B14" s="295" t="s">
        <v>119</v>
      </c>
      <c r="C14" s="116">
        <v>33828</v>
      </c>
      <c r="D14" s="116">
        <v>44785</v>
      </c>
      <c r="E14" s="296">
        <v>37770</v>
      </c>
      <c r="F14" s="296"/>
      <c r="G14" s="296"/>
      <c r="H14" s="293">
        <v>44785</v>
      </c>
      <c r="I14" s="294">
        <v>62485.68</v>
      </c>
      <c r="J14" s="117">
        <v>18900323</v>
      </c>
      <c r="L14"/>
      <c r="M14"/>
      <c r="N14"/>
      <c r="O14"/>
      <c r="P14"/>
      <c r="Q14"/>
      <c r="R14" s="427"/>
    </row>
    <row r="15" spans="1:19" s="32" customFormat="1" ht="12.75" customHeight="1">
      <c r="A15" s="232">
        <f t="shared" si="0"/>
        <v>11</v>
      </c>
      <c r="B15" s="295" t="s">
        <v>140</v>
      </c>
      <c r="C15" s="116">
        <v>34199</v>
      </c>
      <c r="D15" s="116">
        <v>45156</v>
      </c>
      <c r="E15" s="296">
        <v>37851</v>
      </c>
      <c r="H15" s="293">
        <v>45156</v>
      </c>
      <c r="I15" s="294">
        <v>10655.88</v>
      </c>
      <c r="J15" s="117">
        <v>18900353</v>
      </c>
      <c r="K15" s="404"/>
      <c r="L15"/>
      <c r="M15"/>
      <c r="N15"/>
      <c r="O15"/>
      <c r="P15"/>
      <c r="Q15"/>
      <c r="R15" s="427"/>
    </row>
    <row r="16" spans="1:19" s="32" customFormat="1" ht="12.75" customHeight="1">
      <c r="A16" s="232">
        <f t="shared" si="0"/>
        <v>12</v>
      </c>
      <c r="B16" s="115" t="s">
        <v>133</v>
      </c>
      <c r="C16" s="116">
        <v>33161</v>
      </c>
      <c r="D16" s="116">
        <v>35718</v>
      </c>
      <c r="E16" s="116">
        <v>34372</v>
      </c>
      <c r="F16" s="116" t="s">
        <v>129</v>
      </c>
      <c r="G16" s="116">
        <v>34366</v>
      </c>
      <c r="H16" s="293">
        <v>45323</v>
      </c>
      <c r="I16" s="294">
        <v>168880.08</v>
      </c>
      <c r="J16" s="117">
        <v>18900173</v>
      </c>
      <c r="L16"/>
      <c r="M16"/>
      <c r="N16"/>
      <c r="O16"/>
      <c r="P16"/>
      <c r="Q16"/>
      <c r="R16" s="427"/>
    </row>
    <row r="17" spans="1:18" s="32" customFormat="1" ht="12.75" customHeight="1">
      <c r="A17" s="232">
        <f t="shared" si="0"/>
        <v>13</v>
      </c>
      <c r="B17" s="115" t="s">
        <v>117</v>
      </c>
      <c r="C17" s="116">
        <v>35587</v>
      </c>
      <c r="D17" s="116">
        <v>46539</v>
      </c>
      <c r="E17" s="116">
        <v>38504</v>
      </c>
      <c r="F17" s="116"/>
      <c r="G17" s="116"/>
      <c r="H17" s="293">
        <v>46539</v>
      </c>
      <c r="I17" s="294">
        <v>229804.2</v>
      </c>
      <c r="J17" s="117">
        <v>18900193</v>
      </c>
      <c r="L17"/>
      <c r="M17"/>
      <c r="N17"/>
      <c r="O17"/>
      <c r="P17"/>
      <c r="Q17"/>
      <c r="R17" s="427"/>
    </row>
    <row r="18" spans="1:18" s="32" customFormat="1" ht="12.75" customHeight="1">
      <c r="A18" s="232">
        <f t="shared" si="0"/>
        <v>14</v>
      </c>
      <c r="B18" s="295" t="s">
        <v>40</v>
      </c>
      <c r="C18" s="116">
        <v>33457</v>
      </c>
      <c r="D18" s="116">
        <f>DATE(2021,8,1)</f>
        <v>44409</v>
      </c>
      <c r="E18" s="296">
        <v>37691</v>
      </c>
      <c r="F18" s="296" t="s">
        <v>130</v>
      </c>
      <c r="G18" s="296">
        <v>37691</v>
      </c>
      <c r="H18" s="293">
        <v>47908</v>
      </c>
      <c r="I18" s="294">
        <v>45480.480000000003</v>
      </c>
      <c r="J18" s="117">
        <v>18900253</v>
      </c>
      <c r="L18"/>
      <c r="M18"/>
      <c r="N18"/>
      <c r="O18"/>
      <c r="P18"/>
      <c r="Q18"/>
      <c r="R18" s="294"/>
    </row>
    <row r="19" spans="1:18" s="32" customFormat="1" ht="12.75" customHeight="1">
      <c r="A19" s="232">
        <f t="shared" si="0"/>
        <v>15</v>
      </c>
      <c r="B19" s="295" t="s">
        <v>41</v>
      </c>
      <c r="C19" s="116">
        <v>33457</v>
      </c>
      <c r="D19" s="116">
        <f>DATE(2021,8,1)</f>
        <v>44409</v>
      </c>
      <c r="E19" s="296">
        <v>37691</v>
      </c>
      <c r="F19" s="296" t="s">
        <v>130</v>
      </c>
      <c r="G19" s="296">
        <v>37691</v>
      </c>
      <c r="H19" s="293">
        <v>47908</v>
      </c>
      <c r="I19" s="294">
        <v>34561.440000000002</v>
      </c>
      <c r="J19" s="117">
        <v>18900263</v>
      </c>
      <c r="L19"/>
      <c r="M19"/>
      <c r="N19"/>
      <c r="O19"/>
      <c r="P19"/>
      <c r="Q19"/>
      <c r="R19" s="294"/>
    </row>
    <row r="20" spans="1:18" s="32" customFormat="1" ht="12.75" customHeight="1">
      <c r="A20" s="232">
        <f t="shared" si="0"/>
        <v>16</v>
      </c>
      <c r="B20" s="295" t="s">
        <v>42</v>
      </c>
      <c r="C20" s="116">
        <v>33664</v>
      </c>
      <c r="D20" s="116">
        <f>DATE(2022,3,1)</f>
        <v>44621</v>
      </c>
      <c r="E20" s="296">
        <v>37691</v>
      </c>
      <c r="F20" s="296" t="s">
        <v>130</v>
      </c>
      <c r="G20" s="296">
        <v>37691</v>
      </c>
      <c r="H20" s="293">
        <v>47908</v>
      </c>
      <c r="I20" s="294">
        <v>105825.48</v>
      </c>
      <c r="J20" s="117">
        <v>18900273</v>
      </c>
      <c r="L20"/>
      <c r="M20"/>
      <c r="N20"/>
      <c r="O20"/>
      <c r="P20"/>
      <c r="Q20"/>
      <c r="R20" s="294"/>
    </row>
    <row r="21" spans="1:18" s="32" customFormat="1" ht="12.75" customHeight="1">
      <c r="A21" s="232">
        <f t="shared" si="0"/>
        <v>17</v>
      </c>
      <c r="B21" s="295" t="s">
        <v>43</v>
      </c>
      <c r="C21" s="116">
        <v>33664</v>
      </c>
      <c r="D21" s="116">
        <f>DATE(2022,3,1)</f>
        <v>44621</v>
      </c>
      <c r="E21" s="296">
        <v>37691</v>
      </c>
      <c r="F21" s="296" t="s">
        <v>130</v>
      </c>
      <c r="G21" s="296">
        <v>37691</v>
      </c>
      <c r="H21" s="293">
        <v>47908</v>
      </c>
      <c r="I21" s="294">
        <v>32297.759999999998</v>
      </c>
      <c r="J21" s="117">
        <v>18900283</v>
      </c>
      <c r="L21"/>
      <c r="M21"/>
      <c r="N21"/>
      <c r="O21"/>
      <c r="P21"/>
      <c r="Q21"/>
      <c r="R21" s="294"/>
    </row>
    <row r="22" spans="1:18" s="32" customFormat="1" ht="12.75" customHeight="1">
      <c r="A22" s="232">
        <f t="shared" si="0"/>
        <v>18</v>
      </c>
      <c r="B22" s="295" t="s">
        <v>177</v>
      </c>
      <c r="C22" s="116">
        <v>37691</v>
      </c>
      <c r="D22" s="116">
        <v>47908</v>
      </c>
      <c r="E22" s="296">
        <v>41449</v>
      </c>
      <c r="F22" s="296" t="s">
        <v>178</v>
      </c>
      <c r="G22" s="296">
        <v>41417</v>
      </c>
      <c r="H22" s="293">
        <v>47908</v>
      </c>
      <c r="I22" s="294">
        <v>299128.68</v>
      </c>
      <c r="J22" s="117">
        <v>18900433</v>
      </c>
      <c r="L22"/>
      <c r="M22"/>
      <c r="N22"/>
      <c r="O22"/>
      <c r="P22"/>
      <c r="Q22"/>
      <c r="R22" s="294"/>
    </row>
    <row r="23" spans="1:18" s="32" customFormat="1" ht="12.75" customHeight="1">
      <c r="A23" s="232">
        <f t="shared" si="0"/>
        <v>19</v>
      </c>
      <c r="B23" s="295" t="s">
        <v>177</v>
      </c>
      <c r="C23" s="116">
        <v>37691</v>
      </c>
      <c r="D23" s="116">
        <v>47908</v>
      </c>
      <c r="E23" s="296">
        <v>41449</v>
      </c>
      <c r="F23" s="296" t="s">
        <v>178</v>
      </c>
      <c r="G23" s="296">
        <v>41417</v>
      </c>
      <c r="H23" s="293">
        <v>47908</v>
      </c>
      <c r="I23" s="294">
        <v>50553.24</v>
      </c>
      <c r="J23" s="117">
        <v>18900533</v>
      </c>
      <c r="L23"/>
      <c r="M23"/>
      <c r="N23"/>
      <c r="O23"/>
      <c r="P23"/>
      <c r="Q23"/>
      <c r="R23" s="294"/>
    </row>
    <row r="24" spans="1:18" s="32" customFormat="1" ht="12.75" customHeight="1">
      <c r="A24" s="232">
        <f>A23+1</f>
        <v>20</v>
      </c>
      <c r="B24" s="115" t="s">
        <v>95</v>
      </c>
      <c r="C24" s="116">
        <v>38183</v>
      </c>
      <c r="D24" s="116">
        <v>38913</v>
      </c>
      <c r="E24" s="116">
        <v>38499</v>
      </c>
      <c r="F24" s="116" t="s">
        <v>96</v>
      </c>
      <c r="G24" s="116">
        <v>38499</v>
      </c>
      <c r="H24" s="293">
        <v>49456</v>
      </c>
      <c r="I24" s="294">
        <f>17086.56</f>
        <v>17086.560000000001</v>
      </c>
      <c r="J24" s="117">
        <v>18900183</v>
      </c>
      <c r="L24"/>
      <c r="M24"/>
      <c r="N24"/>
      <c r="O24"/>
      <c r="P24"/>
      <c r="Q24"/>
      <c r="R24" s="294"/>
    </row>
    <row r="25" spans="1:18" s="32" customFormat="1" ht="12.75" customHeight="1">
      <c r="A25" s="232">
        <f t="shared" si="0"/>
        <v>21</v>
      </c>
      <c r="B25" s="115" t="s">
        <v>29</v>
      </c>
      <c r="C25" s="116">
        <v>37035</v>
      </c>
      <c r="D25" s="116">
        <v>51682</v>
      </c>
      <c r="E25" s="116">
        <v>38898</v>
      </c>
      <c r="F25" s="116" t="s">
        <v>131</v>
      </c>
      <c r="G25" s="116">
        <v>38898</v>
      </c>
      <c r="H25" s="293">
        <v>49841</v>
      </c>
      <c r="I25" s="294">
        <f>(16418.45*12)</f>
        <v>197021.40000000002</v>
      </c>
      <c r="J25" s="117">
        <v>18900373</v>
      </c>
      <c r="L25"/>
      <c r="M25"/>
      <c r="N25"/>
      <c r="O25"/>
      <c r="P25"/>
      <c r="Q25"/>
      <c r="R25" s="294"/>
    </row>
    <row r="26" spans="1:18" s="32" customFormat="1" ht="12.75" customHeight="1">
      <c r="A26" s="232">
        <f t="shared" si="0"/>
        <v>22</v>
      </c>
      <c r="B26" s="115" t="s">
        <v>171</v>
      </c>
      <c r="C26" s="116">
        <v>33117</v>
      </c>
      <c r="D26" s="116">
        <v>44075</v>
      </c>
      <c r="E26" s="116">
        <v>40900</v>
      </c>
      <c r="F26" s="116" t="s">
        <v>172</v>
      </c>
      <c r="G26" s="116">
        <v>40869</v>
      </c>
      <c r="H26" s="293">
        <v>55472</v>
      </c>
      <c r="I26" s="294">
        <v>400518.84</v>
      </c>
      <c r="J26" s="117">
        <v>18900393</v>
      </c>
      <c r="L26"/>
      <c r="M26"/>
      <c r="N26"/>
      <c r="O26"/>
      <c r="P26"/>
      <c r="Q26"/>
      <c r="R26" s="294"/>
    </row>
    <row r="27" spans="1:18" s="32" customFormat="1" ht="12.75" customHeight="1">
      <c r="A27" s="232">
        <f t="shared" si="0"/>
        <v>23</v>
      </c>
      <c r="B27" s="115" t="s">
        <v>183</v>
      </c>
      <c r="C27" s="116">
        <v>38637</v>
      </c>
      <c r="D27" s="116">
        <v>42278</v>
      </c>
      <c r="E27" s="116">
        <v>42160</v>
      </c>
      <c r="F27" s="116" t="s">
        <v>185</v>
      </c>
      <c r="G27" s="116">
        <v>42150</v>
      </c>
      <c r="H27" s="293">
        <v>53102</v>
      </c>
      <c r="I27" s="294">
        <v>82302.48</v>
      </c>
      <c r="J27" s="117">
        <v>18900203</v>
      </c>
      <c r="L27"/>
      <c r="M27"/>
      <c r="N27"/>
      <c r="O27"/>
      <c r="P27"/>
      <c r="Q27"/>
      <c r="R27" s="294"/>
    </row>
    <row r="28" spans="1:18" s="32" customFormat="1" ht="12.75" customHeight="1">
      <c r="A28" s="232">
        <f t="shared" si="0"/>
        <v>24</v>
      </c>
      <c r="B28" s="115" t="s">
        <v>184</v>
      </c>
      <c r="C28" s="116">
        <v>39836</v>
      </c>
      <c r="D28" s="116">
        <v>42384</v>
      </c>
      <c r="E28" s="116">
        <v>42160</v>
      </c>
      <c r="F28" s="116" t="s">
        <v>185</v>
      </c>
      <c r="G28" s="116">
        <v>42150</v>
      </c>
      <c r="H28" s="293">
        <v>53102</v>
      </c>
      <c r="I28" s="294">
        <v>316649.76</v>
      </c>
      <c r="J28" s="117">
        <v>18900213</v>
      </c>
      <c r="L28"/>
      <c r="M28"/>
      <c r="N28"/>
      <c r="O28"/>
      <c r="P28"/>
      <c r="Q28"/>
      <c r="R28" s="294"/>
    </row>
    <row r="29" spans="1:18" s="32" customFormat="1" ht="12.75" customHeight="1">
      <c r="A29" s="232">
        <f t="shared" si="0"/>
        <v>25</v>
      </c>
      <c r="B29" s="115" t="s">
        <v>116</v>
      </c>
      <c r="C29" s="116">
        <v>39237</v>
      </c>
      <c r="D29" s="116">
        <v>24624</v>
      </c>
      <c r="E29" s="116">
        <v>43217</v>
      </c>
      <c r="F29" s="116"/>
      <c r="G29" s="116"/>
      <c r="H29" s="293">
        <v>61149</v>
      </c>
      <c r="I29" s="294">
        <v>75166.02</v>
      </c>
      <c r="J29" s="117">
        <v>18900233</v>
      </c>
      <c r="L29"/>
      <c r="M29"/>
      <c r="N29"/>
      <c r="O29"/>
      <c r="P29"/>
      <c r="Q29"/>
      <c r="R29" s="294"/>
    </row>
    <row r="30" spans="1:18" s="32" customFormat="1" ht="12.75" customHeight="1">
      <c r="A30" s="232">
        <f t="shared" si="0"/>
        <v>26</v>
      </c>
      <c r="B30" s="115"/>
      <c r="C30" s="116"/>
      <c r="D30" s="116"/>
      <c r="E30" s="116"/>
      <c r="F30" s="116"/>
      <c r="G30" s="116"/>
      <c r="H30" s="293"/>
      <c r="I30" s="297"/>
      <c r="J30" s="298"/>
      <c r="L30"/>
      <c r="M30"/>
      <c r="N30"/>
      <c r="O30"/>
      <c r="P30"/>
      <c r="Q30"/>
    </row>
    <row r="31" spans="1:18" s="32" customFormat="1" ht="15" customHeight="1" thickBot="1">
      <c r="A31" s="232">
        <f t="shared" si="0"/>
        <v>27</v>
      </c>
      <c r="B31" s="113" t="s">
        <v>28</v>
      </c>
      <c r="C31" s="118"/>
      <c r="D31" s="118"/>
      <c r="E31" s="118"/>
      <c r="F31" s="118"/>
      <c r="G31" s="118"/>
      <c r="H31" s="118"/>
      <c r="I31" s="299">
        <f>SUM(I8:I30)</f>
        <v>2133970.61</v>
      </c>
      <c r="J31" s="120"/>
      <c r="L31"/>
      <c r="M31"/>
      <c r="N31"/>
      <c r="O31"/>
      <c r="P31"/>
      <c r="Q31"/>
    </row>
    <row r="32" spans="1:18" s="32" customFormat="1" ht="12.75" customHeight="1" thickTop="1">
      <c r="A32" s="232">
        <f t="shared" si="0"/>
        <v>28</v>
      </c>
      <c r="B32" s="121"/>
      <c r="C32" s="122"/>
      <c r="D32" s="122"/>
      <c r="E32" s="122"/>
      <c r="F32" s="122"/>
      <c r="G32" s="122"/>
      <c r="H32" s="122"/>
      <c r="I32" s="65"/>
      <c r="J32" s="119"/>
      <c r="L32"/>
      <c r="M32"/>
      <c r="N32"/>
      <c r="O32"/>
      <c r="P32"/>
      <c r="Q32"/>
    </row>
    <row r="33" spans="1:17" s="32" customFormat="1" ht="12.75" customHeight="1">
      <c r="A33" s="232">
        <f t="shared" si="0"/>
        <v>29</v>
      </c>
      <c r="B33" s="121" t="s">
        <v>192</v>
      </c>
      <c r="C33" s="122"/>
      <c r="D33" s="122"/>
      <c r="E33" s="122"/>
      <c r="F33" s="122"/>
      <c r="G33" s="122"/>
      <c r="H33" s="122"/>
      <c r="I33" s="294">
        <f>'New Format'!C30</f>
        <v>7860865544</v>
      </c>
      <c r="J33" s="119"/>
      <c r="L33"/>
      <c r="M33"/>
      <c r="N33"/>
      <c r="O33"/>
      <c r="P33"/>
      <c r="Q33"/>
    </row>
    <row r="34" spans="1:17" s="32" customFormat="1" ht="12.75" customHeight="1">
      <c r="A34" s="232">
        <f t="shared" si="0"/>
        <v>30</v>
      </c>
      <c r="B34" s="121"/>
      <c r="C34" s="122"/>
      <c r="D34" s="122"/>
      <c r="E34" s="122"/>
      <c r="F34" s="122"/>
      <c r="G34" s="122"/>
      <c r="H34" s="122"/>
      <c r="I34" s="65"/>
      <c r="J34" s="119"/>
      <c r="L34"/>
      <c r="M34"/>
      <c r="N34"/>
      <c r="O34"/>
      <c r="P34"/>
      <c r="Q34"/>
    </row>
    <row r="35" spans="1:17" s="32" customFormat="1" ht="12.75" customHeight="1">
      <c r="A35" s="232">
        <f t="shared" si="0"/>
        <v>31</v>
      </c>
      <c r="B35" s="121" t="s">
        <v>195</v>
      </c>
      <c r="C35" s="122"/>
      <c r="D35" s="122"/>
      <c r="E35" s="122"/>
      <c r="F35" s="122"/>
      <c r="G35" s="122"/>
      <c r="H35" s="122"/>
      <c r="I35" s="421">
        <f>ROUND(I31/I33,4)</f>
        <v>2.9999999999999997E-4</v>
      </c>
      <c r="J35" s="436"/>
      <c r="L35"/>
      <c r="M35"/>
      <c r="N35"/>
      <c r="O35"/>
      <c r="P35"/>
      <c r="Q35"/>
    </row>
    <row r="36" spans="1:17" s="32" customFormat="1" ht="12.75" customHeight="1">
      <c r="A36" s="232">
        <f t="shared" si="0"/>
        <v>32</v>
      </c>
      <c r="B36" s="121"/>
      <c r="C36" s="122"/>
      <c r="D36" s="122"/>
      <c r="E36" s="122"/>
      <c r="F36" s="122"/>
      <c r="G36" s="122"/>
      <c r="H36" s="122"/>
      <c r="I36" s="65"/>
      <c r="J36" s="119"/>
      <c r="L36"/>
      <c r="M36"/>
      <c r="N36"/>
      <c r="O36"/>
      <c r="P36"/>
      <c r="Q36"/>
    </row>
    <row r="37" spans="1:17" s="32" customFormat="1" ht="12.75" customHeight="1">
      <c r="A37" s="232">
        <f t="shared" si="0"/>
        <v>33</v>
      </c>
      <c r="C37" s="58"/>
      <c r="D37" s="58"/>
      <c r="E37" s="58"/>
      <c r="F37" s="58"/>
      <c r="G37" s="58"/>
      <c r="H37" s="149"/>
      <c r="I37" s="65"/>
      <c r="J37" s="119"/>
      <c r="L37"/>
      <c r="M37"/>
      <c r="N37"/>
      <c r="O37"/>
      <c r="P37"/>
      <c r="Q37"/>
    </row>
    <row r="38" spans="1:17" s="32" customFormat="1" ht="12.75" customHeight="1">
      <c r="A38" s="232">
        <f t="shared" si="0"/>
        <v>34</v>
      </c>
      <c r="B38" s="230"/>
      <c r="C38" s="231"/>
      <c r="D38" s="231"/>
      <c r="E38" s="231"/>
      <c r="F38" s="231"/>
      <c r="H38" s="33"/>
      <c r="I38" s="65"/>
      <c r="L38"/>
      <c r="M38"/>
      <c r="N38"/>
      <c r="O38"/>
      <c r="P38"/>
      <c r="Q38"/>
    </row>
    <row r="39" spans="1:17" s="32" customFormat="1" ht="12.75" customHeight="1">
      <c r="A39" s="232">
        <f t="shared" si="0"/>
        <v>35</v>
      </c>
      <c r="B39" s="58" t="s">
        <v>135</v>
      </c>
      <c r="H39" s="33"/>
      <c r="I39" s="65"/>
      <c r="J39" s="117"/>
      <c r="L39"/>
      <c r="M39"/>
      <c r="N39"/>
      <c r="O39"/>
      <c r="P39"/>
      <c r="Q39"/>
    </row>
    <row r="40" spans="1:17" s="32" customFormat="1" ht="12.75" customHeight="1">
      <c r="A40" s="232">
        <f t="shared" si="0"/>
        <v>36</v>
      </c>
      <c r="B40" s="260" t="s">
        <v>134</v>
      </c>
      <c r="H40" s="33"/>
      <c r="I40" s="33"/>
      <c r="L40"/>
      <c r="M40"/>
      <c r="N40"/>
      <c r="O40"/>
      <c r="P40"/>
      <c r="Q40"/>
    </row>
    <row r="41" spans="1:17" s="32" customFormat="1" ht="12.75" customHeight="1">
      <c r="A41" s="233"/>
      <c r="H41" s="33"/>
      <c r="I41" s="33"/>
      <c r="L41"/>
      <c r="M41"/>
      <c r="N41"/>
      <c r="O41"/>
      <c r="P41"/>
      <c r="Q41"/>
    </row>
    <row r="42" spans="1:17" s="32" customFormat="1" ht="12.75" customHeight="1">
      <c r="H42" s="33"/>
      <c r="I42" s="33"/>
      <c r="L42"/>
      <c r="M42"/>
      <c r="N42"/>
      <c r="O42"/>
      <c r="P42"/>
      <c r="Q42"/>
    </row>
    <row r="43" spans="1:17" s="32" customFormat="1" ht="12.75" customHeight="1">
      <c r="H43" s="33"/>
      <c r="I43" s="220"/>
      <c r="L43"/>
      <c r="M43"/>
      <c r="N43"/>
      <c r="O43"/>
      <c r="P43"/>
      <c r="Q43"/>
    </row>
    <row r="44" spans="1:17" s="32" customFormat="1" ht="12.75" customHeight="1">
      <c r="H44" s="33"/>
      <c r="I44" s="33"/>
      <c r="L44"/>
      <c r="M44"/>
      <c r="N44"/>
      <c r="O44"/>
      <c r="P44"/>
      <c r="Q44"/>
    </row>
    <row r="45" spans="1:17" s="32" customFormat="1" ht="12.75" customHeight="1">
      <c r="H45" s="33"/>
      <c r="I45" s="33"/>
      <c r="L45"/>
      <c r="M45"/>
      <c r="N45"/>
      <c r="O45"/>
      <c r="P45"/>
      <c r="Q45"/>
    </row>
    <row r="46" spans="1:17" s="32" customFormat="1" ht="12.75" customHeight="1">
      <c r="H46" s="33"/>
      <c r="I46" s="33"/>
      <c r="L46"/>
      <c r="M46"/>
      <c r="N46"/>
      <c r="O46"/>
      <c r="P46"/>
      <c r="Q46"/>
    </row>
    <row r="47" spans="1:17" s="32" customFormat="1" ht="12.75" customHeight="1">
      <c r="H47" s="33"/>
      <c r="I47" s="33"/>
      <c r="L47"/>
      <c r="M47"/>
      <c r="N47"/>
      <c r="O47"/>
      <c r="P47"/>
      <c r="Q47"/>
    </row>
    <row r="48" spans="1:17" s="32" customFormat="1" ht="12.75" customHeight="1">
      <c r="H48" s="33"/>
      <c r="I48" s="33"/>
      <c r="L48"/>
      <c r="M48"/>
      <c r="N48"/>
      <c r="O48"/>
      <c r="P48"/>
      <c r="Q48"/>
    </row>
    <row r="49" spans="8:17" s="32" customFormat="1" ht="12.75" customHeight="1">
      <c r="H49" s="33"/>
      <c r="I49" s="33"/>
      <c r="L49"/>
      <c r="M49"/>
      <c r="N49"/>
      <c r="O49"/>
      <c r="P49"/>
      <c r="Q49"/>
    </row>
    <row r="50" spans="8:17" s="32" customFormat="1" ht="12.75" customHeight="1">
      <c r="H50" s="33"/>
      <c r="I50" s="33"/>
      <c r="L50"/>
      <c r="M50"/>
      <c r="N50"/>
      <c r="O50"/>
      <c r="P50"/>
      <c r="Q50"/>
    </row>
    <row r="51" spans="8:17" s="32" customFormat="1" ht="12.75" customHeight="1">
      <c r="H51" s="33"/>
      <c r="I51" s="33"/>
      <c r="L51"/>
      <c r="M51"/>
      <c r="N51"/>
      <c r="O51"/>
      <c r="P51"/>
      <c r="Q51"/>
    </row>
    <row r="52" spans="8:17" s="32" customFormat="1" ht="12.75" customHeight="1">
      <c r="L52"/>
      <c r="M52"/>
      <c r="N52"/>
      <c r="O52"/>
      <c r="P52"/>
      <c r="Q52"/>
    </row>
    <row r="53" spans="8:17" s="32" customFormat="1" ht="12.75" customHeight="1">
      <c r="L53"/>
      <c r="M53"/>
      <c r="N53"/>
      <c r="O53"/>
      <c r="P53"/>
      <c r="Q53"/>
    </row>
    <row r="54" spans="8:17" s="32" customFormat="1" ht="12.75" customHeight="1">
      <c r="L54"/>
      <c r="M54"/>
      <c r="N54"/>
      <c r="O54"/>
      <c r="P54"/>
      <c r="Q54"/>
    </row>
    <row r="55" spans="8:17" s="32" customFormat="1" ht="12.75" customHeight="1">
      <c r="L55"/>
      <c r="M55"/>
      <c r="N55"/>
      <c r="O55"/>
      <c r="P55"/>
      <c r="Q55"/>
    </row>
    <row r="56" spans="8:17" s="32" customFormat="1" ht="12.75" customHeight="1">
      <c r="L56"/>
      <c r="M56"/>
      <c r="N56"/>
      <c r="O56"/>
      <c r="P56"/>
      <c r="Q56"/>
    </row>
    <row r="57" spans="8:17" s="32" customFormat="1" ht="12.75" customHeight="1">
      <c r="L57"/>
      <c r="M57"/>
      <c r="N57"/>
      <c r="O57"/>
      <c r="P57"/>
      <c r="Q57"/>
    </row>
    <row r="58" spans="8:17" s="32" customFormat="1" ht="12.75" customHeight="1">
      <c r="L58"/>
      <c r="M58"/>
      <c r="N58"/>
      <c r="O58"/>
      <c r="P58"/>
      <c r="Q58"/>
    </row>
    <row r="59" spans="8:17" s="32" customFormat="1" ht="15.75">
      <c r="L59"/>
      <c r="M59"/>
      <c r="N59"/>
      <c r="O59"/>
      <c r="P59"/>
      <c r="Q59"/>
    </row>
    <row r="60" spans="8:17" s="32" customFormat="1" ht="15.75">
      <c r="L60"/>
      <c r="M60"/>
      <c r="N60"/>
      <c r="O60"/>
      <c r="P60"/>
      <c r="Q60"/>
    </row>
    <row r="61" spans="8:17" s="32" customFormat="1" ht="15.75">
      <c r="L61"/>
      <c r="M61"/>
      <c r="N61"/>
      <c r="O61"/>
      <c r="P61"/>
      <c r="Q61"/>
    </row>
    <row r="62" spans="8:17" s="32" customFormat="1" ht="15.75">
      <c r="L62"/>
      <c r="M62"/>
      <c r="N62"/>
      <c r="O62"/>
      <c r="P62"/>
      <c r="Q62"/>
    </row>
    <row r="63" spans="8:17" s="32" customFormat="1" ht="15.75">
      <c r="L63"/>
      <c r="M63"/>
      <c r="N63"/>
      <c r="O63"/>
      <c r="P63"/>
      <c r="Q63"/>
    </row>
    <row r="64" spans="8:17" s="32" customFormat="1" ht="15.75">
      <c r="L64"/>
      <c r="M64"/>
      <c r="N64"/>
      <c r="O64"/>
      <c r="P64"/>
      <c r="Q64"/>
    </row>
    <row r="65" spans="12:17" s="32" customFormat="1" ht="15.75">
      <c r="L65"/>
      <c r="M65"/>
      <c r="N65"/>
      <c r="O65"/>
      <c r="P65"/>
      <c r="Q65"/>
    </row>
    <row r="66" spans="12:17" s="32" customFormat="1" ht="15.75">
      <c r="L66"/>
      <c r="M66"/>
      <c r="N66"/>
      <c r="O66"/>
      <c r="P66"/>
      <c r="Q66"/>
    </row>
    <row r="67" spans="12:17" s="32" customFormat="1" ht="15.75">
      <c r="L67"/>
      <c r="M67"/>
      <c r="N67"/>
      <c r="O67"/>
      <c r="P67"/>
      <c r="Q67"/>
    </row>
    <row r="68" spans="12:17" s="32" customFormat="1" ht="15.75">
      <c r="L68"/>
      <c r="M68"/>
      <c r="N68"/>
      <c r="O68"/>
      <c r="P68"/>
      <c r="Q68"/>
    </row>
    <row r="69" spans="12:17" s="32" customFormat="1" ht="15.75">
      <c r="L69"/>
      <c r="M69"/>
      <c r="N69"/>
      <c r="O69"/>
      <c r="P69"/>
      <c r="Q69"/>
    </row>
    <row r="70" spans="12:17" s="32" customFormat="1" ht="15.75">
      <c r="L70"/>
      <c r="M70"/>
      <c r="N70"/>
      <c r="O70"/>
      <c r="P70"/>
      <c r="Q70"/>
    </row>
    <row r="71" spans="12:17" s="32" customFormat="1" ht="15.75">
      <c r="L71"/>
      <c r="M71"/>
      <c r="N71"/>
      <c r="O71"/>
      <c r="P71"/>
      <c r="Q71"/>
    </row>
    <row r="72" spans="12:17" s="32" customFormat="1" ht="15.75">
      <c r="L72"/>
      <c r="M72"/>
      <c r="N72"/>
      <c r="O72"/>
      <c r="P72"/>
      <c r="Q72"/>
    </row>
    <row r="73" spans="12:17" s="32" customFormat="1" ht="15.75">
      <c r="L73"/>
      <c r="M73"/>
      <c r="N73"/>
      <c r="O73"/>
      <c r="P73"/>
      <c r="Q73"/>
    </row>
    <row r="74" spans="12:17" s="32" customFormat="1" ht="15.75">
      <c r="L74"/>
      <c r="M74"/>
      <c r="N74"/>
      <c r="O74"/>
      <c r="P74"/>
      <c r="Q74"/>
    </row>
    <row r="75" spans="12:17" s="32" customFormat="1" ht="15.75">
      <c r="L75"/>
      <c r="M75"/>
      <c r="N75"/>
      <c r="O75"/>
      <c r="P75"/>
      <c r="Q75"/>
    </row>
    <row r="76" spans="12:17" s="32" customFormat="1" ht="15.75">
      <c r="L76"/>
      <c r="M76"/>
      <c r="N76"/>
      <c r="O76"/>
      <c r="P76"/>
      <c r="Q76"/>
    </row>
    <row r="77" spans="12:17" s="32" customFormat="1" ht="15.75">
      <c r="L77"/>
      <c r="M77"/>
      <c r="N77"/>
      <c r="O77"/>
      <c r="P77"/>
      <c r="Q77"/>
    </row>
    <row r="78" spans="12:17" s="32" customFormat="1" ht="15.75">
      <c r="L78"/>
      <c r="M78"/>
      <c r="N78"/>
      <c r="O78"/>
      <c r="P78"/>
      <c r="Q78"/>
    </row>
    <row r="79" spans="12:17" s="32" customFormat="1" ht="15.75">
      <c r="L79"/>
      <c r="M79"/>
      <c r="N79"/>
      <c r="O79"/>
      <c r="P79"/>
      <c r="Q79"/>
    </row>
    <row r="80" spans="12:17" s="32" customFormat="1" ht="15.75">
      <c r="L80"/>
      <c r="M80"/>
      <c r="N80"/>
      <c r="O80"/>
      <c r="P80"/>
      <c r="Q80"/>
    </row>
    <row r="81" spans="12:17" s="32" customFormat="1" ht="15.75">
      <c r="L81"/>
      <c r="M81"/>
      <c r="N81"/>
      <c r="O81"/>
      <c r="P81"/>
      <c r="Q81"/>
    </row>
    <row r="82" spans="12:17" s="32" customFormat="1" ht="15.75">
      <c r="L82"/>
      <c r="M82"/>
      <c r="N82"/>
      <c r="O82"/>
      <c r="P82"/>
      <c r="Q82"/>
    </row>
    <row r="83" spans="12:17" s="32" customFormat="1" ht="15.75">
      <c r="L83"/>
      <c r="M83"/>
      <c r="N83"/>
      <c r="O83"/>
      <c r="P83"/>
      <c r="Q83"/>
    </row>
  </sheetData>
  <mergeCells count="1">
    <mergeCell ref="B3:D3"/>
  </mergeCells>
  <phoneticPr fontId="24" type="noConversion"/>
  <printOptions horizontalCentered="1"/>
  <pageMargins left="0.2" right="0.2" top="0.75" bottom="0.4" header="0.36" footer="0.17"/>
  <pageSetup orientation="landscape" r:id="rId1"/>
  <headerFooter alignWithMargins="0">
    <oddFooter>&amp;C&amp;A&amp;R&amp;7&amp;F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5ED0A597349542A05BF035DA7A1B5D" ma:contentTypeVersion="56" ma:contentTypeDescription="" ma:contentTypeScope="" ma:versionID="3a6e005912eca48e2f14f332140f4b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F70972-30C6-41CC-8135-33A221F9B79E}"/>
</file>

<file path=customXml/itemProps2.xml><?xml version="1.0" encoding="utf-8"?>
<ds:datastoreItem xmlns:ds="http://schemas.openxmlformats.org/officeDocument/2006/customXml" ds:itemID="{6CD3E7FC-169C-4EC8-9566-7E3BB69E67BA}"/>
</file>

<file path=customXml/itemProps3.xml><?xml version="1.0" encoding="utf-8"?>
<ds:datastoreItem xmlns:ds="http://schemas.openxmlformats.org/officeDocument/2006/customXml" ds:itemID="{E7A44812-64A1-47FB-AD0E-139C5D4837D6}"/>
</file>

<file path=customXml/itemProps4.xml><?xml version="1.0" encoding="utf-8"?>
<ds:datastoreItem xmlns:ds="http://schemas.openxmlformats.org/officeDocument/2006/customXml" ds:itemID="{4D54A59C-B474-4495-8423-B2CA77E69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SFree</cp:lastModifiedBy>
  <cp:lastPrinted>2019-01-23T23:22:54Z</cp:lastPrinted>
  <dcterms:created xsi:type="dcterms:W3CDTF">2001-12-28T16:42:36Z</dcterms:created>
  <dcterms:modified xsi:type="dcterms:W3CDTF">2019-03-29T00:30:29Z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0x0101006E56B4D1795A2E4DB2F0B01679ED314A00B45ED0A597349542A05BF035DA7A1B5D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