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2" yWindow="180" windowWidth="15168" windowHeight="4356"/>
  </bookViews>
  <sheets>
    <sheet name="Lead E" sheetId="16" r:id="rId1"/>
    <sheet name="Lead G" sheetId="44" r:id="rId2"/>
    <sheet name=" Summary" sheetId="34" r:id="rId3"/>
    <sheet name="Average Costs Cal" sheetId="42" r:id="rId4"/>
    <sheet name="Additional Costs" sheetId="49" r:id="rId5"/>
    <sheet name="TY Headcounts " sheetId="41" r:id="rId6"/>
    <sheet name="Flex Credits" sheetId="6" r:id="rId7"/>
    <sheet name="SAP Test Yr" sheetId="32" r:id="rId8"/>
    <sheet name="Allocation Method" sheetId="33" r:id="rId9"/>
  </sheets>
  <externalReferences>
    <externalReference r:id="rId10"/>
    <externalReference r:id="rId11"/>
  </externalReferences>
  <definedNames>
    <definedName name="__123Graph_D" hidden="1">#REF!</definedName>
    <definedName name="__123Graph_ECURRENT" hidden="1">[1]ConsolidatingPL!#REF!</definedName>
    <definedName name="_Fill" localSheetId="8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bc" localSheetId="1" hidden="1">{#N/A,#N/A,FALSE,"Coversheet";#N/A,#N/A,FALSE,"QA"}</definedName>
    <definedName name="abc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8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8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8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8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8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8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8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8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8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qqq" localSheetId="1" hidden="1">{#N/A,#N/A,FALSE,"schA"}</definedName>
    <definedName name="qqq" hidden="1">{#N/A,#N/A,FALSE,"schA"}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8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8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8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8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8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" hidden="1">{#N/A,#N/A,FALSE,"schA"}</definedName>
    <definedName name="www" hidden="1">{#N/A,#N/A,FALSE,"schA"}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Q14" i="49" l="1"/>
  <c r="H23" i="49" l="1"/>
  <c r="F38" i="33" l="1"/>
  <c r="E38" i="33"/>
  <c r="F28" i="33"/>
  <c r="E28" i="33"/>
  <c r="F25" i="33"/>
  <c r="E25" i="33"/>
  <c r="F22" i="33"/>
  <c r="E22" i="33"/>
  <c r="F17" i="33"/>
  <c r="E17" i="33"/>
  <c r="F16" i="33"/>
  <c r="E16" i="33"/>
  <c r="F15" i="33"/>
  <c r="E15" i="33"/>
  <c r="F11" i="33"/>
  <c r="E11" i="33"/>
  <c r="F8" i="33"/>
  <c r="E8" i="33"/>
  <c r="F10" i="6"/>
  <c r="C17" i="16"/>
  <c r="G20" i="42" l="1"/>
  <c r="F27" i="34"/>
  <c r="E10" i="34"/>
  <c r="F36" i="49" l="1"/>
  <c r="F35" i="49"/>
  <c r="F34" i="49"/>
  <c r="J23" i="49" l="1"/>
  <c r="J21" i="49"/>
  <c r="Q5" i="49"/>
  <c r="F10" i="34" l="1"/>
  <c r="C25" i="32"/>
  <c r="C31" i="32"/>
  <c r="E23" i="49" l="1"/>
  <c r="C39" i="32" l="1"/>
  <c r="C44" i="32"/>
  <c r="C20" i="32"/>
  <c r="Q21" i="49"/>
  <c r="Q20" i="49"/>
  <c r="Q19" i="49"/>
  <c r="Q18" i="49"/>
  <c r="Q13" i="49"/>
  <c r="Q12" i="49"/>
  <c r="Q11" i="49"/>
  <c r="Q7" i="49"/>
  <c r="Q6" i="49"/>
  <c r="L23" i="49"/>
  <c r="C15" i="32"/>
  <c r="C18" i="44" l="1"/>
  <c r="K23" i="49"/>
  <c r="G23" i="49"/>
  <c r="P21" i="49"/>
  <c r="P23" i="49" s="1"/>
  <c r="O21" i="49"/>
  <c r="O23" i="49" s="1"/>
  <c r="N21" i="49"/>
  <c r="N23" i="49" s="1"/>
  <c r="M21" i="49"/>
  <c r="M23" i="49" s="1"/>
  <c r="L21" i="49"/>
  <c r="K21" i="49"/>
  <c r="I21" i="49"/>
  <c r="I23" i="49" s="1"/>
  <c r="H21" i="49"/>
  <c r="G21" i="49"/>
  <c r="F21" i="49"/>
  <c r="F23" i="49" s="1"/>
  <c r="E21" i="49"/>
  <c r="Q17" i="49"/>
  <c r="Q8" i="49" l="1"/>
  <c r="N10" i="41"/>
  <c r="Q10" i="49"/>
  <c r="B12" i="41"/>
  <c r="N12" i="41"/>
  <c r="N8" i="41"/>
  <c r="N6" i="41"/>
  <c r="Q23" i="49" l="1"/>
  <c r="F38" i="49" l="1"/>
  <c r="I14" i="42" l="1"/>
  <c r="Q14" i="42" s="1"/>
  <c r="I13" i="42"/>
  <c r="Q13" i="42" s="1"/>
  <c r="I12" i="42"/>
  <c r="Q12" i="42" s="1"/>
  <c r="I11" i="42"/>
  <c r="Q11" i="42" s="1"/>
  <c r="I10" i="42"/>
  <c r="Q10" i="42" s="1"/>
  <c r="I9" i="42"/>
  <c r="Q9" i="42" s="1"/>
  <c r="I8" i="42"/>
  <c r="Q8" i="42" s="1"/>
  <c r="I7" i="42"/>
  <c r="Q7" i="42" s="1"/>
  <c r="I6" i="42"/>
  <c r="Q6" i="42" s="1"/>
  <c r="I5" i="42"/>
  <c r="Q5" i="42" s="1"/>
  <c r="I4" i="42"/>
  <c r="Q4" i="42" s="1"/>
  <c r="I3" i="42"/>
  <c r="Q3" i="42" s="1"/>
  <c r="E3" i="42"/>
  <c r="F3" i="42" l="1"/>
  <c r="G3" i="42"/>
  <c r="C82" i="32"/>
  <c r="C78" i="32"/>
  <c r="C72" i="32"/>
  <c r="C64" i="32"/>
  <c r="C55" i="32"/>
  <c r="C49" i="32"/>
  <c r="C84" i="32" l="1"/>
  <c r="F43" i="34"/>
  <c r="F24" i="34"/>
  <c r="J10" i="6"/>
  <c r="E39" i="33"/>
  <c r="G25" i="33"/>
  <c r="E26" i="33" s="1"/>
  <c r="G16" i="33"/>
  <c r="F18" i="33"/>
  <c r="F23" i="34"/>
  <c r="F39" i="33"/>
  <c r="G11" i="33"/>
  <c r="E12" i="33" s="1"/>
  <c r="U14" i="42"/>
  <c r="V14" i="42" s="1"/>
  <c r="U13" i="42"/>
  <c r="V13" i="42" s="1"/>
  <c r="U12" i="42"/>
  <c r="V12" i="42" s="1"/>
  <c r="M14" i="42"/>
  <c r="N14" i="42" s="1"/>
  <c r="M13" i="42"/>
  <c r="O13" i="42" s="1"/>
  <c r="M12" i="42"/>
  <c r="N12" i="42" s="1"/>
  <c r="E14" i="42"/>
  <c r="G14" i="42" s="1"/>
  <c r="E13" i="42"/>
  <c r="E12" i="42"/>
  <c r="F12" i="42" s="1"/>
  <c r="M12" i="41"/>
  <c r="E9" i="34"/>
  <c r="E8" i="34"/>
  <c r="E32" i="34"/>
  <c r="A7" i="44"/>
  <c r="A6" i="44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U11" i="42"/>
  <c r="W11" i="42" s="1"/>
  <c r="U10" i="42"/>
  <c r="W10" i="42" s="1"/>
  <c r="U9" i="42"/>
  <c r="V9" i="42" s="1"/>
  <c r="U8" i="42"/>
  <c r="W8" i="42" s="1"/>
  <c r="M11" i="42"/>
  <c r="O11" i="42" s="1"/>
  <c r="M10" i="42"/>
  <c r="N10" i="42" s="1"/>
  <c r="M9" i="42"/>
  <c r="O9" i="42" s="1"/>
  <c r="M8" i="42"/>
  <c r="O8" i="42" s="1"/>
  <c r="E11" i="42"/>
  <c r="F11" i="42" s="1"/>
  <c r="E10" i="42"/>
  <c r="G10" i="42" s="1"/>
  <c r="E9" i="42"/>
  <c r="G9" i="42" s="1"/>
  <c r="E8" i="42"/>
  <c r="G8" i="42" s="1"/>
  <c r="U7" i="42"/>
  <c r="V7" i="42" s="1"/>
  <c r="M7" i="42"/>
  <c r="N7" i="42" s="1"/>
  <c r="E7" i="42"/>
  <c r="G7" i="42" s="1"/>
  <c r="U6" i="42"/>
  <c r="V6" i="42" s="1"/>
  <c r="M6" i="42"/>
  <c r="O6" i="42" s="1"/>
  <c r="E6" i="42"/>
  <c r="F6" i="42" s="1"/>
  <c r="U5" i="42"/>
  <c r="M5" i="42"/>
  <c r="O5" i="42" s="1"/>
  <c r="E5" i="42"/>
  <c r="U4" i="42"/>
  <c r="M4" i="42"/>
  <c r="O4" i="42" s="1"/>
  <c r="E4" i="42"/>
  <c r="G4" i="42" s="1"/>
  <c r="U3" i="42"/>
  <c r="M3" i="42"/>
  <c r="K12" i="41"/>
  <c r="I12" i="41"/>
  <c r="G12" i="41"/>
  <c r="E12" i="41"/>
  <c r="C12" i="41"/>
  <c r="A13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G6" i="42"/>
  <c r="F7" i="42"/>
  <c r="D12" i="41"/>
  <c r="F12" i="41"/>
  <c r="H12" i="41"/>
  <c r="J12" i="41"/>
  <c r="L12" i="41"/>
  <c r="G22" i="33"/>
  <c r="E23" i="33" s="1"/>
  <c r="E38" i="49"/>
  <c r="G38" i="33"/>
  <c r="G39" i="33" s="1"/>
  <c r="E18" i="33"/>
  <c r="G8" i="33"/>
  <c r="E9" i="33" s="1"/>
  <c r="G17" i="33"/>
  <c r="G28" i="33"/>
  <c r="F29" i="33" s="1"/>
  <c r="G15" i="33"/>
  <c r="H10" i="6"/>
  <c r="G18" i="33" l="1"/>
  <c r="E19" i="33" s="1"/>
  <c r="F25" i="34"/>
  <c r="F10" i="42"/>
  <c r="F9" i="42"/>
  <c r="V11" i="42"/>
  <c r="W9" i="42"/>
  <c r="N3" i="42"/>
  <c r="O3" i="42"/>
  <c r="X3" i="42"/>
  <c r="V4" i="42"/>
  <c r="W4" i="42"/>
  <c r="V3" i="42"/>
  <c r="W3" i="42"/>
  <c r="G5" i="42"/>
  <c r="F5" i="42"/>
  <c r="V5" i="42"/>
  <c r="W5" i="42"/>
  <c r="E40" i="33"/>
  <c r="H7" i="6" s="1"/>
  <c r="F13" i="34"/>
  <c r="F39" i="34"/>
  <c r="F18" i="34"/>
  <c r="V8" i="42"/>
  <c r="V10" i="42"/>
  <c r="W13" i="42"/>
  <c r="N4" i="42"/>
  <c r="N11" i="42"/>
  <c r="N6" i="42"/>
  <c r="X7" i="42"/>
  <c r="O10" i="42"/>
  <c r="X13" i="42"/>
  <c r="N9" i="42"/>
  <c r="N13" i="42"/>
  <c r="X8" i="42"/>
  <c r="Y8" i="42" s="1"/>
  <c r="F14" i="42"/>
  <c r="W6" i="42"/>
  <c r="X6" i="42"/>
  <c r="X10" i="42"/>
  <c r="Y10" i="42" s="1"/>
  <c r="F8" i="42"/>
  <c r="W12" i="42"/>
  <c r="F9" i="6"/>
  <c r="F12" i="6" s="1"/>
  <c r="F40" i="33"/>
  <c r="H4" i="34" s="1"/>
  <c r="H24" i="34" s="1"/>
  <c r="F26" i="33"/>
  <c r="G26" i="33" s="1"/>
  <c r="F12" i="33"/>
  <c r="G12" i="33" s="1"/>
  <c r="F44" i="34"/>
  <c r="F23" i="33"/>
  <c r="G23" i="33" s="1"/>
  <c r="E29" i="33"/>
  <c r="G29" i="33" s="1"/>
  <c r="F9" i="33"/>
  <c r="G9" i="33" s="1"/>
  <c r="O7" i="42"/>
  <c r="O12" i="42"/>
  <c r="O14" i="42"/>
  <c r="F14" i="34"/>
  <c r="F19" i="34"/>
  <c r="F36" i="34"/>
  <c r="W7" i="42"/>
  <c r="X4" i="42"/>
  <c r="X9" i="42"/>
  <c r="Y9" i="42" s="1"/>
  <c r="N8" i="42"/>
  <c r="X5" i="42"/>
  <c r="F4" i="42"/>
  <c r="N5" i="42"/>
  <c r="G11" i="42"/>
  <c r="F13" i="42"/>
  <c r="G13" i="42"/>
  <c r="W14" i="42"/>
  <c r="X12" i="42"/>
  <c r="X14" i="42"/>
  <c r="X11" i="42"/>
  <c r="E33" i="34"/>
  <c r="G12" i="42"/>
  <c r="F19" i="33" l="1"/>
  <c r="G19" i="33" s="1"/>
  <c r="G4" i="34"/>
  <c r="G18" i="34" s="1"/>
  <c r="H18" i="34"/>
  <c r="B32" i="34"/>
  <c r="F32" i="34" s="1"/>
  <c r="Y6" i="42"/>
  <c r="O20" i="42"/>
  <c r="W20" i="42"/>
  <c r="B8" i="34" s="1"/>
  <c r="F8" i="34" s="1"/>
  <c r="F40" i="34"/>
  <c r="H36" i="34"/>
  <c r="H37" i="34" s="1"/>
  <c r="H14" i="34"/>
  <c r="H13" i="34"/>
  <c r="F20" i="34"/>
  <c r="Y7" i="42"/>
  <c r="Y13" i="42"/>
  <c r="Y4" i="42"/>
  <c r="Y3" i="42"/>
  <c r="Y11" i="42"/>
  <c r="Y5" i="42"/>
  <c r="Y14" i="42"/>
  <c r="Y12" i="42"/>
  <c r="H9" i="6"/>
  <c r="H12" i="6" s="1"/>
  <c r="D18" i="16" s="1"/>
  <c r="H43" i="34"/>
  <c r="H44" i="34" s="1"/>
  <c r="H39" i="34"/>
  <c r="H40" i="34" s="1"/>
  <c r="G40" i="33"/>
  <c r="H23" i="34"/>
  <c r="H25" i="34" s="1"/>
  <c r="J7" i="6"/>
  <c r="J9" i="6" s="1"/>
  <c r="J12" i="6" s="1"/>
  <c r="D19" i="44" s="1"/>
  <c r="F15" i="34"/>
  <c r="B9" i="34"/>
  <c r="F9" i="34" s="1"/>
  <c r="F37" i="34"/>
  <c r="H19" i="34"/>
  <c r="G14" i="34" l="1"/>
  <c r="G39" i="34"/>
  <c r="G40" i="34" s="1"/>
  <c r="G23" i="34"/>
  <c r="G24" i="34"/>
  <c r="G43" i="34"/>
  <c r="G44" i="34" s="1"/>
  <c r="G19" i="34"/>
  <c r="G20" i="34" s="1"/>
  <c r="G13" i="34"/>
  <c r="G36" i="34"/>
  <c r="G37" i="34" s="1"/>
  <c r="G8" i="34"/>
  <c r="H20" i="34"/>
  <c r="H8" i="34"/>
  <c r="H15" i="34"/>
  <c r="F33" i="34"/>
  <c r="F46" i="34" s="1"/>
  <c r="H32" i="34"/>
  <c r="H33" i="34" s="1"/>
  <c r="H46" i="34" s="1"/>
  <c r="D14" i="44" s="1"/>
  <c r="G32" i="34"/>
  <c r="G33" i="34" s="1"/>
  <c r="H9" i="34"/>
  <c r="G9" i="34"/>
  <c r="G15" i="34" l="1"/>
  <c r="G25" i="34"/>
  <c r="G46" i="34"/>
  <c r="D13" i="16" s="1"/>
  <c r="G10" i="34"/>
  <c r="H10" i="34"/>
  <c r="H27" i="34" l="1"/>
  <c r="D15" i="44" s="1"/>
  <c r="D16" i="44" s="1"/>
  <c r="D18" i="44" s="1"/>
  <c r="D20" i="44" s="1"/>
  <c r="D22" i="44" s="1"/>
  <c r="D24" i="44" s="1"/>
  <c r="G27" i="34"/>
  <c r="D14" i="16" s="1"/>
  <c r="D15" i="16" l="1"/>
  <c r="D17" i="16" s="1"/>
  <c r="D19" i="16" s="1"/>
  <c r="D21" i="16" s="1"/>
  <c r="D23" i="16" l="1"/>
  <c r="F31" i="33" l="1"/>
  <c r="E31" i="33" l="1"/>
  <c r="G31" i="33" l="1"/>
  <c r="F32" i="33" s="1"/>
  <c r="F34" i="33" s="1"/>
  <c r="F35" i="33" s="1"/>
  <c r="E32" i="33" l="1"/>
  <c r="G32" i="33" l="1"/>
  <c r="G34" i="33" s="1"/>
  <c r="G35" i="33" s="1"/>
  <c r="E34" i="33"/>
  <c r="E35" i="33" s="1"/>
</calcChain>
</file>

<file path=xl/comments1.xml><?xml version="1.0" encoding="utf-8"?>
<comments xmlns="http://schemas.openxmlformats.org/spreadsheetml/2006/main">
  <authors>
    <author>Rachel LaPrete</author>
  </authors>
  <commentList>
    <comment ref="A6" authorId="0">
      <text>
        <r>
          <rPr>
            <sz val="9"/>
            <color indexed="81"/>
            <rFont val="Tahoma"/>
            <family val="2"/>
          </rPr>
          <t>% split of premium based on September 2015 covered salaries</t>
        </r>
      </text>
    </comment>
    <comment ref="A11" authorId="0">
      <text>
        <r>
          <rPr>
            <sz val="9"/>
            <color indexed="81"/>
            <rFont val="Tahoma"/>
            <family val="2"/>
          </rPr>
          <t>% split based on September 2015 LTD participant premiums</t>
        </r>
      </text>
    </comment>
  </commentList>
</comments>
</file>

<file path=xl/sharedStrings.xml><?xml version="1.0" encoding="utf-8"?>
<sst xmlns="http://schemas.openxmlformats.org/spreadsheetml/2006/main" count="340" uniqueCount="148">
  <si>
    <t>PUGET SOUND ENERGY</t>
  </si>
  <si>
    <t>Total</t>
  </si>
  <si>
    <t>LINE</t>
  </si>
  <si>
    <t>NO.</t>
  </si>
  <si>
    <t>DESCRIPTION</t>
  </si>
  <si>
    <t>EMPLOYEE INSURANCE</t>
  </si>
  <si>
    <t>Electric</t>
  </si>
  <si>
    <t>Gas</t>
  </si>
  <si>
    <t>BENEFIT CONTRIBUTION:</t>
  </si>
  <si>
    <t>INCREASE(DECREASE) FIT @</t>
  </si>
  <si>
    <t>INCREASE(DECREASE) NOI</t>
  </si>
  <si>
    <t>DETERMINATION OF FLEX CREDITS EXPENSE</t>
  </si>
  <si>
    <t>Actual Flex Credits from Payroll runs</t>
  </si>
  <si>
    <t>INCREASE(DECREASE) OPERATING EXPENSE</t>
  </si>
  <si>
    <t>O&amp;M Flex Credits (Line 1 X Line 2)</t>
  </si>
  <si>
    <t>Direct Labor O&amp;M %</t>
  </si>
  <si>
    <t>PUGET SOUND ENERGY-ELECTRIC</t>
  </si>
  <si>
    <t>Description</t>
  </si>
  <si>
    <t xml:space="preserve"> Distribution</t>
  </si>
  <si>
    <t>Method</t>
  </si>
  <si>
    <t>*</t>
  </si>
  <si>
    <t>12 Month Average Number of Customers</t>
  </si>
  <si>
    <t>updated</t>
  </si>
  <si>
    <t>Percent</t>
  </si>
  <si>
    <t>Joint Meter Reading Customers</t>
  </si>
  <si>
    <t>Non-Production Plant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</si>
  <si>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</si>
  <si>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</si>
  <si>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</si>
  <si>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</si>
  <si>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</si>
  <si>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</si>
  <si>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</si>
  <si>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</si>
  <si>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</si>
  <si>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</si>
  <si>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</si>
  <si>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</si>
  <si>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SAP Report KSB1</t>
  </si>
  <si>
    <t xml:space="preserve"> </t>
  </si>
  <si>
    <t>Layout                    1SAP         Primary cost posting</t>
  </si>
  <si>
    <t>Cost Center               280          Labor Benefits OH</t>
  </si>
  <si>
    <t>Report currency           USD          US Dollar</t>
  </si>
  <si>
    <t>Cost element name</t>
  </si>
  <si>
    <t>Flex Benefits Credit</t>
  </si>
  <si>
    <t>Payroll-Wages Payabl</t>
  </si>
  <si>
    <t>Payroll - Suspense</t>
  </si>
  <si>
    <t>UNION EMPLOYEES</t>
  </si>
  <si>
    <t>UA</t>
  </si>
  <si>
    <t>Salaried</t>
  </si>
  <si>
    <t>IBEW</t>
  </si>
  <si>
    <t>Note</t>
  </si>
  <si>
    <t>Group</t>
  </si>
  <si>
    <t>Employee Benefits Allocation</t>
  </si>
  <si>
    <t>Non-Union</t>
  </si>
  <si>
    <t>PRO FORMA INSURANCE COSTS</t>
  </si>
  <si>
    <t>APPLICABLE TO OPERATIONS @</t>
  </si>
  <si>
    <t xml:space="preserve">Electric </t>
  </si>
  <si>
    <t xml:space="preserve">Gas </t>
  </si>
  <si>
    <t>Monthly Total</t>
  </si>
  <si>
    <t>As Filed</t>
  </si>
  <si>
    <t>Non-Represented</t>
  </si>
  <si>
    <t>UA Represented</t>
  </si>
  <si>
    <t>IBEW Represented</t>
  </si>
  <si>
    <t>EE</t>
  </si>
  <si>
    <t>Family</t>
  </si>
  <si>
    <t>Opt Out</t>
  </si>
  <si>
    <t>% Fam</t>
  </si>
  <si>
    <t>Monthly Avg</t>
  </si>
  <si>
    <t>Overall Average</t>
  </si>
  <si>
    <t>Rates</t>
  </si>
  <si>
    <t>Insurance Participation</t>
  </si>
  <si>
    <t>Average Participation</t>
  </si>
  <si>
    <t>Data from SAP Report ZHRBNLST</t>
  </si>
  <si>
    <t>Includes all benefits-eligible employees.</t>
  </si>
  <si>
    <t>2015 Flex Credits</t>
  </si>
  <si>
    <t>PUGET SOUND ENERGY-GAS</t>
  </si>
  <si>
    <t>Cash-Key Bank-Tri-Ad</t>
  </si>
  <si>
    <t>Relocation</t>
  </si>
  <si>
    <t>GH Self-Ins IBNR</t>
  </si>
  <si>
    <t>Regnce Self-Ins IBNR</t>
  </si>
  <si>
    <t xml:space="preserve">Total Flex Benefits Credit </t>
  </si>
  <si>
    <t>AMOUNT</t>
  </si>
  <si>
    <t>Average Rate*</t>
  </si>
  <si>
    <t>Annual Cost - Basic Life and LTD</t>
  </si>
  <si>
    <t>Basic Life - NR &amp; UA</t>
  </si>
  <si>
    <t>Basic Life - IBEW</t>
  </si>
  <si>
    <t>Basic Life - LTD participants</t>
  </si>
  <si>
    <t>Basic Life - Total</t>
  </si>
  <si>
    <t xml:space="preserve">  LTD - Executive</t>
  </si>
  <si>
    <t xml:space="preserve">  LTD - IBEW</t>
  </si>
  <si>
    <t xml:space="preserve">  LTD - NR</t>
  </si>
  <si>
    <t xml:space="preserve">  LTD - UA</t>
  </si>
  <si>
    <t>Costs represent actual invoice details, may not include adjustments for new hires, terminations, etc.</t>
  </si>
  <si>
    <t>Oct-Dec 2014 life premiums were paid to Sun Life and LTD premiums were paid to Reliance Standard.</t>
  </si>
  <si>
    <t>Annual Cost - Wellness Credits</t>
  </si>
  <si>
    <t>NR</t>
  </si>
  <si>
    <t xml:space="preserve">Wellness credit eligibility: 2014 NR employees only; 2015 NR &amp; UA employees/spouses; </t>
  </si>
  <si>
    <t xml:space="preserve"> (Avg Rate X 12 Months X Number of Employees)</t>
  </si>
  <si>
    <t>Total Flexible Credits</t>
  </si>
  <si>
    <t>Total Flexible Credits Union Employees</t>
  </si>
  <si>
    <t xml:space="preserve">Flexible Credits for Union </t>
  </si>
  <si>
    <t>Basic Life Insurance for Union</t>
  </si>
  <si>
    <t>Long Term Disability for Union</t>
  </si>
  <si>
    <t>Wellness Credits for Union</t>
  </si>
  <si>
    <t>Total Wellness Credits</t>
  </si>
  <si>
    <t>Total Basic Life Insurance</t>
  </si>
  <si>
    <t>Total Benefit Contribution for Salaried Employees</t>
  </si>
  <si>
    <t>Total Benefit Contribution for Union Employees</t>
  </si>
  <si>
    <t>PROFORMA SUMMARY</t>
  </si>
  <si>
    <t>Total Long Term Disability Insurance</t>
  </si>
  <si>
    <t>IBEW*</t>
  </si>
  <si>
    <t>PUGET SOUND ENERGY-ELECTRIC &amp; GAS</t>
  </si>
  <si>
    <t>ALLOCATION METHODS</t>
  </si>
  <si>
    <t>FOR THE TWELVE MONTHS ENDED SEPTEMBER 30, 2016</t>
  </si>
  <si>
    <t>Test Year 12 Months Ended September 2016</t>
  </si>
  <si>
    <t>Cost Elem.</t>
  </si>
  <si>
    <t xml:space="preserve">     Val.in RC</t>
  </si>
  <si>
    <t>Offst.acct</t>
  </si>
  <si>
    <t>Offset. acct name</t>
  </si>
  <si>
    <t>Postg Date</t>
  </si>
  <si>
    <t>IBEW - PTO</t>
  </si>
  <si>
    <t>Test Year: 12 Months Ended September 30, 2016</t>
  </si>
  <si>
    <t>Test Year: October 2015 - September 2016</t>
  </si>
  <si>
    <t>2016 Flex Credits</t>
  </si>
  <si>
    <t>Test Period (Oct 2015-Sept 2016) Average Participation</t>
  </si>
  <si>
    <t>Actual Premium Paid: Oct 2015 - Sept 2016</t>
  </si>
  <si>
    <t>Actual Credits Paid:
Sept 2016</t>
  </si>
  <si>
    <t>*Starting Jan 2016, IBEW employees/spouses became eligible and family credits are paid to all employees who only cover children.</t>
  </si>
  <si>
    <t xml:space="preserve">     Basic Life - NR Estimate</t>
  </si>
  <si>
    <t xml:space="preserve">     Basic Life - UA Estimate</t>
  </si>
  <si>
    <t xml:space="preserve">     Basic Life - LTD NR </t>
  </si>
  <si>
    <t xml:space="preserve">     Basic Life - LTD UA </t>
  </si>
  <si>
    <t xml:space="preserve">     Basic Life - LTD IBEW</t>
  </si>
  <si>
    <t>BASIC LIFE INSURANCE</t>
  </si>
  <si>
    <t>LONG TERM-DISABILITY</t>
  </si>
  <si>
    <t>Moved to MetLife 1/1/2015. (Basic Life premium cost for Non-represented and UA-represented are billed together and not available separately; estimated based on covered salaries.)</t>
  </si>
  <si>
    <t>October 2015 - September 2016 Test Period</t>
  </si>
  <si>
    <t>Long Term Disability - Total</t>
  </si>
  <si>
    <t>CHARGED TO EXPENSE - 12 MONTH ENDED SEPT 2016</t>
  </si>
  <si>
    <t>2017 GENERAL RATE INCREASE</t>
  </si>
  <si>
    <t>Average Test Year</t>
  </si>
  <si>
    <t>September 2016 Annualized</t>
  </si>
  <si>
    <t>NON-UNION EMPLOYEES</t>
  </si>
  <si>
    <t>Flexible Credits for Non-Union Employees</t>
  </si>
  <si>
    <t>Basic Life Insurance for Non-Union Employees</t>
  </si>
  <si>
    <t>Long Term Disability for Non-Union</t>
  </si>
  <si>
    <t>Wellness Credits for Non-Union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</si>
</sst>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$&quot;#,##0"/>
    <numFmt numFmtId="169" formatCode="_(&quot;$&quot;* #,##0.0000_);_(&quot;$&quot;* \(#,##0.0000\);_(&quot;$&quot;* &quot;-&quot;????_);_(@_)"/>
    <numFmt numFmtId="170" formatCode="_(&quot;$&quot;* #,##0.0_);_(&quot;$&quot;* \(#,##0.0\);_(&quot;$&quot;* &quot;-&quot;??_);_(@_)"/>
    <numFmt numFmtId="171" formatCode="mmmm\ d\,\ yyyy"/>
    <numFmt numFmtId="172" formatCode="0.00_)"/>
    <numFmt numFmtId="173" formatCode="&quot;$&quot;#,##0;\-&quot;$&quot;#,##0"/>
    <numFmt numFmtId="174" formatCode="0.0000000"/>
    <numFmt numFmtId="175" formatCode="_(* #,##0.0_);_(* \(#,##0.0\);_(* &quot;-&quot;_);_(@_)"/>
    <numFmt numFmtId="176" formatCode="[$-409]mmm\-yy;@"/>
    <numFmt numFmtId="177" formatCode="_(* #,##0.00000_);_(* \(#,##0.00000\);_(* &quot;-&quot;??_);_(@_)"/>
    <numFmt numFmtId="178" formatCode="d\.mmm\.yy"/>
    <numFmt numFmtId="179" formatCode="#."/>
    <numFmt numFmtId="180" formatCode="_(* ###0_);_(* \(###0\);_(* &quot;-&quot;_);_(@_)"/>
    <numFmt numFmtId="181" formatCode="&quot;$&quot;#,##0.00"/>
    <numFmt numFmtId="182" formatCode="_([$€-2]* #,##0.00_);_([$€-2]* \(#,##0.00\);_([$€-2]* &quot;-&quot;??_)"/>
    <numFmt numFmtId="183" formatCode="0000"/>
    <numFmt numFmtId="184" formatCode="000000"/>
    <numFmt numFmtId="185" formatCode="_(&quot;$&quot;* #,##0.00000_);_(&quot;$&quot;* \(#,##0.00000\);_(&quot;$&quot;* &quot;-&quot;?????_);_(@_)"/>
  </numFmts>
  <fonts count="9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univers (E1)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0"/>
      <color indexed="2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Courier"/>
      <family val="3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i/>
      <sz val="9"/>
      <name val="Arial"/>
      <family val="2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b/>
      <u/>
      <sz val="10"/>
      <color rgb="FF0000FF"/>
      <name val="Arial"/>
      <family val="2"/>
    </font>
    <font>
      <b/>
      <i/>
      <sz val="10"/>
      <color rgb="FF0000FF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30">
    <xf numFmtId="167" fontId="0" fillId="0" borderId="0">
      <alignment horizontal="left" wrapText="1"/>
    </xf>
    <xf numFmtId="0" fontId="6" fillId="0" borderId="0"/>
    <xf numFmtId="17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67" fontId="6" fillId="0" borderId="0">
      <alignment horizontal="left" wrapText="1"/>
    </xf>
    <xf numFmtId="174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12" fillId="0" borderId="0"/>
    <xf numFmtId="0" fontId="12" fillId="0" borderId="0"/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0" fontId="12" fillId="0" borderId="0"/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67" fontId="6" fillId="0" borderId="0">
      <alignment horizontal="left" wrapText="1"/>
    </xf>
    <xf numFmtId="0" fontId="12" fillId="0" borderId="0"/>
    <xf numFmtId="0" fontId="12" fillId="0" borderId="0"/>
    <xf numFmtId="177" fontId="6" fillId="0" borderId="0">
      <alignment horizontal="left" wrapText="1"/>
    </xf>
    <xf numFmtId="17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74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0" fontId="12" fillId="0" borderId="0"/>
    <xf numFmtId="0" fontId="12" fillId="0" borderId="0"/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12" fillId="0" borderId="0"/>
    <xf numFmtId="183" fontId="50" fillId="0" borderId="0">
      <alignment horizontal="left"/>
    </xf>
    <xf numFmtId="184" fontId="51" fillId="0" borderId="0">
      <alignment horizontal="left"/>
    </xf>
    <xf numFmtId="0" fontId="64" fillId="38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64" fillId="39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64" fillId="4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64" fillId="41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64" fillId="42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64" fillId="43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64" fillId="4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64" fillId="45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64" fillId="4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64" fillId="4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64" fillId="4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64" fillId="4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65" fillId="50" borderId="0" applyNumberFormat="0" applyBorder="0" applyAlignment="0" applyProtection="0"/>
    <xf numFmtId="0" fontId="65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4" borderId="0" applyNumberFormat="0" applyBorder="0" applyAlignment="0" applyProtection="0"/>
    <xf numFmtId="0" fontId="65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58" borderId="0" applyNumberFormat="0" applyBorder="0" applyAlignment="0" applyProtection="0"/>
    <xf numFmtId="0" fontId="65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66" fillId="62" borderId="0" applyNumberFormat="0" applyBorder="0" applyAlignment="0" applyProtection="0"/>
    <xf numFmtId="0" fontId="51" fillId="0" borderId="0" applyFont="0" applyFill="0" applyBorder="0" applyAlignment="0" applyProtection="0">
      <alignment horizontal="right"/>
    </xf>
    <xf numFmtId="178" fontId="18" fillId="0" borderId="0" applyFill="0" applyBorder="0" applyAlignment="0"/>
    <xf numFmtId="0" fontId="67" fillId="63" borderId="35" applyNumberFormat="0" applyAlignment="0" applyProtection="0"/>
    <xf numFmtId="0" fontId="68" fillId="64" borderId="36" applyNumberFormat="0" applyAlignment="0" applyProtection="0"/>
    <xf numFmtId="41" fontId="6" fillId="12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9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79" fontId="23" fillId="0" borderId="0">
      <protection locked="0"/>
    </xf>
    <xf numFmtId="0" fontId="22" fillId="0" borderId="0"/>
    <xf numFmtId="0" fontId="24" fillId="0" borderId="0" applyNumberFormat="0" applyAlignment="0">
      <alignment horizontal="left"/>
    </xf>
    <xf numFmtId="0" fontId="25" fillId="0" borderId="0" applyNumberFormat="0" applyAlignment="0"/>
    <xf numFmtId="0" fontId="21" fillId="0" borderId="0"/>
    <xf numFmtId="0" fontId="22" fillId="0" borderId="0"/>
    <xf numFmtId="0" fontId="21" fillId="0" borderId="0"/>
    <xf numFmtId="0" fontId="2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19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7" fontId="1" fillId="0" borderId="0"/>
    <xf numFmtId="182" fontId="6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21" fillId="0" borderId="0"/>
    <xf numFmtId="0" fontId="70" fillId="65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170" fontId="52" fillId="0" borderId="0" applyNumberFormat="0" applyFill="0" applyBorder="0" applyProtection="0">
      <alignment horizontal="right"/>
    </xf>
    <xf numFmtId="0" fontId="26" fillId="0" borderId="1" applyNumberFormat="0" applyAlignment="0" applyProtection="0">
      <alignment horizontal="left"/>
    </xf>
    <xf numFmtId="0" fontId="26" fillId="0" borderId="2">
      <alignment horizontal="left"/>
    </xf>
    <xf numFmtId="14" fontId="2" fillId="13" borderId="3">
      <alignment horizontal="center" vertical="center" wrapText="1"/>
    </xf>
    <xf numFmtId="0" fontId="71" fillId="0" borderId="37" applyNumberFormat="0" applyFill="0" applyAlignment="0" applyProtection="0"/>
    <xf numFmtId="0" fontId="72" fillId="0" borderId="38" applyNumberFormat="0" applyFill="0" applyAlignment="0" applyProtection="0"/>
    <xf numFmtId="0" fontId="73" fillId="0" borderId="39" applyNumberFormat="0" applyFill="0" applyAlignment="0" applyProtection="0"/>
    <xf numFmtId="0" fontId="73" fillId="0" borderId="0" applyNumberFormat="0" applyFill="0" applyBorder="0" applyAlignment="0" applyProtection="0"/>
    <xf numFmtId="38" fontId="9" fillId="0" borderId="0"/>
    <xf numFmtId="40" fontId="9" fillId="0" borderId="0"/>
    <xf numFmtId="0" fontId="74" fillId="66" borderId="35" applyNumberFormat="0" applyAlignment="0" applyProtection="0"/>
    <xf numFmtId="10" fontId="7" fillId="14" borderId="4" applyNumberFormat="0" applyBorder="0" applyAlignment="0" applyProtection="0"/>
    <xf numFmtId="10" fontId="7" fillId="14" borderId="4" applyNumberFormat="0" applyBorder="0" applyAlignment="0" applyProtection="0"/>
    <xf numFmtId="10" fontId="7" fillId="14" borderId="4" applyNumberFormat="0" applyBorder="0" applyAlignment="0" applyProtection="0"/>
    <xf numFmtId="10" fontId="7" fillId="14" borderId="4" applyNumberFormat="0" applyBorder="0" applyAlignment="0" applyProtection="0"/>
    <xf numFmtId="41" fontId="27" fillId="15" borderId="5">
      <alignment horizontal="left"/>
      <protection locked="0"/>
    </xf>
    <xf numFmtId="10" fontId="27" fillId="15" borderId="5">
      <alignment horizontal="right"/>
      <protection locked="0"/>
    </xf>
    <xf numFmtId="41" fontId="27" fillId="15" borderId="5">
      <alignment horizontal="left"/>
      <protection locked="0"/>
    </xf>
    <xf numFmtId="0" fontId="7" fillId="12" borderId="0"/>
    <xf numFmtId="3" fontId="28" fillId="0" borderId="0" applyFill="0" applyBorder="0" applyAlignment="0" applyProtection="0"/>
    <xf numFmtId="0" fontId="75" fillId="0" borderId="40" applyNumberFormat="0" applyFill="0" applyAlignment="0" applyProtection="0"/>
    <xf numFmtId="44" fontId="10" fillId="0" borderId="6" applyNumberFormat="0" applyFont="0" applyAlignment="0">
      <alignment horizontal="center"/>
    </xf>
    <xf numFmtId="44" fontId="2" fillId="0" borderId="6" applyNumberFormat="0" applyFont="0" applyAlignment="0">
      <alignment horizontal="center"/>
    </xf>
    <xf numFmtId="44" fontId="2" fillId="0" borderId="6" applyNumberFormat="0" applyFont="0" applyAlignment="0">
      <alignment horizontal="center"/>
    </xf>
    <xf numFmtId="44" fontId="2" fillId="0" borderId="6" applyNumberFormat="0" applyFont="0" applyAlignment="0">
      <alignment horizontal="center"/>
    </xf>
    <xf numFmtId="44" fontId="10" fillId="0" borderId="7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0" fontId="76" fillId="67" borderId="0" applyNumberFormat="0" applyBorder="0" applyAlignment="0" applyProtection="0"/>
    <xf numFmtId="37" fontId="29" fillId="0" borderId="0"/>
    <xf numFmtId="172" fontId="11" fillId="0" borderId="0"/>
    <xf numFmtId="173" fontId="6" fillId="0" borderId="0"/>
    <xf numFmtId="173" fontId="6" fillId="0" borderId="0"/>
    <xf numFmtId="17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6" fillId="0" borderId="0">
      <alignment horizontal="left" wrapText="1"/>
    </xf>
    <xf numFmtId="0" fontId="6" fillId="0" borderId="0"/>
    <xf numFmtId="0" fontId="15" fillId="0" borderId="0"/>
    <xf numFmtId="0" fontId="15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1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9" fillId="0" borderId="0"/>
    <xf numFmtId="0" fontId="49" fillId="0" borderId="0"/>
    <xf numFmtId="167" fontId="6" fillId="0" borderId="0">
      <alignment horizontal="left" wrapText="1"/>
    </xf>
    <xf numFmtId="0" fontId="58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58" fillId="0" borderId="0"/>
    <xf numFmtId="0" fontId="30" fillId="0" borderId="0"/>
    <xf numFmtId="0" fontId="15" fillId="0" borderId="0"/>
    <xf numFmtId="0" fontId="15" fillId="0" borderId="0"/>
    <xf numFmtId="176" fontId="6" fillId="0" borderId="0">
      <alignment horizontal="left" wrapText="1"/>
    </xf>
    <xf numFmtId="176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67" fontId="16" fillId="0" borderId="0">
      <alignment horizontal="left" wrapText="1"/>
    </xf>
    <xf numFmtId="0" fontId="13" fillId="0" borderId="0"/>
    <xf numFmtId="171" fontId="6" fillId="0" borderId="0">
      <alignment horizontal="left" wrapText="1"/>
    </xf>
    <xf numFmtId="0" fontId="6" fillId="0" borderId="0"/>
    <xf numFmtId="0" fontId="15" fillId="16" borderId="8" applyNumberFormat="0" applyFont="0" applyAlignment="0" applyProtection="0"/>
    <xf numFmtId="0" fontId="15" fillId="16" borderId="8" applyNumberFormat="0" applyFont="0" applyAlignment="0" applyProtection="0"/>
    <xf numFmtId="0" fontId="15" fillId="16" borderId="8" applyNumberFormat="0" applyFont="0" applyAlignment="0" applyProtection="0"/>
    <xf numFmtId="0" fontId="46" fillId="68" borderId="41" applyNumberFormat="0" applyFont="0" applyAlignment="0" applyProtection="0"/>
    <xf numFmtId="0" fontId="46" fillId="68" borderId="41" applyNumberFormat="0" applyFont="0" applyAlignment="0" applyProtection="0"/>
    <xf numFmtId="0" fontId="64" fillId="68" borderId="41" applyNumberFormat="0" applyFont="0" applyAlignment="0" applyProtection="0"/>
    <xf numFmtId="0" fontId="46" fillId="68" borderId="41" applyNumberFormat="0" applyFont="0" applyAlignment="0" applyProtection="0"/>
    <xf numFmtId="0" fontId="46" fillId="68" borderId="41" applyNumberFormat="0" applyFont="0" applyAlignment="0" applyProtection="0"/>
    <xf numFmtId="0" fontId="46" fillId="68" borderId="41" applyNumberFormat="0" applyFont="0" applyAlignment="0" applyProtection="0"/>
    <xf numFmtId="0" fontId="64" fillId="68" borderId="41" applyNumberFormat="0" applyFont="0" applyAlignment="0" applyProtection="0"/>
    <xf numFmtId="0" fontId="15" fillId="16" borderId="8" applyNumberFormat="0" applyFont="0" applyAlignment="0" applyProtection="0"/>
    <xf numFmtId="0" fontId="15" fillId="16" borderId="8" applyNumberFormat="0" applyFont="0" applyAlignment="0" applyProtection="0"/>
    <xf numFmtId="0" fontId="77" fillId="63" borderId="42" applyNumberFormat="0" applyAlignment="0" applyProtection="0"/>
    <xf numFmtId="0" fontId="21" fillId="0" borderId="0"/>
    <xf numFmtId="0" fontId="21" fillId="0" borderId="0"/>
    <xf numFmtId="0" fontId="22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6" fillId="17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18" borderId="0" applyNumberFormat="0" applyFont="0" applyBorder="0" applyAlignment="0" applyProtection="0"/>
    <xf numFmtId="0" fontId="22" fillId="0" borderId="0"/>
    <xf numFmtId="3" fontId="33" fillId="0" borderId="0" applyFill="0" applyBorder="0" applyAlignment="0" applyProtection="0"/>
    <xf numFmtId="0" fontId="34" fillId="0" borderId="0"/>
    <xf numFmtId="3" fontId="33" fillId="0" borderId="0" applyFill="0" applyBorder="0" applyAlignment="0" applyProtection="0"/>
    <xf numFmtId="42" fontId="6" fillId="14" borderId="0"/>
    <xf numFmtId="42" fontId="6" fillId="14" borderId="10">
      <alignment vertical="center"/>
    </xf>
    <xf numFmtId="0" fontId="2" fillId="14" borderId="11" applyNumberFormat="0">
      <alignment horizontal="center" vertical="center" wrapText="1"/>
    </xf>
    <xf numFmtId="10" fontId="6" fillId="14" borderId="0"/>
    <xf numFmtId="169" fontId="6" fillId="14" borderId="0"/>
    <xf numFmtId="165" fontId="9" fillId="0" borderId="0" applyBorder="0" applyAlignment="0"/>
    <xf numFmtId="42" fontId="6" fillId="14" borderId="12">
      <alignment horizontal="left"/>
    </xf>
    <xf numFmtId="169" fontId="35" fillId="14" borderId="12">
      <alignment horizontal="left"/>
    </xf>
    <xf numFmtId="165" fontId="9" fillId="0" borderId="0" applyBorder="0" applyAlignment="0"/>
    <xf numFmtId="14" fontId="16" fillId="0" borderId="0" applyNumberFormat="0" applyFill="0" applyBorder="0" applyAlignment="0" applyProtection="0">
      <alignment horizontal="left"/>
    </xf>
    <xf numFmtId="175" fontId="6" fillId="0" borderId="0" applyFont="0" applyFill="0" applyAlignment="0">
      <alignment horizontal="right"/>
    </xf>
    <xf numFmtId="4" fontId="17" fillId="15" borderId="9" applyNumberFormat="0" applyProtection="0">
      <alignment vertical="center"/>
    </xf>
    <xf numFmtId="4" fontId="53" fillId="15" borderId="9" applyNumberFormat="0" applyProtection="0">
      <alignment vertical="center"/>
    </xf>
    <xf numFmtId="4" fontId="17" fillId="15" borderId="9" applyNumberFormat="0" applyProtection="0">
      <alignment horizontal="left" vertical="center" indent="1"/>
    </xf>
    <xf numFmtId="4" fontId="17" fillId="15" borderId="9" applyNumberFormat="0" applyProtection="0">
      <alignment horizontal="left" vertical="center" indent="1"/>
    </xf>
    <xf numFmtId="0" fontId="6" fillId="19" borderId="9" applyNumberFormat="0" applyProtection="0">
      <alignment horizontal="left" vertical="center" indent="1"/>
    </xf>
    <xf numFmtId="0" fontId="6" fillId="20" borderId="0" applyNumberFormat="0" applyProtection="0">
      <alignment horizontal="left" vertical="center" indent="1"/>
    </xf>
    <xf numFmtId="4" fontId="17" fillId="21" borderId="9" applyNumberFormat="0" applyProtection="0">
      <alignment horizontal="right" vertical="center"/>
    </xf>
    <xf numFmtId="4" fontId="17" fillId="22" borderId="9" applyNumberFormat="0" applyProtection="0">
      <alignment horizontal="right" vertical="center"/>
    </xf>
    <xf numFmtId="4" fontId="17" fillId="23" borderId="9" applyNumberFormat="0" applyProtection="0">
      <alignment horizontal="right" vertical="center"/>
    </xf>
    <xf numFmtId="4" fontId="17" fillId="24" borderId="9" applyNumberFormat="0" applyProtection="0">
      <alignment horizontal="right" vertical="center"/>
    </xf>
    <xf numFmtId="4" fontId="17" fillId="25" borderId="9" applyNumberFormat="0" applyProtection="0">
      <alignment horizontal="right" vertical="center"/>
    </xf>
    <xf numFmtId="4" fontId="17" fillId="26" borderId="9" applyNumberFormat="0" applyProtection="0">
      <alignment horizontal="right" vertical="center"/>
    </xf>
    <xf numFmtId="4" fontId="17" fillId="27" borderId="9" applyNumberFormat="0" applyProtection="0">
      <alignment horizontal="right" vertical="center"/>
    </xf>
    <xf numFmtId="4" fontId="17" fillId="28" borderId="9" applyNumberFormat="0" applyProtection="0">
      <alignment horizontal="right" vertical="center"/>
    </xf>
    <xf numFmtId="4" fontId="17" fillId="29" borderId="9" applyNumberFormat="0" applyProtection="0">
      <alignment horizontal="right" vertical="center"/>
    </xf>
    <xf numFmtId="4" fontId="54" fillId="30" borderId="9" applyNumberFormat="0" applyProtection="0">
      <alignment horizontal="left" vertical="center" indent="1"/>
    </xf>
    <xf numFmtId="4" fontId="17" fillId="31" borderId="13" applyNumberFormat="0" applyProtection="0">
      <alignment horizontal="left" vertical="center" indent="1"/>
    </xf>
    <xf numFmtId="4" fontId="55" fillId="32" borderId="0" applyNumberFormat="0" applyProtection="0">
      <alignment horizontal="left" vertical="center" indent="1"/>
    </xf>
    <xf numFmtId="0" fontId="6" fillId="19" borderId="9" applyNumberFormat="0" applyProtection="0">
      <alignment horizontal="left" vertical="center" indent="1"/>
    </xf>
    <xf numFmtId="4" fontId="17" fillId="31" borderId="9" applyNumberFormat="0" applyProtection="0">
      <alignment horizontal="left" vertical="center" indent="1"/>
    </xf>
    <xf numFmtId="4" fontId="17" fillId="33" borderId="9" applyNumberFormat="0" applyProtection="0">
      <alignment horizontal="left" vertical="center" indent="1"/>
    </xf>
    <xf numFmtId="0" fontId="6" fillId="33" borderId="9" applyNumberFormat="0" applyProtection="0">
      <alignment horizontal="left" vertical="center" indent="1"/>
    </xf>
    <xf numFmtId="0" fontId="6" fillId="33" borderId="9" applyNumberFormat="0" applyProtection="0">
      <alignment horizontal="left" vertical="center" indent="1"/>
    </xf>
    <xf numFmtId="0" fontId="6" fillId="34" borderId="9" applyNumberFormat="0" applyProtection="0">
      <alignment horizontal="left" vertical="center" indent="1"/>
    </xf>
    <xf numFmtId="0" fontId="6" fillId="34" borderId="9" applyNumberFormat="0" applyProtection="0">
      <alignment horizontal="left" vertical="center" indent="1"/>
    </xf>
    <xf numFmtId="0" fontId="6" fillId="12" borderId="9" applyNumberFormat="0" applyProtection="0">
      <alignment horizontal="left" vertical="center" indent="1"/>
    </xf>
    <xf numFmtId="0" fontId="6" fillId="12" borderId="9" applyNumberFormat="0" applyProtection="0">
      <alignment horizontal="left" vertical="center" indent="1"/>
    </xf>
    <xf numFmtId="0" fontId="6" fillId="19" borderId="9" applyNumberFormat="0" applyProtection="0">
      <alignment horizontal="left" vertical="center" indent="1"/>
    </xf>
    <xf numFmtId="0" fontId="6" fillId="19" borderId="9" applyNumberFormat="0" applyProtection="0">
      <alignment horizontal="left" vertical="center" indent="1"/>
    </xf>
    <xf numFmtId="0" fontId="6" fillId="0" borderId="0"/>
    <xf numFmtId="4" fontId="17" fillId="35" borderId="9" applyNumberFormat="0" applyProtection="0">
      <alignment vertical="center"/>
    </xf>
    <xf numFmtId="4" fontId="53" fillId="35" borderId="9" applyNumberFormat="0" applyProtection="0">
      <alignment vertical="center"/>
    </xf>
    <xf numFmtId="4" fontId="17" fillId="35" borderId="9" applyNumberFormat="0" applyProtection="0">
      <alignment horizontal="left" vertical="center" indent="1"/>
    </xf>
    <xf numFmtId="4" fontId="17" fillId="35" borderId="9" applyNumberFormat="0" applyProtection="0">
      <alignment horizontal="left" vertical="center" indent="1"/>
    </xf>
    <xf numFmtId="4" fontId="17" fillId="31" borderId="9" applyNumberFormat="0" applyProtection="0">
      <alignment horizontal="right" vertical="center"/>
    </xf>
    <xf numFmtId="4" fontId="53" fillId="31" borderId="9" applyNumberFormat="0" applyProtection="0">
      <alignment horizontal="right" vertical="center"/>
    </xf>
    <xf numFmtId="0" fontId="6" fillId="19" borderId="9" applyNumberFormat="0" applyProtection="0">
      <alignment horizontal="left" vertical="center" indent="1"/>
    </xf>
    <xf numFmtId="0" fontId="6" fillId="19" borderId="9" applyNumberFormat="0" applyProtection="0">
      <alignment horizontal="left" vertical="center" indent="1"/>
    </xf>
    <xf numFmtId="0" fontId="56" fillId="0" borderId="0"/>
    <xf numFmtId="4" fontId="48" fillId="31" borderId="9" applyNumberFormat="0" applyProtection="0">
      <alignment horizontal="right" vertical="center"/>
    </xf>
    <xf numFmtId="39" fontId="6" fillId="36" borderId="0"/>
    <xf numFmtId="38" fontId="7" fillId="0" borderId="14"/>
    <xf numFmtId="38" fontId="7" fillId="0" borderId="14"/>
    <xf numFmtId="38" fontId="7" fillId="0" borderId="14"/>
    <xf numFmtId="38" fontId="7" fillId="0" borderId="14"/>
    <xf numFmtId="38" fontId="9" fillId="0" borderId="12"/>
    <xf numFmtId="39" fontId="16" fillId="37" borderId="0"/>
    <xf numFmtId="167" fontId="6" fillId="0" borderId="0">
      <alignment horizontal="left" wrapText="1"/>
    </xf>
    <xf numFmtId="17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58" fillId="0" borderId="0">
      <alignment horizontal="left" wrapText="1"/>
    </xf>
    <xf numFmtId="167" fontId="6" fillId="0" borderId="0">
      <alignment horizontal="left" wrapText="1"/>
    </xf>
    <xf numFmtId="40" fontId="36" fillId="0" borderId="0" applyBorder="0">
      <alignment horizontal="right"/>
    </xf>
    <xf numFmtId="41" fontId="37" fillId="14" borderId="0">
      <alignment horizontal="left"/>
    </xf>
    <xf numFmtId="0" fontId="57" fillId="0" borderId="0"/>
    <xf numFmtId="0" fontId="47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181" fontId="38" fillId="14" borderId="0">
      <alignment horizontal="left" vertical="center"/>
    </xf>
    <xf numFmtId="0" fontId="2" fillId="14" borderId="0">
      <alignment horizontal="left" wrapText="1"/>
    </xf>
    <xf numFmtId="0" fontId="39" fillId="0" borderId="0">
      <alignment horizontal="left" vertical="center"/>
    </xf>
    <xf numFmtId="0" fontId="79" fillId="0" borderId="43" applyNumberFormat="0" applyFill="0" applyAlignment="0" applyProtection="0"/>
    <xf numFmtId="0" fontId="22" fillId="0" borderId="15"/>
    <xf numFmtId="0" fontId="80" fillId="0" borderId="0" applyNumberFormat="0" applyFill="0" applyBorder="0" applyAlignment="0" applyProtection="0"/>
  </cellStyleXfs>
  <cellXfs count="398">
    <xf numFmtId="0" fontId="0" fillId="0" borderId="0" xfId="0" applyNumberFormat="1" applyAlignment="1"/>
    <xf numFmtId="167" fontId="1" fillId="0" borderId="0" xfId="0" applyFont="1">
      <alignment horizontal="left" wrapText="1"/>
    </xf>
    <xf numFmtId="167" fontId="4" fillId="0" borderId="0" xfId="0" applyFont="1" applyFill="1" applyAlignment="1"/>
    <xf numFmtId="167" fontId="4" fillId="0" borderId="0" xfId="0" applyFont="1" applyAlignment="1" applyProtection="1">
      <alignment horizontal="centerContinuous"/>
      <protection locked="0"/>
    </xf>
    <xf numFmtId="167" fontId="4" fillId="0" borderId="0" xfId="0" applyFont="1" applyFill="1" applyAlignment="1">
      <alignment horizontal="centerContinuous"/>
    </xf>
    <xf numFmtId="15" fontId="4" fillId="0" borderId="0" xfId="0" applyNumberFormat="1" applyFont="1" applyFill="1" applyAlignment="1">
      <alignment horizontal="centerContinuous"/>
    </xf>
    <xf numFmtId="167" fontId="4" fillId="0" borderId="0" xfId="0" applyFont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167" fontId="4" fillId="0" borderId="0" xfId="0" applyFont="1" applyFill="1" applyAlignment="1" applyProtection="1">
      <alignment horizontal="right"/>
      <protection locked="0"/>
    </xf>
    <xf numFmtId="167" fontId="4" fillId="0" borderId="0" xfId="0" applyFont="1" applyFill="1" applyAlignment="1" applyProtection="1">
      <protection locked="0"/>
    </xf>
    <xf numFmtId="167" fontId="4" fillId="0" borderId="0" xfId="0" applyFont="1" applyFill="1" applyAlignment="1">
      <alignment horizontal="center"/>
    </xf>
    <xf numFmtId="167" fontId="4" fillId="0" borderId="11" xfId="0" applyFont="1" applyFill="1" applyBorder="1" applyAlignment="1">
      <alignment horizontal="center"/>
    </xf>
    <xf numFmtId="167" fontId="4" fillId="0" borderId="11" xfId="0" applyFont="1" applyFill="1" applyBorder="1" applyAlignment="1"/>
    <xf numFmtId="167" fontId="3" fillId="0" borderId="0" xfId="0" applyFont="1" applyFill="1" applyAlignment="1"/>
    <xf numFmtId="167" fontId="3" fillId="0" borderId="0" xfId="0" applyFont="1" applyFill="1" applyBorder="1" applyAlignment="1">
      <alignment horizontal="center"/>
    </xf>
    <xf numFmtId="167" fontId="5" fillId="0" borderId="0" xfId="0" applyFont="1" applyFill="1" applyAlignment="1"/>
    <xf numFmtId="167" fontId="5" fillId="0" borderId="0" xfId="0" applyFont="1" applyFill="1" applyBorder="1" applyAlignment="1">
      <alignment horizontal="center"/>
    </xf>
    <xf numFmtId="167" fontId="3" fillId="0" borderId="0" xfId="0" applyFont="1" applyFill="1" applyAlignment="1">
      <alignment horizontal="left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Continuous" wrapText="1"/>
    </xf>
    <xf numFmtId="0" fontId="0" fillId="0" borderId="0" xfId="0" applyNumberFormat="1" applyAlignment="1">
      <alignment horizontal="centerContinuous" wrapText="1"/>
    </xf>
    <xf numFmtId="167" fontId="14" fillId="0" borderId="0" xfId="0" applyFont="1">
      <alignment horizontal="left" wrapText="1"/>
    </xf>
    <xf numFmtId="4" fontId="40" fillId="0" borderId="0" xfId="192" applyFont="1" applyFill="1"/>
    <xf numFmtId="167" fontId="2" fillId="0" borderId="0" xfId="0" applyFont="1" applyBorder="1" applyAlignment="1">
      <alignment horizontal="center" wrapText="1"/>
    </xf>
    <xf numFmtId="167" fontId="4" fillId="0" borderId="11" xfId="0" applyFont="1" applyFill="1" applyBorder="1" applyAlignment="1" applyProtection="1">
      <alignment horizontal="center"/>
      <protection locked="0"/>
    </xf>
    <xf numFmtId="0" fontId="4" fillId="0" borderId="0" xfId="293" applyNumberFormat="1" applyFont="1" applyFill="1" applyAlignment="1">
      <alignment horizontal="right"/>
    </xf>
    <xf numFmtId="0" fontId="6" fillId="0" borderId="0" xfId="312" applyNumberFormat="1" applyFont="1" applyFill="1" applyAlignment="1"/>
    <xf numFmtId="0" fontId="40" fillId="0" borderId="0" xfId="312" applyNumberFormat="1" applyFont="1" applyFill="1" applyAlignment="1"/>
    <xf numFmtId="0" fontId="40" fillId="0" borderId="0" xfId="312" applyNumberFormat="1" applyFont="1" applyFill="1" applyAlignment="1">
      <alignment horizontal="center"/>
    </xf>
    <xf numFmtId="3" fontId="40" fillId="0" borderId="0" xfId="312" applyNumberFormat="1" applyFont="1" applyFill="1" applyAlignment="1"/>
    <xf numFmtId="4" fontId="40" fillId="0" borderId="0" xfId="312" applyNumberFormat="1" applyFont="1" applyFill="1" applyAlignment="1"/>
    <xf numFmtId="0" fontId="6" fillId="0" borderId="0" xfId="312" applyNumberFormat="1" applyFont="1" applyFill="1" applyAlignment="1">
      <alignment horizontal="center"/>
    </xf>
    <xf numFmtId="0" fontId="0" fillId="0" borderId="0" xfId="294" applyFont="1"/>
    <xf numFmtId="0" fontId="58" fillId="0" borderId="0" xfId="296" applyFont="1"/>
    <xf numFmtId="0" fontId="2" fillId="0" borderId="0" xfId="296" applyFont="1" applyFill="1" applyBorder="1"/>
    <xf numFmtId="0" fontId="0" fillId="0" borderId="0" xfId="296" applyFont="1" applyFill="1" applyBorder="1"/>
    <xf numFmtId="14" fontId="0" fillId="0" borderId="0" xfId="296" applyNumberFormat="1" applyFont="1" applyFill="1" applyBorder="1" applyAlignment="1">
      <alignment horizontal="right"/>
    </xf>
    <xf numFmtId="0" fontId="2" fillId="0" borderId="0" xfId="312" applyNumberFormat="1" applyFont="1" applyFill="1" applyBorder="1" applyAlignment="1">
      <alignment horizontal="centerContinuous"/>
    </xf>
    <xf numFmtId="0" fontId="2" fillId="0" borderId="0" xfId="294" applyFont="1" applyAlignment="1">
      <alignment horizontal="center" wrapText="1"/>
    </xf>
    <xf numFmtId="15" fontId="3" fillId="0" borderId="0" xfId="0" applyNumberFormat="1" applyFont="1" applyFill="1" applyAlignment="1"/>
    <xf numFmtId="10" fontId="3" fillId="0" borderId="0" xfId="0" applyNumberFormat="1" applyFont="1" applyFill="1" applyAlignment="1"/>
    <xf numFmtId="0" fontId="8" fillId="0" borderId="0" xfId="270" applyFont="1" applyAlignment="1">
      <alignment wrapText="1"/>
    </xf>
    <xf numFmtId="0" fontId="6" fillId="0" borderId="0" xfId="270"/>
    <xf numFmtId="0" fontId="6" fillId="0" borderId="0" xfId="270" applyFill="1"/>
    <xf numFmtId="0" fontId="59" fillId="0" borderId="0" xfId="270" applyFont="1"/>
    <xf numFmtId="0" fontId="2" fillId="0" borderId="0" xfId="270" applyFont="1"/>
    <xf numFmtId="0" fontId="59" fillId="0" borderId="0" xfId="270" applyFont="1" applyFill="1" applyBorder="1"/>
    <xf numFmtId="0" fontId="59" fillId="0" borderId="0" xfId="270" applyFont="1" applyFill="1"/>
    <xf numFmtId="0" fontId="6" fillId="0" borderId="0" xfId="270" applyAlignment="1">
      <alignment horizontal="right"/>
    </xf>
    <xf numFmtId="41" fontId="6" fillId="0" borderId="0" xfId="270" applyNumberFormat="1"/>
    <xf numFmtId="167" fontId="61" fillId="0" borderId="0" xfId="0" applyFont="1" applyFill="1" applyAlignment="1"/>
    <xf numFmtId="0" fontId="6" fillId="0" borderId="0" xfId="270" applyFont="1" applyFill="1" applyBorder="1"/>
    <xf numFmtId="0" fontId="6" fillId="0" borderId="0" xfId="270" applyFont="1" applyFill="1"/>
    <xf numFmtId="167" fontId="6" fillId="0" borderId="0" xfId="293" applyFont="1">
      <alignment horizontal="left" wrapText="1"/>
    </xf>
    <xf numFmtId="167" fontId="4" fillId="0" borderId="0" xfId="293" applyFont="1" applyFill="1" applyAlignment="1"/>
    <xf numFmtId="167" fontId="4" fillId="0" borderId="0" xfId="293" applyFont="1" applyAlignment="1" applyProtection="1">
      <alignment horizontal="centerContinuous"/>
      <protection locked="0"/>
    </xf>
    <xf numFmtId="167" fontId="4" fillId="0" borderId="0" xfId="293" applyFont="1" applyFill="1" applyAlignment="1">
      <alignment horizontal="centerContinuous"/>
    </xf>
    <xf numFmtId="167" fontId="4" fillId="0" borderId="0" xfId="293" applyFont="1" applyAlignment="1">
      <alignment horizontal="centerContinuous"/>
    </xf>
    <xf numFmtId="15" fontId="4" fillId="0" borderId="0" xfId="293" applyNumberFormat="1" applyFont="1" applyFill="1" applyAlignment="1">
      <alignment horizontal="centerContinuous"/>
    </xf>
    <xf numFmtId="18" fontId="4" fillId="0" borderId="0" xfId="293" applyNumberFormat="1" applyFont="1" applyFill="1" applyAlignment="1">
      <alignment horizontal="centerContinuous"/>
    </xf>
    <xf numFmtId="167" fontId="4" fillId="0" borderId="0" xfId="293" applyFont="1" applyFill="1" applyAlignment="1" applyProtection="1">
      <alignment horizontal="right"/>
      <protection locked="0"/>
    </xf>
    <xf numFmtId="167" fontId="4" fillId="0" borderId="0" xfId="293" applyFont="1" applyFill="1" applyAlignment="1" applyProtection="1">
      <protection locked="0"/>
    </xf>
    <xf numFmtId="167" fontId="4" fillId="0" borderId="0" xfId="293" applyFont="1" applyFill="1" applyAlignment="1">
      <alignment horizontal="center"/>
    </xf>
    <xf numFmtId="167" fontId="4" fillId="0" borderId="11" xfId="293" applyFont="1" applyFill="1" applyBorder="1" applyAlignment="1">
      <alignment horizontal="center"/>
    </xf>
    <xf numFmtId="167" fontId="4" fillId="0" borderId="11" xfId="293" applyFont="1" applyFill="1" applyBorder="1" applyAlignment="1"/>
    <xf numFmtId="167" fontId="4" fillId="0" borderId="11" xfId="293" applyFont="1" applyFill="1" applyBorder="1" applyAlignment="1" applyProtection="1">
      <alignment horizontal="right"/>
      <protection locked="0"/>
    </xf>
    <xf numFmtId="167" fontId="2" fillId="0" borderId="0" xfId="293" applyFont="1" applyBorder="1" applyAlignment="1">
      <alignment horizontal="center" wrapText="1"/>
    </xf>
    <xf numFmtId="167" fontId="3" fillId="0" borderId="0" xfId="293" applyFont="1" applyFill="1" applyAlignment="1"/>
    <xf numFmtId="167" fontId="3" fillId="0" borderId="0" xfId="293" applyFont="1" applyFill="1" applyBorder="1" applyAlignment="1">
      <alignment horizontal="center"/>
    </xf>
    <xf numFmtId="167" fontId="6" fillId="0" borderId="0" xfId="293" applyFont="1" applyBorder="1">
      <alignment horizontal="left" wrapText="1"/>
    </xf>
    <xf numFmtId="1" fontId="3" fillId="0" borderId="0" xfId="293" applyNumberFormat="1" applyFont="1" applyFill="1" applyAlignment="1">
      <alignment horizontal="center"/>
    </xf>
    <xf numFmtId="167" fontId="5" fillId="0" borderId="0" xfId="293" applyFont="1" applyFill="1" applyAlignment="1"/>
    <xf numFmtId="167" fontId="5" fillId="0" borderId="0" xfId="293" applyFont="1" applyFill="1" applyBorder="1" applyAlignment="1">
      <alignment horizontal="center"/>
    </xf>
    <xf numFmtId="167" fontId="3" fillId="0" borderId="0" xfId="293" applyFont="1" applyFill="1" applyAlignment="1">
      <alignment horizontal="left"/>
    </xf>
    <xf numFmtId="41" fontId="3" fillId="0" borderId="0" xfId="293" applyNumberFormat="1" applyFont="1" applyFill="1" applyBorder="1" applyAlignment="1"/>
    <xf numFmtId="41" fontId="3" fillId="0" borderId="0" xfId="293" applyNumberFormat="1" applyFont="1" applyFill="1" applyAlignment="1"/>
    <xf numFmtId="15" fontId="3" fillId="0" borderId="0" xfId="293" applyNumberFormat="1" applyFont="1" applyFill="1" applyAlignment="1"/>
    <xf numFmtId="167" fontId="3" fillId="0" borderId="0" xfId="293" quotePrefix="1" applyFont="1" applyFill="1" applyAlignment="1">
      <alignment horizontal="left"/>
    </xf>
    <xf numFmtId="0" fontId="2" fillId="0" borderId="0" xfId="296" applyFont="1"/>
    <xf numFmtId="0" fontId="2" fillId="0" borderId="0" xfId="296" applyNumberFormat="1" applyFont="1" applyFill="1" applyAlignment="1"/>
    <xf numFmtId="0" fontId="58" fillId="0" borderId="0" xfId="296" applyFont="1" applyFill="1"/>
    <xf numFmtId="0" fontId="81" fillId="0" borderId="0" xfId="296" applyFont="1" applyFill="1"/>
    <xf numFmtId="0" fontId="62" fillId="0" borderId="0" xfId="296" applyFont="1" applyFill="1"/>
    <xf numFmtId="167" fontId="0" fillId="0" borderId="0" xfId="0" applyFill="1" applyAlignment="1"/>
    <xf numFmtId="14" fontId="0" fillId="0" borderId="0" xfId="0" applyNumberFormat="1" applyFill="1" applyAlignment="1"/>
    <xf numFmtId="14" fontId="62" fillId="0" borderId="0" xfId="296" applyNumberFormat="1" applyFont="1" applyFill="1" applyAlignment="1">
      <alignment horizontal="right"/>
    </xf>
    <xf numFmtId="1" fontId="0" fillId="0" borderId="0" xfId="0" applyNumberFormat="1" applyFill="1" applyAlignment="1">
      <alignment horizontal="left"/>
    </xf>
    <xf numFmtId="0" fontId="62" fillId="0" borderId="0" xfId="296" applyFont="1" applyFill="1" applyAlignment="1">
      <alignment horizontal="left"/>
    </xf>
    <xf numFmtId="0" fontId="0" fillId="0" borderId="0" xfId="296" applyFont="1" applyFill="1"/>
    <xf numFmtId="14" fontId="0" fillId="0" borderId="0" xfId="296" applyNumberFormat="1" applyFont="1" applyFill="1" applyAlignment="1">
      <alignment horizontal="right"/>
    </xf>
    <xf numFmtId="43" fontId="58" fillId="0" borderId="0" xfId="296" applyNumberFormat="1" applyFont="1" applyFill="1"/>
    <xf numFmtId="167" fontId="82" fillId="0" borderId="0" xfId="0" applyFont="1">
      <alignment horizontal="left" wrapText="1"/>
    </xf>
    <xf numFmtId="0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ill="1" applyAlignment="1"/>
    <xf numFmtId="41" fontId="0" fillId="0" borderId="0" xfId="0" applyNumberFormat="1" applyFill="1" applyAlignment="1"/>
    <xf numFmtId="41" fontId="2" fillId="0" borderId="16" xfId="0" applyNumberFormat="1" applyFont="1" applyFill="1" applyBorder="1" applyAlignment="1"/>
    <xf numFmtId="0" fontId="47" fillId="0" borderId="0" xfId="0" applyNumberFormat="1" applyFont="1" applyFill="1" applyAlignment="1"/>
    <xf numFmtId="165" fontId="0" fillId="0" borderId="0" xfId="0" applyNumberFormat="1" applyFill="1" applyAlignment="1"/>
    <xf numFmtId="167" fontId="52" fillId="0" borderId="0" xfId="0" applyFont="1" applyFill="1" applyAlignment="1"/>
    <xf numFmtId="17" fontId="2" fillId="0" borderId="11" xfId="270" applyNumberFormat="1" applyFont="1" applyFill="1" applyBorder="1" applyAlignment="1">
      <alignment horizontal="center" wrapText="1"/>
    </xf>
    <xf numFmtId="167" fontId="2" fillId="0" borderId="11" xfId="0" applyFont="1" applyFill="1" applyBorder="1" applyAlignment="1">
      <alignment horizontal="center" wrapText="1"/>
    </xf>
    <xf numFmtId="0" fontId="8" fillId="0" borderId="0" xfId="270" applyFont="1" applyFill="1" applyAlignment="1">
      <alignment wrapText="1"/>
    </xf>
    <xf numFmtId="17" fontId="8" fillId="0" borderId="0" xfId="270" applyNumberFormat="1" applyFont="1" applyFill="1" applyBorder="1" applyAlignment="1">
      <alignment horizontal="left" wrapText="1"/>
    </xf>
    <xf numFmtId="0" fontId="2" fillId="0" borderId="0" xfId="270" applyFont="1" applyFill="1" applyAlignment="1">
      <alignment horizontal="center" wrapText="1"/>
    </xf>
    <xf numFmtId="41" fontId="6" fillId="0" borderId="0" xfId="270" applyNumberFormat="1" applyFont="1" applyFill="1"/>
    <xf numFmtId="41" fontId="2" fillId="0" borderId="0" xfId="270" applyNumberFormat="1" applyFont="1" applyFill="1" applyAlignment="1">
      <alignment horizontal="center"/>
    </xf>
    <xf numFmtId="41" fontId="6" fillId="0" borderId="11" xfId="270" applyNumberFormat="1" applyFont="1" applyFill="1" applyBorder="1"/>
    <xf numFmtId="41" fontId="2" fillId="0" borderId="0" xfId="270" applyNumberFormat="1" applyFont="1" applyFill="1"/>
    <xf numFmtId="41" fontId="2" fillId="0" borderId="0" xfId="270" applyNumberFormat="1" applyFont="1" applyFill="1" applyBorder="1" applyAlignment="1">
      <alignment horizontal="center"/>
    </xf>
    <xf numFmtId="0" fontId="6" fillId="0" borderId="0" xfId="277" applyFill="1" applyBorder="1"/>
    <xf numFmtId="0" fontId="59" fillId="0" borderId="0" xfId="270" applyFont="1" applyFill="1" applyAlignment="1">
      <alignment horizontal="right"/>
    </xf>
    <xf numFmtId="0" fontId="6" fillId="0" borderId="0" xfId="270" applyFont="1" applyFill="1" applyAlignment="1">
      <alignment horizontal="right"/>
    </xf>
    <xf numFmtId="0" fontId="60" fillId="0" borderId="0" xfId="270" applyFont="1" applyFill="1"/>
    <xf numFmtId="0" fontId="0" fillId="0" borderId="0" xfId="294" applyFont="1" applyFill="1"/>
    <xf numFmtId="0" fontId="62" fillId="0" borderId="0" xfId="294" applyFont="1" applyFill="1"/>
    <xf numFmtId="0" fontId="2" fillId="0" borderId="0" xfId="294" applyFont="1" applyFill="1" applyAlignment="1">
      <alignment horizontal="center"/>
    </xf>
    <xf numFmtId="0" fontId="2" fillId="0" borderId="0" xfId="294" applyFont="1" applyFill="1" applyAlignment="1">
      <alignment horizontal="center" wrapText="1"/>
    </xf>
    <xf numFmtId="0" fontId="2" fillId="0" borderId="0" xfId="294" applyFont="1" applyFill="1" applyBorder="1" applyAlignment="1">
      <alignment horizontal="center" wrapText="1"/>
    </xf>
    <xf numFmtId="185" fontId="0" fillId="0" borderId="0" xfId="294" applyNumberFormat="1" applyFont="1" applyFill="1"/>
    <xf numFmtId="44" fontId="0" fillId="0" borderId="0" xfId="294" applyNumberFormat="1" applyFont="1" applyFill="1"/>
    <xf numFmtId="181" fontId="59" fillId="0" borderId="0" xfId="270" applyNumberFormat="1" applyFont="1" applyFill="1" applyAlignment="1">
      <alignment horizontal="right"/>
    </xf>
    <xf numFmtId="167" fontId="4" fillId="0" borderId="0" xfId="0" quotePrefix="1" applyFont="1" applyFill="1" applyBorder="1" applyAlignment="1">
      <alignment horizontal="right"/>
    </xf>
    <xf numFmtId="167" fontId="4" fillId="0" borderId="0" xfId="0" applyFont="1" applyFill="1" applyBorder="1" applyAlignment="1" applyProtection="1">
      <alignment horizontal="center"/>
      <protection locked="0"/>
    </xf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167" fontId="1" fillId="0" borderId="0" xfId="0" applyFont="1" applyFill="1">
      <alignment horizontal="left" wrapText="1"/>
    </xf>
    <xf numFmtId="167" fontId="14" fillId="0" borderId="0" xfId="0" applyFont="1" applyFill="1">
      <alignment horizontal="left" wrapText="1"/>
    </xf>
    <xf numFmtId="165" fontId="59" fillId="0" borderId="0" xfId="175" applyNumberFormat="1" applyFont="1" applyFill="1"/>
    <xf numFmtId="0" fontId="59" fillId="0" borderId="21" xfId="270" applyFont="1" applyFill="1" applyBorder="1"/>
    <xf numFmtId="0" fontId="6" fillId="0" borderId="22" xfId="277" applyFill="1" applyBorder="1"/>
    <xf numFmtId="0" fontId="8" fillId="0" borderId="22" xfId="277" applyFont="1" applyFill="1" applyBorder="1"/>
    <xf numFmtId="0" fontId="6" fillId="0" borderId="23" xfId="277" applyFill="1" applyBorder="1"/>
    <xf numFmtId="0" fontId="59" fillId="0" borderId="24" xfId="270" applyFont="1" applyFill="1" applyBorder="1"/>
    <xf numFmtId="0" fontId="6" fillId="0" borderId="25" xfId="277" applyFill="1" applyBorder="1"/>
    <xf numFmtId="0" fontId="59" fillId="69" borderId="0" xfId="270" applyFont="1" applyFill="1"/>
    <xf numFmtId="9" fontId="59" fillId="69" borderId="22" xfId="270" applyNumberFormat="1" applyFont="1" applyFill="1" applyBorder="1"/>
    <xf numFmtId="9" fontId="59" fillId="69" borderId="0" xfId="270" applyNumberFormat="1" applyFont="1" applyFill="1" applyBorder="1"/>
    <xf numFmtId="0" fontId="59" fillId="69" borderId="0" xfId="270" applyFont="1" applyFill="1" applyBorder="1"/>
    <xf numFmtId="0" fontId="59" fillId="69" borderId="3" xfId="270" applyFont="1" applyFill="1" applyBorder="1"/>
    <xf numFmtId="0" fontId="59" fillId="0" borderId="22" xfId="270" applyFont="1" applyFill="1" applyBorder="1"/>
    <xf numFmtId="0" fontId="59" fillId="0" borderId="23" xfId="270" applyFont="1" applyFill="1" applyBorder="1"/>
    <xf numFmtId="0" fontId="61" fillId="0" borderId="0" xfId="294" applyFont="1" applyFill="1"/>
    <xf numFmtId="165" fontId="62" fillId="0" borderId="0" xfId="294" applyNumberFormat="1" applyFont="1" applyFill="1"/>
    <xf numFmtId="165" fontId="62" fillId="0" borderId="0" xfId="175" applyNumberFormat="1" applyFont="1" applyFill="1" applyBorder="1"/>
    <xf numFmtId="168" fontId="62" fillId="0" borderId="0" xfId="210" applyNumberFormat="1" applyFont="1" applyFill="1"/>
    <xf numFmtId="168" fontId="62" fillId="0" borderId="0" xfId="294" applyNumberFormat="1" applyFont="1" applyFill="1"/>
    <xf numFmtId="41" fontId="3" fillId="0" borderId="11" xfId="293" applyNumberFormat="1" applyFont="1" applyFill="1" applyBorder="1" applyAlignment="1"/>
    <xf numFmtId="10" fontId="3" fillId="0" borderId="0" xfId="293" applyNumberFormat="1" applyFont="1" applyFill="1" applyAlignment="1"/>
    <xf numFmtId="41" fontId="3" fillId="0" borderId="12" xfId="293" applyNumberFormat="1" applyFont="1" applyFill="1" applyBorder="1" applyAlignment="1"/>
    <xf numFmtId="41" fontId="3" fillId="0" borderId="11" xfId="0" applyNumberFormat="1" applyFont="1" applyFill="1" applyBorder="1" applyAlignment="1"/>
    <xf numFmtId="41" fontId="3" fillId="0" borderId="12" xfId="0" applyNumberFormat="1" applyFont="1" applyFill="1" applyBorder="1" applyAlignment="1"/>
    <xf numFmtId="0" fontId="2" fillId="0" borderId="3" xfId="270" applyFont="1" applyBorder="1" applyAlignment="1">
      <alignment horizontal="left" wrapText="1"/>
    </xf>
    <xf numFmtId="0" fontId="2" fillId="0" borderId="3" xfId="270" applyFont="1" applyBorder="1" applyAlignment="1">
      <alignment horizontal="center" wrapText="1"/>
    </xf>
    <xf numFmtId="0" fontId="2" fillId="0" borderId="0" xfId="270" applyFont="1" applyAlignment="1">
      <alignment horizontal="center" wrapText="1"/>
    </xf>
    <xf numFmtId="0" fontId="6" fillId="0" borderId="0" xfId="270" applyFont="1" applyAlignment="1">
      <alignment horizontal="center" wrapText="1"/>
    </xf>
    <xf numFmtId="0" fontId="6" fillId="0" borderId="26" xfId="270" applyFont="1" applyBorder="1" applyAlignment="1">
      <alignment horizontal="center" wrapText="1"/>
    </xf>
    <xf numFmtId="0" fontId="6" fillId="0" borderId="0" xfId="270" applyFont="1"/>
    <xf numFmtId="43" fontId="6" fillId="0" borderId="0" xfId="270" applyNumberFormat="1"/>
    <xf numFmtId="0" fontId="6" fillId="70" borderId="0" xfId="270" applyFill="1"/>
    <xf numFmtId="0" fontId="6" fillId="70" borderId="26" xfId="270" applyFill="1" applyBorder="1"/>
    <xf numFmtId="43" fontId="2" fillId="0" borderId="0" xfId="270" applyNumberFormat="1" applyFont="1"/>
    <xf numFmtId="168" fontId="2" fillId="0" borderId="0" xfId="270" applyNumberFormat="1" applyFont="1" applyBorder="1"/>
    <xf numFmtId="0" fontId="6" fillId="0" borderId="0" xfId="270" applyFont="1" applyFill="1" applyAlignment="1">
      <alignment horizontal="center" wrapText="1"/>
    </xf>
    <xf numFmtId="0" fontId="6" fillId="0" borderId="26" xfId="270" applyFont="1" applyFill="1" applyBorder="1" applyAlignment="1">
      <alignment horizontal="center" wrapText="1"/>
    </xf>
    <xf numFmtId="0" fontId="6" fillId="0" borderId="26" xfId="270" applyFill="1" applyBorder="1"/>
    <xf numFmtId="0" fontId="83" fillId="0" borderId="0" xfId="270" applyFont="1"/>
    <xf numFmtId="0" fontId="2" fillId="0" borderId="0" xfId="294" applyFont="1" applyFill="1" applyBorder="1"/>
    <xf numFmtId="165" fontId="2" fillId="0" borderId="0" xfId="175" applyNumberFormat="1" applyFont="1" applyFill="1" applyBorder="1"/>
    <xf numFmtId="0" fontId="0" fillId="0" borderId="0" xfId="294" applyFont="1" applyFill="1" applyBorder="1"/>
    <xf numFmtId="0" fontId="6" fillId="0" borderId="0" xfId="294" applyFont="1" applyFill="1" applyBorder="1"/>
    <xf numFmtId="0" fontId="6" fillId="0" borderId="0" xfId="294" applyFont="1" applyFill="1"/>
    <xf numFmtId="165" fontId="6" fillId="0" borderId="0" xfId="175" applyNumberFormat="1" applyFont="1" applyFill="1" applyBorder="1"/>
    <xf numFmtId="43" fontId="0" fillId="0" borderId="0" xfId="294" applyNumberFormat="1" applyFont="1" applyFill="1" applyBorder="1"/>
    <xf numFmtId="10" fontId="84" fillId="0" borderId="0" xfId="294" applyNumberFormat="1" applyFont="1" applyFill="1" applyBorder="1" applyAlignment="1">
      <alignment horizontal="center"/>
    </xf>
    <xf numFmtId="0" fontId="60" fillId="0" borderId="21" xfId="294" applyFont="1" applyFill="1" applyBorder="1"/>
    <xf numFmtId="0" fontId="62" fillId="0" borderId="22" xfId="294" applyFont="1" applyFill="1" applyBorder="1"/>
    <xf numFmtId="0" fontId="62" fillId="0" borderId="23" xfId="294" applyFont="1" applyFill="1" applyBorder="1"/>
    <xf numFmtId="0" fontId="62" fillId="0" borderId="24" xfId="294" applyFont="1" applyFill="1" applyBorder="1"/>
    <xf numFmtId="165" fontId="62" fillId="0" borderId="0" xfId="294" applyNumberFormat="1" applyFont="1" applyFill="1" applyBorder="1"/>
    <xf numFmtId="0" fontId="62" fillId="0" borderId="0" xfId="294" applyFont="1" applyFill="1" applyBorder="1"/>
    <xf numFmtId="168" fontId="62" fillId="0" borderId="25" xfId="294" applyNumberFormat="1" applyFont="1" applyFill="1" applyBorder="1"/>
    <xf numFmtId="168" fontId="62" fillId="0" borderId="27" xfId="294" applyNumberFormat="1" applyFont="1" applyFill="1" applyBorder="1"/>
    <xf numFmtId="168" fontId="62" fillId="0" borderId="25" xfId="210" applyNumberFormat="1" applyFont="1" applyFill="1" applyBorder="1"/>
    <xf numFmtId="0" fontId="0" fillId="0" borderId="24" xfId="294" applyFont="1" applyBorder="1"/>
    <xf numFmtId="0" fontId="60" fillId="0" borderId="24" xfId="294" applyFont="1" applyFill="1" applyBorder="1"/>
    <xf numFmtId="0" fontId="62" fillId="0" borderId="28" xfId="294" applyFont="1" applyFill="1" applyBorder="1"/>
    <xf numFmtId="165" fontId="62" fillId="0" borderId="3" xfId="294" applyNumberFormat="1" applyFont="1" applyFill="1" applyBorder="1"/>
    <xf numFmtId="0" fontId="62" fillId="0" borderId="3" xfId="294" applyFont="1" applyFill="1" applyBorder="1"/>
    <xf numFmtId="165" fontId="62" fillId="0" borderId="3" xfId="175" applyNumberFormat="1" applyFont="1" applyFill="1" applyBorder="1"/>
    <xf numFmtId="168" fontId="62" fillId="0" borderId="3" xfId="210" applyNumberFormat="1" applyFont="1" applyFill="1" applyBorder="1"/>
    <xf numFmtId="168" fontId="62" fillId="0" borderId="3" xfId="294" applyNumberFormat="1" applyFont="1" applyFill="1" applyBorder="1"/>
    <xf numFmtId="168" fontId="62" fillId="0" borderId="29" xfId="294" applyNumberFormat="1" applyFont="1" applyFill="1" applyBorder="1"/>
    <xf numFmtId="165" fontId="2" fillId="0" borderId="0" xfId="294" applyNumberFormat="1" applyFont="1" applyFill="1" applyBorder="1"/>
    <xf numFmtId="0" fontId="2" fillId="0" borderId="24" xfId="294" applyFont="1" applyFill="1" applyBorder="1"/>
    <xf numFmtId="165" fontId="62" fillId="0" borderId="22" xfId="294" applyNumberFormat="1" applyFont="1" applyFill="1" applyBorder="1"/>
    <xf numFmtId="165" fontId="62" fillId="0" borderId="22" xfId="175" applyNumberFormat="1" applyFont="1" applyFill="1" applyBorder="1"/>
    <xf numFmtId="168" fontId="62" fillId="0" borderId="23" xfId="294" applyNumberFormat="1" applyFont="1" applyFill="1" applyBorder="1"/>
    <xf numFmtId="0" fontId="6" fillId="0" borderId="24" xfId="294" applyFont="1" applyFill="1" applyBorder="1"/>
    <xf numFmtId="168" fontId="6" fillId="0" borderId="25" xfId="294" applyNumberFormat="1" applyFont="1" applyFill="1" applyBorder="1"/>
    <xf numFmtId="0" fontId="0" fillId="0" borderId="24" xfId="294" applyFont="1" applyFill="1" applyBorder="1"/>
    <xf numFmtId="165" fontId="0" fillId="0" borderId="25" xfId="294" applyNumberFormat="1" applyFont="1" applyFill="1" applyBorder="1"/>
    <xf numFmtId="0" fontId="0" fillId="0" borderId="28" xfId="294" applyFont="1" applyFill="1" applyBorder="1"/>
    <xf numFmtId="0" fontId="0" fillId="0" borderId="3" xfId="294" applyFont="1" applyFill="1" applyBorder="1"/>
    <xf numFmtId="0" fontId="0" fillId="0" borderId="29" xfId="294" applyFont="1" applyFill="1" applyBorder="1"/>
    <xf numFmtId="0" fontId="2" fillId="0" borderId="17" xfId="294" applyFont="1" applyFill="1" applyBorder="1" applyAlignment="1">
      <alignment horizontal="center" wrapText="1"/>
    </xf>
    <xf numFmtId="0" fontId="2" fillId="0" borderId="1" xfId="294" applyFont="1" applyFill="1" applyBorder="1" applyAlignment="1">
      <alignment horizontal="center" wrapText="1"/>
    </xf>
    <xf numFmtId="168" fontId="2" fillId="71" borderId="30" xfId="294" applyNumberFormat="1" applyFont="1" applyFill="1" applyBorder="1"/>
    <xf numFmtId="168" fontId="2" fillId="71" borderId="30" xfId="210" applyNumberFormat="1" applyFont="1" applyFill="1" applyBorder="1"/>
    <xf numFmtId="0" fontId="2" fillId="0" borderId="0" xfId="294" applyFont="1"/>
    <xf numFmtId="0" fontId="62" fillId="0" borderId="31" xfId="294" applyFont="1" applyFill="1" applyBorder="1"/>
    <xf numFmtId="168" fontId="62" fillId="0" borderId="32" xfId="294" applyNumberFormat="1" applyFont="1" applyFill="1" applyBorder="1"/>
    <xf numFmtId="168" fontId="62" fillId="0" borderId="33" xfId="294" applyNumberFormat="1" applyFont="1" applyFill="1" applyBorder="1"/>
    <xf numFmtId="168" fontId="62" fillId="0" borderId="32" xfId="210" applyNumberFormat="1" applyFont="1" applyFill="1" applyBorder="1"/>
    <xf numFmtId="168" fontId="2" fillId="71" borderId="34" xfId="210" applyNumberFormat="1" applyFont="1" applyFill="1" applyBorder="1"/>
    <xf numFmtId="168" fontId="62" fillId="0" borderId="33" xfId="210" applyNumberFormat="1" applyFont="1" applyFill="1" applyBorder="1"/>
    <xf numFmtId="168" fontId="62" fillId="0" borderId="31" xfId="210" applyNumberFormat="1" applyFont="1" applyFill="1" applyBorder="1"/>
    <xf numFmtId="168" fontId="6" fillId="0" borderId="32" xfId="294" applyNumberFormat="1" applyFont="1" applyFill="1" applyBorder="1"/>
    <xf numFmtId="168" fontId="6" fillId="0" borderId="33" xfId="294" applyNumberFormat="1" applyFont="1" applyFill="1" applyBorder="1"/>
    <xf numFmtId="165" fontId="0" fillId="0" borderId="32" xfId="294" applyNumberFormat="1" applyFont="1" applyFill="1" applyBorder="1"/>
    <xf numFmtId="168" fontId="2" fillId="71" borderId="34" xfId="294" applyNumberFormat="1" applyFont="1" applyFill="1" applyBorder="1"/>
    <xf numFmtId="168" fontId="62" fillId="0" borderId="31" xfId="294" applyNumberFormat="1" applyFont="1" applyFill="1" applyBorder="1"/>
    <xf numFmtId="0" fontId="26" fillId="0" borderId="17" xfId="294" applyFont="1" applyFill="1" applyBorder="1" applyAlignment="1">
      <alignment horizontal="center"/>
    </xf>
    <xf numFmtId="0" fontId="26" fillId="0" borderId="18" xfId="294" applyFont="1" applyFill="1" applyBorder="1" applyAlignment="1">
      <alignment horizontal="center"/>
    </xf>
    <xf numFmtId="165" fontId="6" fillId="0" borderId="0" xfId="270" applyNumberFormat="1"/>
    <xf numFmtId="0" fontId="2" fillId="0" borderId="0" xfId="312" applyNumberFormat="1" applyFont="1" applyFill="1" applyAlignment="1">
      <alignment horizontal="centerContinuous" vertical="center"/>
    </xf>
    <xf numFmtId="0" fontId="41" fillId="0" borderId="11" xfId="312" applyNumberFormat="1" applyFont="1" applyFill="1" applyBorder="1" applyAlignment="1">
      <alignment horizontal="center"/>
    </xf>
    <xf numFmtId="0" fontId="41" fillId="0" borderId="0" xfId="312" applyNumberFormat="1" applyFont="1" applyFill="1" applyAlignment="1">
      <alignment horizontal="center"/>
    </xf>
    <xf numFmtId="0" fontId="42" fillId="0" borderId="0" xfId="312" applyNumberFormat="1" applyFont="1" applyFill="1" applyAlignment="1"/>
    <xf numFmtId="14" fontId="40" fillId="0" borderId="0" xfId="312" applyNumberFormat="1" applyFont="1" applyFill="1" applyAlignment="1">
      <alignment horizontal="center"/>
    </xf>
    <xf numFmtId="41" fontId="40" fillId="0" borderId="0" xfId="312" applyNumberFormat="1" applyFont="1" applyFill="1" applyAlignment="1">
      <alignment horizontal="center"/>
    </xf>
    <xf numFmtId="165" fontId="40" fillId="0" borderId="0" xfId="192" applyNumberFormat="1" applyFont="1" applyFill="1"/>
    <xf numFmtId="0" fontId="40" fillId="0" borderId="0" xfId="312" applyNumberFormat="1" applyFont="1" applyFill="1" applyAlignment="1">
      <alignment horizontal="left"/>
    </xf>
    <xf numFmtId="10" fontId="41" fillId="0" borderId="10" xfId="335" applyNumberFormat="1" applyFont="1" applyFill="1" applyBorder="1"/>
    <xf numFmtId="10" fontId="40" fillId="0" borderId="10" xfId="335" applyNumberFormat="1" applyFont="1" applyFill="1" applyBorder="1"/>
    <xf numFmtId="3" fontId="40" fillId="0" borderId="0" xfId="192" applyNumberFormat="1" applyFont="1" applyFill="1"/>
    <xf numFmtId="0" fontId="40" fillId="0" borderId="0" xfId="312" applyNumberFormat="1" applyFont="1" applyFill="1" applyAlignment="1">
      <alignment horizontal="left" wrapText="1"/>
    </xf>
    <xf numFmtId="42" fontId="40" fillId="0" borderId="0" xfId="219" applyNumberFormat="1" applyFont="1" applyFill="1"/>
    <xf numFmtId="41" fontId="40" fillId="0" borderId="0" xfId="219" applyNumberFormat="1" applyFont="1" applyFill="1"/>
    <xf numFmtId="0" fontId="40" fillId="0" borderId="0" xfId="312" applyNumberFormat="1" applyFont="1" applyFill="1" applyBorder="1" applyAlignment="1">
      <alignment horizontal="center"/>
    </xf>
    <xf numFmtId="42" fontId="40" fillId="0" borderId="2" xfId="219" applyNumberFormat="1" applyFont="1" applyFill="1" applyBorder="1"/>
    <xf numFmtId="10" fontId="40" fillId="0" borderId="2" xfId="335" applyNumberFormat="1" applyFont="1" applyFill="1" applyBorder="1"/>
    <xf numFmtId="10" fontId="40" fillId="0" borderId="2" xfId="312" applyNumberFormat="1" applyFont="1" applyFill="1" applyBorder="1" applyAlignment="1"/>
    <xf numFmtId="166" fontId="40" fillId="0" borderId="0" xfId="312" applyNumberFormat="1" applyFont="1" applyFill="1" applyAlignment="1"/>
    <xf numFmtId="166" fontId="40" fillId="0" borderId="0" xfId="219" applyNumberFormat="1" applyFont="1" applyFill="1"/>
    <xf numFmtId="0" fontId="40" fillId="0" borderId="0" xfId="312" applyNumberFormat="1" applyFont="1" applyFill="1" applyBorder="1" applyAlignment="1"/>
    <xf numFmtId="10" fontId="40" fillId="0" borderId="11" xfId="335" applyNumberFormat="1" applyFont="1" applyFill="1" applyBorder="1"/>
    <xf numFmtId="166" fontId="40" fillId="0" borderId="2" xfId="219" applyNumberFormat="1" applyFont="1" applyFill="1" applyBorder="1"/>
    <xf numFmtId="10" fontId="40" fillId="0" borderId="10" xfId="312" applyNumberFormat="1" applyFont="1" applyFill="1" applyBorder="1" applyAlignment="1"/>
    <xf numFmtId="0" fontId="6" fillId="0" borderId="0" xfId="270" applyFont="1" applyFill="1" applyBorder="1" applyAlignment="1">
      <alignment horizontal="center" wrapText="1"/>
    </xf>
    <xf numFmtId="0" fontId="6" fillId="0" borderId="0" xfId="270" applyFill="1" applyBorder="1"/>
    <xf numFmtId="0" fontId="6" fillId="0" borderId="0" xfId="270" applyBorder="1"/>
    <xf numFmtId="0" fontId="6" fillId="0" borderId="0" xfId="0" applyNumberFormat="1" applyFont="1" applyFill="1" applyAlignment="1"/>
    <xf numFmtId="1" fontId="62" fillId="0" borderId="0" xfId="296" applyNumberFormat="1" applyFont="1" applyFill="1" applyAlignment="1">
      <alignment horizontal="left"/>
    </xf>
    <xf numFmtId="167" fontId="0" fillId="0" borderId="0" xfId="0" applyFill="1" applyAlignment="1">
      <alignment horizontal="left"/>
    </xf>
    <xf numFmtId="167" fontId="0" fillId="0" borderId="11" xfId="0" applyFill="1" applyBorder="1" applyAlignment="1"/>
    <xf numFmtId="14" fontId="0" fillId="0" borderId="0" xfId="0" applyNumberFormat="1" applyFill="1" applyAlignment="1">
      <alignment horizontal="right"/>
    </xf>
    <xf numFmtId="165" fontId="0" fillId="0" borderId="11" xfId="0" applyNumberFormat="1" applyFill="1" applyBorder="1" applyAlignment="1"/>
    <xf numFmtId="165" fontId="2" fillId="0" borderId="0" xfId="296" applyNumberFormat="1" applyFont="1" applyFill="1" applyAlignment="1">
      <alignment horizontal="right"/>
    </xf>
    <xf numFmtId="165" fontId="0" fillId="0" borderId="0" xfId="0" applyNumberFormat="1" applyFill="1" applyAlignment="1">
      <alignment horizontal="left"/>
    </xf>
    <xf numFmtId="165" fontId="0" fillId="0" borderId="11" xfId="0" applyNumberFormat="1" applyFill="1" applyBorder="1" applyAlignment="1">
      <alignment horizontal="left"/>
    </xf>
    <xf numFmtId="165" fontId="2" fillId="0" borderId="10" xfId="296" applyNumberFormat="1" applyFont="1" applyFill="1" applyBorder="1" applyAlignment="1">
      <alignment horizontal="right"/>
    </xf>
    <xf numFmtId="0" fontId="61" fillId="0" borderId="0" xfId="286" applyFont="1" applyFill="1" applyAlignment="1"/>
    <xf numFmtId="0" fontId="59" fillId="0" borderId="0" xfId="270" applyFont="1" applyFill="1" applyBorder="1" applyAlignment="1">
      <alignment horizontal="right"/>
    </xf>
    <xf numFmtId="17" fontId="2" fillId="0" borderId="3" xfId="270" applyNumberFormat="1" applyFont="1" applyFill="1" applyBorder="1" applyAlignment="1">
      <alignment horizontal="center" wrapText="1"/>
    </xf>
    <xf numFmtId="0" fontId="2" fillId="0" borderId="0" xfId="270" applyFont="1" applyFill="1" applyBorder="1" applyAlignment="1">
      <alignment horizontal="center" wrapText="1"/>
    </xf>
    <xf numFmtId="43" fontId="6" fillId="0" borderId="0" xfId="270" applyNumberFormat="1" applyFill="1" applyBorder="1"/>
    <xf numFmtId="0" fontId="2" fillId="0" borderId="0" xfId="270" applyFont="1" applyFill="1" applyBorder="1"/>
    <xf numFmtId="0" fontId="2" fillId="0" borderId="0" xfId="270" applyFont="1" applyFill="1"/>
    <xf numFmtId="168" fontId="2" fillId="0" borderId="0" xfId="270" applyNumberFormat="1" applyFont="1" applyFill="1" applyBorder="1"/>
    <xf numFmtId="0" fontId="2" fillId="0" borderId="3" xfId="270" applyFont="1" applyFill="1" applyBorder="1" applyAlignment="1">
      <alignment horizontal="center" wrapText="1"/>
    </xf>
    <xf numFmtId="0" fontId="26" fillId="0" borderId="0" xfId="270" applyFont="1" applyFill="1"/>
    <xf numFmtId="0" fontId="6" fillId="0" borderId="44" xfId="270" applyFont="1" applyFill="1" applyBorder="1" applyAlignment="1">
      <alignment horizontal="left"/>
    </xf>
    <xf numFmtId="0" fontId="6" fillId="0" borderId="44" xfId="270" applyFont="1" applyFill="1" applyBorder="1"/>
    <xf numFmtId="0" fontId="6" fillId="0" borderId="47" xfId="270" applyFont="1" applyFill="1" applyBorder="1"/>
    <xf numFmtId="0" fontId="6" fillId="0" borderId="11" xfId="270" applyFill="1" applyBorder="1"/>
    <xf numFmtId="9" fontId="6" fillId="0" borderId="0" xfId="270" applyNumberFormat="1" applyFont="1" applyFill="1" applyBorder="1" applyAlignment="1">
      <alignment horizontal="center" wrapText="1"/>
    </xf>
    <xf numFmtId="0" fontId="6" fillId="0" borderId="19" xfId="270" applyFont="1" applyFill="1" applyBorder="1"/>
    <xf numFmtId="0" fontId="6" fillId="0" borderId="12" xfId="270" applyFill="1" applyBorder="1"/>
    <xf numFmtId="0" fontId="6" fillId="0" borderId="47" xfId="270" applyFont="1" applyFill="1" applyBorder="1" applyAlignment="1">
      <alignment horizontal="left"/>
    </xf>
    <xf numFmtId="0" fontId="6" fillId="0" borderId="11" xfId="270" applyFont="1" applyFill="1" applyBorder="1" applyAlignment="1">
      <alignment horizontal="center" wrapText="1"/>
    </xf>
    <xf numFmtId="9" fontId="6" fillId="0" borderId="11" xfId="270" applyNumberFormat="1" applyFont="1" applyFill="1" applyBorder="1" applyAlignment="1">
      <alignment horizontal="center" wrapText="1"/>
    </xf>
    <xf numFmtId="0" fontId="6" fillId="0" borderId="48" xfId="270" applyFont="1" applyFill="1" applyBorder="1"/>
    <xf numFmtId="0" fontId="6" fillId="0" borderId="2" xfId="270" applyFill="1" applyBorder="1"/>
    <xf numFmtId="9" fontId="6" fillId="0" borderId="12" xfId="270" applyNumberFormat="1" applyFont="1" applyFill="1" applyBorder="1" applyAlignment="1">
      <alignment horizontal="center" wrapText="1"/>
    </xf>
    <xf numFmtId="0" fontId="2" fillId="0" borderId="47" xfId="270" applyFont="1" applyFill="1" applyBorder="1"/>
    <xf numFmtId="0" fontId="2" fillId="0" borderId="11" xfId="270" applyFont="1" applyFill="1" applyBorder="1"/>
    <xf numFmtId="43" fontId="2" fillId="0" borderId="11" xfId="176" applyFont="1" applyFill="1" applyBorder="1"/>
    <xf numFmtId="0" fontId="2" fillId="0" borderId="44" xfId="270" applyFont="1" applyFill="1" applyBorder="1"/>
    <xf numFmtId="43" fontId="87" fillId="0" borderId="45" xfId="270" applyNumberFormat="1" applyFont="1" applyFill="1" applyBorder="1"/>
    <xf numFmtId="0" fontId="1" fillId="0" borderId="0" xfId="270" applyFont="1" applyFill="1"/>
    <xf numFmtId="0" fontId="1" fillId="0" borderId="0" xfId="270" applyFont="1"/>
    <xf numFmtId="0" fontId="88" fillId="0" borderId="0" xfId="270" applyFont="1" applyFill="1"/>
    <xf numFmtId="0" fontId="88" fillId="0" borderId="0" xfId="270" applyFont="1"/>
    <xf numFmtId="0" fontId="2" fillId="0" borderId="3" xfId="270" applyFont="1" applyFill="1" applyBorder="1" applyAlignment="1">
      <alignment horizontal="right" wrapText="1"/>
    </xf>
    <xf numFmtId="165" fontId="6" fillId="0" borderId="0" xfId="270" applyNumberFormat="1" applyFill="1"/>
    <xf numFmtId="0" fontId="2" fillId="0" borderId="16" xfId="270" applyFont="1" applyFill="1" applyBorder="1"/>
    <xf numFmtId="165" fontId="2" fillId="0" borderId="16" xfId="176" applyNumberFormat="1" applyFont="1" applyFill="1" applyBorder="1"/>
    <xf numFmtId="0" fontId="83" fillId="0" borderId="0" xfId="270" applyFont="1" applyFill="1"/>
    <xf numFmtId="165" fontId="6" fillId="0" borderId="46" xfId="270" applyNumberFormat="1" applyFill="1" applyBorder="1"/>
    <xf numFmtId="165" fontId="6" fillId="0" borderId="0" xfId="270" applyNumberFormat="1" applyFill="1" applyBorder="1"/>
    <xf numFmtId="165" fontId="6" fillId="0" borderId="45" xfId="270" applyNumberFormat="1" applyFill="1" applyBorder="1"/>
    <xf numFmtId="0" fontId="89" fillId="0" borderId="0" xfId="294" applyFont="1" applyFill="1"/>
    <xf numFmtId="10" fontId="84" fillId="0" borderId="1" xfId="294" applyNumberFormat="1" applyFont="1" applyFill="1" applyBorder="1" applyAlignment="1">
      <alignment horizontal="center"/>
    </xf>
    <xf numFmtId="10" fontId="84" fillId="0" borderId="18" xfId="294" applyNumberFormat="1" applyFont="1" applyFill="1" applyBorder="1" applyAlignment="1">
      <alignment horizontal="center"/>
    </xf>
    <xf numFmtId="165" fontId="90" fillId="0" borderId="0" xfId="294" applyNumberFormat="1" applyFont="1" applyFill="1"/>
    <xf numFmtId="17" fontId="6" fillId="0" borderId="24" xfId="277" applyNumberFormat="1" applyFill="1" applyBorder="1"/>
    <xf numFmtId="0" fontId="6" fillId="0" borderId="0" xfId="175" applyNumberFormat="1" applyFont="1" applyFill="1" applyBorder="1"/>
    <xf numFmtId="9" fontId="6" fillId="0" borderId="0" xfId="270" applyNumberFormat="1" applyFont="1" applyFill="1" applyBorder="1"/>
    <xf numFmtId="181" fontId="6" fillId="0" borderId="25" xfId="270" applyNumberFormat="1" applyFont="1" applyFill="1" applyBorder="1"/>
    <xf numFmtId="17" fontId="6" fillId="0" borderId="28" xfId="277" applyNumberFormat="1" applyFill="1" applyBorder="1"/>
    <xf numFmtId="0" fontId="6" fillId="0" borderId="3" xfId="277" applyFill="1" applyBorder="1"/>
    <xf numFmtId="0" fontId="6" fillId="0" borderId="3" xfId="175" applyNumberFormat="1" applyFont="1" applyFill="1" applyBorder="1"/>
    <xf numFmtId="9" fontId="6" fillId="0" borderId="3" xfId="270" applyNumberFormat="1" applyFont="1" applyFill="1" applyBorder="1"/>
    <xf numFmtId="181" fontId="6" fillId="0" borderId="29" xfId="270" applyNumberFormat="1" applyFont="1" applyFill="1" applyBorder="1"/>
    <xf numFmtId="181" fontId="2" fillId="0" borderId="18" xfId="270" applyNumberFormat="1" applyFont="1" applyFill="1" applyBorder="1" applyAlignment="1">
      <alignment horizontal="right"/>
    </xf>
    <xf numFmtId="0" fontId="6" fillId="0" borderId="3" xfId="270" applyFont="1" applyFill="1" applyBorder="1"/>
    <xf numFmtId="1" fontId="6" fillId="0" borderId="0" xfId="270" applyNumberFormat="1" applyFont="1" applyFill="1" applyBorder="1"/>
    <xf numFmtId="1" fontId="6" fillId="0" borderId="3" xfId="270" applyNumberFormat="1" applyFont="1" applyFill="1" applyBorder="1"/>
    <xf numFmtId="0" fontId="2" fillId="0" borderId="0" xfId="0" applyNumberFormat="1" applyFont="1" applyFill="1" applyAlignment="1">
      <alignment horizontal="centerContinuous" wrapText="1"/>
    </xf>
    <xf numFmtId="0" fontId="0" fillId="0" borderId="0" xfId="0" applyNumberFormat="1" applyFill="1" applyAlignment="1">
      <alignment horizontal="centerContinuous" wrapText="1"/>
    </xf>
    <xf numFmtId="0" fontId="2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0" fontId="62" fillId="0" borderId="3" xfId="332" applyNumberFormat="1" applyFont="1" applyFill="1" applyBorder="1"/>
    <xf numFmtId="17" fontId="2" fillId="0" borderId="11" xfId="0" applyNumberFormat="1" applyFont="1" applyFill="1" applyBorder="1" applyAlignment="1">
      <alignment horizontal="center" wrapText="1"/>
    </xf>
    <xf numFmtId="17" fontId="2" fillId="0" borderId="0" xfId="270" applyNumberFormat="1" applyFont="1" applyFill="1" applyBorder="1" applyAlignment="1">
      <alignment horizontal="center" wrapText="1"/>
    </xf>
    <xf numFmtId="165" fontId="1" fillId="0" borderId="12" xfId="176" applyNumberFormat="1" applyFont="1" applyFill="1" applyBorder="1"/>
    <xf numFmtId="165" fontId="6" fillId="0" borderId="12" xfId="270" applyNumberFormat="1" applyFill="1" applyBorder="1"/>
    <xf numFmtId="165" fontId="2" fillId="0" borderId="20" xfId="270" applyNumberFormat="1" applyFont="1" applyFill="1" applyBorder="1"/>
    <xf numFmtId="165" fontId="6" fillId="0" borderId="0" xfId="270" applyNumberFormat="1" applyFont="1" applyFill="1" applyBorder="1" applyAlignment="1">
      <alignment horizontal="center" wrapText="1"/>
    </xf>
    <xf numFmtId="165" fontId="6" fillId="0" borderId="46" xfId="270" applyNumberFormat="1" applyFont="1" applyFill="1" applyBorder="1" applyAlignment="1">
      <alignment horizontal="center" wrapText="1"/>
    </xf>
    <xf numFmtId="165" fontId="6" fillId="0" borderId="11" xfId="270" applyNumberFormat="1" applyFont="1" applyFill="1" applyBorder="1" applyAlignment="1">
      <alignment horizontal="center" wrapText="1"/>
    </xf>
    <xf numFmtId="165" fontId="6" fillId="0" borderId="45" xfId="270" applyNumberFormat="1" applyFont="1" applyFill="1" applyBorder="1" applyAlignment="1">
      <alignment horizontal="center" wrapText="1"/>
    </xf>
    <xf numFmtId="165" fontId="1" fillId="0" borderId="2" xfId="176" applyNumberFormat="1" applyFont="1" applyFill="1" applyBorder="1"/>
    <xf numFmtId="165" fontId="6" fillId="0" borderId="2" xfId="270" applyNumberFormat="1" applyFill="1" applyBorder="1"/>
    <xf numFmtId="165" fontId="2" fillId="0" borderId="49" xfId="270" applyNumberFormat="1" applyFont="1" applyFill="1" applyBorder="1"/>
    <xf numFmtId="165" fontId="6" fillId="0" borderId="2" xfId="176" applyNumberFormat="1" applyFont="1" applyFill="1" applyBorder="1"/>
    <xf numFmtId="165" fontId="6" fillId="0" borderId="12" xfId="176" applyNumberFormat="1" applyFont="1" applyFill="1" applyBorder="1"/>
    <xf numFmtId="165" fontId="6" fillId="0" borderId="20" xfId="270" applyNumberFormat="1" applyFill="1" applyBorder="1"/>
    <xf numFmtId="165" fontId="6" fillId="0" borderId="0" xfId="176" applyNumberFormat="1" applyFont="1" applyFill="1" applyBorder="1"/>
    <xf numFmtId="165" fontId="86" fillId="0" borderId="46" xfId="270" applyNumberFormat="1" applyFont="1" applyFill="1" applyBorder="1"/>
    <xf numFmtId="165" fontId="2" fillId="0" borderId="0" xfId="176" applyNumberFormat="1" applyFont="1" applyFill="1" applyBorder="1"/>
    <xf numFmtId="165" fontId="87" fillId="0" borderId="46" xfId="270" applyNumberFormat="1" applyFont="1" applyFill="1" applyBorder="1"/>
    <xf numFmtId="165" fontId="6" fillId="0" borderId="11" xfId="176" applyNumberFormat="1" applyFont="1" applyFill="1" applyBorder="1"/>
    <xf numFmtId="165" fontId="1" fillId="0" borderId="11" xfId="176" applyNumberFormat="1" applyFont="1" applyFill="1" applyBorder="1"/>
    <xf numFmtId="165" fontId="2" fillId="0" borderId="45" xfId="270" applyNumberFormat="1" applyFont="1" applyFill="1" applyBorder="1"/>
    <xf numFmtId="165" fontId="6" fillId="0" borderId="0" xfId="176" applyNumberFormat="1" applyFont="1" applyFill="1"/>
    <xf numFmtId="165" fontId="45" fillId="0" borderId="0" xfId="286" applyNumberFormat="1" applyFill="1" applyBorder="1" applyAlignment="1"/>
    <xf numFmtId="0" fontId="8" fillId="0" borderId="0" xfId="270" applyFont="1" applyFill="1"/>
    <xf numFmtId="3" fontId="89" fillId="0" borderId="0" xfId="294" applyNumberFormat="1" applyFont="1" applyFill="1"/>
    <xf numFmtId="41" fontId="89" fillId="0" borderId="0" xfId="294" applyNumberFormat="1" applyFont="1" applyFill="1"/>
    <xf numFmtId="0" fontId="89" fillId="0" borderId="0" xfId="294" applyFont="1" applyFill="1" applyAlignment="1">
      <alignment horizontal="right"/>
    </xf>
    <xf numFmtId="0" fontId="6" fillId="0" borderId="24" xfId="270" applyFill="1" applyBorder="1"/>
    <xf numFmtId="0" fontId="2" fillId="0" borderId="28" xfId="270" applyFont="1" applyFill="1" applyBorder="1" applyAlignment="1">
      <alignment horizontal="left" wrapText="1"/>
    </xf>
    <xf numFmtId="0" fontId="2" fillId="0" borderId="29" xfId="270" applyFont="1" applyBorder="1" applyAlignment="1">
      <alignment horizontal="center" wrapText="1"/>
    </xf>
    <xf numFmtId="0" fontId="2" fillId="0" borderId="24" xfId="270" applyFont="1" applyFill="1" applyBorder="1" applyAlignment="1">
      <alignment horizontal="center" wrapText="1"/>
    </xf>
    <xf numFmtId="0" fontId="2" fillId="0" borderId="25" xfId="270" applyFont="1" applyFill="1" applyBorder="1" applyAlignment="1">
      <alignment horizontal="center" wrapText="1"/>
    </xf>
    <xf numFmtId="0" fontId="6" fillId="0" borderId="24" xfId="270" applyFont="1" applyFill="1" applyBorder="1"/>
    <xf numFmtId="165" fontId="6" fillId="0" borderId="25" xfId="270" applyNumberFormat="1" applyFill="1" applyBorder="1"/>
    <xf numFmtId="165" fontId="2" fillId="0" borderId="51" xfId="176" applyNumberFormat="1" applyFont="1" applyFill="1" applyBorder="1"/>
    <xf numFmtId="0" fontId="6" fillId="0" borderId="28" xfId="270" applyFill="1" applyBorder="1"/>
    <xf numFmtId="0" fontId="6" fillId="0" borderId="3" xfId="270" applyFill="1" applyBorder="1"/>
    <xf numFmtId="0" fontId="2" fillId="0" borderId="21" xfId="270" applyFont="1" applyFill="1" applyBorder="1" applyAlignment="1"/>
    <xf numFmtId="0" fontId="2" fillId="0" borderId="22" xfId="270" applyFont="1" applyFill="1" applyBorder="1" applyAlignment="1"/>
    <xf numFmtId="0" fontId="2" fillId="0" borderId="23" xfId="270" applyFont="1" applyFill="1" applyBorder="1" applyAlignment="1"/>
    <xf numFmtId="0" fontId="2" fillId="0" borderId="0" xfId="270" applyFont="1" applyFill="1" applyBorder="1" applyAlignment="1"/>
    <xf numFmtId="0" fontId="83" fillId="0" borderId="0" xfId="270" applyFont="1" applyFill="1" applyBorder="1" applyAlignment="1">
      <alignment horizontal="left"/>
    </xf>
    <xf numFmtId="0" fontId="2" fillId="0" borderId="0" xfId="270" applyFont="1" applyBorder="1" applyAlignment="1">
      <alignment horizontal="center" wrapText="1"/>
    </xf>
    <xf numFmtId="0" fontId="85" fillId="0" borderId="0" xfId="270" applyFont="1" applyFill="1" applyBorder="1" applyAlignment="1"/>
    <xf numFmtId="0" fontId="6" fillId="0" borderId="25" xfId="270" applyFill="1" applyBorder="1"/>
    <xf numFmtId="0" fontId="6" fillId="0" borderId="29" xfId="270" applyFill="1" applyBorder="1"/>
    <xf numFmtId="165" fontId="86" fillId="0" borderId="0" xfId="175" applyNumberFormat="1" applyFont="1" applyFill="1" applyBorder="1"/>
    <xf numFmtId="10" fontId="84" fillId="0" borderId="0" xfId="0" applyNumberFormat="1" applyFont="1" applyFill="1" applyAlignment="1">
      <alignment horizontal="center"/>
    </xf>
    <xf numFmtId="10" fontId="84" fillId="0" borderId="0" xfId="0" applyNumberFormat="1" applyFont="1" applyFill="1" applyBorder="1" applyAlignment="1">
      <alignment horizontal="center"/>
    </xf>
    <xf numFmtId="5" fontId="62" fillId="0" borderId="0" xfId="294" applyNumberFormat="1" applyFont="1" applyFill="1" applyBorder="1"/>
    <xf numFmtId="0" fontId="91" fillId="0" borderId="0" xfId="296" applyFont="1"/>
    <xf numFmtId="167" fontId="92" fillId="0" borderId="0" xfId="293" applyFont="1">
      <alignment horizontal="left" wrapText="1"/>
    </xf>
    <xf numFmtId="0" fontId="92" fillId="0" borderId="0" xfId="0" applyNumberFormat="1" applyFont="1" applyAlignment="1"/>
    <xf numFmtId="0" fontId="1" fillId="0" borderId="0" xfId="0" applyNumberFormat="1" applyFont="1" applyAlignment="1"/>
    <xf numFmtId="167" fontId="1" fillId="0" borderId="0" xfId="293" applyFont="1">
      <alignment horizontal="left" wrapText="1"/>
    </xf>
    <xf numFmtId="9" fontId="3" fillId="0" borderId="0" xfId="0" applyNumberFormat="1" applyFont="1" applyFill="1" applyAlignment="1"/>
    <xf numFmtId="41" fontId="3" fillId="0" borderId="0" xfId="293" applyNumberFormat="1" applyFont="1" applyFill="1" applyAlignment="1" applyProtection="1">
      <protection locked="0"/>
    </xf>
    <xf numFmtId="42" fontId="3" fillId="0" borderId="10" xfId="293" applyNumberFormat="1" applyFont="1" applyFill="1" applyBorder="1" applyAlignment="1"/>
    <xf numFmtId="42" fontId="3" fillId="0" borderId="10" xfId="0" applyNumberFormat="1" applyFont="1" applyFill="1" applyBorder="1" applyAlignment="1"/>
    <xf numFmtId="0" fontId="2" fillId="0" borderId="0" xfId="294" applyFont="1" applyFill="1" applyAlignment="1">
      <alignment horizontal="left"/>
    </xf>
    <xf numFmtId="0" fontId="85" fillId="69" borderId="19" xfId="294" applyFont="1" applyFill="1" applyBorder="1" applyAlignment="1">
      <alignment horizontal="center" wrapText="1"/>
    </xf>
    <xf numFmtId="0" fontId="85" fillId="69" borderId="12" xfId="294" applyFont="1" applyFill="1" applyBorder="1" applyAlignment="1">
      <alignment horizontal="center" wrapText="1"/>
    </xf>
    <xf numFmtId="0" fontId="85" fillId="69" borderId="20" xfId="294" applyFont="1" applyFill="1" applyBorder="1" applyAlignment="1">
      <alignment horizontal="center" wrapText="1"/>
    </xf>
    <xf numFmtId="0" fontId="8" fillId="0" borderId="0" xfId="270" applyFont="1" applyFill="1" applyBorder="1" applyAlignment="1">
      <alignment horizontal="center"/>
    </xf>
    <xf numFmtId="0" fontId="8" fillId="0" borderId="25" xfId="270" applyFont="1" applyFill="1" applyBorder="1" applyAlignment="1">
      <alignment horizontal="center"/>
    </xf>
    <xf numFmtId="0" fontId="2" fillId="0" borderId="17" xfId="270" applyFont="1" applyFill="1" applyBorder="1" applyAlignment="1">
      <alignment horizontal="center"/>
    </xf>
    <xf numFmtId="0" fontId="2" fillId="0" borderId="1" xfId="270" applyFont="1" applyFill="1" applyBorder="1" applyAlignment="1">
      <alignment horizontal="center"/>
    </xf>
    <xf numFmtId="0" fontId="85" fillId="69" borderId="50" xfId="270" applyFont="1" applyFill="1" applyBorder="1" applyAlignment="1">
      <alignment horizontal="center" wrapText="1"/>
    </xf>
    <xf numFmtId="0" fontId="85" fillId="69" borderId="17" xfId="270" applyFont="1" applyFill="1" applyBorder="1" applyAlignment="1">
      <alignment horizontal="center"/>
    </xf>
    <xf numFmtId="0" fontId="85" fillId="69" borderId="1" xfId="270" applyFont="1" applyFill="1" applyBorder="1" applyAlignment="1">
      <alignment horizontal="center"/>
    </xf>
    <xf numFmtId="0" fontId="85" fillId="69" borderId="18" xfId="270" applyFont="1" applyFill="1" applyBorder="1" applyAlignment="1">
      <alignment horizontal="center"/>
    </xf>
  </cellXfs>
  <cellStyles count="430">
    <cellStyle name="_x0013_" xfId="1"/>
    <cellStyle name="_09GRC Gas Transport For Review" xfId="2"/>
    <cellStyle name="_4.06E Pass Throughs" xfId="3"/>
    <cellStyle name="_4.06E Pass Throughs_04 07E Wild Horse Wind Expansion (C) (2)" xfId="4"/>
    <cellStyle name="_4.06E Pass Throughs_4 31 Regulatory Assets and Liabilities  7 06- Exhibit D" xfId="5"/>
    <cellStyle name="_4.06E Pass Throughs_4 32 Regulatory Assets and Liabilities  7 06- Exhibit D" xfId="6"/>
    <cellStyle name="_4.06E Pass Throughs_Book9" xfId="7"/>
    <cellStyle name="_4.13E Montana Energy Tax" xfId="8"/>
    <cellStyle name="_4.13E Montana Energy Tax_04 07E Wild Horse Wind Expansion (C) (2)" xfId="9"/>
    <cellStyle name="_4.13E Montana Energy Tax_4 31 Regulatory Assets and Liabilities  7 06- Exhibit D" xfId="10"/>
    <cellStyle name="_4.13E Montana Energy Tax_4 32 Regulatory Assets and Liabilities  7 06- Exhibit D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4 31 Regulatory Assets and Liabilities  7 06- Exhibit D" xfId="17"/>
    <cellStyle name="_Book1 (2)_4 32 Regulatory Assets and Liabilities  7 06- Exhibit D" xfId="18"/>
    <cellStyle name="_Book1 (2)_Book9" xfId="19"/>
    <cellStyle name="_Book1_4 31 Regulatory Assets and Liabilities  7 06- Exhibit D" xfId="20"/>
    <cellStyle name="_Book1_4 32 Regulatory Assets and Liabilities  7 06- Exhibit D" xfId="21"/>
    <cellStyle name="_Book1_Book9" xfId="22"/>
    <cellStyle name="_Book2" xfId="23"/>
    <cellStyle name="_Book2_04 07E Wild Horse Wind Expansion (C) (2)" xfId="24"/>
    <cellStyle name="_Book2_4 31 Regulatory Assets and Liabilities  7 06- Exhibit D" xfId="25"/>
    <cellStyle name="_Book2_4 32 Regulatory Assets and Liabilities  7 06- Exhibit D" xfId="26"/>
    <cellStyle name="_Book2_Book9" xfId="27"/>
    <cellStyle name="_Book3" xfId="28"/>
    <cellStyle name="_Book5" xfId="29"/>
    <cellStyle name="_Chelan Debt Forecast 12.19.05" xfId="30"/>
    <cellStyle name="_Chelan Debt Forecast 12.19.05_4 31 Regulatory Assets and Liabilities  7 06- Exhibit D" xfId="31"/>
    <cellStyle name="_Chelan Debt Forecast 12.19.05_4 32 Regulatory Assets and Liabilities  7 06- Exhibit D" xfId="32"/>
    <cellStyle name="_Chelan Debt Forecast 12.19.05_Book9" xfId="33"/>
    <cellStyle name="_Copy 11-9 Sumas Proforma - Current" xfId="34"/>
    <cellStyle name="_Costs not in AURORA 06GRC" xfId="35"/>
    <cellStyle name="_Costs not in AURORA 06GRC_04 07E Wild Horse Wind Expansion (C) (2)" xfId="36"/>
    <cellStyle name="_Costs not in AURORA 06GRC_4 31 Regulatory Assets and Liabilities  7 06- Exhibit D" xfId="37"/>
    <cellStyle name="_Costs not in AURORA 06GRC_4 32 Regulatory Assets and Liabilities  7 06- Exhibit D" xfId="38"/>
    <cellStyle name="_Costs not in AURORA 06GRC_Book9" xfId="39"/>
    <cellStyle name="_Costs not in AURORA 2006GRC 6.15.06" xfId="40"/>
    <cellStyle name="_Costs not in AURORA 2006GRC 6.15.06_04 07E Wild Horse Wind Expansion (C) (2)" xfId="41"/>
    <cellStyle name="_Costs not in AURORA 2006GRC 6.15.06_4 31 Regulatory Assets and Liabilities  7 06- Exhibit D" xfId="42"/>
    <cellStyle name="_Costs not in AURORA 2006GRC 6.15.06_4 32 Regulatory Assets and Liabilities  7 06- Exhibit D" xfId="43"/>
    <cellStyle name="_Costs not in AURORA 2006GRC 6.15.06_Book9" xfId="44"/>
    <cellStyle name="_Costs not in AURORA 2006GRC w gas price updated" xfId="45"/>
    <cellStyle name="_Costs not in AURORA 2007 Rate Case" xfId="46"/>
    <cellStyle name="_Costs not in AURORA 2007 Rate Case_4 31 Regulatory Assets and Liabilities  7 06- Exhibit D" xfId="47"/>
    <cellStyle name="_Costs not in AURORA 2007 Rate Case_4 32 Regulatory Assets and Liabilities  7 06- Exhibit D" xfId="48"/>
    <cellStyle name="_Costs not in AURORA 2007 Rate Case_Book9" xfId="49"/>
    <cellStyle name="_Costs not in KWI3000 '06Budget" xfId="50"/>
    <cellStyle name="_Costs not in KWI3000 '06Budget_4 31 Regulatory Assets and Liabilities  7 06- Exhibit D" xfId="51"/>
    <cellStyle name="_Costs not in KWI3000 '06Budget_4 32 Regulatory Assets and Liabilities  7 06- Exhibit D" xfId="52"/>
    <cellStyle name="_Costs not in KWI3000 '06Budget_Book9" xfId="53"/>
    <cellStyle name="_DEM-WP (C) Power Cost 2006GRC Order" xfId="54"/>
    <cellStyle name="_DEM-WP (C) Power Cost 2006GRC Order_04 07E Wild Horse Wind Expansion (C) (2)" xfId="55"/>
    <cellStyle name="_DEM-WP (C) Power Cost 2006GRC Order_4 31 Regulatory Assets and Liabilities  7 06- Exhibit D" xfId="56"/>
    <cellStyle name="_DEM-WP (C) Power Cost 2006GRC Order_4 32 Regulatory Assets and Liabilities  7 06- Exhibit D" xfId="57"/>
    <cellStyle name="_DEM-WP (C) Power Cost 2006GRC Order_Book9" xfId="58"/>
    <cellStyle name="_DEM-WP Revised (HC) Wild Horse 2006GRC" xfId="59"/>
    <cellStyle name="_DEM-WP(C) Colstrip FOR" xfId="60"/>
    <cellStyle name="_DEM-WP(C) Costs not in AURORA 2006GRC" xfId="61"/>
    <cellStyle name="_DEM-WP(C) Costs not in AURORA 2006GRC_4 31 Regulatory Assets and Liabilities  7 06- Exhibit D" xfId="62"/>
    <cellStyle name="_DEM-WP(C) Costs not in AURORA 2006GRC_4 32 Regulatory Assets and Liabilities  7 06- Exhibit D" xfId="63"/>
    <cellStyle name="_DEM-WP(C) Costs not in AURORA 2006GRC_Book9" xfId="64"/>
    <cellStyle name="_DEM-WP(C) Costs not in AURORA 2007GRC" xfId="65"/>
    <cellStyle name="_DEM-WP(C) Costs not in AURORA 2007PCORC-5.07Update" xfId="66"/>
    <cellStyle name="_DEM-WP(C) Costs not in AURORA 2007PCORC-5.07Update_DEM-WP(C) Production O&amp;M 2009GRC Rebuttal" xfId="67"/>
    <cellStyle name="_DEM-WP(C) Prod O&amp;M 2007GRC" xfId="68"/>
    <cellStyle name="_DEM-WP(C) Rate Year Sumas by Month Update Corrected" xfId="69"/>
    <cellStyle name="_DEM-WP(C) Sumas Proforma 11.5.07" xfId="70"/>
    <cellStyle name="_DEM-WP(C) Westside Hydro Data_051007" xfId="71"/>
    <cellStyle name="_Fixed Gas Transport 1 19 09" xfId="72"/>
    <cellStyle name="_Fuel Prices 4-14" xfId="73"/>
    <cellStyle name="_Fuel Prices 4-14_04 07E Wild Horse Wind Expansion (C) (2)" xfId="74"/>
    <cellStyle name="_Fuel Prices 4-14_4 31 Regulatory Assets and Liabilities  7 06- Exhibit D" xfId="75"/>
    <cellStyle name="_Fuel Prices 4-14_4 32 Regulatory Assets and Liabilities  7 06- Exhibit D" xfId="76"/>
    <cellStyle name="_Fuel Prices 4-14_Book9" xfId="77"/>
    <cellStyle name="_Gas Transportation Charges_2009GRC_120308" xfId="78"/>
    <cellStyle name="_NIM 06 Base Case Current Trends" xfId="79"/>
    <cellStyle name="_Portfolio SPlan Base Case.xls Chart 1" xfId="80"/>
    <cellStyle name="_Portfolio SPlan Base Case.xls Chart 2" xfId="81"/>
    <cellStyle name="_Portfolio SPlan Base Case.xls Chart 3" xfId="82"/>
    <cellStyle name="_Power Cost Value Copy 11.30.05 gas 1.09.06 AURORA at 1.10.06" xfId="83"/>
    <cellStyle name="_Power Cost Value Copy 11.30.05 gas 1.09.06 AURORA at 1.10.06_04 07E Wild Horse Wind Expansion (C) (2)" xfId="84"/>
    <cellStyle name="_Power Cost Value Copy 11.30.05 gas 1.09.06 AURORA at 1.10.06_4 31 Regulatory Assets and Liabilities  7 06- Exhibit D" xfId="85"/>
    <cellStyle name="_Power Cost Value Copy 11.30.05 gas 1.09.06 AURORA at 1.10.06_4 32 Regulatory Assets and Liabilities  7 06- Exhibit D" xfId="86"/>
    <cellStyle name="_Power Cost Value Copy 11.30.05 gas 1.09.06 AURORA at 1.10.06_Book9" xfId="87"/>
    <cellStyle name="_Recon to Darrin's 5.11.05 proforma" xfId="88"/>
    <cellStyle name="_Recon to Darrin's 5.11.05 proforma_4 31 Regulatory Assets and Liabilities  7 06- Exhibit D" xfId="89"/>
    <cellStyle name="_Recon to Darrin's 5.11.05 proforma_4 32 Regulatory Assets and Liabilities  7 06- Exhibit D" xfId="90"/>
    <cellStyle name="_Recon to Darrin's 5.11.05 proforma_Book9" xfId="91"/>
    <cellStyle name="_Sumas Proforma - 11-09-07" xfId="92"/>
    <cellStyle name="_Sumas Property Taxes v1" xfId="93"/>
    <cellStyle name="_Tenaska Comparison" xfId="94"/>
    <cellStyle name="_Tenaska Comparison_4 31 Regulatory Assets and Liabilities  7 06- Exhibit D" xfId="95"/>
    <cellStyle name="_Tenaska Comparison_4 32 Regulatory Assets and Liabilities  7 06- Exhibit D" xfId="96"/>
    <cellStyle name="_Tenaska Comparison_Book9" xfId="97"/>
    <cellStyle name="_Value Copy 11 30 05 gas 12 09 05 AURORA at 12 14 05" xfId="98"/>
    <cellStyle name="_Value Copy 11 30 05 gas 12 09 05 AURORA at 12 14 05_04 07E Wild Horse Wind Expansion (C) (2)" xfId="99"/>
    <cellStyle name="_Value Copy 11 30 05 gas 12 09 05 AURORA at 12 14 05_4 31 Regulatory Assets and Liabilities  7 06- Exhibit D" xfId="100"/>
    <cellStyle name="_Value Copy 11 30 05 gas 12 09 05 AURORA at 12 14 05_4 32 Regulatory Assets and Liabilities  7 06- Exhibit D" xfId="101"/>
    <cellStyle name="_Value Copy 11 30 05 gas 12 09 05 AURORA at 12 14 05_Book9" xfId="102"/>
    <cellStyle name="_VC 6.15.06 update on 06GRC power costs.xls Chart 1" xfId="103"/>
    <cellStyle name="_VC 6.15.06 update on 06GRC power costs.xls Chart 1_04 07E Wild Horse Wind Expansion (C) (2)" xfId="104"/>
    <cellStyle name="_VC 6.15.06 update on 06GRC power costs.xls Chart 1_4 31 Regulatory Assets and Liabilities  7 06- Exhibit D" xfId="105"/>
    <cellStyle name="_VC 6.15.06 update on 06GRC power costs.xls Chart 1_4 32 Regulatory Assets and Liabilities  7 06- Exhibit D" xfId="106"/>
    <cellStyle name="_VC 6.15.06 update on 06GRC power costs.xls Chart 1_Book9" xfId="107"/>
    <cellStyle name="_VC 6.15.06 update on 06GRC power costs.xls Chart 2" xfId="108"/>
    <cellStyle name="_VC 6.15.06 update on 06GRC power costs.xls Chart 2_04 07E Wild Horse Wind Expansion (C) (2)" xfId="109"/>
    <cellStyle name="_VC 6.15.06 update on 06GRC power costs.xls Chart 2_4 31 Regulatory Assets and Liabilities  7 06- Exhibit D" xfId="110"/>
    <cellStyle name="_VC 6.15.06 update on 06GRC power costs.xls Chart 2_4 32 Regulatory Assets and Liabilities  7 06- Exhibit D" xfId="111"/>
    <cellStyle name="_VC 6.15.06 update on 06GRC power costs.xls Chart 2_Book9" xfId="112"/>
    <cellStyle name="_VC 6.15.06 update on 06GRC power costs.xls Chart 3" xfId="113"/>
    <cellStyle name="_VC 6.15.06 update on 06GRC power costs.xls Chart 3_04 07E Wild Horse Wind Expansion (C) (2)" xfId="114"/>
    <cellStyle name="_VC 6.15.06 update on 06GRC power costs.xls Chart 3_4 31 Regulatory Assets and Liabilities  7 06- Exhibit D" xfId="115"/>
    <cellStyle name="_VC 6.15.06 update on 06GRC power costs.xls Chart 3_4 32 Regulatory Assets and Liabilities  7 06- Exhibit D" xfId="116"/>
    <cellStyle name="_VC 6.15.06 update on 06GRC power costs.xls Chart 3_Book9" xfId="117"/>
    <cellStyle name="0,0_x000d__x000a_NA_x000d__x000a_" xfId="118"/>
    <cellStyle name="0000" xfId="119"/>
    <cellStyle name="000000" xfId="120"/>
    <cellStyle name="20% - Accent1" xfId="121" builtinId="30" customBuiltin="1"/>
    <cellStyle name="20% - Accent1 2" xfId="122"/>
    <cellStyle name="20% - Accent1 3" xfId="123"/>
    <cellStyle name="20% - Accent2" xfId="124" builtinId="34" customBuiltin="1"/>
    <cellStyle name="20% - Accent2 2" xfId="125"/>
    <cellStyle name="20% - Accent2 3" xfId="126"/>
    <cellStyle name="20% - Accent3" xfId="127" builtinId="38" customBuiltin="1"/>
    <cellStyle name="20% - Accent3 2" xfId="128"/>
    <cellStyle name="20% - Accent3 3" xfId="129"/>
    <cellStyle name="20% - Accent4" xfId="130" builtinId="42" customBuiltin="1"/>
    <cellStyle name="20% - Accent4 2" xfId="131"/>
    <cellStyle name="20% - Accent4 3" xfId="132"/>
    <cellStyle name="20% - Accent5" xfId="133" builtinId="46" customBuiltin="1"/>
    <cellStyle name="20% - Accent5 2" xfId="134"/>
    <cellStyle name="20% - Accent5 3" xfId="135"/>
    <cellStyle name="20% - Accent6" xfId="136" builtinId="50" customBuiltin="1"/>
    <cellStyle name="20% - Accent6 2" xfId="137"/>
    <cellStyle name="20% - Accent6 3" xfId="138"/>
    <cellStyle name="40% - Accent1" xfId="139" builtinId="31" customBuiltin="1"/>
    <cellStyle name="40% - Accent1 2" xfId="140"/>
    <cellStyle name="40% - Accent1 3" xfId="141"/>
    <cellStyle name="40% - Accent2" xfId="142" builtinId="35" customBuiltin="1"/>
    <cellStyle name="40% - Accent2 2" xfId="143"/>
    <cellStyle name="40% - Accent2 3" xfId="144"/>
    <cellStyle name="40% - Accent3" xfId="145" builtinId="39" customBuiltin="1"/>
    <cellStyle name="40% - Accent3 2" xfId="146"/>
    <cellStyle name="40% - Accent3 3" xfId="147"/>
    <cellStyle name="40% - Accent4" xfId="148" builtinId="43" customBuiltin="1"/>
    <cellStyle name="40% - Accent4 2" xfId="149"/>
    <cellStyle name="40% - Accent4 3" xfId="150"/>
    <cellStyle name="40% - Accent5" xfId="151" builtinId="47" customBuiltin="1"/>
    <cellStyle name="40% - Accent5 2" xfId="152"/>
    <cellStyle name="40% - Accent5 3" xfId="153"/>
    <cellStyle name="40% - Accent6" xfId="154" builtinId="51" customBuiltin="1"/>
    <cellStyle name="40% - Accent6 2" xfId="155"/>
    <cellStyle name="40% - Accent6 3" xfId="156"/>
    <cellStyle name="60% - Accent1" xfId="157" builtinId="32" customBuiltin="1"/>
    <cellStyle name="60% - Accent2" xfId="158" builtinId="36" customBuiltin="1"/>
    <cellStyle name="60% - Accent3" xfId="159" builtinId="40" customBuiltin="1"/>
    <cellStyle name="60% - Accent4" xfId="160" builtinId="44" customBuiltin="1"/>
    <cellStyle name="60% - Accent5" xfId="161" builtinId="48" customBuiltin="1"/>
    <cellStyle name="60% - Accent6" xfId="162" builtinId="52" customBuiltin="1"/>
    <cellStyle name="Accent1" xfId="163" builtinId="29" customBuiltin="1"/>
    <cellStyle name="Accent2" xfId="164" builtinId="33" customBuiltin="1"/>
    <cellStyle name="Accent3" xfId="165" builtinId="37" customBuiltin="1"/>
    <cellStyle name="Accent4" xfId="166" builtinId="41" customBuiltin="1"/>
    <cellStyle name="Accent5" xfId="167" builtinId="45" customBuiltin="1"/>
    <cellStyle name="Accent6" xfId="168" builtinId="49" customBuiltin="1"/>
    <cellStyle name="Bad" xfId="169" builtinId="27" customBuiltin="1"/>
    <cellStyle name="blank" xfId="170"/>
    <cellStyle name="Calc Currency (0)" xfId="171"/>
    <cellStyle name="Calculation" xfId="172" builtinId="22" customBuiltin="1"/>
    <cellStyle name="Check Cell" xfId="173" builtinId="23" customBuiltin="1"/>
    <cellStyle name="CheckCell" xfId="174"/>
    <cellStyle name="Comma" xfId="175" builtinId="3"/>
    <cellStyle name="Comma 10" xfId="176"/>
    <cellStyle name="Comma 11" xfId="177"/>
    <cellStyle name="Comma 12" xfId="178"/>
    <cellStyle name="Comma 13" xfId="179"/>
    <cellStyle name="Comma 14" xfId="180"/>
    <cellStyle name="Comma 2" xfId="181"/>
    <cellStyle name="Comma 2 2" xfId="182"/>
    <cellStyle name="Comma 3" xfId="183"/>
    <cellStyle name="Comma 3 2" xfId="184"/>
    <cellStyle name="Comma 4" xfId="185"/>
    <cellStyle name="Comma 4 2" xfId="186"/>
    <cellStyle name="Comma 5" xfId="187"/>
    <cellStyle name="Comma 6" xfId="188"/>
    <cellStyle name="Comma 7" xfId="189"/>
    <cellStyle name="Comma 8" xfId="190"/>
    <cellStyle name="Comma 9" xfId="191"/>
    <cellStyle name="Comma_Common Allocators GRC TY 0903" xfId="192"/>
    <cellStyle name="Comma0" xfId="193"/>
    <cellStyle name="Comma0 - Style2" xfId="194"/>
    <cellStyle name="Comma0 - Style4" xfId="195"/>
    <cellStyle name="Comma0 - Style5" xfId="196"/>
    <cellStyle name="Comma0 2" xfId="197"/>
    <cellStyle name="Comma0 3" xfId="198"/>
    <cellStyle name="Comma0 4" xfId="199"/>
    <cellStyle name="Comma0_00COS Ind Allocators" xfId="200"/>
    <cellStyle name="Comma1 - Style1" xfId="201"/>
    <cellStyle name="Copied" xfId="202"/>
    <cellStyle name="COST1" xfId="203"/>
    <cellStyle name="Curren - Style1" xfId="204"/>
    <cellStyle name="Curren - Style2" xfId="205"/>
    <cellStyle name="Curren - Style5" xfId="206"/>
    <cellStyle name="Curren - Style6" xfId="207"/>
    <cellStyle name="Currency 10" xfId="208"/>
    <cellStyle name="Currency 11" xfId="209"/>
    <cellStyle name="Currency 12" xfId="210"/>
    <cellStyle name="Currency 2" xfId="211"/>
    <cellStyle name="Currency 3" xfId="212"/>
    <cellStyle name="Currency 4" xfId="213"/>
    <cellStyle name="Currency 5" xfId="214"/>
    <cellStyle name="Currency 6" xfId="215"/>
    <cellStyle name="Currency 7" xfId="216"/>
    <cellStyle name="Currency 8" xfId="217"/>
    <cellStyle name="Currency 9" xfId="218"/>
    <cellStyle name="Currency_Common Allocators GRC TY 0903" xfId="219"/>
    <cellStyle name="Currency0" xfId="220"/>
    <cellStyle name="Date" xfId="221"/>
    <cellStyle name="Date 2" xfId="222"/>
    <cellStyle name="Date 3" xfId="223"/>
    <cellStyle name="Date 4" xfId="224"/>
    <cellStyle name="Entered" xfId="225"/>
    <cellStyle name="Euro" xfId="226"/>
    <cellStyle name="Explanatory Text" xfId="227" builtinId="53" customBuiltin="1"/>
    <cellStyle name="Fixed" xfId="228"/>
    <cellStyle name="Fixed3 - Style3" xfId="229"/>
    <cellStyle name="Good" xfId="230" builtinId="26" customBuiltin="1"/>
    <cellStyle name="Grey" xfId="231"/>
    <cellStyle name="Grey 2" xfId="232"/>
    <cellStyle name="Grey 3" xfId="233"/>
    <cellStyle name="Grey 4" xfId="234"/>
    <cellStyle name="Header" xfId="235"/>
    <cellStyle name="Header1" xfId="236"/>
    <cellStyle name="Header2" xfId="237"/>
    <cellStyle name="Heading" xfId="238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Heading1" xfId="243"/>
    <cellStyle name="Heading2" xfId="244"/>
    <cellStyle name="Input" xfId="245" builtinId="20" customBuiltin="1"/>
    <cellStyle name="Input [yellow]" xfId="246"/>
    <cellStyle name="Input [yellow] 2" xfId="247"/>
    <cellStyle name="Input [yellow] 3" xfId="248"/>
    <cellStyle name="Input [yellow] 4" xfId="249"/>
    <cellStyle name="Input Cells" xfId="250"/>
    <cellStyle name="Input Cells Percent" xfId="251"/>
    <cellStyle name="Input Cells_Book9" xfId="252"/>
    <cellStyle name="Lines" xfId="253"/>
    <cellStyle name="LINKED" xfId="254"/>
    <cellStyle name="Linked Cell" xfId="255" builtinId="24" customBuiltin="1"/>
    <cellStyle name="modified border" xfId="256"/>
    <cellStyle name="modified border 2" xfId="257"/>
    <cellStyle name="modified border 3" xfId="258"/>
    <cellStyle name="modified border 4" xfId="259"/>
    <cellStyle name="modified border1" xfId="260"/>
    <cellStyle name="modified border1 2" xfId="261"/>
    <cellStyle name="modified border1 3" xfId="262"/>
    <cellStyle name="modified border1 4" xfId="263"/>
    <cellStyle name="Neutral" xfId="264" builtinId="28" customBuiltin="1"/>
    <cellStyle name="no dec" xfId="265"/>
    <cellStyle name="Normal" xfId="0" builtinId="0"/>
    <cellStyle name="Normal - Style1" xfId="266"/>
    <cellStyle name="Normal - Style1 2" xfId="267"/>
    <cellStyle name="Normal - Style1 3" xfId="268"/>
    <cellStyle name="Normal - Style1 4" xfId="269"/>
    <cellStyle name="Normal 10" xfId="270"/>
    <cellStyle name="Normal 10 2" xfId="271"/>
    <cellStyle name="Normal 11" xfId="272"/>
    <cellStyle name="Normal 12" xfId="273"/>
    <cellStyle name="Normal 13" xfId="274"/>
    <cellStyle name="Normal 14" xfId="275"/>
    <cellStyle name="Normal 2" xfId="276"/>
    <cellStyle name="Normal 2 2" xfId="277"/>
    <cellStyle name="Normal 2 2 2" xfId="278"/>
    <cellStyle name="Normal 2 2 3" xfId="279"/>
    <cellStyle name="Normal 2 3" xfId="280"/>
    <cellStyle name="Normal 2 4" xfId="281"/>
    <cellStyle name="Normal 2 5" xfId="282"/>
    <cellStyle name="Normal 2 6" xfId="283"/>
    <cellStyle name="Normal 2 7" xfId="284"/>
    <cellStyle name="Normal 2_3.05 Allocation Method 2010 GTR WF" xfId="285"/>
    <cellStyle name="Normal 20" xfId="286"/>
    <cellStyle name="Normal 21" xfId="287"/>
    <cellStyle name="Normal 22" xfId="288"/>
    <cellStyle name="Normal 23" xfId="289"/>
    <cellStyle name="Normal 24" xfId="290"/>
    <cellStyle name="Normal 25" xfId="291"/>
    <cellStyle name="Normal 26" xfId="292"/>
    <cellStyle name="Normal 27" xfId="293"/>
    <cellStyle name="Normal 28" xfId="294"/>
    <cellStyle name="Normal 28 2" xfId="295"/>
    <cellStyle name="Normal 29" xfId="296"/>
    <cellStyle name="Normal 3" xfId="297"/>
    <cellStyle name="Normal 3 2" xfId="298"/>
    <cellStyle name="Normal 3 3" xfId="299"/>
    <cellStyle name="Normal 3 4" xfId="300"/>
    <cellStyle name="Normal 3 5" xfId="301"/>
    <cellStyle name="Normal 3_Net Classified Plant" xfId="302"/>
    <cellStyle name="Normal 30" xfId="303"/>
    <cellStyle name="Normal 4" xfId="304"/>
    <cellStyle name="Normal 4 2" xfId="305"/>
    <cellStyle name="Normal 4_3.05 Allocation Method 2010 GTR WF" xfId="306"/>
    <cellStyle name="Normal 43" xfId="307"/>
    <cellStyle name="Normal 44" xfId="308"/>
    <cellStyle name="Normal 45" xfId="309"/>
    <cellStyle name="Normal 47" xfId="310"/>
    <cellStyle name="Normal 48" xfId="311"/>
    <cellStyle name="Normal 49" xfId="312"/>
    <cellStyle name="Normal 6" xfId="313"/>
    <cellStyle name="Normal 7" xfId="314"/>
    <cellStyle name="Normal 9" xfId="315"/>
    <cellStyle name="Note 10" xfId="316"/>
    <cellStyle name="Note 11" xfId="317"/>
    <cellStyle name="Note 12" xfId="318"/>
    <cellStyle name="Note 2" xfId="319"/>
    <cellStyle name="Note 3" xfId="320"/>
    <cellStyle name="Note 39" xfId="321"/>
    <cellStyle name="Note 4" xfId="322"/>
    <cellStyle name="Note 5" xfId="323"/>
    <cellStyle name="Note 6" xfId="324"/>
    <cellStyle name="Note 7" xfId="325"/>
    <cellStyle name="Note 8" xfId="326"/>
    <cellStyle name="Note 9" xfId="327"/>
    <cellStyle name="Output" xfId="328" builtinId="21" customBuiltin="1"/>
    <cellStyle name="Percen - Style1" xfId="329"/>
    <cellStyle name="Percen - Style2" xfId="330"/>
    <cellStyle name="Percen - Style3" xfId="331"/>
    <cellStyle name="Percent" xfId="332" builtinId="5"/>
    <cellStyle name="Percent (0)" xfId="333"/>
    <cellStyle name="Percent [2]" xfId="334"/>
    <cellStyle name="Percent 2" xfId="335"/>
    <cellStyle name="Percent 3" xfId="336"/>
    <cellStyle name="Percent 3 2" xfId="337"/>
    <cellStyle name="Percent 4" xfId="338"/>
    <cellStyle name="Percent 4 2" xfId="339"/>
    <cellStyle name="Percent 5" xfId="340"/>
    <cellStyle name="Percent 6" xfId="341"/>
    <cellStyle name="Percent 7" xfId="342"/>
    <cellStyle name="Percent 8" xfId="343"/>
    <cellStyle name="Processing" xfId="344"/>
    <cellStyle name="PSChar" xfId="345"/>
    <cellStyle name="PSDate" xfId="346"/>
    <cellStyle name="PSDec" xfId="347"/>
    <cellStyle name="PSHeading" xfId="348"/>
    <cellStyle name="PSInt" xfId="349"/>
    <cellStyle name="PSSpacer" xfId="350"/>
    <cellStyle name="purple - Style8" xfId="351"/>
    <cellStyle name="RED" xfId="352"/>
    <cellStyle name="Red - Style7" xfId="353"/>
    <cellStyle name="RED_04 07E Wild Horse Wind Expansion (C) (2)" xfId="354"/>
    <cellStyle name="Report" xfId="355"/>
    <cellStyle name="Report Bar" xfId="356"/>
    <cellStyle name="Report Heading" xfId="357"/>
    <cellStyle name="Report Percent" xfId="358"/>
    <cellStyle name="Report Unit Cost" xfId="359"/>
    <cellStyle name="Reports" xfId="360"/>
    <cellStyle name="Reports Total" xfId="361"/>
    <cellStyle name="Reports Unit Cost Total" xfId="362"/>
    <cellStyle name="Reports_Book9" xfId="363"/>
    <cellStyle name="RevList" xfId="364"/>
    <cellStyle name="round100" xfId="365"/>
    <cellStyle name="SAPBEXaggData" xfId="366"/>
    <cellStyle name="SAPBEXaggDataEmph" xfId="367"/>
    <cellStyle name="SAPBEXaggItem" xfId="368"/>
    <cellStyle name="SAPBEXaggItemX" xfId="369"/>
    <cellStyle name="SAPBEXchaText" xfId="370"/>
    <cellStyle name="SAPBEXchaText 2" xfId="371"/>
    <cellStyle name="SAPBEXexcBad7" xfId="372"/>
    <cellStyle name="SAPBEXexcBad8" xfId="373"/>
    <cellStyle name="SAPBEXexcBad9" xfId="374"/>
    <cellStyle name="SAPBEXexcCritical4" xfId="375"/>
    <cellStyle name="SAPBEXexcCritical5" xfId="376"/>
    <cellStyle name="SAPBEXexcCritical6" xfId="377"/>
    <cellStyle name="SAPBEXexcGood1" xfId="378"/>
    <cellStyle name="SAPBEXexcGood2" xfId="379"/>
    <cellStyle name="SAPBEXexcGood3" xfId="380"/>
    <cellStyle name="SAPBEXfilterDrill" xfId="381"/>
    <cellStyle name="SAPBEXfilterItem" xfId="382"/>
    <cellStyle name="SAPBEXfilterText" xfId="383"/>
    <cellStyle name="SAPBEXformats" xfId="384"/>
    <cellStyle name="SAPBEXheaderItem" xfId="385"/>
    <cellStyle name="SAPBEXheaderText" xfId="386"/>
    <cellStyle name="SAPBEXHLevel0" xfId="387"/>
    <cellStyle name="SAPBEXHLevel0X" xfId="388"/>
    <cellStyle name="SAPBEXHLevel1" xfId="389"/>
    <cellStyle name="SAPBEXHLevel1X" xfId="390"/>
    <cellStyle name="SAPBEXHLevel2" xfId="391"/>
    <cellStyle name="SAPBEXHLevel2X" xfId="392"/>
    <cellStyle name="SAPBEXHLevel3" xfId="393"/>
    <cellStyle name="SAPBEXHLevel3X" xfId="394"/>
    <cellStyle name="SAPBEXinputData" xfId="395"/>
    <cellStyle name="SAPBEXresData" xfId="396"/>
    <cellStyle name="SAPBEXresDataEmph" xfId="397"/>
    <cellStyle name="SAPBEXresItem" xfId="398"/>
    <cellStyle name="SAPBEXresItemX" xfId="399"/>
    <cellStyle name="SAPBEXstdData" xfId="400"/>
    <cellStyle name="SAPBEXstdDataEmph" xfId="401"/>
    <cellStyle name="SAPBEXstdItem" xfId="402"/>
    <cellStyle name="SAPBEXstdItemX" xfId="403"/>
    <cellStyle name="SAPBEXtitle" xfId="404"/>
    <cellStyle name="SAPBEXundefined" xfId="405"/>
    <cellStyle name="shade" xfId="406"/>
    <cellStyle name="StmtTtl1" xfId="407"/>
    <cellStyle name="StmtTtl1 2" xfId="408"/>
    <cellStyle name="StmtTtl1 3" xfId="409"/>
    <cellStyle name="StmtTtl1 4" xfId="410"/>
    <cellStyle name="StmtTtl2" xfId="411"/>
    <cellStyle name="STYL1 - Style1" xfId="412"/>
    <cellStyle name="Style 1" xfId="413"/>
    <cellStyle name="Style 1 2" xfId="414"/>
    <cellStyle name="Style 1 3" xfId="415"/>
    <cellStyle name="Style 1 4" xfId="416"/>
    <cellStyle name="Style 1 5" xfId="417"/>
    <cellStyle name="Style 1_4 31 Regulatory Assets and Liabilities  7 06- Exhibit D" xfId="418"/>
    <cellStyle name="Subtotal" xfId="419"/>
    <cellStyle name="Sub-total" xfId="420"/>
    <cellStyle name="taples Plaza" xfId="421"/>
    <cellStyle name="Tickmark" xfId="422"/>
    <cellStyle name="Title" xfId="423" builtinId="15" customBuiltin="1"/>
    <cellStyle name="Title: Major" xfId="424"/>
    <cellStyle name="Title: Minor" xfId="425"/>
    <cellStyle name="Title: Worksheet" xfId="426"/>
    <cellStyle name="Total" xfId="427" builtinId="25" customBuiltin="1"/>
    <cellStyle name="Total4 - Style4" xfId="428"/>
    <cellStyle name="Warning Text" xfId="42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/>
      <sheetData sheetId="2"/>
      <sheetData sheetId="3"/>
      <sheetData sheetId="4">
        <row r="15">
          <cell r="H15">
            <v>0.54659120593235488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D14" sqref="D14"/>
    </sheetView>
  </sheetViews>
  <sheetFormatPr defaultColWidth="8.88671875" defaultRowHeight="13.2"/>
  <cols>
    <col min="1" max="1" width="5.44140625" style="22" bestFit="1" customWidth="1"/>
    <col min="2" max="2" width="47.33203125" style="22" customWidth="1"/>
    <col min="3" max="3" width="7" style="22" bestFit="1" customWidth="1"/>
    <col min="4" max="4" width="13.33203125" style="22" customWidth="1"/>
    <col min="5" max="5" width="3.88671875" style="129" customWidth="1"/>
    <col min="6" max="6" width="7" style="22" bestFit="1" customWidth="1"/>
    <col min="7" max="7" width="5.44140625" style="92" bestFit="1" customWidth="1"/>
    <col min="8" max="8" width="48.5546875" style="22" bestFit="1" customWidth="1"/>
    <col min="9" max="9" width="7" style="22" bestFit="1" customWidth="1"/>
    <col min="10" max="10" width="12.21875" style="22" bestFit="1" customWidth="1"/>
    <col min="11" max="16384" width="8.88671875" style="22"/>
  </cols>
  <sheetData>
    <row r="1" spans="1:11">
      <c r="D1" s="26"/>
      <c r="E1" s="26"/>
    </row>
    <row r="2" spans="1:11">
      <c r="D2" s="26"/>
      <c r="E2" s="26"/>
    </row>
    <row r="3" spans="1:11">
      <c r="A3" s="2"/>
      <c r="B3" s="2"/>
      <c r="C3" s="2"/>
      <c r="D3"/>
      <c r="E3" s="123"/>
    </row>
    <row r="4" spans="1:11">
      <c r="A4" s="3" t="s">
        <v>16</v>
      </c>
      <c r="B4" s="4"/>
      <c r="C4" s="4"/>
      <c r="D4" s="4"/>
      <c r="E4" s="4"/>
    </row>
    <row r="5" spans="1:11">
      <c r="A5" s="6" t="s">
        <v>5</v>
      </c>
      <c r="B5" s="4"/>
      <c r="C5" s="4"/>
      <c r="D5" s="5"/>
      <c r="E5" s="5"/>
    </row>
    <row r="6" spans="1:11">
      <c r="A6" s="6" t="s">
        <v>114</v>
      </c>
      <c r="B6" s="4"/>
      <c r="C6" s="4"/>
      <c r="D6" s="7"/>
      <c r="E6" s="7"/>
      <c r="G6"/>
      <c r="H6"/>
    </row>
    <row r="7" spans="1:11">
      <c r="A7" s="6" t="s">
        <v>140</v>
      </c>
      <c r="B7" s="4"/>
      <c r="C7" s="4"/>
      <c r="D7" s="4"/>
      <c r="E7" s="4"/>
      <c r="G7"/>
      <c r="H7"/>
      <c r="I7"/>
      <c r="J7"/>
      <c r="K7"/>
    </row>
    <row r="8" spans="1:11">
      <c r="A8" s="8"/>
      <c r="B8" s="9"/>
      <c r="C8" s="9"/>
      <c r="D8" s="2"/>
      <c r="E8" s="2"/>
      <c r="G8"/>
      <c r="H8"/>
      <c r="I8"/>
      <c r="J8"/>
      <c r="K8"/>
    </row>
    <row r="9" spans="1:11">
      <c r="A9" s="10" t="s">
        <v>2</v>
      </c>
      <c r="B9" s="2"/>
      <c r="C9" s="2"/>
      <c r="D9" s="2"/>
      <c r="E9" s="2"/>
      <c r="G9"/>
      <c r="H9"/>
      <c r="I9"/>
      <c r="J9"/>
      <c r="K9"/>
    </row>
    <row r="10" spans="1:11">
      <c r="A10" s="11" t="s">
        <v>3</v>
      </c>
      <c r="B10" s="12" t="s">
        <v>4</v>
      </c>
      <c r="C10" s="12"/>
      <c r="D10" s="25" t="s">
        <v>82</v>
      </c>
      <c r="E10" s="124"/>
      <c r="F10" s="24"/>
      <c r="G10"/>
      <c r="H10"/>
      <c r="I10"/>
      <c r="J10"/>
      <c r="K10"/>
    </row>
    <row r="11" spans="1:11">
      <c r="A11" s="13"/>
      <c r="B11" s="13"/>
      <c r="C11" s="13"/>
      <c r="D11" s="14"/>
      <c r="E11" s="14"/>
      <c r="F11"/>
      <c r="G11"/>
      <c r="H11"/>
      <c r="I11"/>
      <c r="J11"/>
      <c r="K11"/>
    </row>
    <row r="12" spans="1:11">
      <c r="A12" s="19">
        <v>1</v>
      </c>
      <c r="B12" s="15" t="s">
        <v>8</v>
      </c>
      <c r="C12" s="13"/>
      <c r="D12" s="16"/>
      <c r="E12" s="16"/>
      <c r="F12"/>
      <c r="G12"/>
      <c r="H12"/>
      <c r="I12"/>
      <c r="J12"/>
      <c r="K12"/>
    </row>
    <row r="13" spans="1:11" ht="15.6" customHeight="1">
      <c r="A13" s="19">
        <f t="shared" ref="A13:A23" si="0">A12+1</f>
        <v>2</v>
      </c>
      <c r="B13" s="17" t="s">
        <v>143</v>
      </c>
      <c r="C13" s="13"/>
      <c r="D13" s="125">
        <f ca="1">' Summary'!G46</f>
        <v>15271331.540317921</v>
      </c>
      <c r="E13" s="125"/>
      <c r="F13"/>
      <c r="G13"/>
      <c r="H13"/>
      <c r="I13"/>
      <c r="J13"/>
      <c r="K13"/>
    </row>
    <row r="14" spans="1:11">
      <c r="A14" s="19">
        <f t="shared" si="0"/>
        <v>3</v>
      </c>
      <c r="B14" s="17" t="s">
        <v>47</v>
      </c>
      <c r="C14" s="13"/>
      <c r="D14" s="152">
        <f ca="1">' Summary'!G27</f>
        <v>9200243.6631220803</v>
      </c>
      <c r="E14" s="18"/>
      <c r="F14"/>
      <c r="G14"/>
      <c r="H14"/>
      <c r="I14"/>
      <c r="J14"/>
      <c r="K14"/>
    </row>
    <row r="15" spans="1:11">
      <c r="A15" s="19">
        <f t="shared" si="0"/>
        <v>4</v>
      </c>
      <c r="B15" s="13" t="s">
        <v>55</v>
      </c>
      <c r="C15" s="13"/>
      <c r="D15" s="18">
        <f ca="1">SUM(D13:D14)</f>
        <v>24471575.203440003</v>
      </c>
      <c r="E15" s="18"/>
      <c r="F15"/>
      <c r="G15"/>
      <c r="H15"/>
      <c r="I15"/>
      <c r="J15"/>
      <c r="K15"/>
    </row>
    <row r="16" spans="1:11">
      <c r="A16" s="19">
        <f t="shared" si="0"/>
        <v>5</v>
      </c>
      <c r="B16" s="13"/>
      <c r="C16" s="13"/>
      <c r="D16" s="16"/>
      <c r="E16" s="16"/>
      <c r="F16"/>
      <c r="G16"/>
      <c r="H16"/>
      <c r="I16"/>
      <c r="J16"/>
      <c r="K16"/>
    </row>
    <row r="17" spans="1:11">
      <c r="A17" s="19">
        <f t="shared" si="0"/>
        <v>6</v>
      </c>
      <c r="B17" s="40" t="s">
        <v>56</v>
      </c>
      <c r="C17" s="41">
        <f ca="1">'[2]SAP DL Downld'!$H$15</f>
        <v>0.54659120593235488</v>
      </c>
      <c r="D17" s="18">
        <f ca="1">ROUND(C17*D15,0)</f>
        <v>13375948</v>
      </c>
      <c r="E17" s="18"/>
      <c r="F17"/>
      <c r="G17"/>
      <c r="H17"/>
      <c r="I17"/>
      <c r="J17"/>
      <c r="K17"/>
    </row>
    <row r="18" spans="1:11">
      <c r="A18" s="19">
        <f t="shared" si="0"/>
        <v>7</v>
      </c>
      <c r="B18" s="78" t="s">
        <v>139</v>
      </c>
      <c r="C18" s="41"/>
      <c r="D18" s="152">
        <f ca="1">'Flex Credits'!H12</f>
        <v>13188639.070766069</v>
      </c>
      <c r="E18" s="18"/>
      <c r="F18"/>
      <c r="G18"/>
      <c r="H18"/>
      <c r="I18"/>
      <c r="J18"/>
      <c r="K18"/>
    </row>
    <row r="19" spans="1:11">
      <c r="A19" s="19">
        <f t="shared" si="0"/>
        <v>8</v>
      </c>
      <c r="B19" s="13" t="s">
        <v>13</v>
      </c>
      <c r="C19" s="13"/>
      <c r="D19" s="153">
        <f ca="1">D17-D18</f>
        <v>187308.92923393101</v>
      </c>
      <c r="E19" s="18"/>
      <c r="F19"/>
      <c r="G19"/>
      <c r="H19"/>
      <c r="I19"/>
      <c r="J19"/>
      <c r="K19"/>
    </row>
    <row r="20" spans="1:11">
      <c r="A20" s="19">
        <f t="shared" si="0"/>
        <v>9</v>
      </c>
      <c r="B20" s="13"/>
      <c r="C20" s="13"/>
      <c r="D20" s="126"/>
      <c r="E20" s="126"/>
      <c r="F20"/>
      <c r="G20"/>
      <c r="H20"/>
      <c r="I20"/>
      <c r="J20"/>
      <c r="K20"/>
    </row>
    <row r="21" spans="1:11" s="1" customFormat="1">
      <c r="A21" s="19">
        <f t="shared" si="0"/>
        <v>10</v>
      </c>
      <c r="B21" s="17" t="s">
        <v>9</v>
      </c>
      <c r="C21" s="382">
        <v>0.21</v>
      </c>
      <c r="D21" s="127">
        <f ca="1">ROUND(-D19*C21,0)</f>
        <v>-39335</v>
      </c>
      <c r="E21" s="127"/>
      <c r="F21" s="380"/>
      <c r="G21" s="380"/>
      <c r="H21" s="380"/>
      <c r="I21" s="380"/>
      <c r="J21" s="380"/>
      <c r="K21" s="380"/>
    </row>
    <row r="22" spans="1:11" s="1" customFormat="1">
      <c r="A22" s="19">
        <f t="shared" si="0"/>
        <v>11</v>
      </c>
      <c r="B22" s="13"/>
      <c r="C22" s="13"/>
      <c r="D22" s="126"/>
      <c r="E22" s="126"/>
      <c r="F22" s="380"/>
      <c r="G22" s="380"/>
      <c r="H22" s="380"/>
      <c r="I22" s="380"/>
      <c r="J22" s="380"/>
      <c r="K22" s="380"/>
    </row>
    <row r="23" spans="1:11" s="1" customFormat="1" ht="13.8" thickBot="1">
      <c r="A23" s="19">
        <f t="shared" si="0"/>
        <v>12</v>
      </c>
      <c r="B23" s="17" t="s">
        <v>10</v>
      </c>
      <c r="C23" s="17"/>
      <c r="D23" s="385">
        <f ca="1">-D19-D21</f>
        <v>-147973.92923393101</v>
      </c>
      <c r="E23" s="125"/>
      <c r="F23" s="380"/>
      <c r="G23" s="380"/>
      <c r="H23" s="380"/>
      <c r="I23" s="380"/>
      <c r="J23" s="380"/>
      <c r="K23" s="380"/>
    </row>
    <row r="24" spans="1:11" s="1" customFormat="1" ht="13.8" thickTop="1">
      <c r="C24" s="128"/>
      <c r="D24" s="128"/>
      <c r="E24" s="128"/>
      <c r="F24" s="380"/>
      <c r="G24" s="380"/>
      <c r="H24" s="380"/>
      <c r="I24" s="380"/>
      <c r="J24" s="380"/>
      <c r="K24" s="380"/>
    </row>
    <row r="25" spans="1:11"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</row>
    <row r="35" spans="1:11">
      <c r="A35"/>
      <c r="B35"/>
      <c r="C35"/>
      <c r="D35"/>
      <c r="E35"/>
      <c r="F35"/>
      <c r="G35"/>
      <c r="H35"/>
    </row>
    <row r="36" spans="1:11">
      <c r="A36"/>
      <c r="B36"/>
      <c r="C36"/>
      <c r="D36"/>
      <c r="E36"/>
      <c r="F36"/>
    </row>
    <row r="37" spans="1:11">
      <c r="A37"/>
      <c r="B37"/>
      <c r="C37"/>
      <c r="D37"/>
      <c r="E37"/>
      <c r="F37"/>
    </row>
    <row r="38" spans="1:11">
      <c r="A38"/>
      <c r="B38"/>
      <c r="C38"/>
      <c r="D38"/>
      <c r="E38"/>
      <c r="F38"/>
    </row>
    <row r="39" spans="1:11">
      <c r="A39"/>
      <c r="B39"/>
      <c r="C39"/>
      <c r="D39"/>
      <c r="E39"/>
      <c r="F39"/>
    </row>
  </sheetData>
  <phoneticPr fontId="44" type="noConversion"/>
  <pageMargins left="0.25" right="0.25" top="1" bottom="1" header="0.5" footer="0.5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C31" sqref="C31"/>
    </sheetView>
  </sheetViews>
  <sheetFormatPr defaultColWidth="8.88671875" defaultRowHeight="13.2"/>
  <cols>
    <col min="1" max="1" width="6.109375" style="54" customWidth="1"/>
    <col min="2" max="2" width="51" style="54" customWidth="1"/>
    <col min="3" max="3" width="7" style="54" bestFit="1" customWidth="1"/>
    <col min="4" max="4" width="11.33203125" style="54" bestFit="1" customWidth="1"/>
    <col min="5" max="5" width="15.5546875" style="54" customWidth="1"/>
    <col min="6" max="6" width="48.5546875" style="54" bestFit="1" customWidth="1"/>
    <col min="7" max="7" width="9" style="54" bestFit="1" customWidth="1"/>
    <col min="8" max="8" width="11.21875" style="54" bestFit="1" customWidth="1"/>
    <col min="9" max="16384" width="8.88671875" style="54"/>
  </cols>
  <sheetData>
    <row r="1" spans="1:9">
      <c r="D1" s="26"/>
    </row>
    <row r="2" spans="1:9">
      <c r="D2" s="26"/>
    </row>
    <row r="3" spans="1:9">
      <c r="A3" s="55"/>
      <c r="B3" s="55"/>
      <c r="C3" s="55"/>
      <c r="D3"/>
    </row>
    <row r="4" spans="1:9">
      <c r="A4" s="56" t="s">
        <v>76</v>
      </c>
      <c r="B4" s="57"/>
      <c r="C4" s="57"/>
      <c r="D4" s="57"/>
    </row>
    <row r="5" spans="1:9">
      <c r="A5" s="58" t="s">
        <v>5</v>
      </c>
      <c r="B5" s="57"/>
      <c r="C5" s="57"/>
      <c r="D5" s="59"/>
    </row>
    <row r="6" spans="1:9">
      <c r="A6" s="58" t="str">
        <f>'Lead E'!A6</f>
        <v>FOR THE TWELVE MONTHS ENDED SEPTEMBER 30, 2016</v>
      </c>
      <c r="B6" s="57"/>
      <c r="C6" s="57"/>
      <c r="D6" s="60"/>
      <c r="F6"/>
    </row>
    <row r="7" spans="1:9">
      <c r="A7" s="58" t="str">
        <f>'Lead E'!A7</f>
        <v>2017 GENERAL RATE INCREASE</v>
      </c>
      <c r="B7" s="57"/>
      <c r="C7" s="57"/>
      <c r="D7" s="57"/>
      <c r="F7"/>
    </row>
    <row r="8" spans="1:9">
      <c r="A8" s="58"/>
      <c r="B8" s="57"/>
      <c r="C8" s="57"/>
      <c r="D8" s="57"/>
      <c r="F8"/>
    </row>
    <row r="9" spans="1:9">
      <c r="A9" s="61"/>
      <c r="B9" s="62"/>
      <c r="C9" s="62"/>
      <c r="D9" s="55"/>
      <c r="F9"/>
      <c r="G9"/>
      <c r="H9"/>
      <c r="I9"/>
    </row>
    <row r="10" spans="1:9">
      <c r="A10" s="63" t="s">
        <v>2</v>
      </c>
      <c r="B10" s="55"/>
      <c r="C10" s="55"/>
      <c r="D10" s="55"/>
      <c r="F10"/>
      <c r="G10"/>
      <c r="H10"/>
      <c r="I10"/>
    </row>
    <row r="11" spans="1:9">
      <c r="A11" s="64" t="s">
        <v>3</v>
      </c>
      <c r="B11" s="65" t="s">
        <v>4</v>
      </c>
      <c r="C11" s="65"/>
      <c r="D11" s="66" t="s">
        <v>82</v>
      </c>
      <c r="E11" s="67"/>
      <c r="F11"/>
      <c r="G11"/>
      <c r="H11"/>
      <c r="I11"/>
    </row>
    <row r="12" spans="1:9">
      <c r="A12" s="68"/>
      <c r="B12" s="68"/>
      <c r="C12" s="68"/>
      <c r="D12" s="69"/>
      <c r="E12" s="70"/>
      <c r="F12"/>
      <c r="G12"/>
      <c r="H12"/>
      <c r="I12"/>
    </row>
    <row r="13" spans="1:9">
      <c r="A13" s="71">
        <v>1</v>
      </c>
      <c r="B13" s="72" t="s">
        <v>8</v>
      </c>
      <c r="C13" s="68"/>
      <c r="D13" s="73"/>
      <c r="E13"/>
      <c r="F13"/>
      <c r="G13"/>
      <c r="H13"/>
      <c r="I13"/>
    </row>
    <row r="14" spans="1:9" ht="15.6" customHeight="1">
      <c r="A14" s="71">
        <f>A13+1</f>
        <v>2</v>
      </c>
      <c r="B14" s="17" t="s">
        <v>143</v>
      </c>
      <c r="C14" s="68"/>
      <c r="D14" s="75">
        <f ca="1">' Summary'!H46</f>
        <v>7372991.6214820798</v>
      </c>
      <c r="E14"/>
      <c r="F14"/>
      <c r="G14"/>
      <c r="H14"/>
      <c r="I14"/>
    </row>
    <row r="15" spans="1:9" ht="13.95" customHeight="1">
      <c r="A15" s="71">
        <f t="shared" ref="A15:A24" si="0">A14+1</f>
        <v>3</v>
      </c>
      <c r="B15" s="74" t="s">
        <v>47</v>
      </c>
      <c r="C15" s="68"/>
      <c r="D15" s="149">
        <f ca="1">' Summary'!H27</f>
        <v>4441873.2750779204</v>
      </c>
      <c r="E15"/>
      <c r="F15"/>
      <c r="G15"/>
      <c r="H15"/>
      <c r="I15"/>
    </row>
    <row r="16" spans="1:9">
      <c r="A16" s="71">
        <f t="shared" si="0"/>
        <v>4</v>
      </c>
      <c r="B16" s="68" t="s">
        <v>55</v>
      </c>
      <c r="C16" s="68"/>
      <c r="D16" s="75">
        <f ca="1">SUM(D14:D15)</f>
        <v>11814864.89656</v>
      </c>
      <c r="E16"/>
      <c r="F16"/>
      <c r="G16"/>
      <c r="H16"/>
      <c r="I16"/>
    </row>
    <row r="17" spans="1:9">
      <c r="A17" s="71">
        <f t="shared" si="0"/>
        <v>5</v>
      </c>
      <c r="B17" s="68"/>
      <c r="C17" s="68"/>
      <c r="D17" s="76"/>
      <c r="E17"/>
      <c r="F17"/>
      <c r="G17"/>
      <c r="H17"/>
      <c r="I17"/>
    </row>
    <row r="18" spans="1:9">
      <c r="A18" s="71">
        <f t="shared" si="0"/>
        <v>6</v>
      </c>
      <c r="B18" s="77" t="s">
        <v>56</v>
      </c>
      <c r="C18" s="150">
        <f ca="1">'Lead E'!C17</f>
        <v>0.54659120593235488</v>
      </c>
      <c r="D18" s="76">
        <f ca="1">ROUND(C18*D16,0)</f>
        <v>6457901</v>
      </c>
      <c r="E18"/>
      <c r="F18"/>
      <c r="G18"/>
      <c r="H18"/>
      <c r="I18"/>
    </row>
    <row r="19" spans="1:9">
      <c r="A19" s="71">
        <f t="shared" si="0"/>
        <v>7</v>
      </c>
      <c r="B19" s="78" t="s">
        <v>139</v>
      </c>
      <c r="C19" s="74"/>
      <c r="D19" s="76">
        <f ca="1">'Flex Credits'!J12</f>
        <v>6367468.685411375</v>
      </c>
      <c r="E19"/>
      <c r="F19"/>
      <c r="G19"/>
      <c r="H19"/>
      <c r="I19"/>
    </row>
    <row r="20" spans="1:9">
      <c r="A20" s="71">
        <f t="shared" si="0"/>
        <v>8</v>
      </c>
      <c r="B20" s="68" t="s">
        <v>13</v>
      </c>
      <c r="C20" s="68"/>
      <c r="D20" s="151">
        <f ca="1">D18-D19</f>
        <v>90432.314588624984</v>
      </c>
      <c r="E20"/>
      <c r="F20"/>
      <c r="G20"/>
      <c r="H20"/>
      <c r="I20"/>
    </row>
    <row r="21" spans="1:9">
      <c r="A21" s="71">
        <f t="shared" si="0"/>
        <v>9</v>
      </c>
      <c r="B21" s="68"/>
      <c r="C21" s="68"/>
      <c r="D21" s="76"/>
      <c r="E21"/>
      <c r="F21"/>
      <c r="G21"/>
      <c r="H21"/>
      <c r="I21"/>
    </row>
    <row r="22" spans="1:9" s="381" customFormat="1">
      <c r="A22" s="71">
        <f t="shared" si="0"/>
        <v>10</v>
      </c>
      <c r="B22" s="74" t="s">
        <v>9</v>
      </c>
      <c r="C22" s="382">
        <v>0.21</v>
      </c>
      <c r="D22" s="383">
        <f ca="1">ROUND(-D20*C22,0)</f>
        <v>-18991</v>
      </c>
      <c r="E22" s="380"/>
      <c r="F22" s="380"/>
      <c r="G22" s="380"/>
      <c r="H22" s="380"/>
      <c r="I22" s="380"/>
    </row>
    <row r="23" spans="1:9" s="381" customFormat="1">
      <c r="A23" s="71">
        <f t="shared" si="0"/>
        <v>11</v>
      </c>
      <c r="B23" s="68"/>
      <c r="C23" s="68"/>
      <c r="D23" s="76"/>
      <c r="E23" s="380"/>
      <c r="F23" s="380"/>
      <c r="G23" s="380"/>
      <c r="H23" s="380"/>
      <c r="I23" s="380"/>
    </row>
    <row r="24" spans="1:9" s="381" customFormat="1" ht="13.8" thickBot="1">
      <c r="A24" s="71">
        <f t="shared" si="0"/>
        <v>12</v>
      </c>
      <c r="B24" s="74" t="s">
        <v>10</v>
      </c>
      <c r="C24" s="74"/>
      <c r="D24" s="384">
        <f ca="1">-D20-D22</f>
        <v>-71441.314588624984</v>
      </c>
      <c r="E24" s="380"/>
      <c r="F24" s="380"/>
      <c r="G24" s="380"/>
      <c r="H24" s="380"/>
      <c r="I24" s="380"/>
    </row>
    <row r="25" spans="1:9" ht="13.8" thickTop="1">
      <c r="D25" s="378"/>
      <c r="E25"/>
      <c r="F25"/>
      <c r="G25"/>
      <c r="H25"/>
      <c r="I25"/>
    </row>
    <row r="26" spans="1:9">
      <c r="D26" s="378"/>
      <c r="E26"/>
      <c r="F26"/>
    </row>
    <row r="27" spans="1:9">
      <c r="A27"/>
      <c r="B27"/>
      <c r="C27"/>
      <c r="D27" s="379"/>
      <c r="E27"/>
      <c r="F27"/>
    </row>
    <row r="28" spans="1:9">
      <c r="A28"/>
      <c r="B28"/>
      <c r="C28"/>
      <c r="D28" s="379"/>
      <c r="E28"/>
      <c r="F28"/>
    </row>
    <row r="29" spans="1:9">
      <c r="A29"/>
      <c r="B29"/>
      <c r="C29"/>
      <c r="D29"/>
      <c r="E29"/>
      <c r="F29"/>
    </row>
    <row r="30" spans="1:9">
      <c r="A30"/>
      <c r="B30"/>
      <c r="C30"/>
      <c r="D30"/>
      <c r="E30"/>
      <c r="F30"/>
    </row>
    <row r="31" spans="1:9">
      <c r="A31"/>
      <c r="B31"/>
      <c r="C31"/>
      <c r="D31"/>
      <c r="E31"/>
      <c r="F31"/>
    </row>
    <row r="32" spans="1:9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</row>
    <row r="39" spans="1:6">
      <c r="A39"/>
      <c r="B39"/>
      <c r="C39"/>
      <c r="D39"/>
      <c r="E39"/>
    </row>
    <row r="40" spans="1:6">
      <c r="A40"/>
      <c r="B40"/>
      <c r="C40"/>
      <c r="D40"/>
      <c r="E40"/>
    </row>
  </sheetData>
  <pageMargins left="0.75" right="0.75" top="1" bottom="1" header="0.5" footer="0.5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4" zoomScaleNormal="100" workbookViewId="0">
      <selection activeCell="F38" sqref="F38"/>
    </sheetView>
  </sheetViews>
  <sheetFormatPr defaultColWidth="9.109375" defaultRowHeight="13.2"/>
  <cols>
    <col min="1" max="1" width="8.6640625" style="33" customWidth="1"/>
    <col min="2" max="2" width="17.6640625" style="33" customWidth="1"/>
    <col min="3" max="3" width="3.33203125" style="33" customWidth="1"/>
    <col min="4" max="4" width="7.6640625" style="33" customWidth="1"/>
    <col min="5" max="5" width="16.33203125" style="33" customWidth="1"/>
    <col min="6" max="6" width="22.44140625" style="33" customWidth="1"/>
    <col min="7" max="7" width="13.88671875" style="33" customWidth="1"/>
    <col min="8" max="8" width="13.33203125" style="33" customWidth="1"/>
    <col min="9" max="9" width="4.109375" style="33" customWidth="1"/>
    <col min="10" max="16384" width="9.109375" style="33"/>
  </cols>
  <sheetData>
    <row r="1" spans="1:10">
      <c r="A1" s="211" t="s">
        <v>109</v>
      </c>
    </row>
    <row r="2" spans="1:10" ht="13.8" thickBot="1">
      <c r="A2" s="386" t="s">
        <v>53</v>
      </c>
      <c r="B2" s="386"/>
      <c r="C2" s="115"/>
      <c r="D2" s="115"/>
      <c r="E2" s="115"/>
      <c r="F2" s="115"/>
      <c r="G2" s="115"/>
      <c r="H2" s="115"/>
      <c r="I2" s="115"/>
    </row>
    <row r="3" spans="1:10" ht="16.2" thickBot="1">
      <c r="A3" s="116"/>
      <c r="B3" s="116"/>
      <c r="C3" s="116"/>
      <c r="D3" s="116"/>
      <c r="E3" s="116"/>
      <c r="F3" s="117"/>
      <c r="G3" s="224" t="s">
        <v>57</v>
      </c>
      <c r="H3" s="225" t="s">
        <v>58</v>
      </c>
      <c r="I3" s="115"/>
    </row>
    <row r="4" spans="1:10" s="39" customFormat="1" ht="54.6" customHeight="1" thickBot="1">
      <c r="A4" s="207" t="s">
        <v>52</v>
      </c>
      <c r="B4" s="208" t="s">
        <v>83</v>
      </c>
      <c r="C4" s="208"/>
      <c r="D4" s="208" t="s">
        <v>51</v>
      </c>
      <c r="E4" s="208" t="s">
        <v>125</v>
      </c>
      <c r="F4" s="208" t="s">
        <v>98</v>
      </c>
      <c r="G4" s="305">
        <f ca="1">'Allocation Method'!E40</f>
        <v>0.6744</v>
      </c>
      <c r="H4" s="306">
        <f ca="1">'Allocation Method'!F40</f>
        <v>0.3256</v>
      </c>
      <c r="I4" s="118"/>
    </row>
    <row r="5" spans="1:10" s="39" customFormat="1" ht="5.4" customHeight="1">
      <c r="A5" s="119"/>
      <c r="B5" s="119"/>
      <c r="C5" s="119"/>
      <c r="D5" s="119"/>
      <c r="E5" s="119"/>
      <c r="F5" s="119"/>
      <c r="G5" s="176"/>
      <c r="H5" s="176"/>
      <c r="I5" s="118"/>
    </row>
    <row r="6" spans="1:10" s="39" customFormat="1" ht="13.2" customHeight="1" thickBot="1">
      <c r="A6" s="387" t="s">
        <v>47</v>
      </c>
      <c r="B6" s="388"/>
      <c r="C6" s="388"/>
      <c r="D6" s="388"/>
      <c r="E6" s="388"/>
      <c r="F6" s="388"/>
      <c r="G6" s="388"/>
      <c r="H6" s="389"/>
      <c r="I6" s="118"/>
    </row>
    <row r="7" spans="1:10">
      <c r="A7" s="177" t="s">
        <v>101</v>
      </c>
      <c r="B7" s="178"/>
      <c r="C7" s="178"/>
      <c r="D7" s="178"/>
      <c r="E7" s="178"/>
      <c r="F7" s="212"/>
      <c r="G7" s="212"/>
      <c r="H7" s="179"/>
      <c r="I7" s="115"/>
    </row>
    <row r="8" spans="1:10">
      <c r="A8" s="180" t="s">
        <v>50</v>
      </c>
      <c r="B8" s="376">
        <f>ROUND('Average Costs Cal'!W20,0)</f>
        <v>937</v>
      </c>
      <c r="C8" s="182"/>
      <c r="D8" s="182"/>
      <c r="E8" s="146">
        <f>'TY Headcounts '!N6</f>
        <v>799</v>
      </c>
      <c r="F8" s="215">
        <f>(E8*12*B8)</f>
        <v>8983956</v>
      </c>
      <c r="G8" s="213">
        <f ca="1">F8*$G$4</f>
        <v>6058779.9264000002</v>
      </c>
      <c r="H8" s="183">
        <f ca="1">F8*$H$4</f>
        <v>2925176.0736000002</v>
      </c>
      <c r="I8" s="115"/>
      <c r="J8" s="115"/>
    </row>
    <row r="9" spans="1:10" ht="15">
      <c r="A9" s="180" t="s">
        <v>48</v>
      </c>
      <c r="B9" s="376">
        <f>ROUND('Average Costs Cal'!O20,0)</f>
        <v>1008</v>
      </c>
      <c r="C9" s="182"/>
      <c r="D9" s="182"/>
      <c r="E9" s="373">
        <f>'TY Headcounts '!N8</f>
        <v>271</v>
      </c>
      <c r="F9" s="217">
        <f>(E9*12*B9)</f>
        <v>3278016</v>
      </c>
      <c r="G9" s="214">
        <f ca="1">F9*$G$4</f>
        <v>2210693.9904</v>
      </c>
      <c r="H9" s="184">
        <f ca="1">F9*$H$4</f>
        <v>1067322.0096</v>
      </c>
      <c r="I9" s="115"/>
      <c r="J9" s="115"/>
    </row>
    <row r="10" spans="1:10">
      <c r="A10" s="180" t="s">
        <v>100</v>
      </c>
      <c r="B10" s="181"/>
      <c r="C10" s="182"/>
      <c r="D10" s="182"/>
      <c r="E10" s="146">
        <f>SUM(E8:E9)</f>
        <v>1070</v>
      </c>
      <c r="F10" s="215">
        <f>SUM(F8:F9)</f>
        <v>12261972</v>
      </c>
      <c r="G10" s="215">
        <f ca="1">SUM(G8:G9)</f>
        <v>8269473.9167999998</v>
      </c>
      <c r="H10" s="185">
        <f ca="1">SUM(H8:H9)</f>
        <v>3992498.0832000002</v>
      </c>
      <c r="I10" s="115"/>
      <c r="J10" s="115"/>
    </row>
    <row r="11" spans="1:10">
      <c r="A11" s="186"/>
      <c r="B11" s="181"/>
      <c r="C11" s="182"/>
      <c r="D11" s="182"/>
      <c r="E11" s="146"/>
      <c r="F11" s="215"/>
      <c r="G11" s="213"/>
      <c r="H11" s="183"/>
      <c r="I11" s="115"/>
      <c r="J11" s="115"/>
    </row>
    <row r="12" spans="1:10">
      <c r="A12" s="187" t="s">
        <v>102</v>
      </c>
      <c r="B12" s="181"/>
      <c r="C12" s="182"/>
      <c r="D12" s="182"/>
      <c r="E12" s="146"/>
      <c r="F12" s="215"/>
      <c r="G12" s="213"/>
      <c r="H12" s="183"/>
      <c r="I12" s="115"/>
      <c r="J12" s="115"/>
    </row>
    <row r="13" spans="1:10">
      <c r="A13" s="180" t="s">
        <v>50</v>
      </c>
      <c r="B13" s="181"/>
      <c r="C13" s="182"/>
      <c r="D13" s="182"/>
      <c r="E13" s="146"/>
      <c r="F13" s="215">
        <f>'Additional Costs'!Q8+'Additional Costs'!Q13</f>
        <v>40362.452499999999</v>
      </c>
      <c r="G13" s="213">
        <f ca="1">F13*$G$4</f>
        <v>27220.437966000001</v>
      </c>
      <c r="H13" s="183">
        <f ca="1">F13*$H$4</f>
        <v>13142.014534</v>
      </c>
      <c r="I13" s="115"/>
    </row>
    <row r="14" spans="1:10">
      <c r="A14" s="180" t="s">
        <v>48</v>
      </c>
      <c r="B14" s="181"/>
      <c r="C14" s="182"/>
      <c r="D14" s="182"/>
      <c r="E14" s="146"/>
      <c r="F14" s="217">
        <f>'Additional Costs'!Q7+'Additional Costs'!Q12</f>
        <v>24150.155699999996</v>
      </c>
      <c r="G14" s="214">
        <f ca="1">F14*$G$4</f>
        <v>16286.865004079997</v>
      </c>
      <c r="H14" s="184">
        <f ca="1">F14*$H$4</f>
        <v>7863.2906959199991</v>
      </c>
      <c r="I14" s="115"/>
    </row>
    <row r="15" spans="1:10">
      <c r="A15" s="180" t="s">
        <v>106</v>
      </c>
      <c r="B15" s="181"/>
      <c r="C15" s="182"/>
      <c r="D15" s="182"/>
      <c r="E15" s="146"/>
      <c r="F15" s="215">
        <f>SUM(F13:F14)</f>
        <v>64512.608199999995</v>
      </c>
      <c r="G15" s="215">
        <f ca="1">SUM(G13:G14)</f>
        <v>43507.302970079996</v>
      </c>
      <c r="H15" s="185">
        <f ca="1">SUM(H13:H14)</f>
        <v>21005.305229919999</v>
      </c>
      <c r="I15" s="115"/>
    </row>
    <row r="16" spans="1:10">
      <c r="A16" s="180"/>
      <c r="B16" s="181"/>
      <c r="C16" s="182"/>
      <c r="D16" s="182"/>
      <c r="E16" s="146"/>
      <c r="F16" s="215"/>
      <c r="G16" s="213"/>
      <c r="H16" s="183"/>
      <c r="I16" s="115"/>
    </row>
    <row r="17" spans="1:9">
      <c r="A17" s="187" t="s">
        <v>103</v>
      </c>
      <c r="B17" s="181"/>
      <c r="C17" s="182"/>
      <c r="D17" s="182"/>
      <c r="E17" s="146"/>
      <c r="F17" s="215"/>
      <c r="G17" s="213"/>
      <c r="H17" s="183"/>
      <c r="I17" s="115"/>
    </row>
    <row r="18" spans="1:9">
      <c r="A18" s="180" t="s">
        <v>50</v>
      </c>
      <c r="B18" s="181"/>
      <c r="C18" s="182"/>
      <c r="D18" s="182"/>
      <c r="E18" s="146"/>
      <c r="F18" s="215">
        <f>'Additional Costs'!Q18</f>
        <v>247991.63</v>
      </c>
      <c r="G18" s="213">
        <f ca="1">F18*$G$4</f>
        <v>167245.555272</v>
      </c>
      <c r="H18" s="183">
        <f ca="1">F18*$H$4</f>
        <v>80746.074728000007</v>
      </c>
      <c r="I18" s="115"/>
    </row>
    <row r="19" spans="1:9">
      <c r="A19" s="180" t="s">
        <v>48</v>
      </c>
      <c r="B19" s="181"/>
      <c r="C19" s="182"/>
      <c r="D19" s="182"/>
      <c r="E19" s="146"/>
      <c r="F19" s="217">
        <f>'Additional Costs'!Q20</f>
        <v>82725.700000000012</v>
      </c>
      <c r="G19" s="214">
        <f ca="1">F19*$G$4</f>
        <v>55790.212080000005</v>
      </c>
      <c r="H19" s="184">
        <f ca="1">F19*$H$4</f>
        <v>26935.487920000003</v>
      </c>
      <c r="I19" s="115"/>
    </row>
    <row r="20" spans="1:9">
      <c r="A20" s="180" t="s">
        <v>110</v>
      </c>
      <c r="B20" s="181"/>
      <c r="C20" s="182"/>
      <c r="D20" s="182"/>
      <c r="E20" s="146"/>
      <c r="F20" s="215">
        <f>SUM(F18:F19)</f>
        <v>330717.33</v>
      </c>
      <c r="G20" s="215">
        <f ca="1">SUM(G18:G19)</f>
        <v>223035.767352</v>
      </c>
      <c r="H20" s="185">
        <f ca="1">SUM(H18:H19)</f>
        <v>107681.56264800001</v>
      </c>
      <c r="I20" s="115"/>
    </row>
    <row r="21" spans="1:9">
      <c r="A21" s="180"/>
      <c r="B21" s="181"/>
      <c r="C21" s="182"/>
      <c r="D21" s="182"/>
      <c r="E21" s="146"/>
      <c r="F21" s="215"/>
      <c r="G21" s="213"/>
      <c r="H21" s="183"/>
      <c r="I21" s="115"/>
    </row>
    <row r="22" spans="1:9">
      <c r="A22" s="187" t="s">
        <v>104</v>
      </c>
      <c r="B22" s="181"/>
      <c r="C22" s="182"/>
      <c r="D22" s="182"/>
      <c r="E22" s="146"/>
      <c r="F22" s="215"/>
      <c r="G22" s="213"/>
      <c r="H22" s="183"/>
      <c r="I22" s="115"/>
    </row>
    <row r="23" spans="1:9">
      <c r="A23" s="180" t="s">
        <v>50</v>
      </c>
      <c r="B23" s="181"/>
      <c r="C23" s="182"/>
      <c r="D23" s="182"/>
      <c r="E23" s="146"/>
      <c r="F23" s="215">
        <f>'Additional Costs'!F35</f>
        <v>838395</v>
      </c>
      <c r="G23" s="213">
        <f ca="1">F23*$G$4</f>
        <v>565413.58799999999</v>
      </c>
      <c r="H23" s="183">
        <f ca="1">F23*$H$4</f>
        <v>272981.41200000001</v>
      </c>
      <c r="I23" s="115"/>
    </row>
    <row r="24" spans="1:9">
      <c r="A24" s="180" t="s">
        <v>48</v>
      </c>
      <c r="B24" s="181"/>
      <c r="C24" s="182"/>
      <c r="D24" s="182"/>
      <c r="E24" s="146"/>
      <c r="F24" s="217">
        <f>'Additional Costs'!F36</f>
        <v>146520</v>
      </c>
      <c r="G24" s="214">
        <f ca="1">F24*$G$4</f>
        <v>98813.088000000003</v>
      </c>
      <c r="H24" s="184">
        <f ca="1">F24*$H$4</f>
        <v>47706.911999999997</v>
      </c>
      <c r="I24" s="115"/>
    </row>
    <row r="25" spans="1:9">
      <c r="A25" s="180" t="s">
        <v>105</v>
      </c>
      <c r="B25" s="181"/>
      <c r="C25" s="182"/>
      <c r="D25" s="182"/>
      <c r="E25" s="146"/>
      <c r="F25" s="215">
        <f>SUM(F23:F24)</f>
        <v>984915</v>
      </c>
      <c r="G25" s="215">
        <f ca="1">SUM(G23:G24)</f>
        <v>664226.67599999998</v>
      </c>
      <c r="H25" s="185">
        <f ca="1">SUM(H23:H24)</f>
        <v>320688.32400000002</v>
      </c>
      <c r="I25" s="115"/>
    </row>
    <row r="26" spans="1:9">
      <c r="A26" s="180"/>
      <c r="B26" s="181"/>
      <c r="C26" s="182"/>
      <c r="D26" s="182"/>
      <c r="E26" s="146"/>
      <c r="F26" s="215"/>
      <c r="G26" s="213"/>
      <c r="H26" s="183"/>
      <c r="I26" s="115"/>
    </row>
    <row r="27" spans="1:9" ht="13.8" thickBot="1">
      <c r="A27" s="196" t="s">
        <v>108</v>
      </c>
      <c r="B27" s="195"/>
      <c r="C27" s="169"/>
      <c r="D27" s="169"/>
      <c r="E27" s="170"/>
      <c r="F27" s="216">
        <f>F10+F15+F20+F25</f>
        <v>13642116.938200001</v>
      </c>
      <c r="G27" s="216">
        <f ca="1">G10+G15+G20+G25</f>
        <v>9200243.6631220803</v>
      </c>
      <c r="H27" s="210">
        <f ca="1">H10+H15+H20+H25</f>
        <v>4441873.2750779204</v>
      </c>
      <c r="I27" s="115"/>
    </row>
    <row r="28" spans="1:9" ht="9.6" customHeight="1" thickTop="1" thickBot="1">
      <c r="A28" s="188"/>
      <c r="B28" s="189"/>
      <c r="C28" s="190"/>
      <c r="D28" s="190"/>
      <c r="E28" s="191"/>
      <c r="F28" s="192"/>
      <c r="G28" s="193"/>
      <c r="H28" s="194"/>
      <c r="I28" s="115"/>
    </row>
    <row r="29" spans="1:9" ht="4.95" customHeight="1">
      <c r="A29" s="116"/>
      <c r="B29" s="145"/>
      <c r="C29" s="116"/>
      <c r="D29" s="116"/>
      <c r="E29" s="146"/>
      <c r="F29" s="147"/>
      <c r="G29" s="148"/>
      <c r="H29" s="148"/>
      <c r="I29" s="115"/>
    </row>
    <row r="30" spans="1:9" s="39" customFormat="1" ht="13.2" customHeight="1" thickBot="1">
      <c r="A30" s="387" t="s">
        <v>143</v>
      </c>
      <c r="B30" s="388"/>
      <c r="C30" s="388"/>
      <c r="D30" s="388"/>
      <c r="E30" s="388"/>
      <c r="F30" s="388"/>
      <c r="G30" s="388"/>
      <c r="H30" s="389"/>
      <c r="I30" s="118"/>
    </row>
    <row r="31" spans="1:9">
      <c r="A31" s="177" t="s">
        <v>144</v>
      </c>
      <c r="B31" s="197"/>
      <c r="C31" s="178"/>
      <c r="D31" s="178"/>
      <c r="E31" s="198"/>
      <c r="F31" s="218"/>
      <c r="G31" s="223"/>
      <c r="H31" s="199"/>
      <c r="I31" s="115"/>
    </row>
    <row r="32" spans="1:9" ht="15">
      <c r="A32" s="180" t="s">
        <v>49</v>
      </c>
      <c r="B32" s="376">
        <f>ROUND('Average Costs Cal'!G20,0)</f>
        <v>978</v>
      </c>
      <c r="C32" s="182"/>
      <c r="D32" s="182"/>
      <c r="E32" s="373">
        <f>'TY Headcounts '!N10</f>
        <v>1786</v>
      </c>
      <c r="F32" s="217">
        <f>(E32*12*B32)</f>
        <v>20960496</v>
      </c>
      <c r="G32" s="214">
        <f ca="1">F32*$G$4</f>
        <v>14135758.5024</v>
      </c>
      <c r="H32" s="184">
        <f ca="1">F32*$H$4</f>
        <v>6824737.4976000004</v>
      </c>
      <c r="I32" s="115"/>
    </row>
    <row r="33" spans="1:9">
      <c r="A33" s="200" t="s">
        <v>99</v>
      </c>
      <c r="B33" s="172"/>
      <c r="C33" s="172"/>
      <c r="D33" s="172"/>
      <c r="E33" s="174">
        <f>E32</f>
        <v>1786</v>
      </c>
      <c r="F33" s="219">
        <f>F32</f>
        <v>20960496</v>
      </c>
      <c r="G33" s="219">
        <f ca="1">G32</f>
        <v>14135758.5024</v>
      </c>
      <c r="H33" s="201">
        <f ca="1">H32</f>
        <v>6824737.4976000004</v>
      </c>
      <c r="I33" s="173"/>
    </row>
    <row r="34" spans="1:9">
      <c r="A34" s="200"/>
      <c r="B34" s="172"/>
      <c r="C34" s="172"/>
      <c r="D34" s="172"/>
      <c r="E34" s="174"/>
      <c r="F34" s="219"/>
      <c r="G34" s="219"/>
      <c r="H34" s="201"/>
      <c r="I34" s="173"/>
    </row>
    <row r="35" spans="1:9">
      <c r="A35" s="187" t="s">
        <v>145</v>
      </c>
      <c r="B35" s="172"/>
      <c r="C35" s="172"/>
      <c r="D35" s="172"/>
      <c r="E35" s="174"/>
      <c r="F35" s="219"/>
      <c r="G35" s="219"/>
      <c r="H35" s="201"/>
      <c r="I35" s="173"/>
    </row>
    <row r="36" spans="1:9">
      <c r="A36" s="200" t="s">
        <v>49</v>
      </c>
      <c r="B36" s="172"/>
      <c r="C36" s="172"/>
      <c r="D36" s="172"/>
      <c r="E36" s="174"/>
      <c r="F36" s="220">
        <f>'Additional Costs'!Q6+'Additional Costs'!Q11</f>
        <v>194278.45179999995</v>
      </c>
      <c r="G36" s="214">
        <f ca="1">F36*$G$4</f>
        <v>131021.38789391996</v>
      </c>
      <c r="H36" s="184">
        <f ca="1">F36*$H$4</f>
        <v>63257.063906079988</v>
      </c>
      <c r="I36" s="173"/>
    </row>
    <row r="37" spans="1:9">
      <c r="A37" s="200"/>
      <c r="B37" s="172"/>
      <c r="C37" s="172"/>
      <c r="D37" s="172"/>
      <c r="E37" s="174"/>
      <c r="F37" s="219">
        <f>F36</f>
        <v>194278.45179999995</v>
      </c>
      <c r="G37" s="219">
        <f ca="1">G36</f>
        <v>131021.38789391996</v>
      </c>
      <c r="H37" s="201">
        <f ca="1">H36</f>
        <v>63257.063906079988</v>
      </c>
      <c r="I37" s="173"/>
    </row>
    <row r="38" spans="1:9">
      <c r="A38" s="187" t="s">
        <v>146</v>
      </c>
      <c r="B38" s="181"/>
      <c r="C38" s="182"/>
      <c r="D38" s="182"/>
      <c r="E38" s="146"/>
      <c r="F38" s="219"/>
      <c r="G38" s="219"/>
      <c r="H38" s="201"/>
      <c r="I38" s="173"/>
    </row>
    <row r="39" spans="1:9">
      <c r="A39" s="200" t="s">
        <v>49</v>
      </c>
      <c r="B39" s="181"/>
      <c r="C39" s="182"/>
      <c r="D39" s="182"/>
      <c r="E39" s="146"/>
      <c r="F39" s="220">
        <f>'Additional Costs'!Q17+'Additional Costs'!Q19</f>
        <v>659496.71</v>
      </c>
      <c r="G39" s="214">
        <f ca="1">F39*$G$4</f>
        <v>444764.58122399997</v>
      </c>
      <c r="H39" s="184">
        <f ca="1">F39*$H$4</f>
        <v>214732.128776</v>
      </c>
      <c r="I39" s="173"/>
    </row>
    <row r="40" spans="1:9">
      <c r="A40" s="180" t="s">
        <v>110</v>
      </c>
      <c r="B40" s="181"/>
      <c r="C40" s="182"/>
      <c r="D40" s="182"/>
      <c r="E40" s="146"/>
      <c r="F40" s="219">
        <f>F39</f>
        <v>659496.71</v>
      </c>
      <c r="G40" s="219">
        <f ca="1">G39</f>
        <v>444764.58122399997</v>
      </c>
      <c r="H40" s="201">
        <f ca="1">H39</f>
        <v>214732.128776</v>
      </c>
      <c r="I40" s="173"/>
    </row>
    <row r="41" spans="1:9">
      <c r="A41" s="200"/>
      <c r="B41" s="172"/>
      <c r="C41" s="172"/>
      <c r="D41" s="172"/>
      <c r="E41" s="174"/>
      <c r="F41" s="219"/>
      <c r="G41" s="219"/>
      <c r="H41" s="201"/>
      <c r="I41" s="173"/>
    </row>
    <row r="42" spans="1:9">
      <c r="A42" s="187" t="s">
        <v>147</v>
      </c>
      <c r="B42" s="181"/>
      <c r="C42" s="182"/>
      <c r="D42" s="182"/>
      <c r="E42" s="174"/>
      <c r="F42" s="219"/>
      <c r="G42" s="219"/>
      <c r="H42" s="201"/>
      <c r="I42" s="173"/>
    </row>
    <row r="43" spans="1:9">
      <c r="A43" s="200" t="s">
        <v>49</v>
      </c>
      <c r="B43" s="172"/>
      <c r="C43" s="172"/>
      <c r="D43" s="172"/>
      <c r="E43" s="174"/>
      <c r="F43" s="220">
        <f>'Additional Costs'!F34</f>
        <v>830052</v>
      </c>
      <c r="G43" s="214">
        <f ca="1">F43*$G$4</f>
        <v>559787.06880000001</v>
      </c>
      <c r="H43" s="184">
        <f ca="1">F43*$H$4</f>
        <v>270264.93119999999</v>
      </c>
      <c r="I43" s="173"/>
    </row>
    <row r="44" spans="1:9">
      <c r="A44" s="180" t="s">
        <v>105</v>
      </c>
      <c r="B44" s="175"/>
      <c r="C44" s="171"/>
      <c r="D44" s="171"/>
      <c r="E44" s="171"/>
      <c r="F44" s="219">
        <f>F43</f>
        <v>830052</v>
      </c>
      <c r="G44" s="219">
        <f ca="1">G43</f>
        <v>559787.06880000001</v>
      </c>
      <c r="H44" s="201">
        <f ca="1">H43</f>
        <v>270264.93119999999</v>
      </c>
      <c r="I44" s="115"/>
    </row>
    <row r="45" spans="1:9">
      <c r="A45" s="202"/>
      <c r="B45" s="175"/>
      <c r="C45" s="171"/>
      <c r="D45" s="171"/>
      <c r="E45" s="171"/>
      <c r="F45" s="221"/>
      <c r="G45" s="221"/>
      <c r="H45" s="203"/>
      <c r="I45" s="115"/>
    </row>
    <row r="46" spans="1:9" ht="13.8" thickBot="1">
      <c r="A46" s="196" t="s">
        <v>107</v>
      </c>
      <c r="B46" s="175"/>
      <c r="C46" s="171"/>
      <c r="D46" s="171"/>
      <c r="E46" s="171"/>
      <c r="F46" s="222">
        <f>F33+F37+F40+F44</f>
        <v>22644323.161800001</v>
      </c>
      <c r="G46" s="222">
        <f ca="1">G33+G37+G40+G44</f>
        <v>15271331.540317921</v>
      </c>
      <c r="H46" s="209">
        <f ca="1">H33+H37+H40+H44</f>
        <v>7372991.6214820798</v>
      </c>
      <c r="I46" s="115"/>
    </row>
    <row r="47" spans="1:9" ht="8.4" customHeight="1" thickTop="1" thickBot="1">
      <c r="A47" s="204"/>
      <c r="B47" s="205"/>
      <c r="C47" s="205"/>
      <c r="D47" s="205"/>
      <c r="E47" s="205"/>
      <c r="F47" s="205"/>
      <c r="G47" s="205"/>
      <c r="H47" s="206"/>
      <c r="I47" s="115"/>
    </row>
    <row r="48" spans="1:9">
      <c r="A48" s="115"/>
      <c r="B48" s="115"/>
      <c r="C48" s="115"/>
      <c r="D48" s="171"/>
      <c r="E48" s="171"/>
      <c r="F48" s="171"/>
      <c r="G48" s="171"/>
      <c r="H48" s="171"/>
      <c r="I48" s="115"/>
    </row>
    <row r="49" spans="1:9">
      <c r="A49" s="144"/>
      <c r="B49" s="116"/>
      <c r="C49" s="116"/>
      <c r="D49" s="304"/>
      <c r="F49" s="351"/>
      <c r="G49" s="115"/>
      <c r="H49" s="115"/>
      <c r="I49" s="115"/>
    </row>
    <row r="50" spans="1:9" ht="14.4">
      <c r="A50" s="115"/>
      <c r="B50" s="115"/>
      <c r="C50" s="115"/>
      <c r="D50" s="115"/>
      <c r="E50" s="353"/>
      <c r="F50" s="307"/>
      <c r="G50" s="115"/>
      <c r="H50" s="115"/>
      <c r="I50" s="115"/>
    </row>
    <row r="51" spans="1:9">
      <c r="A51" s="115"/>
      <c r="B51" s="115"/>
      <c r="C51" s="115"/>
      <c r="D51" s="115"/>
      <c r="E51" s="353"/>
      <c r="F51" s="352"/>
      <c r="G51" s="115"/>
      <c r="H51" s="115"/>
      <c r="I51" s="115"/>
    </row>
    <row r="52" spans="1:9">
      <c r="A52" s="115"/>
      <c r="B52" s="115"/>
      <c r="C52" s="115"/>
      <c r="D52" s="115"/>
      <c r="E52" s="120"/>
      <c r="F52" s="115"/>
      <c r="G52" s="95"/>
      <c r="H52" s="95"/>
      <c r="I52" s="95"/>
    </row>
    <row r="53" spans="1:9">
      <c r="A53" s="115"/>
      <c r="B53" s="121"/>
      <c r="C53" s="115"/>
      <c r="D53" s="115"/>
      <c r="E53" s="115"/>
      <c r="F53" s="115"/>
      <c r="G53" s="95"/>
      <c r="H53" s="95"/>
      <c r="I53" s="95"/>
    </row>
    <row r="54" spans="1:9">
      <c r="A54" s="115"/>
      <c r="B54" s="115"/>
      <c r="C54" s="115"/>
      <c r="D54" s="115"/>
      <c r="E54" s="115"/>
      <c r="F54" s="115"/>
      <c r="G54" s="95"/>
      <c r="H54" s="95"/>
      <c r="I54" s="95"/>
    </row>
    <row r="55" spans="1:9">
      <c r="A55" s="115"/>
      <c r="B55" s="115"/>
      <c r="C55" s="115"/>
      <c r="D55" s="115"/>
      <c r="E55" s="115"/>
      <c r="F55" s="115"/>
      <c r="G55" s="95"/>
      <c r="H55" s="95"/>
      <c r="I55" s="95"/>
    </row>
    <row r="56" spans="1:9">
      <c r="A56" s="115"/>
      <c r="B56" s="115"/>
      <c r="C56" s="115"/>
      <c r="D56" s="115"/>
      <c r="E56" s="115"/>
      <c r="F56" s="115"/>
      <c r="G56" s="95"/>
      <c r="H56" s="95"/>
      <c r="I56" s="95"/>
    </row>
    <row r="57" spans="1:9">
      <c r="A57" s="115"/>
      <c r="B57" s="115"/>
      <c r="C57" s="115"/>
      <c r="D57" s="115"/>
      <c r="E57" s="115"/>
      <c r="F57" s="115"/>
      <c r="G57" s="95"/>
      <c r="H57" s="95"/>
      <c r="I57" s="95"/>
    </row>
    <row r="58" spans="1:9">
      <c r="G58"/>
      <c r="H58"/>
      <c r="I58"/>
    </row>
    <row r="59" spans="1:9">
      <c r="G59"/>
      <c r="H59"/>
      <c r="I59"/>
    </row>
    <row r="60" spans="1:9">
      <c r="G60"/>
      <c r="H60"/>
      <c r="I60"/>
    </row>
    <row r="61" spans="1:9">
      <c r="G61"/>
      <c r="H61"/>
      <c r="I61"/>
    </row>
    <row r="62" spans="1:9">
      <c r="G62"/>
      <c r="H62"/>
      <c r="I62"/>
    </row>
    <row r="63" spans="1:9">
      <c r="G63"/>
      <c r="H63"/>
      <c r="I63"/>
    </row>
    <row r="64" spans="1:9">
      <c r="G64"/>
      <c r="H64"/>
      <c r="I64"/>
    </row>
    <row r="65" spans="7:9">
      <c r="G65"/>
      <c r="H65"/>
      <c r="I65"/>
    </row>
    <row r="66" spans="7:9">
      <c r="G66"/>
      <c r="H66"/>
      <c r="I66"/>
    </row>
    <row r="67" spans="7:9">
      <c r="G67"/>
      <c r="H67"/>
      <c r="I67"/>
    </row>
    <row r="68" spans="7:9">
      <c r="G68"/>
      <c r="H68"/>
      <c r="I68"/>
    </row>
    <row r="69" spans="7:9">
      <c r="G69"/>
      <c r="H69"/>
      <c r="I69"/>
    </row>
    <row r="70" spans="7:9">
      <c r="G70"/>
      <c r="H70"/>
      <c r="I70"/>
    </row>
    <row r="71" spans="7:9">
      <c r="G71"/>
      <c r="H71"/>
      <c r="I71"/>
    </row>
    <row r="72" spans="7:9">
      <c r="G72"/>
      <c r="H72"/>
      <c r="I72"/>
    </row>
    <row r="73" spans="7:9">
      <c r="G73"/>
      <c r="H73"/>
      <c r="I73"/>
    </row>
    <row r="74" spans="7:9">
      <c r="G74"/>
      <c r="H74"/>
      <c r="I74"/>
    </row>
    <row r="75" spans="7:9">
      <c r="G75"/>
      <c r="H75"/>
      <c r="I75"/>
    </row>
    <row r="76" spans="7:9">
      <c r="G76"/>
      <c r="H76"/>
      <c r="I76"/>
    </row>
    <row r="77" spans="7:9">
      <c r="G77"/>
      <c r="H77"/>
      <c r="I77"/>
    </row>
  </sheetData>
  <mergeCells count="3">
    <mergeCell ref="A2:B2"/>
    <mergeCell ref="A6:H6"/>
    <mergeCell ref="A30:H30"/>
  </mergeCells>
  <pageMargins left="0.75" right="0.75" top="1" bottom="1" header="0.5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"/>
  <sheetViews>
    <sheetView zoomScaleNormal="100" workbookViewId="0">
      <selection activeCell="I17" sqref="I17"/>
    </sheetView>
  </sheetViews>
  <sheetFormatPr defaultColWidth="9.109375" defaultRowHeight="13.2"/>
  <cols>
    <col min="1" max="1" width="15.109375" style="44" customWidth="1"/>
    <col min="2" max="2" width="7.88671875" style="44" customWidth="1"/>
    <col min="3" max="3" width="7.109375" style="44" customWidth="1"/>
    <col min="4" max="4" width="7.109375" style="44" bestFit="1" customWidth="1"/>
    <col min="5" max="5" width="6.6640625" style="44" customWidth="1"/>
    <col min="6" max="6" width="7.88671875" style="44" customWidth="1"/>
    <col min="7" max="7" width="10.6640625" style="44" bestFit="1" customWidth="1"/>
    <col min="8" max="8" width="1.44140625" style="44" customWidth="1"/>
    <col min="9" max="9" width="15.33203125" style="44" bestFit="1" customWidth="1"/>
    <col min="10" max="11" width="9.33203125" style="44" bestFit="1" customWidth="1"/>
    <col min="12" max="12" width="9" style="44" customWidth="1"/>
    <col min="13" max="13" width="4.6640625" style="44" bestFit="1" customWidth="1"/>
    <col min="14" max="14" width="9.33203125" style="44" bestFit="1" customWidth="1"/>
    <col min="15" max="15" width="10.6640625" style="44" customWidth="1"/>
    <col min="16" max="16" width="1.5546875" style="44" customWidth="1"/>
    <col min="17" max="17" width="15" style="44" customWidth="1"/>
    <col min="18" max="18" width="6" style="44" customWidth="1"/>
    <col min="19" max="22" width="9.33203125" style="44" bestFit="1" customWidth="1"/>
    <col min="23" max="23" width="10.6640625" style="44" bestFit="1" customWidth="1"/>
    <col min="24" max="24" width="6.88671875" style="44" bestFit="1" customWidth="1"/>
    <col min="25" max="25" width="9" style="44" customWidth="1"/>
    <col min="26" max="16384" width="9.109375" style="43"/>
  </cols>
  <sheetData>
    <row r="1" spans="1:48" ht="17.399999999999999">
      <c r="A1" s="131"/>
      <c r="B1" s="132"/>
      <c r="C1" s="133" t="s">
        <v>61</v>
      </c>
      <c r="D1" s="132"/>
      <c r="E1" s="132"/>
      <c r="F1" s="132"/>
      <c r="G1" s="134"/>
      <c r="H1" s="137"/>
      <c r="I1" s="131"/>
      <c r="J1" s="142"/>
      <c r="K1" s="133" t="s">
        <v>62</v>
      </c>
      <c r="L1" s="142"/>
      <c r="M1" s="142"/>
      <c r="N1" s="142"/>
      <c r="O1" s="143"/>
      <c r="P1" s="137"/>
      <c r="Q1" s="131"/>
      <c r="R1" s="132"/>
      <c r="S1" s="133" t="s">
        <v>63</v>
      </c>
      <c r="T1" s="132"/>
      <c r="U1" s="132"/>
      <c r="V1" s="132"/>
      <c r="W1" s="134"/>
      <c r="X1" s="142"/>
      <c r="Y1" s="143"/>
      <c r="Z1" s="45"/>
    </row>
    <row r="2" spans="1:48" ht="18" thickBot="1">
      <c r="A2" s="135"/>
      <c r="B2" s="111" t="s">
        <v>64</v>
      </c>
      <c r="C2" s="111" t="s">
        <v>65</v>
      </c>
      <c r="D2" s="111" t="s">
        <v>66</v>
      </c>
      <c r="E2" s="111" t="s">
        <v>1</v>
      </c>
      <c r="F2" s="111" t="s">
        <v>67</v>
      </c>
      <c r="G2" s="136" t="s">
        <v>68</v>
      </c>
      <c r="H2" s="137"/>
      <c r="I2" s="135"/>
      <c r="J2" s="111" t="s">
        <v>64</v>
      </c>
      <c r="K2" s="111" t="s">
        <v>65</v>
      </c>
      <c r="L2" s="111" t="s">
        <v>66</v>
      </c>
      <c r="M2" s="111" t="s">
        <v>1</v>
      </c>
      <c r="N2" s="111" t="s">
        <v>67</v>
      </c>
      <c r="O2" s="136" t="s">
        <v>68</v>
      </c>
      <c r="P2" s="137"/>
      <c r="Q2" s="135"/>
      <c r="R2" s="111" t="s">
        <v>64</v>
      </c>
      <c r="S2" s="111" t="s">
        <v>65</v>
      </c>
      <c r="T2" s="111" t="s">
        <v>66</v>
      </c>
      <c r="U2" s="111" t="s">
        <v>1</v>
      </c>
      <c r="V2" s="111" t="s">
        <v>67</v>
      </c>
      <c r="W2" s="136" t="s">
        <v>68</v>
      </c>
      <c r="X2" s="390" t="s">
        <v>69</v>
      </c>
      <c r="Y2" s="391"/>
      <c r="Z2" s="45"/>
    </row>
    <row r="3" spans="1:48" ht="17.399999999999999">
      <c r="A3" s="308">
        <v>42278</v>
      </c>
      <c r="B3" s="52">
        <v>652</v>
      </c>
      <c r="C3" s="52">
        <v>1001</v>
      </c>
      <c r="D3" s="52">
        <v>108</v>
      </c>
      <c r="E3" s="309">
        <f t="shared" ref="E3:E14" si="0">SUM(B3:D3)</f>
        <v>1761</v>
      </c>
      <c r="F3" s="310">
        <f t="shared" ref="F3:F14" si="1">C3/E3</f>
        <v>0.56842703009653606</v>
      </c>
      <c r="G3" s="311">
        <f>((B3*B$17)+(C3*C$17)+(D3*D$17))/E3</f>
        <v>974.41567291311753</v>
      </c>
      <c r="H3" s="138"/>
      <c r="I3" s="308">
        <f t="shared" ref="I3:I14" si="2">A3</f>
        <v>42278</v>
      </c>
      <c r="J3" s="52">
        <v>89</v>
      </c>
      <c r="K3" s="52">
        <v>162</v>
      </c>
      <c r="L3" s="52">
        <v>18</v>
      </c>
      <c r="M3" s="52">
        <f t="shared" ref="M3:M14" si="3">SUM(J3:L3)</f>
        <v>269</v>
      </c>
      <c r="N3" s="310">
        <f t="shared" ref="N3:N14" si="4">K3/M3</f>
        <v>0.60223048327137552</v>
      </c>
      <c r="O3" s="311">
        <f>((J3*J$17)+(K3*K$17)+(L3*L$17))/M3</f>
        <v>1003.1769516728624</v>
      </c>
      <c r="P3" s="138"/>
      <c r="Q3" s="308">
        <f t="shared" ref="Q3:Q14" si="5">I3</f>
        <v>42278</v>
      </c>
      <c r="R3" s="52">
        <v>288</v>
      </c>
      <c r="S3" s="52">
        <v>426</v>
      </c>
      <c r="T3" s="52">
        <v>54</v>
      </c>
      <c r="U3" s="52">
        <f t="shared" ref="U3:U14" si="6">SUM(R3:T3)</f>
        <v>768</v>
      </c>
      <c r="V3" s="310">
        <f t="shared" ref="V3:V14" si="7">S3/U3</f>
        <v>0.5546875</v>
      </c>
      <c r="W3" s="311">
        <f>((R3*R$17)+(S3*S$17)+(T3*T$17))/U3</f>
        <v>946.25</v>
      </c>
      <c r="X3" s="319">
        <f t="shared" ref="X3:X14" si="8">SUM(E3,M3,U3)</f>
        <v>2798</v>
      </c>
      <c r="Y3" s="311">
        <f t="shared" ref="Y3:Y14" si="9">((E3*G3)+(M3*O3)+(U3*W3))/X3</f>
        <v>969.44982130092922</v>
      </c>
      <c r="Z3" s="48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</row>
    <row r="4" spans="1:48" ht="17.399999999999999">
      <c r="A4" s="308">
        <v>42309</v>
      </c>
      <c r="B4" s="52">
        <v>656</v>
      </c>
      <c r="C4" s="52">
        <v>1006</v>
      </c>
      <c r="D4" s="52">
        <v>115</v>
      </c>
      <c r="E4" s="309">
        <f t="shared" si="0"/>
        <v>1777</v>
      </c>
      <c r="F4" s="310">
        <f t="shared" si="1"/>
        <v>0.56612267867191901</v>
      </c>
      <c r="G4" s="311">
        <f>((B4*B$17)+(C4*C$17)+(D4*D$17))/E4</f>
        <v>970.96285875070339</v>
      </c>
      <c r="H4" s="139"/>
      <c r="I4" s="308">
        <f t="shared" si="2"/>
        <v>42309</v>
      </c>
      <c r="J4" s="52">
        <v>92</v>
      </c>
      <c r="K4" s="52">
        <v>166</v>
      </c>
      <c r="L4" s="52">
        <v>20</v>
      </c>
      <c r="M4" s="52">
        <f t="shared" si="3"/>
        <v>278</v>
      </c>
      <c r="N4" s="310">
        <f t="shared" si="4"/>
        <v>0.59712230215827333</v>
      </c>
      <c r="O4" s="311">
        <f>((J4*J$17)+(K4*K$17)+(L4*L$17))/M4</f>
        <v>997.98561151079139</v>
      </c>
      <c r="P4" s="139"/>
      <c r="Q4" s="308">
        <f t="shared" si="5"/>
        <v>42309</v>
      </c>
      <c r="R4" s="52">
        <v>310</v>
      </c>
      <c r="S4" s="52">
        <v>443</v>
      </c>
      <c r="T4" s="52">
        <v>61</v>
      </c>
      <c r="U4" s="52">
        <f t="shared" si="6"/>
        <v>814</v>
      </c>
      <c r="V4" s="310">
        <f t="shared" si="7"/>
        <v>0.54422604422604426</v>
      </c>
      <c r="W4" s="311">
        <f>((R4*R$17)+(S4*S$17)+(T4*T$17))/U4</f>
        <v>937.017199017199</v>
      </c>
      <c r="X4" s="319">
        <f t="shared" si="8"/>
        <v>2869</v>
      </c>
      <c r="Y4" s="311">
        <f t="shared" si="9"/>
        <v>963.95015684907628</v>
      </c>
      <c r="Z4" s="48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</row>
    <row r="5" spans="1:48" ht="17.399999999999999">
      <c r="A5" s="308">
        <v>42339</v>
      </c>
      <c r="B5" s="52">
        <v>658</v>
      </c>
      <c r="C5" s="52">
        <v>1006</v>
      </c>
      <c r="D5" s="52">
        <v>113</v>
      </c>
      <c r="E5" s="309">
        <f t="shared" si="0"/>
        <v>1777</v>
      </c>
      <c r="F5" s="310">
        <f t="shared" si="1"/>
        <v>0.56612267867191901</v>
      </c>
      <c r="G5" s="311">
        <f>((B5*B$17)+(C5*C$17)+(D5*D$17))/E5</f>
        <v>971.52673044456947</v>
      </c>
      <c r="H5" s="139"/>
      <c r="I5" s="308">
        <f t="shared" si="2"/>
        <v>42339</v>
      </c>
      <c r="J5" s="52">
        <v>92</v>
      </c>
      <c r="K5" s="52">
        <v>166</v>
      </c>
      <c r="L5" s="52">
        <v>20</v>
      </c>
      <c r="M5" s="52">
        <f t="shared" si="3"/>
        <v>278</v>
      </c>
      <c r="N5" s="310">
        <f t="shared" si="4"/>
        <v>0.59712230215827333</v>
      </c>
      <c r="O5" s="311">
        <f>((J5*J$17)+(K5*K$17)+(L5*L$17))/M5</f>
        <v>997.98561151079139</v>
      </c>
      <c r="P5" s="139"/>
      <c r="Q5" s="308">
        <f t="shared" si="5"/>
        <v>42339</v>
      </c>
      <c r="R5" s="52">
        <v>305</v>
      </c>
      <c r="S5" s="52">
        <v>443</v>
      </c>
      <c r="T5" s="52">
        <v>61</v>
      </c>
      <c r="U5" s="52">
        <f t="shared" si="6"/>
        <v>809</v>
      </c>
      <c r="V5" s="310">
        <f t="shared" si="7"/>
        <v>0.54758961681087759</v>
      </c>
      <c r="W5" s="311">
        <f>((R5*R$17)+(S5*S$17)+(T5*T$17))/U5</f>
        <v>939.21137206427693</v>
      </c>
      <c r="X5" s="319">
        <f t="shared" si="8"/>
        <v>2864</v>
      </c>
      <c r="Y5" s="311">
        <f t="shared" si="9"/>
        <v>964.9668296089385</v>
      </c>
      <c r="Z5" s="48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</row>
    <row r="6" spans="1:48" ht="17.399999999999999">
      <c r="A6" s="308">
        <v>42370</v>
      </c>
      <c r="B6" s="52">
        <v>649</v>
      </c>
      <c r="C6" s="52">
        <v>1029</v>
      </c>
      <c r="D6" s="52">
        <v>108</v>
      </c>
      <c r="E6" s="309">
        <f t="shared" si="0"/>
        <v>1786</v>
      </c>
      <c r="F6" s="310">
        <f t="shared" si="1"/>
        <v>0.57614781634938406</v>
      </c>
      <c r="G6" s="311">
        <f t="shared" ref="G6:G14" si="10">((B6*B$18)+(C6*C$18)+(D6*D$18))/E6</f>
        <v>983.63605823068315</v>
      </c>
      <c r="H6" s="140"/>
      <c r="I6" s="308">
        <f t="shared" si="2"/>
        <v>42370</v>
      </c>
      <c r="J6" s="52">
        <v>87</v>
      </c>
      <c r="K6" s="52">
        <v>170</v>
      </c>
      <c r="L6" s="52">
        <v>19</v>
      </c>
      <c r="M6" s="52">
        <f t="shared" si="3"/>
        <v>276</v>
      </c>
      <c r="N6" s="310">
        <f t="shared" si="4"/>
        <v>0.61594202898550721</v>
      </c>
      <c r="O6" s="311">
        <f t="shared" ref="O6:O14" si="11">((J6*J$18)+(K6*K$18)+(L6*L$18))/M6</f>
        <v>1016.3833333333333</v>
      </c>
      <c r="P6" s="140"/>
      <c r="Q6" s="308">
        <f t="shared" si="5"/>
        <v>42370</v>
      </c>
      <c r="R6" s="52">
        <v>296</v>
      </c>
      <c r="S6" s="52">
        <v>439</v>
      </c>
      <c r="T6" s="52">
        <v>69</v>
      </c>
      <c r="U6" s="52">
        <f t="shared" si="6"/>
        <v>804</v>
      </c>
      <c r="V6" s="310">
        <f t="shared" si="7"/>
        <v>0.54601990049751248</v>
      </c>
      <c r="W6" s="311">
        <f t="shared" ref="W6:W14" si="12">((R6*R$18)+(S6*S$18)+(T6*T$18))/U6</f>
        <v>940.97220149253735</v>
      </c>
      <c r="X6" s="319">
        <f t="shared" si="8"/>
        <v>2866</v>
      </c>
      <c r="Y6" s="311">
        <f t="shared" si="9"/>
        <v>974.82116189811586</v>
      </c>
      <c r="Z6" s="48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ht="17.399999999999999">
      <c r="A7" s="308">
        <v>42416</v>
      </c>
      <c r="B7" s="52">
        <v>645</v>
      </c>
      <c r="C7" s="52">
        <v>1024</v>
      </c>
      <c r="D7" s="52">
        <v>108</v>
      </c>
      <c r="E7" s="309">
        <f t="shared" si="0"/>
        <v>1777</v>
      </c>
      <c r="F7" s="310">
        <f t="shared" si="1"/>
        <v>0.57625211029825552</v>
      </c>
      <c r="G7" s="311">
        <f t="shared" si="10"/>
        <v>983.55880697805287</v>
      </c>
      <c r="H7" s="140"/>
      <c r="I7" s="308">
        <f t="shared" si="2"/>
        <v>42416</v>
      </c>
      <c r="J7" s="52">
        <v>88</v>
      </c>
      <c r="K7" s="52">
        <v>166</v>
      </c>
      <c r="L7" s="52">
        <v>19</v>
      </c>
      <c r="M7" s="52">
        <f t="shared" si="3"/>
        <v>273</v>
      </c>
      <c r="N7" s="310">
        <f t="shared" si="4"/>
        <v>0.60805860805860801</v>
      </c>
      <c r="O7" s="311">
        <f t="shared" si="11"/>
        <v>1010.3619047619047</v>
      </c>
      <c r="P7" s="140"/>
      <c r="Q7" s="308">
        <f t="shared" si="5"/>
        <v>42416</v>
      </c>
      <c r="R7" s="52">
        <v>292</v>
      </c>
      <c r="S7" s="52">
        <v>436</v>
      </c>
      <c r="T7" s="52">
        <v>70</v>
      </c>
      <c r="U7" s="52">
        <f t="shared" si="6"/>
        <v>798</v>
      </c>
      <c r="V7" s="310">
        <f t="shared" si="7"/>
        <v>0.54636591478696739</v>
      </c>
      <c r="W7" s="311">
        <f t="shared" si="12"/>
        <v>940.44047619047615</v>
      </c>
      <c r="X7" s="319">
        <f t="shared" si="8"/>
        <v>2848</v>
      </c>
      <c r="Y7" s="311">
        <f t="shared" si="9"/>
        <v>974.04645365168528</v>
      </c>
      <c r="Z7" s="48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</row>
    <row r="8" spans="1:48" ht="17.399999999999999">
      <c r="A8" s="308">
        <v>42445</v>
      </c>
      <c r="B8" s="52">
        <v>648</v>
      </c>
      <c r="C8" s="52">
        <v>1022</v>
      </c>
      <c r="D8" s="52">
        <v>108</v>
      </c>
      <c r="E8" s="309">
        <f t="shared" si="0"/>
        <v>1778</v>
      </c>
      <c r="F8" s="310">
        <f t="shared" si="1"/>
        <v>0.57480314960629919</v>
      </c>
      <c r="G8" s="311">
        <f t="shared" si="10"/>
        <v>982.48368953880765</v>
      </c>
      <c r="H8" s="140"/>
      <c r="I8" s="308">
        <f t="shared" si="2"/>
        <v>42445</v>
      </c>
      <c r="J8" s="52">
        <v>87</v>
      </c>
      <c r="K8" s="52">
        <v>166</v>
      </c>
      <c r="L8" s="52">
        <v>19</v>
      </c>
      <c r="M8" s="52">
        <f t="shared" si="3"/>
        <v>272</v>
      </c>
      <c r="N8" s="310">
        <f t="shared" si="4"/>
        <v>0.61029411764705888</v>
      </c>
      <c r="O8" s="311">
        <f t="shared" si="11"/>
        <v>1011.9330882352941</v>
      </c>
      <c r="P8" s="140"/>
      <c r="Q8" s="308">
        <f t="shared" si="5"/>
        <v>42445</v>
      </c>
      <c r="R8" s="52">
        <v>290</v>
      </c>
      <c r="S8" s="52">
        <v>433</v>
      </c>
      <c r="T8" s="52">
        <v>70</v>
      </c>
      <c r="U8" s="52">
        <f t="shared" si="6"/>
        <v>793</v>
      </c>
      <c r="V8" s="310">
        <f t="shared" si="7"/>
        <v>0.54602774274905419</v>
      </c>
      <c r="W8" s="311">
        <f t="shared" si="12"/>
        <v>939.9602774274905</v>
      </c>
      <c r="X8" s="319">
        <f t="shared" si="8"/>
        <v>2843</v>
      </c>
      <c r="Y8" s="311">
        <f t="shared" si="9"/>
        <v>973.44013366162494</v>
      </c>
      <c r="Z8" s="48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</row>
    <row r="9" spans="1:48" ht="17.399999999999999">
      <c r="A9" s="308">
        <v>42466</v>
      </c>
      <c r="B9" s="52">
        <v>646</v>
      </c>
      <c r="C9" s="52">
        <v>1027</v>
      </c>
      <c r="D9" s="52">
        <v>109</v>
      </c>
      <c r="E9" s="309">
        <f t="shared" si="0"/>
        <v>1782</v>
      </c>
      <c r="F9" s="310">
        <f t="shared" si="1"/>
        <v>0.57631874298540964</v>
      </c>
      <c r="G9" s="311">
        <f t="shared" si="10"/>
        <v>983.41021324354654</v>
      </c>
      <c r="H9" s="140"/>
      <c r="I9" s="308">
        <f t="shared" si="2"/>
        <v>42466</v>
      </c>
      <c r="J9" s="52">
        <v>87</v>
      </c>
      <c r="K9" s="52">
        <v>164</v>
      </c>
      <c r="L9" s="52">
        <v>19</v>
      </c>
      <c r="M9" s="52">
        <f t="shared" si="3"/>
        <v>270</v>
      </c>
      <c r="N9" s="310">
        <f t="shared" si="4"/>
        <v>0.6074074074074074</v>
      </c>
      <c r="O9" s="311">
        <f t="shared" si="11"/>
        <v>1009.6585185185185</v>
      </c>
      <c r="P9" s="140"/>
      <c r="Q9" s="308">
        <f t="shared" si="5"/>
        <v>42466</v>
      </c>
      <c r="R9" s="52">
        <v>299</v>
      </c>
      <c r="S9" s="52">
        <v>429</v>
      </c>
      <c r="T9" s="52">
        <v>70</v>
      </c>
      <c r="U9" s="52">
        <f t="shared" si="6"/>
        <v>798</v>
      </c>
      <c r="V9" s="310">
        <f t="shared" si="7"/>
        <v>0.53759398496240607</v>
      </c>
      <c r="W9" s="311">
        <f t="shared" si="12"/>
        <v>933.94047619047615</v>
      </c>
      <c r="X9" s="319">
        <f t="shared" si="8"/>
        <v>2850</v>
      </c>
      <c r="Y9" s="311">
        <f t="shared" si="9"/>
        <v>972.04536842105256</v>
      </c>
      <c r="Z9" s="48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</row>
    <row r="10" spans="1:48" ht="17.399999999999999">
      <c r="A10" s="308">
        <v>42506</v>
      </c>
      <c r="B10" s="52">
        <v>648</v>
      </c>
      <c r="C10" s="52">
        <v>1021</v>
      </c>
      <c r="D10" s="52">
        <v>110</v>
      </c>
      <c r="E10" s="309">
        <f t="shared" si="0"/>
        <v>1779</v>
      </c>
      <c r="F10" s="310">
        <f t="shared" si="1"/>
        <v>0.57391793142214731</v>
      </c>
      <c r="G10" s="311">
        <f t="shared" si="10"/>
        <v>981.26138279932547</v>
      </c>
      <c r="H10" s="140"/>
      <c r="I10" s="308">
        <f t="shared" si="2"/>
        <v>42506</v>
      </c>
      <c r="J10" s="52">
        <v>86</v>
      </c>
      <c r="K10" s="52">
        <v>165</v>
      </c>
      <c r="L10" s="52">
        <v>19</v>
      </c>
      <c r="M10" s="52">
        <f t="shared" si="3"/>
        <v>270</v>
      </c>
      <c r="N10" s="310">
        <f t="shared" si="4"/>
        <v>0.61111111111111116</v>
      </c>
      <c r="O10" s="311">
        <f t="shared" si="11"/>
        <v>1012.3844444444444</v>
      </c>
      <c r="P10" s="140"/>
      <c r="Q10" s="308">
        <f t="shared" si="5"/>
        <v>42506</v>
      </c>
      <c r="R10" s="52">
        <v>305</v>
      </c>
      <c r="S10" s="52">
        <v>427</v>
      </c>
      <c r="T10" s="52">
        <v>71</v>
      </c>
      <c r="U10" s="52">
        <f t="shared" si="6"/>
        <v>803</v>
      </c>
      <c r="V10" s="310">
        <f t="shared" si="7"/>
        <v>0.53175591531755917</v>
      </c>
      <c r="W10" s="311">
        <f t="shared" si="12"/>
        <v>929.32422166874221</v>
      </c>
      <c r="X10" s="319">
        <f t="shared" si="8"/>
        <v>2852</v>
      </c>
      <c r="Y10" s="311">
        <f t="shared" si="9"/>
        <v>969.58455469845717</v>
      </c>
      <c r="Z10" s="48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</row>
    <row r="11" spans="1:48" ht="17.399999999999999">
      <c r="A11" s="308">
        <v>42537</v>
      </c>
      <c r="B11" s="52">
        <v>653</v>
      </c>
      <c r="C11" s="52">
        <v>1018</v>
      </c>
      <c r="D11" s="52">
        <v>112</v>
      </c>
      <c r="E11" s="309">
        <f t="shared" si="0"/>
        <v>1783</v>
      </c>
      <c r="F11" s="310">
        <f t="shared" si="1"/>
        <v>0.57094784071789118</v>
      </c>
      <c r="G11" s="311">
        <f t="shared" si="10"/>
        <v>978.52159282108801</v>
      </c>
      <c r="H11" s="140"/>
      <c r="I11" s="308">
        <f t="shared" si="2"/>
        <v>42537</v>
      </c>
      <c r="J11" s="52">
        <v>86</v>
      </c>
      <c r="K11" s="52">
        <v>163</v>
      </c>
      <c r="L11" s="52">
        <v>20</v>
      </c>
      <c r="M11" s="52">
        <f t="shared" si="3"/>
        <v>269</v>
      </c>
      <c r="N11" s="310">
        <f t="shared" si="4"/>
        <v>0.60594795539033453</v>
      </c>
      <c r="O11" s="311">
        <f t="shared" si="11"/>
        <v>1007.4312267657992</v>
      </c>
      <c r="P11" s="140"/>
      <c r="Q11" s="308">
        <f t="shared" si="5"/>
        <v>42537</v>
      </c>
      <c r="R11" s="52">
        <v>309</v>
      </c>
      <c r="S11" s="52">
        <v>430</v>
      </c>
      <c r="T11" s="52">
        <v>71</v>
      </c>
      <c r="U11" s="52">
        <f t="shared" si="6"/>
        <v>810</v>
      </c>
      <c r="V11" s="310">
        <f t="shared" si="7"/>
        <v>0.53086419753086422</v>
      </c>
      <c r="W11" s="311">
        <f t="shared" si="12"/>
        <v>928.9806790123456</v>
      </c>
      <c r="X11" s="319">
        <f t="shared" si="8"/>
        <v>2862</v>
      </c>
      <c r="Y11" s="311">
        <f t="shared" si="9"/>
        <v>967.21780223619851</v>
      </c>
      <c r="Z11" s="48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</row>
    <row r="12" spans="1:48" ht="17.399999999999999">
      <c r="A12" s="308">
        <v>42567</v>
      </c>
      <c r="B12" s="111">
        <v>659</v>
      </c>
      <c r="C12" s="111">
        <v>1027</v>
      </c>
      <c r="D12" s="111">
        <v>114</v>
      </c>
      <c r="E12" s="309">
        <f t="shared" si="0"/>
        <v>1800</v>
      </c>
      <c r="F12" s="310">
        <f t="shared" si="1"/>
        <v>0.57055555555555559</v>
      </c>
      <c r="G12" s="311">
        <f t="shared" si="10"/>
        <v>977.96222222222218</v>
      </c>
      <c r="H12" s="140"/>
      <c r="I12" s="308">
        <f t="shared" si="2"/>
        <v>42567</v>
      </c>
      <c r="J12" s="111">
        <v>84</v>
      </c>
      <c r="K12" s="111">
        <v>162</v>
      </c>
      <c r="L12" s="111">
        <v>21</v>
      </c>
      <c r="M12" s="52">
        <f t="shared" si="3"/>
        <v>267</v>
      </c>
      <c r="N12" s="310">
        <f t="shared" si="4"/>
        <v>0.6067415730337079</v>
      </c>
      <c r="O12" s="311">
        <f t="shared" si="11"/>
        <v>1006.7685393258428</v>
      </c>
      <c r="P12" s="140"/>
      <c r="Q12" s="308">
        <f t="shared" si="5"/>
        <v>42567</v>
      </c>
      <c r="R12" s="52">
        <v>305</v>
      </c>
      <c r="S12" s="52">
        <v>429</v>
      </c>
      <c r="T12" s="52">
        <v>68</v>
      </c>
      <c r="U12" s="52">
        <f t="shared" si="6"/>
        <v>802</v>
      </c>
      <c r="V12" s="310">
        <f t="shared" si="7"/>
        <v>0.53491271820448882</v>
      </c>
      <c r="W12" s="311">
        <f t="shared" si="12"/>
        <v>933.17057356608484</v>
      </c>
      <c r="X12" s="319">
        <f t="shared" si="8"/>
        <v>2869</v>
      </c>
      <c r="Y12" s="311">
        <f t="shared" si="9"/>
        <v>968.12199372603698</v>
      </c>
      <c r="Z12" s="48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</row>
    <row r="13" spans="1:48" s="44" customFormat="1" ht="17.399999999999999">
      <c r="A13" s="308">
        <v>42598</v>
      </c>
      <c r="B13" s="111">
        <v>669</v>
      </c>
      <c r="C13" s="111">
        <v>1036</v>
      </c>
      <c r="D13" s="111">
        <v>115</v>
      </c>
      <c r="E13" s="309">
        <f t="shared" si="0"/>
        <v>1820</v>
      </c>
      <c r="F13" s="310">
        <f t="shared" si="1"/>
        <v>0.56923076923076921</v>
      </c>
      <c r="G13" s="311">
        <f t="shared" si="10"/>
        <v>977.0379120879121</v>
      </c>
      <c r="H13" s="140"/>
      <c r="I13" s="308">
        <f t="shared" si="2"/>
        <v>42598</v>
      </c>
      <c r="J13" s="111">
        <v>82</v>
      </c>
      <c r="K13" s="111">
        <v>164</v>
      </c>
      <c r="L13" s="111">
        <v>21</v>
      </c>
      <c r="M13" s="52">
        <f t="shared" si="3"/>
        <v>267</v>
      </c>
      <c r="N13" s="310">
        <f t="shared" si="4"/>
        <v>0.61423220973782766</v>
      </c>
      <c r="O13" s="311">
        <f t="shared" si="11"/>
        <v>1012.281647940075</v>
      </c>
      <c r="P13" s="140"/>
      <c r="Q13" s="308">
        <f t="shared" si="5"/>
        <v>42598</v>
      </c>
      <c r="R13" s="52">
        <v>299</v>
      </c>
      <c r="S13" s="52">
        <v>427</v>
      </c>
      <c r="T13" s="52">
        <v>68</v>
      </c>
      <c r="U13" s="52">
        <f t="shared" si="6"/>
        <v>794</v>
      </c>
      <c r="V13" s="310">
        <f t="shared" si="7"/>
        <v>0.53778337531486142</v>
      </c>
      <c r="W13" s="311">
        <f t="shared" si="12"/>
        <v>934.943073047859</v>
      </c>
      <c r="X13" s="319">
        <f t="shared" si="8"/>
        <v>2881</v>
      </c>
      <c r="Y13" s="311">
        <f t="shared" si="9"/>
        <v>968.7028809441166</v>
      </c>
      <c r="Z13" s="48"/>
    </row>
    <row r="14" spans="1:48" ht="18" thickBot="1">
      <c r="A14" s="312">
        <v>42629</v>
      </c>
      <c r="B14" s="313">
        <v>667</v>
      </c>
      <c r="C14" s="313">
        <v>1036</v>
      </c>
      <c r="D14" s="313">
        <v>121</v>
      </c>
      <c r="E14" s="314">
        <f t="shared" si="0"/>
        <v>1824</v>
      </c>
      <c r="F14" s="315">
        <f t="shared" si="1"/>
        <v>0.56798245614035092</v>
      </c>
      <c r="G14" s="316">
        <f t="shared" si="10"/>
        <v>974.49287280701753</v>
      </c>
      <c r="H14" s="141"/>
      <c r="I14" s="312">
        <f t="shared" si="2"/>
        <v>42629</v>
      </c>
      <c r="J14" s="313">
        <v>82</v>
      </c>
      <c r="K14" s="313">
        <v>160</v>
      </c>
      <c r="L14" s="313">
        <v>20</v>
      </c>
      <c r="M14" s="318">
        <f t="shared" si="3"/>
        <v>262</v>
      </c>
      <c r="N14" s="315">
        <f t="shared" si="4"/>
        <v>0.61068702290076338</v>
      </c>
      <c r="O14" s="316">
        <f t="shared" si="11"/>
        <v>1010.3435114503817</v>
      </c>
      <c r="P14" s="141"/>
      <c r="Q14" s="312">
        <f t="shared" si="5"/>
        <v>42629</v>
      </c>
      <c r="R14" s="318">
        <v>301</v>
      </c>
      <c r="S14" s="318">
        <v>430</v>
      </c>
      <c r="T14" s="318">
        <v>69</v>
      </c>
      <c r="U14" s="318">
        <f t="shared" si="6"/>
        <v>800</v>
      </c>
      <c r="V14" s="315">
        <f t="shared" si="7"/>
        <v>0.53749999999999998</v>
      </c>
      <c r="W14" s="316">
        <f t="shared" si="12"/>
        <v>934.48081250000007</v>
      </c>
      <c r="X14" s="320">
        <f t="shared" si="8"/>
        <v>2886</v>
      </c>
      <c r="Y14" s="316">
        <f t="shared" si="9"/>
        <v>966.65615038115038</v>
      </c>
      <c r="Z14" s="48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</row>
    <row r="15" spans="1:48" ht="11.4" customHeight="1">
      <c r="A15" s="48"/>
      <c r="B15" s="48"/>
      <c r="C15" s="48"/>
      <c r="D15" s="48"/>
      <c r="E15" s="130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53"/>
      <c r="S15" s="53"/>
      <c r="T15" s="53"/>
      <c r="U15" s="53"/>
      <c r="V15" s="53"/>
      <c r="W15" s="53"/>
      <c r="X15" s="48"/>
      <c r="Y15" s="48"/>
      <c r="Z15" s="48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</row>
    <row r="16" spans="1:48" s="293" customFormat="1">
      <c r="A16" s="350" t="s">
        <v>70</v>
      </c>
      <c r="B16" s="292"/>
      <c r="C16" s="292"/>
      <c r="D16" s="292"/>
      <c r="E16" s="292"/>
      <c r="F16" s="292"/>
      <c r="G16" s="292"/>
      <c r="H16" s="292"/>
      <c r="I16" s="350" t="s">
        <v>70</v>
      </c>
      <c r="J16" s="292"/>
      <c r="K16" s="292"/>
      <c r="L16" s="292"/>
      <c r="M16" s="292"/>
      <c r="N16" s="292"/>
      <c r="O16" s="292"/>
      <c r="P16" s="292"/>
      <c r="Q16" s="350" t="s">
        <v>70</v>
      </c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</row>
    <row r="17" spans="1:48" ht="17.399999999999999">
      <c r="A17" s="111" t="s">
        <v>75</v>
      </c>
      <c r="B17" s="111">
        <v>572</v>
      </c>
      <c r="C17" s="111">
        <v>1334</v>
      </c>
      <c r="D17" s="111">
        <v>71</v>
      </c>
      <c r="E17" s="48"/>
      <c r="F17" s="48"/>
      <c r="G17" s="48"/>
      <c r="H17" s="48"/>
      <c r="I17" s="111" t="s">
        <v>75</v>
      </c>
      <c r="J17" s="111">
        <v>581</v>
      </c>
      <c r="K17" s="111">
        <v>1314</v>
      </c>
      <c r="L17" s="111">
        <v>293.2</v>
      </c>
      <c r="M17" s="48"/>
      <c r="N17" s="48"/>
      <c r="O17" s="48"/>
      <c r="P17" s="48"/>
      <c r="Q17" s="111" t="s">
        <v>75</v>
      </c>
      <c r="R17" s="111">
        <v>582</v>
      </c>
      <c r="S17" s="111">
        <v>1289</v>
      </c>
      <c r="T17" s="111">
        <v>185</v>
      </c>
      <c r="U17" s="53"/>
      <c r="V17" s="53"/>
      <c r="W17" s="53"/>
      <c r="X17" s="48"/>
      <c r="Y17" s="48"/>
      <c r="Z17" s="48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</row>
    <row r="18" spans="1:48" ht="17.399999999999999">
      <c r="A18" s="111" t="s">
        <v>124</v>
      </c>
      <c r="B18" s="111">
        <v>580</v>
      </c>
      <c r="C18" s="111">
        <v>1334</v>
      </c>
      <c r="D18" s="111">
        <v>71</v>
      </c>
      <c r="E18" s="47"/>
      <c r="F18" s="47"/>
      <c r="G18" s="47"/>
      <c r="H18" s="48"/>
      <c r="I18" s="111" t="s">
        <v>124</v>
      </c>
      <c r="J18" s="111">
        <v>583</v>
      </c>
      <c r="K18" s="111">
        <v>1319</v>
      </c>
      <c r="L18" s="111">
        <v>293.2</v>
      </c>
      <c r="M18" s="47"/>
      <c r="N18" s="47"/>
      <c r="O18" s="47"/>
      <c r="P18" s="48"/>
      <c r="Q18" s="111" t="s">
        <v>124</v>
      </c>
      <c r="R18" s="111">
        <v>572</v>
      </c>
      <c r="S18" s="111">
        <v>1313</v>
      </c>
      <c r="T18" s="111">
        <v>156.85</v>
      </c>
      <c r="U18" s="52"/>
      <c r="V18" s="52"/>
      <c r="W18" s="52"/>
      <c r="X18" s="48"/>
      <c r="Y18" s="48"/>
      <c r="Z18" s="48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</row>
    <row r="19" spans="1:48" ht="16.95" customHeight="1" thickBo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53"/>
      <c r="S19" s="53"/>
      <c r="T19" s="53"/>
      <c r="U19" s="53"/>
      <c r="V19" s="53"/>
      <c r="W19" s="53"/>
      <c r="X19" s="48"/>
      <c r="Y19" s="48"/>
      <c r="Z19" s="48"/>
    </row>
    <row r="20" spans="1:48" s="49" customFormat="1" ht="15.6" customHeight="1" thickBot="1">
      <c r="A20" s="112"/>
      <c r="B20" s="112"/>
      <c r="C20" s="265"/>
      <c r="D20" s="392" t="s">
        <v>141</v>
      </c>
      <c r="E20" s="393"/>
      <c r="F20" s="393"/>
      <c r="G20" s="317">
        <f>AVERAGE(G3:G14)</f>
        <v>978.27250106975373</v>
      </c>
      <c r="H20" s="112"/>
      <c r="I20" s="112"/>
      <c r="J20" s="112"/>
      <c r="K20" s="113"/>
      <c r="L20" s="392" t="s">
        <v>141</v>
      </c>
      <c r="M20" s="393"/>
      <c r="N20" s="393"/>
      <c r="O20" s="317">
        <f>AVERAGE(O3:O14)</f>
        <v>1008.0578657891698</v>
      </c>
      <c r="P20" s="112"/>
      <c r="Q20" s="112"/>
      <c r="R20" s="113"/>
      <c r="S20" s="113"/>
      <c r="T20" s="392" t="s">
        <v>141</v>
      </c>
      <c r="U20" s="393"/>
      <c r="V20" s="393"/>
      <c r="W20" s="317">
        <f>AVERAGE(W3:W14)</f>
        <v>936.55761351479077</v>
      </c>
      <c r="X20" s="122"/>
      <c r="Y20" s="112"/>
      <c r="Z20" s="112"/>
    </row>
    <row r="21" spans="1:48">
      <c r="Z21" s="44"/>
    </row>
    <row r="22" spans="1:48">
      <c r="E22" s="95"/>
      <c r="F22" s="95"/>
      <c r="G22" s="95"/>
      <c r="H22"/>
      <c r="I22" s="95"/>
      <c r="J22" s="95"/>
      <c r="K22" s="95"/>
      <c r="L22" s="95"/>
      <c r="M22" s="95"/>
      <c r="N22" s="95"/>
    </row>
    <row r="23" spans="1:48">
      <c r="E23"/>
      <c r="F23"/>
      <c r="G23"/>
      <c r="H23"/>
      <c r="I23" s="95"/>
      <c r="J23" s="95"/>
      <c r="K23" s="95"/>
      <c r="L23" s="95"/>
      <c r="M23" s="95"/>
      <c r="N23" s="95"/>
      <c r="R23" s="114"/>
      <c r="S23" s="114"/>
      <c r="T23" s="114"/>
    </row>
    <row r="24" spans="1:48">
      <c r="E24"/>
      <c r="F24"/>
      <c r="G24"/>
      <c r="H24"/>
      <c r="I24" s="95"/>
      <c r="J24" s="95"/>
      <c r="K24" s="95"/>
      <c r="L24" s="95"/>
      <c r="M24" s="95"/>
      <c r="N24" s="95"/>
    </row>
    <row r="25" spans="1:48">
      <c r="E25"/>
      <c r="F25"/>
      <c r="G25"/>
      <c r="H25"/>
      <c r="I25" s="95"/>
      <c r="J25" s="95"/>
      <c r="K25" s="95"/>
      <c r="L25" s="95"/>
      <c r="M25" s="95"/>
      <c r="N25" s="95"/>
    </row>
    <row r="26" spans="1:48">
      <c r="E26"/>
      <c r="F26"/>
      <c r="G26"/>
      <c r="H26"/>
      <c r="I26" s="95"/>
      <c r="J26" s="95"/>
      <c r="K26" s="95"/>
      <c r="L26" s="95"/>
      <c r="M26" s="95"/>
      <c r="N26" s="95"/>
    </row>
    <row r="27" spans="1:48">
      <c r="E27"/>
      <c r="F27"/>
      <c r="G27"/>
      <c r="H27"/>
      <c r="I27" s="95"/>
      <c r="J27" s="95"/>
      <c r="K27" s="95"/>
      <c r="L27" s="95"/>
      <c r="M27" s="95"/>
      <c r="N27" s="95"/>
    </row>
    <row r="28" spans="1:48">
      <c r="E28"/>
      <c r="F28"/>
      <c r="G28"/>
      <c r="H28"/>
      <c r="I28" s="95"/>
      <c r="J28" s="95"/>
      <c r="K28" s="95"/>
      <c r="L28" s="95"/>
      <c r="M28" s="95"/>
      <c r="N28" s="95"/>
    </row>
    <row r="29" spans="1:48">
      <c r="E29"/>
      <c r="F29"/>
      <c r="G29"/>
      <c r="H29"/>
      <c r="I29"/>
      <c r="J29"/>
      <c r="K29"/>
      <c r="L29"/>
      <c r="M29"/>
      <c r="N29"/>
    </row>
    <row r="30" spans="1:48">
      <c r="E30"/>
      <c r="F30"/>
      <c r="G30"/>
      <c r="H30"/>
      <c r="I30"/>
      <c r="J30"/>
      <c r="K30"/>
      <c r="L30"/>
      <c r="M30"/>
      <c r="N30"/>
    </row>
    <row r="31" spans="1:48">
      <c r="E31"/>
      <c r="F31"/>
      <c r="G31"/>
      <c r="H31"/>
      <c r="I31"/>
      <c r="J31"/>
      <c r="K31"/>
      <c r="L31"/>
      <c r="M31"/>
      <c r="N31"/>
    </row>
    <row r="32" spans="1:48">
      <c r="E32"/>
      <c r="F32"/>
      <c r="G32"/>
      <c r="H32"/>
      <c r="I32"/>
      <c r="J32"/>
      <c r="K32"/>
      <c r="L32"/>
      <c r="M32"/>
      <c r="N32"/>
    </row>
    <row r="33" spans="5:14">
      <c r="E33"/>
      <c r="F33"/>
      <c r="G33"/>
      <c r="H33"/>
      <c r="I33"/>
      <c r="J33"/>
      <c r="K33"/>
      <c r="L33"/>
      <c r="M33"/>
      <c r="N33"/>
    </row>
    <row r="34" spans="5:14">
      <c r="E34"/>
      <c r="F34"/>
      <c r="G34"/>
      <c r="H34"/>
      <c r="I34"/>
    </row>
    <row r="35" spans="5:14">
      <c r="E35"/>
      <c r="F35"/>
      <c r="G35"/>
      <c r="H35"/>
      <c r="I35"/>
    </row>
    <row r="36" spans="5:14">
      <c r="E36"/>
      <c r="F36"/>
      <c r="G36"/>
      <c r="H36"/>
      <c r="I36"/>
    </row>
    <row r="37" spans="5:14">
      <c r="E37"/>
      <c r="F37"/>
      <c r="G37"/>
      <c r="H37"/>
      <c r="I37"/>
    </row>
    <row r="38" spans="5:14">
      <c r="E38"/>
      <c r="F38"/>
      <c r="G38"/>
      <c r="H38"/>
      <c r="I38"/>
    </row>
    <row r="39" spans="5:14">
      <c r="E39"/>
      <c r="F39"/>
      <c r="G39"/>
      <c r="H39"/>
      <c r="I39"/>
    </row>
    <row r="40" spans="5:14">
      <c r="E40"/>
      <c r="F40"/>
      <c r="G40"/>
      <c r="H40"/>
      <c r="I40"/>
    </row>
    <row r="41" spans="5:14">
      <c r="E41"/>
      <c r="F41"/>
      <c r="G41"/>
      <c r="H41"/>
      <c r="I41"/>
    </row>
    <row r="42" spans="5:14">
      <c r="E42"/>
      <c r="F42"/>
      <c r="G42"/>
      <c r="H42"/>
      <c r="I42"/>
    </row>
    <row r="43" spans="5:14">
      <c r="E43"/>
      <c r="F43"/>
      <c r="G43"/>
      <c r="H43"/>
      <c r="I43"/>
    </row>
    <row r="44" spans="5:14">
      <c r="E44"/>
      <c r="F44"/>
      <c r="G44"/>
      <c r="H44"/>
      <c r="I44"/>
    </row>
    <row r="45" spans="5:14">
      <c r="E45"/>
      <c r="F45"/>
      <c r="G45"/>
      <c r="H45"/>
      <c r="I45"/>
    </row>
    <row r="46" spans="5:14">
      <c r="E46"/>
      <c r="F46"/>
      <c r="G46"/>
      <c r="H46"/>
      <c r="I46"/>
    </row>
  </sheetData>
  <mergeCells count="4">
    <mergeCell ref="X2:Y2"/>
    <mergeCell ref="D20:F20"/>
    <mergeCell ref="L20:N20"/>
    <mergeCell ref="T20:V20"/>
  </mergeCells>
  <pageMargins left="0.75" right="0.75" top="1" bottom="1" header="0.5" footer="0.5"/>
  <pageSetup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I45"/>
  <sheetViews>
    <sheetView zoomScaleNormal="100" workbookViewId="0">
      <selection activeCell="T21" sqref="T21"/>
    </sheetView>
  </sheetViews>
  <sheetFormatPr defaultColWidth="8.88671875" defaultRowHeight="13.2"/>
  <cols>
    <col min="1" max="1" width="10" style="43" customWidth="1"/>
    <col min="2" max="2" width="10.33203125" style="43" bestFit="1" customWidth="1"/>
    <col min="3" max="3" width="5.33203125" style="43" bestFit="1" customWidth="1"/>
    <col min="4" max="4" width="8.5546875" style="43" bestFit="1" customWidth="1"/>
    <col min="5" max="5" width="12.33203125" style="43" bestFit="1" customWidth="1"/>
    <col min="6" max="6" width="10.5546875" style="43" bestFit="1" customWidth="1"/>
    <col min="7" max="16" width="8.88671875" style="43" bestFit="1" customWidth="1"/>
    <col min="17" max="17" width="15" style="43" bestFit="1" customWidth="1"/>
    <col min="18" max="18" width="27.6640625" style="43" customWidth="1"/>
    <col min="19" max="19" width="12.88671875" style="43" hidden="1" customWidth="1"/>
    <col min="20" max="16384" width="8.88671875" style="43"/>
  </cols>
  <sheetData>
    <row r="1" spans="1:113" ht="15.6">
      <c r="A1" s="273" t="s">
        <v>84</v>
      </c>
      <c r="B1" s="44"/>
      <c r="C1" s="44"/>
      <c r="D1" s="44"/>
      <c r="E1" s="44"/>
      <c r="S1" s="44"/>
      <c r="T1" s="44"/>
      <c r="U1" s="44"/>
    </row>
    <row r="2" spans="1:113">
      <c r="A2" s="270" t="s">
        <v>137</v>
      </c>
      <c r="B2" s="44"/>
      <c r="C2" s="44"/>
      <c r="D2" s="44"/>
      <c r="E2" s="44"/>
      <c r="S2" s="44"/>
      <c r="T2" s="44"/>
      <c r="U2" s="44"/>
    </row>
    <row r="3" spans="1:113" s="156" customFormat="1" ht="42" customHeight="1" thickBot="1">
      <c r="A3" s="154" t="s">
        <v>52</v>
      </c>
      <c r="B3" s="155"/>
      <c r="C3" s="155"/>
      <c r="D3" s="155" t="s">
        <v>23</v>
      </c>
      <c r="E3" s="266">
        <v>42278</v>
      </c>
      <c r="F3" s="266">
        <v>42309</v>
      </c>
      <c r="G3" s="266">
        <v>42339</v>
      </c>
      <c r="H3" s="266">
        <v>42370</v>
      </c>
      <c r="I3" s="266">
        <v>42401</v>
      </c>
      <c r="J3" s="266">
        <v>42430</v>
      </c>
      <c r="K3" s="266">
        <v>42461</v>
      </c>
      <c r="L3" s="266">
        <v>42491</v>
      </c>
      <c r="M3" s="266">
        <v>42522</v>
      </c>
      <c r="N3" s="266">
        <v>42552</v>
      </c>
      <c r="O3" s="266">
        <v>42583</v>
      </c>
      <c r="P3" s="266">
        <v>42614</v>
      </c>
      <c r="Q3" s="272" t="s">
        <v>126</v>
      </c>
      <c r="R3" s="9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</row>
    <row r="4" spans="1:113" s="156" customFormat="1" ht="12.6" customHeight="1">
      <c r="A4" s="394" t="s">
        <v>134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9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</row>
    <row r="5" spans="1:113">
      <c r="A5" s="279" t="s">
        <v>85</v>
      </c>
      <c r="B5" s="280"/>
      <c r="C5" s="280"/>
      <c r="D5" s="280"/>
      <c r="E5" s="328">
        <v>16801.14</v>
      </c>
      <c r="F5" s="328">
        <v>18065.759999999998</v>
      </c>
      <c r="G5" s="328">
        <v>18071.61</v>
      </c>
      <c r="H5" s="328">
        <v>17953.72</v>
      </c>
      <c r="I5" s="329">
        <v>17948.82</v>
      </c>
      <c r="J5" s="329">
        <v>17888.560000000001</v>
      </c>
      <c r="K5" s="329">
        <v>18363.580000000002</v>
      </c>
      <c r="L5" s="329">
        <v>18363.580000000002</v>
      </c>
      <c r="M5" s="329">
        <v>18363.580000000002</v>
      </c>
      <c r="N5" s="329">
        <v>18395.32</v>
      </c>
      <c r="O5" s="329">
        <v>18502.419999999998</v>
      </c>
      <c r="P5" s="329">
        <v>18543.28</v>
      </c>
      <c r="Q5" s="330">
        <f>SUM(E5:P5)</f>
        <v>217261.36999999997</v>
      </c>
      <c r="R5" s="254"/>
      <c r="S5" s="252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</row>
    <row r="6" spans="1:113" s="157" customFormat="1">
      <c r="A6" s="274" t="s">
        <v>129</v>
      </c>
      <c r="B6" s="251"/>
      <c r="C6" s="251"/>
      <c r="D6" s="278">
        <v>0.89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2">
        <f>Q5*D6</f>
        <v>193362.61929999996</v>
      </c>
      <c r="R6" s="254"/>
      <c r="S6" s="251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</row>
    <row r="7" spans="1:113" s="158" customFormat="1">
      <c r="A7" s="281" t="s">
        <v>130</v>
      </c>
      <c r="B7" s="282"/>
      <c r="C7" s="282"/>
      <c r="D7" s="283">
        <v>0.11</v>
      </c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4">
        <f>Q5*D7</f>
        <v>23898.750699999997</v>
      </c>
      <c r="R7" s="254"/>
      <c r="S7" s="251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</row>
    <row r="8" spans="1:113">
      <c r="A8" s="284" t="s">
        <v>86</v>
      </c>
      <c r="B8" s="285"/>
      <c r="C8" s="285"/>
      <c r="D8" s="285"/>
      <c r="E8" s="335">
        <v>3310.26</v>
      </c>
      <c r="F8" s="335">
        <v>3306.06</v>
      </c>
      <c r="G8" s="335">
        <v>3288.36</v>
      </c>
      <c r="H8" s="335">
        <v>3327.26</v>
      </c>
      <c r="I8" s="336">
        <v>3308.38</v>
      </c>
      <c r="J8" s="336">
        <v>3303.9</v>
      </c>
      <c r="K8" s="336">
        <v>3317.93</v>
      </c>
      <c r="L8" s="336">
        <v>3317.93</v>
      </c>
      <c r="M8" s="336">
        <v>3317.93</v>
      </c>
      <c r="N8" s="336">
        <v>3326.53</v>
      </c>
      <c r="O8" s="336">
        <v>3307.05</v>
      </c>
      <c r="P8" s="336">
        <v>3302.35</v>
      </c>
      <c r="Q8" s="337">
        <f>SUM(E8:P8)</f>
        <v>39733.94</v>
      </c>
      <c r="R8" s="254"/>
      <c r="S8" s="252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</row>
    <row r="9" spans="1:113">
      <c r="A9" s="44"/>
      <c r="B9" s="44"/>
      <c r="C9" s="44"/>
      <c r="D9" s="44"/>
      <c r="E9" s="297"/>
      <c r="F9" s="297"/>
      <c r="G9" s="297"/>
      <c r="H9" s="297"/>
      <c r="I9" s="226"/>
      <c r="J9" s="297"/>
      <c r="K9" s="297"/>
      <c r="L9" s="297"/>
      <c r="M9" s="297"/>
      <c r="N9" s="297"/>
      <c r="O9" s="297"/>
      <c r="P9" s="297"/>
      <c r="Q9" s="297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spans="1:113">
      <c r="A10" s="284" t="s">
        <v>87</v>
      </c>
      <c r="B10" s="285"/>
      <c r="C10" s="285"/>
      <c r="D10" s="285"/>
      <c r="E10" s="338">
        <v>140.81</v>
      </c>
      <c r="F10" s="338">
        <v>133.53</v>
      </c>
      <c r="G10" s="338">
        <v>131.55000000000001</v>
      </c>
      <c r="H10" s="338">
        <v>145.68</v>
      </c>
      <c r="I10" s="338">
        <v>145.68</v>
      </c>
      <c r="J10" s="338">
        <v>151.52000000000001</v>
      </c>
      <c r="K10" s="338">
        <v>148.93</v>
      </c>
      <c r="L10" s="338">
        <v>153</v>
      </c>
      <c r="M10" s="338">
        <v>148</v>
      </c>
      <c r="N10" s="338">
        <v>148</v>
      </c>
      <c r="O10" s="338">
        <v>173.99</v>
      </c>
      <c r="P10" s="338">
        <v>175.06</v>
      </c>
      <c r="Q10" s="337">
        <f>SUM(E10:P10)</f>
        <v>1795.75</v>
      </c>
      <c r="R10" s="254"/>
      <c r="S10" s="252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</row>
    <row r="11" spans="1:113" s="161" customFormat="1">
      <c r="A11" s="279" t="s">
        <v>131</v>
      </c>
      <c r="B11" s="280"/>
      <c r="C11" s="280"/>
      <c r="D11" s="286">
        <v>0.51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40">
        <f>Q10*D11</f>
        <v>915.83249999999998</v>
      </c>
      <c r="R11" s="254"/>
      <c r="S11" s="252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</row>
    <row r="12" spans="1:113" s="161" customFormat="1">
      <c r="A12" s="275" t="s">
        <v>132</v>
      </c>
      <c r="B12" s="252"/>
      <c r="C12" s="252"/>
      <c r="D12" s="278">
        <v>0.14000000000000001</v>
      </c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01">
        <f>Q10*D12</f>
        <v>251.40500000000003</v>
      </c>
      <c r="R12" s="254"/>
      <c r="S12" s="252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</row>
    <row r="13" spans="1:113" s="162" customFormat="1" ht="15">
      <c r="A13" s="275" t="s">
        <v>133</v>
      </c>
      <c r="B13" s="252"/>
      <c r="C13" s="252"/>
      <c r="D13" s="278">
        <v>0.35</v>
      </c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2">
        <f>Q10*D13</f>
        <v>628.51249999999993</v>
      </c>
      <c r="R13" s="254"/>
      <c r="S13" s="252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</row>
    <row r="14" spans="1:113" ht="15">
      <c r="A14" s="290" t="s">
        <v>88</v>
      </c>
      <c r="B14" s="269"/>
      <c r="C14" s="269"/>
      <c r="D14" s="269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4">
        <f>Q5+Q8+Q10</f>
        <v>258791.05999999997</v>
      </c>
      <c r="R14" s="254"/>
      <c r="S14" s="252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</row>
    <row r="15" spans="1:113" ht="4.95" customHeight="1" thickBot="1">
      <c r="A15" s="287"/>
      <c r="B15" s="288"/>
      <c r="C15" s="288"/>
      <c r="D15" s="288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91"/>
      <c r="R15" s="254"/>
      <c r="S15" s="252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</row>
    <row r="16" spans="1:113" ht="13.95" customHeight="1">
      <c r="A16" s="394" t="s">
        <v>135</v>
      </c>
      <c r="B16" s="394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254"/>
      <c r="S16" s="252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</row>
    <row r="17" spans="1:113" s="161" customFormat="1">
      <c r="A17" s="279" t="s">
        <v>89</v>
      </c>
      <c r="B17" s="280"/>
      <c r="C17" s="280"/>
      <c r="D17" s="280"/>
      <c r="E17" s="339">
        <v>1216.0999999999999</v>
      </c>
      <c r="F17" s="339">
        <v>1216.0999999999999</v>
      </c>
      <c r="G17" s="339">
        <v>1216.0999999999999</v>
      </c>
      <c r="H17" s="339">
        <v>1216.0999999999999</v>
      </c>
      <c r="I17" s="339">
        <v>1216.0999999999999</v>
      </c>
      <c r="J17" s="339">
        <v>1216.0999999999999</v>
      </c>
      <c r="K17" s="339">
        <v>1256.69</v>
      </c>
      <c r="L17" s="339">
        <v>1256.69</v>
      </c>
      <c r="M17" s="339">
        <v>1256.69</v>
      </c>
      <c r="N17" s="339">
        <v>1171.73</v>
      </c>
      <c r="O17" s="339">
        <v>1171.73</v>
      </c>
      <c r="P17" s="339">
        <v>1171.73</v>
      </c>
      <c r="Q17" s="340">
        <f>SUM(E17:P17)</f>
        <v>14581.86</v>
      </c>
      <c r="R17" s="95"/>
      <c r="S17" s="252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</row>
    <row r="18" spans="1:113" s="161" customFormat="1">
      <c r="A18" s="275" t="s">
        <v>90</v>
      </c>
      <c r="B18" s="252"/>
      <c r="C18" s="252"/>
      <c r="D18" s="252"/>
      <c r="E18" s="341">
        <v>19855.580000000002</v>
      </c>
      <c r="F18" s="341">
        <v>20413.419999999998</v>
      </c>
      <c r="G18" s="341">
        <v>20313.400000000001</v>
      </c>
      <c r="H18" s="341">
        <v>20786.18</v>
      </c>
      <c r="I18" s="341">
        <v>20786.18</v>
      </c>
      <c r="J18" s="341">
        <v>20759.46</v>
      </c>
      <c r="K18" s="341">
        <v>20843.13</v>
      </c>
      <c r="L18" s="341">
        <v>20834.43</v>
      </c>
      <c r="M18" s="341">
        <v>21024.959999999999</v>
      </c>
      <c r="N18" s="341">
        <v>20883.63</v>
      </c>
      <c r="O18" s="341">
        <v>20761.03</v>
      </c>
      <c r="P18" s="341">
        <v>20730.23</v>
      </c>
      <c r="Q18" s="301">
        <f>SUM(E18:P18)</f>
        <v>247991.63</v>
      </c>
      <c r="R18" s="95"/>
      <c r="S18" s="252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</row>
    <row r="19" spans="1:113" s="161" customFormat="1">
      <c r="A19" s="275" t="s">
        <v>91</v>
      </c>
      <c r="B19" s="252"/>
      <c r="C19" s="252"/>
      <c r="D19" s="252"/>
      <c r="E19" s="341">
        <v>52097.52</v>
      </c>
      <c r="F19" s="341">
        <v>52865.919999999998</v>
      </c>
      <c r="G19" s="341">
        <v>52069.789999999994</v>
      </c>
      <c r="H19" s="341">
        <v>52982.149999999994</v>
      </c>
      <c r="I19" s="341">
        <v>53138.409999999996</v>
      </c>
      <c r="J19" s="341">
        <v>52814.36</v>
      </c>
      <c r="K19" s="341">
        <v>55483.97</v>
      </c>
      <c r="L19" s="341">
        <v>54055.119999999995</v>
      </c>
      <c r="M19" s="341">
        <v>54403.59</v>
      </c>
      <c r="N19" s="341">
        <v>54727.49</v>
      </c>
      <c r="O19" s="341">
        <v>54865.69</v>
      </c>
      <c r="P19" s="341">
        <v>55410.840000000004</v>
      </c>
      <c r="Q19" s="301">
        <f>SUM(E19:P19)</f>
        <v>644914.85</v>
      </c>
      <c r="R19" s="95"/>
      <c r="S19" s="252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</row>
    <row r="20" spans="1:113" s="162" customFormat="1">
      <c r="A20" s="276" t="s">
        <v>92</v>
      </c>
      <c r="B20" s="277"/>
      <c r="C20" s="277"/>
      <c r="D20" s="277"/>
      <c r="E20" s="345">
        <v>6905.44</v>
      </c>
      <c r="F20" s="345">
        <v>7045.72</v>
      </c>
      <c r="G20" s="345">
        <v>7031.82</v>
      </c>
      <c r="H20" s="345">
        <v>6942.76</v>
      </c>
      <c r="I20" s="345">
        <v>6942.76</v>
      </c>
      <c r="J20" s="345">
        <v>6928.74</v>
      </c>
      <c r="K20" s="345">
        <v>6916.48</v>
      </c>
      <c r="L20" s="345">
        <v>6877.04</v>
      </c>
      <c r="M20" s="345">
        <v>6851.18</v>
      </c>
      <c r="N20" s="345">
        <v>6824.74</v>
      </c>
      <c r="O20" s="345">
        <v>6755.8</v>
      </c>
      <c r="P20" s="345">
        <v>6703.22</v>
      </c>
      <c r="Q20" s="303">
        <f>SUM(E20:P20)</f>
        <v>82725.700000000012</v>
      </c>
      <c r="R20" s="95"/>
      <c r="S20" s="252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</row>
    <row r="21" spans="1:113">
      <c r="A21" s="287" t="s">
        <v>138</v>
      </c>
      <c r="B21" s="288"/>
      <c r="C21" s="288"/>
      <c r="D21" s="288"/>
      <c r="E21" s="346">
        <f>SUM(E17:E20)</f>
        <v>80074.64</v>
      </c>
      <c r="F21" s="346">
        <f t="shared" ref="F21:P21" si="0">SUM(F17:F20)</f>
        <v>81541.16</v>
      </c>
      <c r="G21" s="346">
        <f t="shared" si="0"/>
        <v>80631.109999999986</v>
      </c>
      <c r="H21" s="346">
        <f t="shared" si="0"/>
        <v>81927.189999999988</v>
      </c>
      <c r="I21" s="346">
        <f t="shared" si="0"/>
        <v>82083.45</v>
      </c>
      <c r="J21" s="346">
        <f>SUM(J17:J20)</f>
        <v>81718.66</v>
      </c>
      <c r="K21" s="346">
        <f t="shared" si="0"/>
        <v>84500.27</v>
      </c>
      <c r="L21" s="346">
        <f t="shared" si="0"/>
        <v>83023.279999999984</v>
      </c>
      <c r="M21" s="346">
        <f t="shared" si="0"/>
        <v>83536.419999999984</v>
      </c>
      <c r="N21" s="346">
        <f t="shared" si="0"/>
        <v>83607.590000000011</v>
      </c>
      <c r="O21" s="346">
        <f t="shared" si="0"/>
        <v>83554.25</v>
      </c>
      <c r="P21" s="346">
        <f t="shared" si="0"/>
        <v>84016.02</v>
      </c>
      <c r="Q21" s="347">
        <f>SUM(Q17:Q20)</f>
        <v>990214.04</v>
      </c>
      <c r="R21" s="95"/>
      <c r="S21" s="252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</row>
    <row r="22" spans="1:113">
      <c r="A22" s="44"/>
      <c r="B22" s="44"/>
      <c r="C22" s="44"/>
      <c r="D22" s="44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02"/>
      <c r="R22" s="95"/>
      <c r="S22" s="252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</row>
    <row r="23" spans="1:113" ht="13.8" thickBot="1">
      <c r="A23" s="44"/>
      <c r="B23" s="44"/>
      <c r="C23" s="298" t="s">
        <v>1</v>
      </c>
      <c r="D23" s="298"/>
      <c r="E23" s="299">
        <f>SUM(E5:E10)+E21</f>
        <v>100326.85</v>
      </c>
      <c r="F23" s="299">
        <f t="shared" ref="F23:M23" si="1">SUM(F5:F10)+F21</f>
        <v>103046.51000000001</v>
      </c>
      <c r="G23" s="299">
        <f t="shared" si="1"/>
        <v>102122.62999999999</v>
      </c>
      <c r="H23" s="299">
        <f>SUM(H5:H10)+H21</f>
        <v>103353.84999999999</v>
      </c>
      <c r="I23" s="299">
        <f t="shared" si="1"/>
        <v>103486.33</v>
      </c>
      <c r="J23" s="299">
        <f>SUM(J5:J10)+J21</f>
        <v>103062.64000000001</v>
      </c>
      <c r="K23" s="299">
        <f t="shared" si="1"/>
        <v>106330.71</v>
      </c>
      <c r="L23" s="299">
        <f>SUM(L5:L10)+L21</f>
        <v>104857.78999999998</v>
      </c>
      <c r="M23" s="299">
        <f t="shared" si="1"/>
        <v>105365.93</v>
      </c>
      <c r="N23" s="299">
        <f>SUM(N5:N10)+N21</f>
        <v>105477.44</v>
      </c>
      <c r="O23" s="299">
        <f>SUM(O5:O10)+O21</f>
        <v>105537.70999999999</v>
      </c>
      <c r="P23" s="299">
        <f>SUM(P5:P10)+P21</f>
        <v>106036.71</v>
      </c>
      <c r="Q23" s="299">
        <f>Q14+Q21</f>
        <v>1249005.1000000001</v>
      </c>
      <c r="R23" s="95"/>
      <c r="S23" s="252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</row>
    <row r="24" spans="1:113" ht="13.8" thickTop="1">
      <c r="A24" s="44"/>
      <c r="B24" s="44"/>
      <c r="C24" s="44"/>
      <c r="D24" s="44"/>
      <c r="E24" s="297"/>
      <c r="F24" s="297"/>
      <c r="G24" s="297"/>
      <c r="H24" s="297"/>
      <c r="I24" s="226"/>
      <c r="J24" s="297"/>
      <c r="K24" s="297"/>
      <c r="L24" s="297"/>
      <c r="M24" s="297"/>
      <c r="N24" s="297"/>
      <c r="O24" s="297"/>
      <c r="P24" s="297"/>
      <c r="Q24" s="297"/>
      <c r="R24" s="44"/>
      <c r="S24" s="253"/>
    </row>
    <row r="25" spans="1:113">
      <c r="A25" s="294" t="s">
        <v>93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113">
      <c r="A26" s="295" t="s">
        <v>94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13">
      <c r="A27" s="295" t="s">
        <v>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13" ht="13.8" thickBot="1">
      <c r="A28" s="5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271"/>
    </row>
    <row r="29" spans="1:113" ht="13.8" thickBot="1">
      <c r="A29" s="395" t="s">
        <v>95</v>
      </c>
      <c r="B29" s="396"/>
      <c r="C29" s="396"/>
      <c r="D29" s="396"/>
      <c r="E29" s="396"/>
      <c r="F29" s="397"/>
      <c r="G29" s="370"/>
      <c r="H29" s="370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113">
      <c r="A30" s="364"/>
      <c r="B30" s="365"/>
      <c r="C30" s="365"/>
      <c r="D30" s="365"/>
      <c r="E30" s="365"/>
      <c r="F30" s="366"/>
      <c r="G30" s="367"/>
      <c r="H30" s="367"/>
      <c r="I30" s="44"/>
      <c r="J30" s="44"/>
      <c r="K30" s="44"/>
      <c r="L30" s="44"/>
      <c r="M30" s="44"/>
      <c r="N30" s="44"/>
      <c r="O30" s="44"/>
      <c r="P30" s="44"/>
      <c r="Q30" s="44"/>
      <c r="S30" s="44"/>
      <c r="T30" s="44"/>
      <c r="U30" s="44"/>
    </row>
    <row r="31" spans="1:113" ht="3.6" customHeight="1">
      <c r="A31" s="354"/>
      <c r="B31" s="252"/>
      <c r="C31" s="252"/>
      <c r="D31" s="252"/>
      <c r="E31" s="252"/>
      <c r="F31" s="371"/>
      <c r="G31" s="252"/>
      <c r="H31" s="368"/>
      <c r="I31" s="44"/>
    </row>
    <row r="32" spans="1:113" s="156" customFormat="1" ht="42.6" customHeight="1" thickBot="1">
      <c r="A32" s="355" t="s">
        <v>52</v>
      </c>
      <c r="B32" s="272"/>
      <c r="C32" s="272"/>
      <c r="D32" s="272"/>
      <c r="E32" s="296" t="s">
        <v>127</v>
      </c>
      <c r="F32" s="356" t="s">
        <v>142</v>
      </c>
      <c r="G32" s="369"/>
      <c r="H32" s="369"/>
      <c r="J32"/>
      <c r="K32"/>
      <c r="L32"/>
      <c r="M32"/>
      <c r="N32"/>
      <c r="O32"/>
      <c r="P32"/>
    </row>
    <row r="33" spans="1:20" s="156" customFormat="1">
      <c r="A33" s="357"/>
      <c r="B33" s="267"/>
      <c r="C33" s="267"/>
      <c r="D33" s="267"/>
      <c r="E33" s="267"/>
      <c r="F33" s="358"/>
      <c r="G33" s="369"/>
      <c r="H33" s="369"/>
      <c r="J33"/>
      <c r="K33"/>
      <c r="L33"/>
      <c r="M33"/>
      <c r="N33"/>
      <c r="O33"/>
      <c r="P33"/>
    </row>
    <row r="34" spans="1:20">
      <c r="A34" s="359" t="s">
        <v>96</v>
      </c>
      <c r="B34" s="268"/>
      <c r="C34" s="252"/>
      <c r="D34" s="252"/>
      <c r="E34" s="349">
        <v>69171</v>
      </c>
      <c r="F34" s="360">
        <f>E34*12</f>
        <v>830052</v>
      </c>
      <c r="G34" s="253"/>
      <c r="H34" s="253"/>
      <c r="J34" s="95"/>
      <c r="K34"/>
      <c r="L34"/>
      <c r="M34"/>
      <c r="N34"/>
      <c r="O34"/>
      <c r="P34"/>
    </row>
    <row r="35" spans="1:20">
      <c r="A35" s="359" t="s">
        <v>111</v>
      </c>
      <c r="B35" s="268"/>
      <c r="C35" s="252"/>
      <c r="D35" s="252"/>
      <c r="E35" s="349">
        <v>69866.25</v>
      </c>
      <c r="F35" s="360">
        <f t="shared" ref="F35:F36" si="2">E35*12</f>
        <v>838395</v>
      </c>
      <c r="G35" s="253"/>
      <c r="H35" s="253"/>
      <c r="J35" s="95"/>
      <c r="K35"/>
      <c r="L35"/>
      <c r="M35"/>
      <c r="N35"/>
      <c r="O35"/>
      <c r="P35"/>
    </row>
    <row r="36" spans="1:20">
      <c r="A36" s="359" t="s">
        <v>48</v>
      </c>
      <c r="B36" s="268"/>
      <c r="C36" s="252"/>
      <c r="D36" s="252"/>
      <c r="E36" s="349">
        <v>12210</v>
      </c>
      <c r="F36" s="360">
        <f t="shared" si="2"/>
        <v>146520</v>
      </c>
      <c r="G36" s="253"/>
      <c r="H36" s="253"/>
      <c r="J36" s="95"/>
      <c r="K36"/>
      <c r="L36"/>
      <c r="M36"/>
      <c r="N36"/>
      <c r="O36"/>
      <c r="P36"/>
    </row>
    <row r="37" spans="1:20">
      <c r="A37" s="354"/>
      <c r="B37" s="252"/>
      <c r="C37" s="252"/>
      <c r="D37" s="252"/>
      <c r="E37" s="302"/>
      <c r="F37" s="360"/>
      <c r="G37" s="253"/>
      <c r="H37" s="253"/>
      <c r="J37"/>
      <c r="K37"/>
      <c r="L37"/>
      <c r="M37"/>
      <c r="N37"/>
      <c r="O37"/>
      <c r="P37"/>
    </row>
    <row r="38" spans="1:20" ht="13.8" thickBot="1">
      <c r="A38" s="354"/>
      <c r="B38" s="252"/>
      <c r="C38" s="298" t="s">
        <v>1</v>
      </c>
      <c r="D38" s="298"/>
      <c r="E38" s="299">
        <f>SUM(E34:E37)</f>
        <v>151247.25</v>
      </c>
      <c r="F38" s="361">
        <f>SUM(F34:F37)</f>
        <v>1814967</v>
      </c>
      <c r="G38" s="253"/>
      <c r="H38" s="253"/>
      <c r="J38"/>
      <c r="K38"/>
      <c r="L38"/>
      <c r="M38"/>
      <c r="N38"/>
      <c r="O38"/>
      <c r="P38"/>
    </row>
    <row r="39" spans="1:20" ht="14.4" thickTop="1" thickBot="1">
      <c r="A39" s="362"/>
      <c r="B39" s="363"/>
      <c r="C39" s="363"/>
      <c r="D39" s="363"/>
      <c r="E39" s="363"/>
      <c r="F39" s="372"/>
      <c r="G39" s="252"/>
      <c r="H39" s="302"/>
      <c r="I39" s="44"/>
      <c r="Q39" s="160"/>
      <c r="R39" s="163"/>
      <c r="S39" s="159"/>
    </row>
    <row r="40" spans="1:20">
      <c r="A40" s="294"/>
      <c r="B40" s="44"/>
      <c r="C40" s="44"/>
      <c r="D40" s="44"/>
      <c r="E40" s="44"/>
      <c r="F40" s="44"/>
      <c r="G40" s="252"/>
      <c r="H40" s="252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>
      <c r="A41" s="294" t="s">
        <v>97</v>
      </c>
      <c r="B41" s="44"/>
      <c r="C41" s="44"/>
      <c r="D41" s="44"/>
      <c r="E41" s="44"/>
      <c r="F41" s="44"/>
      <c r="G41" s="44"/>
      <c r="H41" s="44"/>
      <c r="I41" s="44"/>
    </row>
    <row r="42" spans="1:20">
      <c r="A42" s="294" t="s">
        <v>128</v>
      </c>
      <c r="B42" s="300"/>
      <c r="C42" s="300"/>
      <c r="D42" s="300"/>
      <c r="E42" s="300"/>
      <c r="F42" s="300"/>
      <c r="G42" s="300"/>
      <c r="H42" s="300"/>
      <c r="I42" s="300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</row>
    <row r="43" spans="1:20">
      <c r="A43" s="44"/>
      <c r="B43" s="44"/>
      <c r="C43" s="44"/>
      <c r="D43" s="44"/>
      <c r="E43" s="44"/>
      <c r="F43" s="44"/>
      <c r="G43" s="44"/>
      <c r="H43" s="44"/>
      <c r="I43" s="44"/>
    </row>
    <row r="44" spans="1:20">
      <c r="A44" s="44"/>
      <c r="B44" s="44"/>
      <c r="C44" s="44"/>
      <c r="D44" s="44"/>
      <c r="E44" s="44"/>
      <c r="F44" s="44"/>
      <c r="G44" s="44"/>
      <c r="H44" s="44"/>
      <c r="I44" s="44"/>
      <c r="R44" s="164"/>
    </row>
    <row r="45" spans="1:20">
      <c r="A45" s="44"/>
      <c r="B45" s="44"/>
      <c r="C45" s="44"/>
      <c r="D45" s="44"/>
      <c r="E45" s="44"/>
      <c r="F45" s="44"/>
      <c r="G45" s="44"/>
      <c r="H45" s="44"/>
      <c r="I45" s="44"/>
    </row>
  </sheetData>
  <mergeCells count="3">
    <mergeCell ref="A4:Q4"/>
    <mergeCell ref="A16:Q16"/>
    <mergeCell ref="A29:F29"/>
  </mergeCells>
  <pageMargins left="0.75" right="0.75" top="1" bottom="1" header="0.5" footer="0.5"/>
  <pageSetup scale="11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F30" sqref="F30"/>
    </sheetView>
  </sheetViews>
  <sheetFormatPr defaultColWidth="9.109375" defaultRowHeight="13.2"/>
  <cols>
    <col min="1" max="1" width="26.88671875" style="43" customWidth="1"/>
    <col min="2" max="2" width="7.109375" style="43" customWidth="1"/>
    <col min="3" max="3" width="7.33203125" style="43" customWidth="1"/>
    <col min="4" max="4" width="7" style="43" bestFit="1" customWidth="1"/>
    <col min="5" max="8" width="6.88671875" style="43" bestFit="1" customWidth="1"/>
    <col min="9" max="9" width="7.109375" style="43" bestFit="1" customWidth="1"/>
    <col min="10" max="11" width="6.88671875" style="43" bestFit="1" customWidth="1"/>
    <col min="12" max="12" width="7.109375" style="43" bestFit="1" customWidth="1"/>
    <col min="13" max="13" width="7" style="43" bestFit="1" customWidth="1"/>
    <col min="14" max="14" width="12" style="43" bestFit="1" customWidth="1"/>
    <col min="15" max="16384" width="9.109375" style="43"/>
  </cols>
  <sheetData>
    <row r="1" spans="1:15" ht="17.399999999999999">
      <c r="A1" s="100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4"/>
    </row>
    <row r="2" spans="1:15" ht="17.399999999999999">
      <c r="A2" s="100" t="s">
        <v>123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4"/>
    </row>
    <row r="3" spans="1:15" ht="17.399999999999999">
      <c r="A3" s="10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4"/>
    </row>
    <row r="4" spans="1:15" s="42" customFormat="1" ht="39.6">
      <c r="A4" s="101" t="s">
        <v>52</v>
      </c>
      <c r="B4" s="326">
        <v>42278</v>
      </c>
      <c r="C4" s="326">
        <v>42309</v>
      </c>
      <c r="D4" s="326">
        <v>42339</v>
      </c>
      <c r="E4" s="326">
        <v>42370</v>
      </c>
      <c r="F4" s="326">
        <v>42401</v>
      </c>
      <c r="G4" s="326">
        <v>42430</v>
      </c>
      <c r="H4" s="326">
        <v>42461</v>
      </c>
      <c r="I4" s="326">
        <v>42491</v>
      </c>
      <c r="J4" s="326">
        <v>42522</v>
      </c>
      <c r="K4" s="326">
        <v>42552</v>
      </c>
      <c r="L4" s="326">
        <v>42583</v>
      </c>
      <c r="M4" s="326">
        <v>42614</v>
      </c>
      <c r="N4" s="102" t="s">
        <v>72</v>
      </c>
      <c r="O4" s="103"/>
    </row>
    <row r="5" spans="1:15" s="42" customFormat="1">
      <c r="A5" s="104" t="s">
        <v>60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105"/>
      <c r="O5" s="103"/>
    </row>
    <row r="6" spans="1:15">
      <c r="A6" s="53" t="s">
        <v>50</v>
      </c>
      <c r="B6" s="106">
        <v>768</v>
      </c>
      <c r="C6" s="106">
        <v>814</v>
      </c>
      <c r="D6" s="106">
        <v>809</v>
      </c>
      <c r="E6" s="106">
        <v>803</v>
      </c>
      <c r="F6" s="106">
        <v>798</v>
      </c>
      <c r="G6" s="106">
        <v>793</v>
      </c>
      <c r="H6" s="106">
        <v>798</v>
      </c>
      <c r="I6" s="106">
        <v>803</v>
      </c>
      <c r="J6" s="106">
        <v>810</v>
      </c>
      <c r="K6" s="106">
        <v>802</v>
      </c>
      <c r="L6" s="106">
        <v>794</v>
      </c>
      <c r="M6" s="106">
        <v>800</v>
      </c>
      <c r="N6" s="107">
        <f>ROUND(AVERAGE(B6:M6),0)</f>
        <v>799</v>
      </c>
      <c r="O6" s="53"/>
    </row>
    <row r="7" spans="1:15">
      <c r="A7" s="53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O7" s="53"/>
    </row>
    <row r="8" spans="1:15">
      <c r="A8" s="53" t="s">
        <v>48</v>
      </c>
      <c r="B8" s="106">
        <v>269</v>
      </c>
      <c r="C8" s="106">
        <v>278</v>
      </c>
      <c r="D8" s="106">
        <v>278</v>
      </c>
      <c r="E8" s="106">
        <v>276</v>
      </c>
      <c r="F8" s="106">
        <v>273</v>
      </c>
      <c r="G8" s="106">
        <v>272</v>
      </c>
      <c r="H8" s="106">
        <v>270</v>
      </c>
      <c r="I8" s="106">
        <v>270</v>
      </c>
      <c r="J8" s="106">
        <v>269</v>
      </c>
      <c r="K8" s="106">
        <v>267</v>
      </c>
      <c r="L8" s="106">
        <v>265</v>
      </c>
      <c r="M8" s="106">
        <v>262</v>
      </c>
      <c r="N8" s="107">
        <f>ROUND(AVERAGE(B8:M8),0)</f>
        <v>271</v>
      </c>
      <c r="O8" s="53"/>
    </row>
    <row r="9" spans="1:15">
      <c r="A9" s="53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  <c r="O9" s="53"/>
    </row>
    <row r="10" spans="1:15">
      <c r="A10" s="53" t="s">
        <v>54</v>
      </c>
      <c r="B10" s="106">
        <v>1761</v>
      </c>
      <c r="C10" s="106">
        <v>1777</v>
      </c>
      <c r="D10" s="106">
        <v>1777</v>
      </c>
      <c r="E10" s="106">
        <v>1776</v>
      </c>
      <c r="F10" s="106">
        <v>1777</v>
      </c>
      <c r="G10" s="106">
        <v>1778</v>
      </c>
      <c r="H10" s="106">
        <v>1782</v>
      </c>
      <c r="I10" s="106">
        <v>1779</v>
      </c>
      <c r="J10" s="106">
        <v>1783</v>
      </c>
      <c r="K10" s="106">
        <v>1800</v>
      </c>
      <c r="L10" s="106">
        <v>1820</v>
      </c>
      <c r="M10" s="106">
        <v>1824</v>
      </c>
      <c r="N10" s="107">
        <f>ROUND(AVERAGE(B10:M10),0)</f>
        <v>1786</v>
      </c>
      <c r="O10" s="53"/>
    </row>
    <row r="11" spans="1:15">
      <c r="A11" s="53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53"/>
    </row>
    <row r="12" spans="1:15">
      <c r="A12" s="53" t="s">
        <v>59</v>
      </c>
      <c r="B12" s="109">
        <f>SUM(B6:B10)</f>
        <v>2798</v>
      </c>
      <c r="C12" s="109">
        <f t="shared" ref="C12:L12" si="0">SUM(C6:C10)</f>
        <v>2869</v>
      </c>
      <c r="D12" s="109">
        <f t="shared" si="0"/>
        <v>2864</v>
      </c>
      <c r="E12" s="109">
        <f t="shared" si="0"/>
        <v>2855</v>
      </c>
      <c r="F12" s="109">
        <f t="shared" si="0"/>
        <v>2848</v>
      </c>
      <c r="G12" s="109">
        <f t="shared" si="0"/>
        <v>2843</v>
      </c>
      <c r="H12" s="109">
        <f t="shared" si="0"/>
        <v>2850</v>
      </c>
      <c r="I12" s="109">
        <f t="shared" si="0"/>
        <v>2852</v>
      </c>
      <c r="J12" s="109">
        <f t="shared" si="0"/>
        <v>2862</v>
      </c>
      <c r="K12" s="109">
        <f t="shared" si="0"/>
        <v>2869</v>
      </c>
      <c r="L12" s="109">
        <f t="shared" si="0"/>
        <v>2879</v>
      </c>
      <c r="M12" s="109">
        <f>SUM(M6:M10)</f>
        <v>2886</v>
      </c>
      <c r="N12" s="107">
        <f>ROUND(AVERAGE(B12:M12),0)</f>
        <v>2856</v>
      </c>
      <c r="O12" s="53"/>
    </row>
    <row r="13" spans="1:15">
      <c r="A13" s="53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10"/>
      <c r="O13" s="53"/>
    </row>
    <row r="14" spans="1:15">
      <c r="A14" s="264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44"/>
    </row>
    <row r="15" spans="1:15">
      <c r="A15" s="264" t="s">
        <v>73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44"/>
    </row>
    <row r="16" spans="1:15">
      <c r="A16" s="264" t="s">
        <v>74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44"/>
    </row>
    <row r="17" spans="1:15">
      <c r="A17" s="51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44"/>
    </row>
    <row r="18" spans="1: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44"/>
    </row>
    <row r="19" spans="1:1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44"/>
    </row>
    <row r="20" spans="1:15" ht="18.7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44"/>
    </row>
    <row r="21" spans="1:15" s="46" customFormat="1" ht="18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5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5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5" ht="18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5" ht="18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5" ht="18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5" ht="18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5" ht="18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5" ht="18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5" ht="18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5" ht="18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5" ht="18.75" customHeight="1">
      <c r="N32" s="50"/>
    </row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</sheetData>
  <pageMargins left="0.75" right="0.75" top="1" bottom="1" header="0.5" footer="0.5"/>
  <pageSetup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2:L27"/>
  <sheetViews>
    <sheetView zoomScaleNormal="100" workbookViewId="0">
      <selection activeCell="F30" sqref="F30"/>
    </sheetView>
  </sheetViews>
  <sheetFormatPr defaultRowHeight="13.2"/>
  <cols>
    <col min="1" max="1" width="4.6640625" bestFit="1" customWidth="1"/>
    <col min="6" max="6" width="12.88671875" customWidth="1"/>
    <col min="7" max="7" width="2.6640625" customWidth="1"/>
    <col min="8" max="8" width="13.88671875" customWidth="1"/>
    <col min="9" max="9" width="2.6640625" customWidth="1"/>
    <col min="10" max="10" width="12.88671875" customWidth="1"/>
  </cols>
  <sheetData>
    <row r="2" spans="1:12">
      <c r="B2" s="20" t="s">
        <v>0</v>
      </c>
      <c r="C2" s="21"/>
      <c r="D2" s="21"/>
      <c r="E2" s="21"/>
      <c r="F2" s="21"/>
      <c r="G2" s="21"/>
      <c r="H2" s="21"/>
      <c r="I2" s="21"/>
      <c r="J2" s="21"/>
    </row>
    <row r="3" spans="1:12">
      <c r="A3" s="95"/>
      <c r="B3" s="321" t="s">
        <v>11</v>
      </c>
      <c r="C3" s="322"/>
      <c r="D3" s="322"/>
      <c r="E3" s="322"/>
      <c r="F3" s="322"/>
      <c r="G3" s="322"/>
      <c r="H3" s="322"/>
      <c r="I3" s="322"/>
      <c r="J3" s="322"/>
      <c r="K3" s="95"/>
    </row>
    <row r="4" spans="1:12">
      <c r="A4" s="95"/>
      <c r="B4" s="321" t="s">
        <v>122</v>
      </c>
      <c r="C4" s="322"/>
      <c r="D4" s="322"/>
      <c r="E4" s="322"/>
      <c r="F4" s="322"/>
      <c r="G4" s="322"/>
      <c r="H4" s="322"/>
      <c r="I4" s="322"/>
      <c r="J4" s="322"/>
      <c r="K4" s="95"/>
    </row>
    <row r="5" spans="1:12">
      <c r="A5" s="95"/>
      <c r="B5" s="321"/>
      <c r="C5" s="322"/>
      <c r="D5" s="322"/>
      <c r="E5" s="322"/>
      <c r="F5" s="322"/>
      <c r="G5" s="322"/>
      <c r="H5" s="322"/>
      <c r="I5" s="322"/>
      <c r="J5" s="322"/>
      <c r="K5" s="95"/>
    </row>
    <row r="6" spans="1:12">
      <c r="A6" s="95"/>
      <c r="B6" s="321"/>
      <c r="C6" s="322"/>
      <c r="D6" s="322"/>
      <c r="E6" s="322"/>
      <c r="F6" s="322"/>
      <c r="G6" s="322"/>
      <c r="H6" s="322"/>
      <c r="I6" s="322"/>
      <c r="J6" s="322"/>
      <c r="K6" s="95"/>
    </row>
    <row r="7" spans="1:12">
      <c r="A7" s="95"/>
      <c r="B7" s="321"/>
      <c r="C7" s="322"/>
      <c r="D7" s="322"/>
      <c r="E7" s="322"/>
      <c r="F7" s="323"/>
      <c r="G7" s="323"/>
      <c r="H7" s="374">
        <f ca="1">'Allocation Method'!E40</f>
        <v>0.6744</v>
      </c>
      <c r="I7" s="374"/>
      <c r="J7" s="375">
        <f ca="1">'Allocation Method'!F40</f>
        <v>0.3256</v>
      </c>
      <c r="K7" s="95"/>
    </row>
    <row r="8" spans="1:12" ht="13.8" thickBot="1">
      <c r="A8" s="95"/>
      <c r="B8" s="321"/>
      <c r="C8" s="322"/>
      <c r="D8" s="322"/>
      <c r="E8" s="322"/>
      <c r="F8" s="93" t="s">
        <v>1</v>
      </c>
      <c r="G8" s="94"/>
      <c r="H8" s="93" t="s">
        <v>6</v>
      </c>
      <c r="I8" s="94"/>
      <c r="J8" s="93" t="s">
        <v>7</v>
      </c>
      <c r="K8" s="95"/>
      <c r="L8" s="95"/>
    </row>
    <row r="9" spans="1:12">
      <c r="A9" s="324">
        <v>1</v>
      </c>
      <c r="B9" s="95" t="s">
        <v>12</v>
      </c>
      <c r="C9" s="95"/>
      <c r="D9" s="95"/>
      <c r="E9" s="95"/>
      <c r="F9" s="96">
        <f>'SAP Test Yr'!C84</f>
        <v>35778306.609999999</v>
      </c>
      <c r="G9" s="96"/>
      <c r="H9" s="96">
        <f ca="1">F9*H7</f>
        <v>24128889.977784</v>
      </c>
      <c r="I9" s="96"/>
      <c r="J9" s="96">
        <f ca="1">F9*J7</f>
        <v>11649416.632215999</v>
      </c>
      <c r="K9" s="95"/>
      <c r="L9" s="95"/>
    </row>
    <row r="10" spans="1:12" ht="13.8" thickBot="1">
      <c r="A10" s="324">
        <v>2</v>
      </c>
      <c r="B10" s="95" t="s">
        <v>15</v>
      </c>
      <c r="C10" s="95"/>
      <c r="D10" s="95"/>
      <c r="E10" s="95"/>
      <c r="F10" s="325">
        <f ca="1">'[2]SAP DL Downld'!$H$15</f>
        <v>0.54659120593235488</v>
      </c>
      <c r="G10" s="95"/>
      <c r="H10" s="325">
        <f ca="1">F10</f>
        <v>0.54659120593235488</v>
      </c>
      <c r="I10" s="95"/>
      <c r="J10" s="325">
        <f ca="1">F10</f>
        <v>0.54659120593235488</v>
      </c>
      <c r="K10" s="95"/>
      <c r="L10" s="95"/>
    </row>
    <row r="11" spans="1:12">
      <c r="A11" s="324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ht="13.8" thickBot="1">
      <c r="A12" s="324">
        <v>4</v>
      </c>
      <c r="B12" s="95" t="s">
        <v>14</v>
      </c>
      <c r="C12" s="95"/>
      <c r="D12" s="95"/>
      <c r="E12" s="95"/>
      <c r="F12" s="97">
        <f ca="1">F9*F10</f>
        <v>19556107.756177444</v>
      </c>
      <c r="G12" s="97"/>
      <c r="H12" s="97">
        <f ca="1">H9*H10</f>
        <v>13188639.070766069</v>
      </c>
      <c r="I12" s="97"/>
      <c r="J12" s="97">
        <f ca="1">J9*J10</f>
        <v>6367468.685411375</v>
      </c>
      <c r="K12" s="95"/>
      <c r="L12" s="95"/>
    </row>
    <row r="13" spans="1:12" ht="13.8" thickTop="1">
      <c r="A13" s="95"/>
      <c r="B13" s="95"/>
      <c r="C13" s="95"/>
      <c r="D13" s="95"/>
      <c r="E13" s="95"/>
      <c r="F13" s="98" t="s">
        <v>39</v>
      </c>
      <c r="G13" s="95"/>
      <c r="H13" s="95"/>
      <c r="I13" s="95"/>
      <c r="J13" s="95"/>
      <c r="K13" s="95"/>
      <c r="L13" s="95"/>
    </row>
    <row r="14" spans="1:12">
      <c r="A14" s="95"/>
      <c r="B14" s="95"/>
      <c r="C14" s="95"/>
      <c r="D14" s="95"/>
      <c r="E14" s="95"/>
      <c r="F14" s="99"/>
      <c r="G14" s="99"/>
      <c r="H14" s="99"/>
      <c r="I14" s="99"/>
      <c r="J14" s="99"/>
      <c r="K14" s="95"/>
      <c r="L14" s="95"/>
    </row>
    <row r="15" spans="1:12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1:1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</row>
    <row r="20" spans="1:1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1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</row>
  </sheetData>
  <phoneticPr fontId="7" type="noConversion"/>
  <pageMargins left="0.75" right="0.75" top="1" bottom="1" header="0.5" footer="0.5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51" zoomScaleNormal="100" workbookViewId="0">
      <selection activeCell="F30" sqref="F30"/>
    </sheetView>
  </sheetViews>
  <sheetFormatPr defaultColWidth="11.44140625" defaultRowHeight="13.2" outlineLevelRow="2"/>
  <cols>
    <col min="1" max="1" width="11.5546875" style="81" customWidth="1"/>
    <col min="2" max="2" width="17.6640625" style="81" customWidth="1"/>
    <col min="3" max="3" width="11.44140625" style="81" bestFit="1" customWidth="1"/>
    <col min="4" max="4" width="9" style="81" bestFit="1" customWidth="1"/>
    <col min="5" max="5" width="19.6640625" style="81" bestFit="1" customWidth="1"/>
    <col min="6" max="6" width="10.109375" style="81" bestFit="1" customWidth="1"/>
    <col min="7" max="16384" width="11.44140625" style="34"/>
  </cols>
  <sheetData>
    <row r="1" spans="1:9">
      <c r="A1" s="80" t="s">
        <v>38</v>
      </c>
    </row>
    <row r="2" spans="1:9">
      <c r="A2" s="80" t="s">
        <v>115</v>
      </c>
    </row>
    <row r="3" spans="1:9">
      <c r="A3" s="82" t="s">
        <v>40</v>
      </c>
    </row>
    <row r="4" spans="1:9">
      <c r="A4" s="82" t="s">
        <v>41</v>
      </c>
    </row>
    <row r="5" spans="1:9">
      <c r="A5" s="82" t="s">
        <v>42</v>
      </c>
    </row>
    <row r="6" spans="1:9">
      <c r="A6" s="82"/>
      <c r="I6" s="79"/>
    </row>
    <row r="7" spans="1:9">
      <c r="A7" s="257" t="s">
        <v>116</v>
      </c>
      <c r="B7" s="257" t="s">
        <v>43</v>
      </c>
      <c r="C7" s="257" t="s">
        <v>117</v>
      </c>
      <c r="D7" s="257" t="s">
        <v>118</v>
      </c>
      <c r="E7" s="257" t="s">
        <v>119</v>
      </c>
      <c r="F7" s="257" t="s">
        <v>120</v>
      </c>
      <c r="H7" s="79"/>
    </row>
    <row r="8" spans="1:9" outlineLevel="2">
      <c r="A8" s="87">
        <v>60270000</v>
      </c>
      <c r="B8" s="84" t="s">
        <v>44</v>
      </c>
      <c r="C8" s="99">
        <v>209073.22</v>
      </c>
      <c r="D8" s="87">
        <v>23200063</v>
      </c>
      <c r="E8" s="84" t="s">
        <v>45</v>
      </c>
      <c r="F8" s="85">
        <v>42291</v>
      </c>
    </row>
    <row r="9" spans="1:9" outlineLevel="2">
      <c r="A9" s="87">
        <v>60270000</v>
      </c>
      <c r="B9" s="84" t="s">
        <v>44</v>
      </c>
      <c r="C9" s="99">
        <v>450592.21</v>
      </c>
      <c r="D9" s="87">
        <v>23200063</v>
      </c>
      <c r="E9" s="84" t="s">
        <v>45</v>
      </c>
      <c r="F9" s="85">
        <v>42291</v>
      </c>
    </row>
    <row r="10" spans="1:9" outlineLevel="2">
      <c r="A10" s="87">
        <v>60270000</v>
      </c>
      <c r="B10" s="84" t="s">
        <v>44</v>
      </c>
      <c r="C10" s="99">
        <v>20.96</v>
      </c>
      <c r="D10" s="87">
        <v>23200953</v>
      </c>
      <c r="E10" s="84" t="s">
        <v>46</v>
      </c>
      <c r="F10" s="85">
        <v>42291</v>
      </c>
    </row>
    <row r="11" spans="1:9" outlineLevel="2">
      <c r="A11" s="87">
        <v>60270000</v>
      </c>
      <c r="B11" s="84" t="s">
        <v>44</v>
      </c>
      <c r="C11" s="99">
        <v>0.57999999999999996</v>
      </c>
      <c r="D11" s="87">
        <v>13101163</v>
      </c>
      <c r="E11" s="84" t="s">
        <v>77</v>
      </c>
      <c r="F11" s="85">
        <v>42296</v>
      </c>
    </row>
    <row r="12" spans="1:9" outlineLevel="2">
      <c r="A12" s="87">
        <v>60270000</v>
      </c>
      <c r="B12" s="84" t="s">
        <v>44</v>
      </c>
      <c r="C12" s="99">
        <v>1625641.65</v>
      </c>
      <c r="D12" s="87">
        <v>23200063</v>
      </c>
      <c r="E12" s="84" t="s">
        <v>45</v>
      </c>
      <c r="F12" s="85">
        <v>42299</v>
      </c>
    </row>
    <row r="13" spans="1:9" outlineLevel="2">
      <c r="A13" s="87">
        <v>60270000</v>
      </c>
      <c r="B13" s="84" t="s">
        <v>44</v>
      </c>
      <c r="C13" s="99">
        <v>45</v>
      </c>
      <c r="D13" s="87">
        <v>23200063</v>
      </c>
      <c r="E13" s="84" t="s">
        <v>45</v>
      </c>
      <c r="F13" s="85">
        <v>42299</v>
      </c>
    </row>
    <row r="14" spans="1:9" outlineLevel="2">
      <c r="A14" s="87">
        <v>60270000</v>
      </c>
      <c r="B14" s="84" t="s">
        <v>44</v>
      </c>
      <c r="C14" s="259">
        <v>667153</v>
      </c>
      <c r="D14" s="87">
        <v>23200063</v>
      </c>
      <c r="E14" s="84" t="s">
        <v>45</v>
      </c>
      <c r="F14" s="85">
        <v>42305</v>
      </c>
    </row>
    <row r="15" spans="1:9" outlineLevel="2">
      <c r="A15" s="255"/>
      <c r="B15" s="83"/>
      <c r="C15" s="260">
        <f>SUM(C8:C14)</f>
        <v>2952526.62</v>
      </c>
      <c r="D15" s="255"/>
      <c r="E15" s="83"/>
      <c r="F15" s="86"/>
    </row>
    <row r="16" spans="1:9" outlineLevel="2">
      <c r="A16" s="87">
        <v>60270000</v>
      </c>
      <c r="B16" s="84" t="s">
        <v>44</v>
      </c>
      <c r="C16" s="99">
        <v>1.67</v>
      </c>
      <c r="D16" s="87">
        <v>23200063</v>
      </c>
      <c r="E16" s="84" t="s">
        <v>45</v>
      </c>
      <c r="F16" s="85">
        <v>42311</v>
      </c>
    </row>
    <row r="17" spans="1:9" outlineLevel="2">
      <c r="A17" s="87">
        <v>60270000</v>
      </c>
      <c r="B17" s="84" t="s">
        <v>44</v>
      </c>
      <c r="C17" s="99">
        <v>661835.74</v>
      </c>
      <c r="D17" s="87">
        <v>23200063</v>
      </c>
      <c r="E17" s="84" t="s">
        <v>45</v>
      </c>
      <c r="F17" s="85">
        <v>42319</v>
      </c>
    </row>
    <row r="18" spans="1:9" outlineLevel="2">
      <c r="A18" s="87">
        <v>60270000</v>
      </c>
      <c r="B18" s="84" t="s">
        <v>44</v>
      </c>
      <c r="C18" s="99">
        <v>1628417.6</v>
      </c>
      <c r="D18" s="87">
        <v>23200063</v>
      </c>
      <c r="E18" s="84" t="s">
        <v>45</v>
      </c>
      <c r="F18" s="85">
        <v>42328</v>
      </c>
    </row>
    <row r="19" spans="1:9" outlineLevel="2">
      <c r="A19" s="87">
        <v>60270000</v>
      </c>
      <c r="B19" s="84" t="s">
        <v>44</v>
      </c>
      <c r="C19" s="259">
        <v>660767.87</v>
      </c>
      <c r="D19" s="87">
        <v>23200063</v>
      </c>
      <c r="E19" s="84" t="s">
        <v>45</v>
      </c>
      <c r="F19" s="85">
        <v>42331</v>
      </c>
    </row>
    <row r="20" spans="1:9" outlineLevel="2">
      <c r="A20" s="83"/>
      <c r="B20" s="83"/>
      <c r="C20" s="260">
        <f>SUM(C16:C19)</f>
        <v>2951022.8800000004</v>
      </c>
      <c r="D20" s="255"/>
      <c r="E20" s="83"/>
      <c r="F20" s="86"/>
    </row>
    <row r="21" spans="1:9" outlineLevel="2">
      <c r="A21" s="87">
        <v>60270000</v>
      </c>
      <c r="B21" s="84" t="s">
        <v>44</v>
      </c>
      <c r="C21" s="99">
        <v>240</v>
      </c>
      <c r="D21" s="87">
        <v>23200063</v>
      </c>
      <c r="E21" s="84" t="s">
        <v>45</v>
      </c>
      <c r="F21" s="85">
        <v>42347</v>
      </c>
    </row>
    <row r="22" spans="1:9" outlineLevel="2">
      <c r="A22" s="87">
        <v>60270000</v>
      </c>
      <c r="B22" s="84" t="s">
        <v>44</v>
      </c>
      <c r="C22" s="99">
        <v>659566.31000000006</v>
      </c>
      <c r="D22" s="87">
        <v>23200063</v>
      </c>
      <c r="E22" s="84" t="s">
        <v>45</v>
      </c>
      <c r="F22" s="85">
        <v>42347</v>
      </c>
    </row>
    <row r="23" spans="1:9" outlineLevel="2">
      <c r="A23" s="87">
        <v>60270000</v>
      </c>
      <c r="B23" s="84" t="s">
        <v>44</v>
      </c>
      <c r="C23" s="99">
        <v>1625317.43</v>
      </c>
      <c r="D23" s="87">
        <v>23200063</v>
      </c>
      <c r="E23" s="84" t="s">
        <v>45</v>
      </c>
      <c r="F23" s="85">
        <v>42360</v>
      </c>
    </row>
    <row r="24" spans="1:9" outlineLevel="2">
      <c r="A24" s="87">
        <v>60270000</v>
      </c>
      <c r="B24" s="84" t="s">
        <v>44</v>
      </c>
      <c r="C24" s="259">
        <v>659053.89</v>
      </c>
      <c r="D24" s="87">
        <v>23200063</v>
      </c>
      <c r="E24" s="84" t="s">
        <v>45</v>
      </c>
      <c r="F24" s="85">
        <v>42360</v>
      </c>
    </row>
    <row r="25" spans="1:9" outlineLevel="2">
      <c r="A25" s="83"/>
      <c r="B25" s="83"/>
      <c r="C25" s="260">
        <f>SUM(C21:C24)</f>
        <v>2944177.6300000004</v>
      </c>
      <c r="D25" s="255"/>
      <c r="E25" s="83"/>
      <c r="F25" s="86"/>
      <c r="I25" s="377"/>
    </row>
    <row r="26" spans="1:9" outlineLevel="2">
      <c r="A26" s="87">
        <v>60270000</v>
      </c>
      <c r="B26" s="84" t="s">
        <v>44</v>
      </c>
      <c r="C26" s="99">
        <v>669495.69999999995</v>
      </c>
      <c r="D26" s="87">
        <v>23200063</v>
      </c>
      <c r="E26" s="84" t="s">
        <v>45</v>
      </c>
      <c r="F26" s="85">
        <v>42375</v>
      </c>
    </row>
    <row r="27" spans="1:9" outlineLevel="2">
      <c r="A27" s="87">
        <v>60270000</v>
      </c>
      <c r="B27" s="84" t="s">
        <v>44</v>
      </c>
      <c r="C27" s="99">
        <v>670205.48</v>
      </c>
      <c r="D27" s="87">
        <v>23200063</v>
      </c>
      <c r="E27" s="84" t="s">
        <v>45</v>
      </c>
      <c r="F27" s="85">
        <v>42389</v>
      </c>
    </row>
    <row r="28" spans="1:9" outlineLevel="2">
      <c r="A28" s="87">
        <v>60270000</v>
      </c>
      <c r="B28" s="84" t="s">
        <v>44</v>
      </c>
      <c r="C28" s="99">
        <v>1649804.75</v>
      </c>
      <c r="D28" s="87">
        <v>23200063</v>
      </c>
      <c r="E28" s="84" t="s">
        <v>45</v>
      </c>
      <c r="F28" s="85">
        <v>42391</v>
      </c>
    </row>
    <row r="29" spans="1:9" outlineLevel="2">
      <c r="A29" s="87">
        <v>60270000</v>
      </c>
      <c r="B29" s="84" t="s">
        <v>44</v>
      </c>
      <c r="C29" s="99">
        <v>-22.92</v>
      </c>
      <c r="D29" s="87">
        <v>60081000</v>
      </c>
      <c r="E29" s="84" t="s">
        <v>78</v>
      </c>
      <c r="F29" s="85">
        <v>42394</v>
      </c>
    </row>
    <row r="30" spans="1:9" outlineLevel="2">
      <c r="A30" s="87">
        <v>60270000</v>
      </c>
      <c r="B30" s="84" t="s">
        <v>44</v>
      </c>
      <c r="C30" s="259">
        <v>1323.48</v>
      </c>
      <c r="D30" s="87">
        <v>23200063</v>
      </c>
      <c r="E30" s="84" t="s">
        <v>45</v>
      </c>
      <c r="F30" s="85">
        <v>42394</v>
      </c>
    </row>
    <row r="31" spans="1:9" outlineLevel="2">
      <c r="A31" s="83"/>
      <c r="B31" s="83"/>
      <c r="C31" s="260">
        <f>SUM(C26:C30)</f>
        <v>2990806.4899999998</v>
      </c>
      <c r="D31" s="255"/>
      <c r="E31" s="83"/>
      <c r="F31" s="86"/>
    </row>
    <row r="32" spans="1:9" outlineLevel="2">
      <c r="A32" s="87">
        <v>60270000</v>
      </c>
      <c r="B32" s="84" t="s">
        <v>44</v>
      </c>
      <c r="C32" s="99">
        <v>-421.14</v>
      </c>
      <c r="D32" s="87">
        <v>60051000</v>
      </c>
      <c r="E32" s="84" t="s">
        <v>121</v>
      </c>
      <c r="F32" s="85">
        <v>42402</v>
      </c>
    </row>
    <row r="33" spans="1:6" outlineLevel="2">
      <c r="A33" s="87">
        <v>60270000</v>
      </c>
      <c r="B33" s="84" t="s">
        <v>44</v>
      </c>
      <c r="C33" s="99">
        <v>-0.03</v>
      </c>
      <c r="D33" s="87">
        <v>13101163</v>
      </c>
      <c r="E33" s="84" t="s">
        <v>77</v>
      </c>
      <c r="F33" s="85">
        <v>42405</v>
      </c>
    </row>
    <row r="34" spans="1:6" outlineLevel="2">
      <c r="A34" s="87">
        <v>60270000</v>
      </c>
      <c r="B34" s="84" t="s">
        <v>44</v>
      </c>
      <c r="C34" s="99">
        <v>-176.5</v>
      </c>
      <c r="D34" s="87">
        <v>22830053</v>
      </c>
      <c r="E34" s="84" t="s">
        <v>79</v>
      </c>
      <c r="F34" s="85">
        <v>42410</v>
      </c>
    </row>
    <row r="35" spans="1:6" outlineLevel="2">
      <c r="A35" s="87">
        <v>60270000</v>
      </c>
      <c r="B35" s="84" t="s">
        <v>44</v>
      </c>
      <c r="C35" s="99">
        <v>666258.13</v>
      </c>
      <c r="D35" s="87">
        <v>23200063</v>
      </c>
      <c r="E35" s="84" t="s">
        <v>45</v>
      </c>
      <c r="F35" s="85">
        <v>42417</v>
      </c>
    </row>
    <row r="36" spans="1:6" outlineLevel="2">
      <c r="A36" s="87">
        <v>60270000</v>
      </c>
      <c r="B36" s="84" t="s">
        <v>44</v>
      </c>
      <c r="C36" s="99">
        <v>1647946.47</v>
      </c>
      <c r="D36" s="87">
        <v>23200063</v>
      </c>
      <c r="E36" s="84" t="s">
        <v>45</v>
      </c>
      <c r="F36" s="85">
        <v>42422</v>
      </c>
    </row>
    <row r="37" spans="1:6" outlineLevel="2">
      <c r="A37" s="87">
        <v>60270000</v>
      </c>
      <c r="B37" s="84" t="s">
        <v>44</v>
      </c>
      <c r="C37" s="99">
        <v>670.57</v>
      </c>
      <c r="D37" s="87">
        <v>23200063</v>
      </c>
      <c r="E37" s="84" t="s">
        <v>45</v>
      </c>
      <c r="F37" s="85">
        <v>42423</v>
      </c>
    </row>
    <row r="38" spans="1:6" outlineLevel="2">
      <c r="A38" s="87">
        <v>60270000</v>
      </c>
      <c r="B38" s="84" t="s">
        <v>44</v>
      </c>
      <c r="C38" s="259">
        <v>666883.79</v>
      </c>
      <c r="D38" s="87">
        <v>23200063</v>
      </c>
      <c r="E38" s="84" t="s">
        <v>45</v>
      </c>
      <c r="F38" s="85">
        <v>42429</v>
      </c>
    </row>
    <row r="39" spans="1:6" outlineLevel="2">
      <c r="A39" s="83"/>
      <c r="B39" s="83"/>
      <c r="C39" s="260">
        <f>SUM(C32:C38)</f>
        <v>2981161.2899999996</v>
      </c>
      <c r="D39" s="83"/>
      <c r="E39" s="83"/>
      <c r="F39" s="86"/>
    </row>
    <row r="40" spans="1:6" outlineLevel="2">
      <c r="A40" s="88">
        <v>60270000</v>
      </c>
      <c r="B40" s="83" t="s">
        <v>44</v>
      </c>
      <c r="C40" s="99">
        <v>664104.49</v>
      </c>
      <c r="D40" s="87">
        <v>23200063</v>
      </c>
      <c r="E40" s="84" t="s">
        <v>45</v>
      </c>
      <c r="F40" s="85">
        <v>42445</v>
      </c>
    </row>
    <row r="41" spans="1:6" outlineLevel="2">
      <c r="A41" s="88">
        <v>60270000</v>
      </c>
      <c r="B41" s="83" t="s">
        <v>44</v>
      </c>
      <c r="C41" s="99">
        <v>1647853.13</v>
      </c>
      <c r="D41" s="87">
        <v>23200063</v>
      </c>
      <c r="E41" s="84" t="s">
        <v>45</v>
      </c>
      <c r="F41" s="85">
        <v>42451</v>
      </c>
    </row>
    <row r="42" spans="1:6" outlineLevel="2">
      <c r="A42" s="88">
        <v>60270000</v>
      </c>
      <c r="B42" s="83" t="s">
        <v>44</v>
      </c>
      <c r="C42" s="99">
        <v>659.5</v>
      </c>
      <c r="D42" s="87">
        <v>23200063</v>
      </c>
      <c r="E42" s="84" t="s">
        <v>45</v>
      </c>
      <c r="F42" s="85">
        <v>42451</v>
      </c>
    </row>
    <row r="43" spans="1:6" outlineLevel="2">
      <c r="A43" s="88">
        <v>60270000</v>
      </c>
      <c r="B43" s="83" t="s">
        <v>44</v>
      </c>
      <c r="C43" s="259">
        <v>663555.19999999995</v>
      </c>
      <c r="D43" s="87">
        <v>23200063</v>
      </c>
      <c r="E43" s="84" t="s">
        <v>45</v>
      </c>
      <c r="F43" s="85">
        <v>42459</v>
      </c>
    </row>
    <row r="44" spans="1:6" outlineLevel="2">
      <c r="A44" s="83"/>
      <c r="B44" s="83"/>
      <c r="C44" s="260">
        <f>SUM(C40:C43)</f>
        <v>2976172.3200000003</v>
      </c>
      <c r="D44" s="83"/>
      <c r="E44" s="83"/>
      <c r="F44" s="86"/>
    </row>
    <row r="45" spans="1:6" outlineLevel="2">
      <c r="A45" s="88">
        <v>60270000</v>
      </c>
      <c r="B45" s="83" t="s">
        <v>44</v>
      </c>
      <c r="C45" s="99">
        <v>673.05</v>
      </c>
      <c r="D45" s="87">
        <v>23200063</v>
      </c>
      <c r="E45" s="84" t="s">
        <v>45</v>
      </c>
      <c r="F45" s="85">
        <v>42465</v>
      </c>
    </row>
    <row r="46" spans="1:6" outlineLevel="2">
      <c r="A46" s="88">
        <v>60270000</v>
      </c>
      <c r="B46" s="83" t="s">
        <v>44</v>
      </c>
      <c r="C46" s="99">
        <v>666060.11</v>
      </c>
      <c r="D46" s="87">
        <v>23200063</v>
      </c>
      <c r="E46" s="84" t="s">
        <v>45</v>
      </c>
      <c r="F46" s="85">
        <v>42473</v>
      </c>
    </row>
    <row r="47" spans="1:6" outlineLevel="2">
      <c r="A47" s="88">
        <v>60270000</v>
      </c>
      <c r="B47" s="83" t="s">
        <v>44</v>
      </c>
      <c r="C47" s="99">
        <v>1646436.15</v>
      </c>
      <c r="D47" s="87">
        <v>23200063</v>
      </c>
      <c r="E47" s="84" t="s">
        <v>45</v>
      </c>
      <c r="F47" s="85">
        <v>42482</v>
      </c>
    </row>
    <row r="48" spans="1:6" outlineLevel="2">
      <c r="A48" s="88">
        <v>60270000</v>
      </c>
      <c r="B48" s="83" t="s">
        <v>44</v>
      </c>
      <c r="C48" s="259">
        <v>674949.6</v>
      </c>
      <c r="D48" s="87">
        <v>23200063</v>
      </c>
      <c r="E48" s="84" t="s">
        <v>45</v>
      </c>
      <c r="F48" s="85">
        <v>42487</v>
      </c>
    </row>
    <row r="49" spans="1:6" outlineLevel="2">
      <c r="A49" s="83"/>
      <c r="B49" s="83"/>
      <c r="C49" s="260">
        <f>SUM(C45:C48)</f>
        <v>2988118.91</v>
      </c>
      <c r="D49" s="83"/>
      <c r="E49" s="83"/>
      <c r="F49" s="86"/>
    </row>
    <row r="50" spans="1:6" outlineLevel="2">
      <c r="A50" s="88">
        <v>60270000</v>
      </c>
      <c r="B50" s="88" t="s">
        <v>44</v>
      </c>
      <c r="C50" s="261">
        <v>667744.98</v>
      </c>
      <c r="D50" s="88">
        <v>23200063</v>
      </c>
      <c r="E50" s="256" t="s">
        <v>45</v>
      </c>
      <c r="F50" s="258">
        <v>42501</v>
      </c>
    </row>
    <row r="51" spans="1:6" outlineLevel="2">
      <c r="A51" s="88">
        <v>60270000</v>
      </c>
      <c r="B51" s="88" t="s">
        <v>44</v>
      </c>
      <c r="C51" s="261">
        <v>1.64</v>
      </c>
      <c r="D51" s="88">
        <v>23200063</v>
      </c>
      <c r="E51" s="256" t="s">
        <v>45</v>
      </c>
      <c r="F51" s="258">
        <v>42507</v>
      </c>
    </row>
    <row r="52" spans="1:6" outlineLevel="2">
      <c r="A52" s="88">
        <v>60270000</v>
      </c>
      <c r="B52" s="88" t="s">
        <v>44</v>
      </c>
      <c r="C52" s="261">
        <v>1644197.05</v>
      </c>
      <c r="D52" s="88">
        <v>23200063</v>
      </c>
      <c r="E52" s="256" t="s">
        <v>45</v>
      </c>
      <c r="F52" s="258">
        <v>42510</v>
      </c>
    </row>
    <row r="53" spans="1:6" outlineLevel="2">
      <c r="A53" s="88">
        <v>60270000</v>
      </c>
      <c r="B53" s="88" t="s">
        <v>44</v>
      </c>
      <c r="C53" s="261">
        <v>667986.06000000006</v>
      </c>
      <c r="D53" s="88">
        <v>23200063</v>
      </c>
      <c r="E53" s="256" t="s">
        <v>45</v>
      </c>
      <c r="F53" s="258">
        <v>42515</v>
      </c>
    </row>
    <row r="54" spans="1:6" outlineLevel="2">
      <c r="A54" s="88">
        <v>60270000</v>
      </c>
      <c r="B54" s="88" t="s">
        <v>44</v>
      </c>
      <c r="C54" s="262">
        <v>3.72</v>
      </c>
      <c r="D54" s="88">
        <v>23200063</v>
      </c>
      <c r="E54" s="256" t="s">
        <v>45</v>
      </c>
      <c r="F54" s="258">
        <v>42521</v>
      </c>
    </row>
    <row r="55" spans="1:6" outlineLevel="2">
      <c r="A55" s="83"/>
      <c r="B55" s="83"/>
      <c r="C55" s="260">
        <f>SUM(C50:C54)</f>
        <v>2979933.45</v>
      </c>
      <c r="D55" s="83"/>
      <c r="E55" s="83"/>
      <c r="F55" s="86"/>
    </row>
    <row r="56" spans="1:6" outlineLevel="2">
      <c r="A56" s="88">
        <v>60270000</v>
      </c>
      <c r="B56" s="88" t="s">
        <v>44</v>
      </c>
      <c r="C56" s="261">
        <v>1</v>
      </c>
      <c r="D56" s="87">
        <v>23200063</v>
      </c>
      <c r="E56" s="256" t="s">
        <v>45</v>
      </c>
      <c r="F56" s="258">
        <v>42523</v>
      </c>
    </row>
    <row r="57" spans="1:6" outlineLevel="2">
      <c r="A57" s="88">
        <v>60270000</v>
      </c>
      <c r="B57" s="88" t="s">
        <v>44</v>
      </c>
      <c r="C57" s="261">
        <v>669379.42000000004</v>
      </c>
      <c r="D57" s="87">
        <v>23200063</v>
      </c>
      <c r="E57" s="256" t="s">
        <v>45</v>
      </c>
      <c r="F57" s="258">
        <v>42529</v>
      </c>
    </row>
    <row r="58" spans="1:6" outlineLevel="2">
      <c r="A58" s="88">
        <v>60270000</v>
      </c>
      <c r="B58" s="88" t="s">
        <v>44</v>
      </c>
      <c r="C58" s="261">
        <v>686.5</v>
      </c>
      <c r="D58" s="87">
        <v>23200063</v>
      </c>
      <c r="E58" s="256" t="s">
        <v>45</v>
      </c>
      <c r="F58" s="258">
        <v>42535</v>
      </c>
    </row>
    <row r="59" spans="1:6" outlineLevel="2">
      <c r="A59" s="88">
        <v>60270000</v>
      </c>
      <c r="B59" s="88" t="s">
        <v>44</v>
      </c>
      <c r="C59" s="261">
        <v>-5.0999999999999996</v>
      </c>
      <c r="D59" s="87">
        <v>13101163</v>
      </c>
      <c r="E59" s="256" t="s">
        <v>77</v>
      </c>
      <c r="F59" s="258">
        <v>42537</v>
      </c>
    </row>
    <row r="60" spans="1:6" outlineLevel="2">
      <c r="A60" s="88">
        <v>60270000</v>
      </c>
      <c r="B60" s="88" t="s">
        <v>44</v>
      </c>
      <c r="C60" s="261">
        <v>669756.21</v>
      </c>
      <c r="D60" s="87">
        <v>23200063</v>
      </c>
      <c r="E60" s="256" t="s">
        <v>45</v>
      </c>
      <c r="F60" s="258">
        <v>42543</v>
      </c>
    </row>
    <row r="61" spans="1:6" outlineLevel="2">
      <c r="A61" s="88">
        <v>60270000</v>
      </c>
      <c r="B61" s="88" t="s">
        <v>44</v>
      </c>
      <c r="C61" s="261">
        <v>1653036.78</v>
      </c>
      <c r="D61" s="87">
        <v>23200063</v>
      </c>
      <c r="E61" s="256" t="s">
        <v>45</v>
      </c>
      <c r="F61" s="258">
        <v>42543</v>
      </c>
    </row>
    <row r="62" spans="1:6" outlineLevel="2">
      <c r="A62" s="88">
        <v>60270000</v>
      </c>
      <c r="B62" s="88" t="s">
        <v>44</v>
      </c>
      <c r="C62" s="261">
        <v>1369.84</v>
      </c>
      <c r="D62" s="87">
        <v>23200063</v>
      </c>
      <c r="E62" s="256" t="s">
        <v>45</v>
      </c>
      <c r="F62" s="258">
        <v>42548</v>
      </c>
    </row>
    <row r="63" spans="1:6" outlineLevel="2">
      <c r="A63" s="88">
        <v>60270000</v>
      </c>
      <c r="B63" s="88" t="s">
        <v>44</v>
      </c>
      <c r="C63" s="262">
        <v>1160</v>
      </c>
      <c r="D63" s="87">
        <v>23200063</v>
      </c>
      <c r="E63" s="256" t="s">
        <v>45</v>
      </c>
      <c r="F63" s="258">
        <v>42549</v>
      </c>
    </row>
    <row r="64" spans="1:6" outlineLevel="2">
      <c r="A64" s="83"/>
      <c r="B64" s="83"/>
      <c r="C64" s="260">
        <f>SUM(C56:C63)</f>
        <v>2995384.65</v>
      </c>
      <c r="D64" s="83"/>
      <c r="E64" s="83"/>
      <c r="F64" s="86"/>
    </row>
    <row r="65" spans="1:6" outlineLevel="2">
      <c r="A65" s="88">
        <v>60270000</v>
      </c>
      <c r="B65" s="83" t="s">
        <v>44</v>
      </c>
      <c r="C65" s="99">
        <v>662911.06999999995</v>
      </c>
      <c r="D65" s="88">
        <v>23200063</v>
      </c>
      <c r="E65" s="83" t="s">
        <v>45</v>
      </c>
      <c r="F65" s="85">
        <v>42557</v>
      </c>
    </row>
    <row r="66" spans="1:6" outlineLevel="2">
      <c r="A66" s="88">
        <v>60270000</v>
      </c>
      <c r="B66" s="83" t="s">
        <v>44</v>
      </c>
      <c r="C66" s="99">
        <v>306.5</v>
      </c>
      <c r="D66" s="88">
        <v>23200063</v>
      </c>
      <c r="E66" s="83" t="s">
        <v>45</v>
      </c>
      <c r="F66" s="85">
        <v>42563</v>
      </c>
    </row>
    <row r="67" spans="1:6" outlineLevel="2">
      <c r="A67" s="88">
        <v>60270000</v>
      </c>
      <c r="B67" s="83" t="s">
        <v>44</v>
      </c>
      <c r="C67" s="99">
        <v>666078.66</v>
      </c>
      <c r="D67" s="88">
        <v>23200063</v>
      </c>
      <c r="E67" s="83" t="s">
        <v>45</v>
      </c>
      <c r="F67" s="85">
        <v>42571</v>
      </c>
    </row>
    <row r="68" spans="1:6" outlineLevel="2">
      <c r="A68" s="88">
        <v>60270000</v>
      </c>
      <c r="B68" s="83" t="s">
        <v>44</v>
      </c>
      <c r="C68" s="99">
        <v>5.0999999999999996</v>
      </c>
      <c r="D68" s="88">
        <v>13101163</v>
      </c>
      <c r="E68" s="83" t="s">
        <v>77</v>
      </c>
      <c r="F68" s="85">
        <v>42573</v>
      </c>
    </row>
    <row r="69" spans="1:6" outlineLevel="2">
      <c r="A69" s="88">
        <v>60270000</v>
      </c>
      <c r="B69" s="83" t="s">
        <v>44</v>
      </c>
      <c r="C69" s="99">
        <v>5.0999999999999996</v>
      </c>
      <c r="D69" s="88">
        <v>13101163</v>
      </c>
      <c r="E69" s="83" t="s">
        <v>77</v>
      </c>
      <c r="F69" s="85">
        <v>42573</v>
      </c>
    </row>
    <row r="70" spans="1:6" outlineLevel="2">
      <c r="A70" s="88">
        <v>60270000</v>
      </c>
      <c r="B70" s="83" t="s">
        <v>44</v>
      </c>
      <c r="C70" s="99">
        <v>1664847.89</v>
      </c>
      <c r="D70" s="88">
        <v>23200063</v>
      </c>
      <c r="E70" s="83" t="s">
        <v>45</v>
      </c>
      <c r="F70" s="85">
        <v>42573</v>
      </c>
    </row>
    <row r="71" spans="1:6" outlineLevel="2">
      <c r="A71" s="88">
        <v>60270000</v>
      </c>
      <c r="B71" s="83" t="s">
        <v>44</v>
      </c>
      <c r="C71" s="259">
        <v>-58.39</v>
      </c>
      <c r="D71" s="88">
        <v>22830033</v>
      </c>
      <c r="E71" s="83" t="s">
        <v>80</v>
      </c>
      <c r="F71" s="85">
        <v>42577</v>
      </c>
    </row>
    <row r="72" spans="1:6" outlineLevel="2">
      <c r="A72" s="88"/>
      <c r="B72" s="83"/>
      <c r="C72" s="260">
        <f>SUM(C65:C71)</f>
        <v>2994095.93</v>
      </c>
      <c r="D72" s="83"/>
      <c r="E72" s="83"/>
      <c r="F72" s="86"/>
    </row>
    <row r="73" spans="1:6" outlineLevel="2">
      <c r="A73" s="88">
        <v>60270000</v>
      </c>
      <c r="B73" s="83" t="s">
        <v>44</v>
      </c>
      <c r="C73" s="99">
        <v>1448.38</v>
      </c>
      <c r="D73" s="87">
        <v>23200063</v>
      </c>
      <c r="E73" s="84" t="s">
        <v>45</v>
      </c>
      <c r="F73" s="85">
        <v>42584</v>
      </c>
    </row>
    <row r="74" spans="1:6" outlineLevel="2">
      <c r="A74" s="88">
        <v>60270000</v>
      </c>
      <c r="B74" s="83" t="s">
        <v>44</v>
      </c>
      <c r="C74" s="99">
        <v>665571.46</v>
      </c>
      <c r="D74" s="87">
        <v>23200063</v>
      </c>
      <c r="E74" s="84" t="s">
        <v>45</v>
      </c>
      <c r="F74" s="85">
        <v>42599</v>
      </c>
    </row>
    <row r="75" spans="1:6" outlineLevel="2">
      <c r="A75" s="88">
        <v>60270000</v>
      </c>
      <c r="B75" s="83" t="s">
        <v>44</v>
      </c>
      <c r="C75" s="99">
        <v>1680972.77</v>
      </c>
      <c r="D75" s="87">
        <v>23200063</v>
      </c>
      <c r="E75" s="84" t="s">
        <v>45</v>
      </c>
      <c r="F75" s="85">
        <v>42604</v>
      </c>
    </row>
    <row r="76" spans="1:6" outlineLevel="2">
      <c r="A76" s="88">
        <v>60270000</v>
      </c>
      <c r="B76" s="83" t="s">
        <v>44</v>
      </c>
      <c r="C76" s="99">
        <v>673.5</v>
      </c>
      <c r="D76" s="87">
        <v>23200063</v>
      </c>
      <c r="E76" s="84" t="s">
        <v>45</v>
      </c>
      <c r="F76" s="85">
        <v>42604</v>
      </c>
    </row>
    <row r="77" spans="1:6" outlineLevel="2">
      <c r="A77" s="88">
        <v>60270000</v>
      </c>
      <c r="B77" s="83" t="s">
        <v>44</v>
      </c>
      <c r="C77" s="259">
        <v>662640.5</v>
      </c>
      <c r="D77" s="87">
        <v>23200063</v>
      </c>
      <c r="E77" s="84" t="s">
        <v>45</v>
      </c>
      <c r="F77" s="85">
        <v>42613</v>
      </c>
    </row>
    <row r="78" spans="1:6" outlineLevel="2">
      <c r="A78" s="83"/>
      <c r="B78" s="83"/>
      <c r="C78" s="260">
        <f>SUM(C73:C77)</f>
        <v>3011306.61</v>
      </c>
      <c r="D78" s="83"/>
      <c r="E78" s="83"/>
      <c r="F78" s="86"/>
    </row>
    <row r="79" spans="1:6" outlineLevel="2">
      <c r="A79" s="88">
        <v>60270000</v>
      </c>
      <c r="B79" s="88" t="s">
        <v>44</v>
      </c>
      <c r="C79" s="261">
        <v>673730.56000000006</v>
      </c>
      <c r="D79" s="88">
        <v>23200063</v>
      </c>
      <c r="E79" s="256" t="s">
        <v>45</v>
      </c>
      <c r="F79" s="258">
        <v>42627</v>
      </c>
    </row>
    <row r="80" spans="1:6" outlineLevel="2">
      <c r="A80" s="88">
        <v>60270000</v>
      </c>
      <c r="B80" s="88" t="s">
        <v>44</v>
      </c>
      <c r="C80" s="261">
        <v>1669746.86</v>
      </c>
      <c r="D80" s="88">
        <v>23200063</v>
      </c>
      <c r="E80" s="256" t="s">
        <v>45</v>
      </c>
      <c r="F80" s="258">
        <v>42635</v>
      </c>
    </row>
    <row r="81" spans="1:6" outlineLevel="2">
      <c r="A81" s="88">
        <v>60270000</v>
      </c>
      <c r="B81" s="88" t="s">
        <v>44</v>
      </c>
      <c r="C81" s="262">
        <v>670122.41</v>
      </c>
      <c r="D81" s="88">
        <v>23200063</v>
      </c>
      <c r="E81" s="256" t="s">
        <v>45</v>
      </c>
      <c r="F81" s="258">
        <v>42641</v>
      </c>
    </row>
    <row r="82" spans="1:6" outlineLevel="1">
      <c r="A82" s="83"/>
      <c r="B82" s="83"/>
      <c r="C82" s="260">
        <f>SUM(C79:C81)</f>
        <v>3013599.83</v>
      </c>
      <c r="D82" s="83"/>
      <c r="E82" s="83"/>
      <c r="F82" s="86"/>
    </row>
    <row r="83" spans="1:6" outlineLevel="1">
      <c r="A83" s="89"/>
      <c r="B83" s="89"/>
      <c r="C83" s="260"/>
      <c r="D83" s="89"/>
      <c r="E83" s="89"/>
      <c r="F83" s="90"/>
    </row>
    <row r="84" spans="1:6" ht="13.8" thickBot="1">
      <c r="A84" s="35" t="s">
        <v>81</v>
      </c>
      <c r="B84" s="36"/>
      <c r="C84" s="263">
        <f>C15+C20+C25+C31+C39+C44+C49+C55+C64+C72+C78+C82</f>
        <v>35778306.609999999</v>
      </c>
      <c r="D84" s="36"/>
      <c r="E84" s="36"/>
      <c r="F84" s="37"/>
    </row>
    <row r="85" spans="1:6" ht="13.8" thickTop="1"/>
    <row r="86" spans="1:6">
      <c r="C86" s="91"/>
    </row>
  </sheetData>
  <pageMargins left="0.75" right="0.75" top="1" bottom="1" header="0.5" footer="0.5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42"/>
  <sheetViews>
    <sheetView zoomScaleNormal="100" workbookViewId="0">
      <selection activeCell="F30" sqref="F30"/>
    </sheetView>
  </sheetViews>
  <sheetFormatPr defaultColWidth="9.109375" defaultRowHeight="15" customHeight="1"/>
  <cols>
    <col min="1" max="1" width="4.6640625" style="27" customWidth="1"/>
    <col min="2" max="2" width="1.6640625" style="27" customWidth="1"/>
    <col min="3" max="3" width="49.5546875" style="27" bestFit="1" customWidth="1"/>
    <col min="4" max="4" width="10" style="32" customWidth="1"/>
    <col min="5" max="5" width="14.109375" style="27" customWidth="1"/>
    <col min="6" max="6" width="16" style="27" customWidth="1"/>
    <col min="7" max="7" width="14.44140625" style="27" customWidth="1"/>
    <col min="8" max="8" width="9.109375" style="27"/>
    <col min="9" max="9" width="9" style="27" hidden="1" customWidth="1"/>
    <col min="10" max="11" width="9.109375" style="27"/>
    <col min="12" max="12" width="12.44140625" style="27" bestFit="1" customWidth="1"/>
    <col min="13" max="13" width="12.6640625" style="27" customWidth="1"/>
    <col min="14" max="14" width="12.5546875" style="27" bestFit="1" customWidth="1"/>
    <col min="15" max="16384" width="9.109375" style="27"/>
  </cols>
  <sheetData>
    <row r="1" spans="1:9" ht="15" customHeight="1">
      <c r="G1" s="38"/>
    </row>
    <row r="2" spans="1:9" ht="14.25" customHeight="1">
      <c r="A2" s="227" t="s">
        <v>112</v>
      </c>
      <c r="B2" s="227"/>
      <c r="C2" s="227"/>
      <c r="D2" s="227"/>
      <c r="E2" s="227"/>
      <c r="F2" s="227"/>
      <c r="G2" s="227"/>
    </row>
    <row r="3" spans="1:9" ht="15" customHeight="1">
      <c r="A3" s="227" t="s">
        <v>114</v>
      </c>
      <c r="B3" s="227"/>
      <c r="C3" s="227"/>
      <c r="D3" s="227"/>
      <c r="E3" s="227"/>
      <c r="F3" s="227"/>
      <c r="G3" s="227"/>
    </row>
    <row r="4" spans="1:9" ht="15" customHeight="1">
      <c r="A4" s="227" t="s">
        <v>113</v>
      </c>
      <c r="B4" s="227"/>
      <c r="C4" s="227"/>
      <c r="D4" s="227"/>
      <c r="E4" s="227"/>
      <c r="F4" s="227"/>
      <c r="G4" s="227"/>
    </row>
    <row r="5" spans="1:9" s="28" customFormat="1" ht="15" customHeight="1">
      <c r="C5" s="29"/>
      <c r="D5" s="29"/>
    </row>
    <row r="6" spans="1:9" s="28" customFormat="1" ht="15" customHeight="1">
      <c r="A6" s="228" t="s">
        <v>19</v>
      </c>
      <c r="B6" s="228"/>
      <c r="C6" s="228" t="s">
        <v>17</v>
      </c>
      <c r="D6" s="228"/>
      <c r="E6" s="228" t="s">
        <v>6</v>
      </c>
      <c r="F6" s="228" t="s">
        <v>7</v>
      </c>
      <c r="G6" s="228" t="s">
        <v>1</v>
      </c>
    </row>
    <row r="7" spans="1:9" s="28" customFormat="1" ht="29.25" customHeight="1">
      <c r="D7" s="29"/>
    </row>
    <row r="8" spans="1:9" s="28" customFormat="1" ht="15" customHeight="1">
      <c r="A8" s="229">
        <v>1</v>
      </c>
      <c r="B8" s="229" t="s">
        <v>20</v>
      </c>
      <c r="C8" s="230" t="s">
        <v>21</v>
      </c>
      <c r="D8" s="231">
        <v>42643</v>
      </c>
      <c r="E8" s="232">
        <f ca="1">'[2]3.04 &amp; 4.04 Lead'!E8</f>
        <v>1115041</v>
      </c>
      <c r="F8" s="232">
        <f ca="1">'[2]3.04 &amp; 4.04 Lead'!F8</f>
        <v>803909</v>
      </c>
      <c r="G8" s="233">
        <f ca="1">SUM(E8:F8)</f>
        <v>1918950</v>
      </c>
      <c r="I8" s="28" t="s">
        <v>22</v>
      </c>
    </row>
    <row r="9" spans="1:9" s="28" customFormat="1" ht="18.899999999999999" customHeight="1" thickBot="1">
      <c r="B9" s="29"/>
      <c r="C9" s="234" t="s">
        <v>23</v>
      </c>
      <c r="D9" s="29"/>
      <c r="E9" s="235">
        <f ca="1">ROUND(+E8/G8,4)</f>
        <v>0.58109999999999995</v>
      </c>
      <c r="F9" s="235">
        <f ca="1">ROUND(+F8/G8,4)</f>
        <v>0.41889999999999999</v>
      </c>
      <c r="G9" s="236">
        <f ca="1">SUM(E9:F9)</f>
        <v>1</v>
      </c>
    </row>
    <row r="10" spans="1:9" s="28" customFormat="1" ht="15" customHeight="1" thickTop="1">
      <c r="A10" s="29"/>
      <c r="B10" s="29"/>
      <c r="D10" s="231"/>
    </row>
    <row r="11" spans="1:9" s="28" customFormat="1" ht="15" customHeight="1">
      <c r="A11" s="229">
        <v>2</v>
      </c>
      <c r="B11" s="229" t="s">
        <v>20</v>
      </c>
      <c r="C11" s="230" t="s">
        <v>24</v>
      </c>
      <c r="D11" s="231">
        <v>42643</v>
      </c>
      <c r="E11" s="232">
        <f ca="1">'[2]3.04 &amp; 4.04 Lead'!E11</f>
        <v>755880</v>
      </c>
      <c r="F11" s="232">
        <f ca="1">'[2]3.04 &amp; 4.04 Lead'!F11</f>
        <v>449176</v>
      </c>
      <c r="G11" s="237">
        <f ca="1">SUM(E11:F11)</f>
        <v>1205056</v>
      </c>
      <c r="H11" s="30"/>
    </row>
    <row r="12" spans="1:9" s="28" customFormat="1" ht="18.899999999999999" customHeight="1" thickBot="1">
      <c r="B12" s="29"/>
      <c r="C12" s="234" t="s">
        <v>23</v>
      </c>
      <c r="D12" s="29"/>
      <c r="E12" s="235">
        <f ca="1">ROUND(+E11/G11,4)</f>
        <v>0.62729999999999997</v>
      </c>
      <c r="F12" s="235">
        <f ca="1">ROUND(+F11/G11,4)</f>
        <v>0.37269999999999998</v>
      </c>
      <c r="G12" s="236">
        <f ca="1">SUM(E12:F12)</f>
        <v>1</v>
      </c>
    </row>
    <row r="13" spans="1:9" s="28" customFormat="1" ht="15" customHeight="1" thickTop="1">
      <c r="A13" s="29"/>
      <c r="B13" s="29"/>
      <c r="D13" s="29"/>
    </row>
    <row r="14" spans="1:9" s="28" customFormat="1" ht="15" customHeight="1">
      <c r="A14" s="229">
        <v>3</v>
      </c>
      <c r="B14" s="229" t="s">
        <v>20</v>
      </c>
      <c r="C14" s="230" t="s">
        <v>25</v>
      </c>
      <c r="D14" s="29"/>
    </row>
    <row r="15" spans="1:9" s="28" customFormat="1" ht="15" customHeight="1">
      <c r="A15" s="29"/>
      <c r="B15" s="29"/>
      <c r="C15" s="238" t="s">
        <v>18</v>
      </c>
      <c r="D15" s="231">
        <v>42643</v>
      </c>
      <c r="E15" s="232">
        <f ca="1">'[2]3.04 &amp; 4.04 Lead'!E15</f>
        <v>3525057125</v>
      </c>
      <c r="F15" s="232">
        <f ca="1">'[2]3.04 &amp; 4.04 Lead'!F15</f>
        <v>3276390620</v>
      </c>
      <c r="G15" s="239">
        <f ca="1">SUM(E15:F15)</f>
        <v>6801447745</v>
      </c>
    </row>
    <row r="16" spans="1:9" s="28" customFormat="1" ht="15" customHeight="1">
      <c r="A16" s="29"/>
      <c r="B16" s="29"/>
      <c r="C16" s="238" t="s">
        <v>26</v>
      </c>
      <c r="D16" s="231">
        <v>42643</v>
      </c>
      <c r="E16" s="232">
        <f ca="1">'[2]3.04 &amp; 4.04 Lead'!E16</f>
        <v>1389050214</v>
      </c>
      <c r="F16" s="232">
        <f ca="1">'[2]3.04 &amp; 4.04 Lead'!F16</f>
        <v>0</v>
      </c>
      <c r="G16" s="240">
        <f ca="1">SUM(E16:F16)</f>
        <v>1389050214</v>
      </c>
    </row>
    <row r="17" spans="1:7" s="28" customFormat="1" ht="15" customHeight="1">
      <c r="A17" s="29"/>
      <c r="B17" s="29"/>
      <c r="C17" s="238" t="s">
        <v>27</v>
      </c>
      <c r="D17" s="231">
        <v>42643</v>
      </c>
      <c r="E17" s="232">
        <f ca="1">'[2]3.04 &amp; 4.04 Lead'!E17</f>
        <v>219791580</v>
      </c>
      <c r="F17" s="232">
        <f ca="1">'[2]3.04 &amp; 4.04 Lead'!F17</f>
        <v>32844304</v>
      </c>
      <c r="G17" s="240">
        <f ca="1">SUM(E17:F17)</f>
        <v>252635884</v>
      </c>
    </row>
    <row r="18" spans="1:7" s="28" customFormat="1" ht="15" customHeight="1">
      <c r="A18" s="29"/>
      <c r="B18" s="29"/>
      <c r="C18" s="238" t="s">
        <v>1</v>
      </c>
      <c r="D18" s="241"/>
      <c r="E18" s="242">
        <f ca="1">SUM(E15:E17)</f>
        <v>5133898919</v>
      </c>
      <c r="F18" s="242">
        <f ca="1">SUM(F15:F17)</f>
        <v>3309234924</v>
      </c>
      <c r="G18" s="242">
        <f ca="1">SUM(E18:F18)</f>
        <v>8443133843</v>
      </c>
    </row>
    <row r="19" spans="1:7" s="28" customFormat="1" ht="18.899999999999999" customHeight="1" thickBot="1">
      <c r="B19" s="29"/>
      <c r="C19" s="234" t="s">
        <v>23</v>
      </c>
      <c r="D19" s="29"/>
      <c r="E19" s="235">
        <f ca="1">ROUND(+E18/G18,4)</f>
        <v>0.60809999999999997</v>
      </c>
      <c r="F19" s="235">
        <f ca="1">ROUND(+F18/G18,4)</f>
        <v>0.39190000000000003</v>
      </c>
      <c r="G19" s="236">
        <f ca="1">SUM(E19:F19)</f>
        <v>1</v>
      </c>
    </row>
    <row r="20" spans="1:7" s="28" customFormat="1" ht="15" customHeight="1" thickTop="1">
      <c r="A20" s="29"/>
      <c r="B20" s="29"/>
      <c r="D20" s="29"/>
    </row>
    <row r="21" spans="1:7" s="28" customFormat="1" ht="15" customHeight="1">
      <c r="A21" s="229">
        <v>4</v>
      </c>
      <c r="B21" s="229" t="s">
        <v>20</v>
      </c>
      <c r="C21" s="230" t="s">
        <v>28</v>
      </c>
      <c r="D21" s="29" t="s">
        <v>29</v>
      </c>
    </row>
    <row r="22" spans="1:7" s="28" customFormat="1" ht="15" customHeight="1">
      <c r="A22" s="29"/>
      <c r="B22" s="29"/>
      <c r="C22" s="238" t="s">
        <v>30</v>
      </c>
      <c r="D22" s="231">
        <v>42643</v>
      </c>
      <c r="E22" s="232">
        <f ca="1">'[2]3.04 &amp; 4.04 Lead'!E22</f>
        <v>1115041</v>
      </c>
      <c r="F22" s="232">
        <f ca="1">'[2]3.04 &amp; 4.04 Lead'!F22</f>
        <v>803909</v>
      </c>
      <c r="G22" s="233">
        <f ca="1">SUM(E22:F22)</f>
        <v>1918950</v>
      </c>
    </row>
    <row r="23" spans="1:7" s="28" customFormat="1" ht="15" customHeight="1">
      <c r="A23" s="29"/>
      <c r="B23" s="29"/>
      <c r="C23" s="234" t="s">
        <v>31</v>
      </c>
      <c r="D23" s="29"/>
      <c r="E23" s="243">
        <f ca="1">+E22/G22</f>
        <v>0.58106829255582482</v>
      </c>
      <c r="F23" s="243">
        <f ca="1">+F22/G22</f>
        <v>0.41893170744417518</v>
      </c>
      <c r="G23" s="244">
        <f ca="1">SUM(E23:F23)</f>
        <v>1</v>
      </c>
    </row>
    <row r="24" spans="1:7" s="28" customFormat="1" ht="15" customHeight="1">
      <c r="A24" s="29"/>
      <c r="B24" s="29"/>
      <c r="D24" s="29"/>
    </row>
    <row r="25" spans="1:7" s="28" customFormat="1" ht="15" customHeight="1">
      <c r="A25" s="29"/>
      <c r="B25" s="29"/>
      <c r="C25" s="28" t="s">
        <v>32</v>
      </c>
      <c r="D25" s="231">
        <v>42643</v>
      </c>
      <c r="E25" s="232">
        <f ca="1">'[2]3.04 &amp; 4.04 Lead'!E25</f>
        <v>50692855.399999999</v>
      </c>
      <c r="F25" s="232">
        <f ca="1">'[2]3.04 &amp; 4.04 Lead'!F25</f>
        <v>24077925.619999997</v>
      </c>
      <c r="G25" s="245">
        <f ca="1">SUM(E25:F25)</f>
        <v>74770781.019999996</v>
      </c>
    </row>
    <row r="26" spans="1:7" s="28" customFormat="1" ht="15" customHeight="1">
      <c r="A26" s="29"/>
      <c r="B26" s="29"/>
      <c r="C26" s="234" t="s">
        <v>31</v>
      </c>
      <c r="D26" s="29"/>
      <c r="E26" s="243">
        <f ca="1">+E25/G25</f>
        <v>0.67797680736329968</v>
      </c>
      <c r="F26" s="243">
        <f ca="1">+F25/G25</f>
        <v>0.32202319263670037</v>
      </c>
      <c r="G26" s="244">
        <f ca="1">SUM(E26:F26)</f>
        <v>1</v>
      </c>
    </row>
    <row r="27" spans="1:7" s="28" customFormat="1" ht="15" customHeight="1">
      <c r="A27" s="29"/>
      <c r="B27" s="29"/>
      <c r="D27" s="29"/>
    </row>
    <row r="28" spans="1:7" s="28" customFormat="1" ht="15" customHeight="1">
      <c r="A28" s="29"/>
      <c r="B28" s="29"/>
      <c r="C28" s="28" t="s">
        <v>33</v>
      </c>
      <c r="D28" s="231">
        <v>42643</v>
      </c>
      <c r="E28" s="232">
        <f ca="1">'[2]3.04 &amp; 4.04 Lead'!E28</f>
        <v>74663501.429999799</v>
      </c>
      <c r="F28" s="232">
        <f ca="1">'[2]3.04 &amp; 4.04 Lead'!F28</f>
        <v>32511062.219999999</v>
      </c>
      <c r="G28" s="246">
        <f ca="1">SUM(E28:F28)</f>
        <v>107174563.6499998</v>
      </c>
    </row>
    <row r="29" spans="1:7" s="28" customFormat="1" ht="15" customHeight="1">
      <c r="A29" s="29"/>
      <c r="B29" s="29"/>
      <c r="C29" s="234" t="s">
        <v>31</v>
      </c>
      <c r="D29" s="29"/>
      <c r="E29" s="243">
        <f ca="1">+E28/G28</f>
        <v>0.69665318791339848</v>
      </c>
      <c r="F29" s="243">
        <f ca="1">+F28/G28</f>
        <v>0.30334681208660147</v>
      </c>
      <c r="G29" s="244">
        <f ca="1">SUM(E29:F29)</f>
        <v>1</v>
      </c>
    </row>
    <row r="30" spans="1:7" s="28" customFormat="1" ht="15" customHeight="1">
      <c r="A30" s="29"/>
      <c r="B30" s="29"/>
      <c r="D30" s="29"/>
    </row>
    <row r="31" spans="1:7" s="28" customFormat="1" ht="15" customHeight="1">
      <c r="A31" s="29"/>
      <c r="B31" s="29"/>
      <c r="C31" s="28" t="s">
        <v>34</v>
      </c>
      <c r="D31" s="231">
        <v>42643</v>
      </c>
      <c r="E31" s="232">
        <f ca="1">'[2]3.04 &amp; 4.04 Lead'!E31</f>
        <v>5574577973.7149992</v>
      </c>
      <c r="F31" s="232">
        <f ca="1">'[2]3.04 &amp; 4.04 Lead'!F31</f>
        <v>2044228678.2845836</v>
      </c>
      <c r="G31" s="233">
        <f ca="1">SUM(E31:F31)</f>
        <v>7618806651.9995823</v>
      </c>
    </row>
    <row r="32" spans="1:7" s="28" customFormat="1" ht="15" customHeight="1">
      <c r="A32" s="29"/>
      <c r="B32" s="29"/>
      <c r="C32" s="234" t="s">
        <v>31</v>
      </c>
      <c r="D32" s="29"/>
      <c r="E32" s="243">
        <f ca="1">+E31/G31</f>
        <v>0.73168650004419422</v>
      </c>
      <c r="F32" s="243">
        <f ca="1">+F31/G31</f>
        <v>0.26831349995580589</v>
      </c>
      <c r="G32" s="244">
        <f ca="1">SUM(E32:F32)</f>
        <v>1</v>
      </c>
    </row>
    <row r="33" spans="1:13" s="28" customFormat="1" ht="15" customHeight="1">
      <c r="A33" s="29"/>
      <c r="D33" s="29"/>
      <c r="E33" s="247"/>
      <c r="F33" s="247"/>
      <c r="G33" s="247"/>
    </row>
    <row r="34" spans="1:13" s="28" customFormat="1" ht="15" customHeight="1">
      <c r="A34" s="29"/>
      <c r="C34" s="28" t="s">
        <v>35</v>
      </c>
      <c r="D34" s="29"/>
      <c r="E34" s="248">
        <f ca="1">+E32+E29+E26+E23</f>
        <v>2.6873847878767174</v>
      </c>
      <c r="F34" s="248">
        <f ca="1">+F32+F29+F26+F23</f>
        <v>1.3126152121232828</v>
      </c>
      <c r="G34" s="248">
        <f ca="1">+G32+G29+G26+G23</f>
        <v>4</v>
      </c>
      <c r="L34" s="23"/>
    </row>
    <row r="35" spans="1:13" s="28" customFormat="1" ht="18.899999999999999" customHeight="1" thickBot="1">
      <c r="C35" s="28" t="s">
        <v>23</v>
      </c>
      <c r="D35" s="29"/>
      <c r="E35" s="235">
        <f ca="1">ROUND(+E34/4,4)</f>
        <v>0.67179999999999995</v>
      </c>
      <c r="F35" s="235">
        <f ca="1">ROUND(+F34/4,4)</f>
        <v>0.32819999999999999</v>
      </c>
      <c r="G35" s="236">
        <f ca="1">+G34/4</f>
        <v>1</v>
      </c>
      <c r="L35" s="23"/>
    </row>
    <row r="36" spans="1:13" s="28" customFormat="1" ht="15" customHeight="1" thickTop="1">
      <c r="D36" s="29"/>
      <c r="L36" s="23"/>
    </row>
    <row r="37" spans="1:13" s="28" customFormat="1" ht="15" customHeight="1">
      <c r="A37" s="229">
        <v>5</v>
      </c>
      <c r="B37" s="229" t="s">
        <v>20</v>
      </c>
      <c r="C37" s="230" t="s">
        <v>36</v>
      </c>
      <c r="D37" s="29"/>
      <c r="L37" s="23"/>
      <c r="M37" s="23"/>
    </row>
    <row r="38" spans="1:13" s="28" customFormat="1" ht="15" customHeight="1">
      <c r="C38" s="234" t="s">
        <v>37</v>
      </c>
      <c r="D38" s="231">
        <v>42643</v>
      </c>
      <c r="E38" s="232">
        <f ca="1">'[2]3.04 &amp; 4.04 Lead'!E38</f>
        <v>56256422.469999999</v>
      </c>
      <c r="F38" s="232">
        <f ca="1">'[2]3.04 &amp; 4.04 Lead'!F38</f>
        <v>27160090.619999997</v>
      </c>
      <c r="G38" s="233">
        <f ca="1">SUM(E38:F38)</f>
        <v>83416513.090000004</v>
      </c>
      <c r="L38" s="23"/>
    </row>
    <row r="39" spans="1:13" s="28" customFormat="1" ht="15" customHeight="1">
      <c r="C39" s="28" t="s">
        <v>1</v>
      </c>
      <c r="D39" s="29"/>
      <c r="E39" s="249">
        <f ca="1">SUM(E38:E38)</f>
        <v>56256422.469999999</v>
      </c>
      <c r="F39" s="249">
        <f ca="1">SUM(F38:F38)</f>
        <v>27160090.619999997</v>
      </c>
      <c r="G39" s="249">
        <f ca="1">SUM(G38:G38)</f>
        <v>83416513.090000004</v>
      </c>
      <c r="L39" s="23"/>
      <c r="M39" s="23"/>
    </row>
    <row r="40" spans="1:13" s="28" customFormat="1" ht="18.899999999999999" customHeight="1" thickBot="1">
      <c r="C40" s="28" t="s">
        <v>23</v>
      </c>
      <c r="D40" s="29"/>
      <c r="E40" s="235">
        <f ca="1">ROUND(+E39/G39,4)</f>
        <v>0.6744</v>
      </c>
      <c r="F40" s="235">
        <f ca="1">ROUND(+F39/G39,4)</f>
        <v>0.3256</v>
      </c>
      <c r="G40" s="250">
        <f ca="1">SUM(E40:F40)</f>
        <v>1</v>
      </c>
      <c r="L40" s="23"/>
      <c r="M40" s="31"/>
    </row>
    <row r="41" spans="1:13" s="28" customFormat="1" ht="15" customHeight="1" thickTop="1">
      <c r="D41" s="29"/>
    </row>
    <row r="42" spans="1:13" s="28" customFormat="1" ht="15" customHeight="1">
      <c r="D42" s="29"/>
    </row>
  </sheetData>
  <printOptions horizontalCentered="1"/>
  <pageMargins left="0.5" right="0.41" top="0.75" bottom="0.75" header="0.5" footer="0.5"/>
  <pageSetup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C9711D-2BB2-4C54-8609-507D36FDC159}"/>
</file>

<file path=customXml/itemProps2.xml><?xml version="1.0" encoding="utf-8"?>
<ds:datastoreItem xmlns:ds="http://schemas.openxmlformats.org/officeDocument/2006/customXml" ds:itemID="{B8469313-2437-421D-A34E-7F72A53C521A}"/>
</file>

<file path=customXml/itemProps3.xml><?xml version="1.0" encoding="utf-8"?>
<ds:datastoreItem xmlns:ds="http://schemas.openxmlformats.org/officeDocument/2006/customXml" ds:itemID="{54E23D84-BED6-4E01-B198-89AAA299A088}"/>
</file>

<file path=customXml/itemProps4.xml><?xml version="1.0" encoding="utf-8"?>
<ds:datastoreItem xmlns:ds="http://schemas.openxmlformats.org/officeDocument/2006/customXml" ds:itemID="{358DFEAA-1890-4350-A2A2-93DEDD130B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 Summary</vt:lpstr>
      <vt:lpstr>Average Costs Cal</vt:lpstr>
      <vt:lpstr>Additional Costs</vt:lpstr>
      <vt:lpstr>TY Headcounts </vt:lpstr>
      <vt:lpstr>Flex Credits</vt:lpstr>
      <vt:lpstr>SAP Test Yr</vt:lpstr>
      <vt:lpstr>Allocation Method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wgho</dc:creator>
  <cp:lastModifiedBy>kbarnard</cp:lastModifiedBy>
  <cp:lastPrinted>2016-11-21T19:31:15Z</cp:lastPrinted>
  <dcterms:created xsi:type="dcterms:W3CDTF">2005-11-14T23:45:42Z</dcterms:created>
  <dcterms:modified xsi:type="dcterms:W3CDTF">2018-04-05T16:05:48Z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