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Prof-Monthly Reporting" sheetId="1" r:id="rId1"/>
    <sheet name="Calc-Monthly Reporting" sheetId="2" r:id="rId2"/>
    <sheet name="Payroll" sheetId="3" r:id="rId3"/>
    <sheet name="Fuel" sheetId="4" r:id="rId4"/>
    <sheet name="LG-Rev" sheetId="5" r:id="rId5"/>
    <sheet name="Depr-Revised" sheetId="6" r:id="rId6"/>
    <sheet name="Proforma" sheetId="7" r:id="rId7"/>
    <sheet name="LG" sheetId="8" r:id="rId8"/>
    <sheet name="COS" sheetId="9" r:id="rId9"/>
    <sheet name="Calculations" sheetId="10" r:id="rId10"/>
    <sheet name="Depr" sheetId="11" r:id="rId11"/>
  </sheets>
  <definedNames>
    <definedName name="_xlnm.Print_Area" localSheetId="9">'Calculations'!$A$1:$F$201</definedName>
    <definedName name="_xlnm.Print_Area" localSheetId="10">'Depr'!$A$1:$AB$39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<sst xmlns="http://schemas.openxmlformats.org/spreadsheetml/2006/main" count="1138" uniqueCount="540">
  <si>
    <t xml:space="preserve"> </t>
  </si>
  <si>
    <t>Salvage</t>
  </si>
  <si>
    <t>Property Tax</t>
  </si>
  <si>
    <t>Total</t>
  </si>
  <si>
    <t>Depreciation</t>
  </si>
  <si>
    <t>Total Revenue</t>
  </si>
  <si>
    <t>New Single-Stream Recycling Program</t>
  </si>
  <si>
    <t>Beginning</t>
  </si>
  <si>
    <t>Date in</t>
  </si>
  <si>
    <t>Year</t>
  </si>
  <si>
    <t>Test</t>
  </si>
  <si>
    <t>Average</t>
  </si>
  <si>
    <t>Truck</t>
  </si>
  <si>
    <t xml:space="preserve">Service </t>
  </si>
  <si>
    <t>Value</t>
  </si>
  <si>
    <t>Method</t>
  </si>
  <si>
    <t xml:space="preserve">Life </t>
  </si>
  <si>
    <t xml:space="preserve">Fully </t>
  </si>
  <si>
    <t>Asset</t>
  </si>
  <si>
    <t>Depr</t>
  </si>
  <si>
    <t xml:space="preserve">Monthly </t>
  </si>
  <si>
    <t>Investment</t>
  </si>
  <si>
    <t>Codes</t>
  </si>
  <si>
    <t>No</t>
  </si>
  <si>
    <t>Asset Classification</t>
  </si>
  <si>
    <t>Mo</t>
  </si>
  <si>
    <t>%</t>
  </si>
  <si>
    <t>M</t>
  </si>
  <si>
    <t>Years</t>
  </si>
  <si>
    <t>Cost</t>
  </si>
  <si>
    <t>S/L</t>
  </si>
  <si>
    <t>FICA</t>
  </si>
  <si>
    <t>Pension</t>
  </si>
  <si>
    <t>General Ledger Accounts:</t>
  </si>
  <si>
    <t>Wages-Recycling Driver</t>
  </si>
  <si>
    <t>Tariffs &amp; Schedules</t>
  </si>
  <si>
    <t>Public Liability</t>
  </si>
  <si>
    <t>Workmen's Comp</t>
  </si>
  <si>
    <t>Salaries - Office</t>
  </si>
  <si>
    <t>Office &amp; Other Expense</t>
  </si>
  <si>
    <t>Employee Welfare</t>
  </si>
  <si>
    <t>Bad Debts</t>
  </si>
  <si>
    <t>Depr-Collection Equipment</t>
  </si>
  <si>
    <t>Depr-Office Equipment</t>
  </si>
  <si>
    <t>State Excise Tax</t>
  </si>
  <si>
    <t>Vehicle License</t>
  </si>
  <si>
    <t>Total Expenses</t>
  </si>
  <si>
    <t>Net Operating Income</t>
  </si>
  <si>
    <t>Acct</t>
  </si>
  <si>
    <t>No.</t>
  </si>
  <si>
    <t xml:space="preserve">Recycling  </t>
  </si>
  <si>
    <t>Rate</t>
  </si>
  <si>
    <t>!??!</t>
  </si>
  <si>
    <t>OP/RATIO</t>
  </si>
  <si>
    <t xml:space="preserve">      curve</t>
  </si>
  <si>
    <t>FORMULAS</t>
  </si>
  <si>
    <t>1st Revenue</t>
  </si>
  <si>
    <t>1st Turnover</t>
  </si>
  <si>
    <t>ROR</t>
  </si>
  <si>
    <t>ROE</t>
  </si>
  <si>
    <t>Adj ROE</t>
  </si>
  <si>
    <t>Pre Tax ROE</t>
  </si>
  <si>
    <t>Adj M</t>
  </si>
  <si>
    <t>Revenues</t>
  </si>
  <si>
    <t>Decision</t>
  </si>
  <si>
    <t xml:space="preserve">     lookup table</t>
  </si>
  <si>
    <t>!!!</t>
  </si>
  <si>
    <t>Revenue Requirement</t>
  </si>
  <si>
    <t>!!!&lt;--</t>
  </si>
  <si>
    <t xml:space="preserve"> 1. less than 50</t>
  </si>
  <si>
    <t>@EXP(5.72260-(.68367*@LN(T)))</t>
  </si>
  <si>
    <t>Revenue Deficiency</t>
  </si>
  <si>
    <t xml:space="preserve"> 2. Between 50 and 125</t>
  </si>
  <si>
    <t>@EXP(5.70827-(.68367*@LN(T)))</t>
  </si>
  <si>
    <t>*</t>
  </si>
  <si>
    <t>Revenue</t>
  </si>
  <si>
    <t>* p/f before rates</t>
  </si>
  <si>
    <t xml:space="preserve"> 3. Between 125 and 140</t>
  </si>
  <si>
    <t>@EXP(5.69850-(.68367*@LN(T)))</t>
  </si>
  <si>
    <t>Expenses</t>
  </si>
  <si>
    <t xml:space="preserve"> 4. greater than 400</t>
  </si>
  <si>
    <t>@EXP(5.69220-(.68367*@LN(T)))</t>
  </si>
  <si>
    <t>Avg. Investment  -</t>
  </si>
  <si>
    <t>curve turnover</t>
  </si>
  <si>
    <t>(calculated)</t>
  </si>
  <si>
    <t>2nd Turnover</t>
  </si>
  <si>
    <t xml:space="preserve">     lookup tables</t>
  </si>
  <si>
    <t>final turnover</t>
  </si>
  <si>
    <t>curve No. used</t>
  </si>
  <si>
    <t xml:space="preserve">Company actual </t>
  </si>
  <si>
    <t>capital structure:</t>
  </si>
  <si>
    <t>OPERATING RATIO -&gt;</t>
  </si>
  <si>
    <t>-</t>
  </si>
  <si>
    <t>3rd Turnover</t>
  </si>
  <si>
    <t xml:space="preserve">Actual Debt Ratio </t>
  </si>
  <si>
    <t xml:space="preserve"> Conversion factor data:</t>
  </si>
  <si>
    <t>Actual Equity Ratio</t>
  </si>
  <si>
    <t xml:space="preserve"> B &amp; O Tax</t>
  </si>
  <si>
    <t>Actual Cost of Debt</t>
  </si>
  <si>
    <t xml:space="preserve"> WUTC Fee</t>
  </si>
  <si>
    <t>Tax Rate</t>
  </si>
  <si>
    <t xml:space="preserve"> Bad Debts</t>
  </si>
  <si>
    <t>4th Turnover</t>
  </si>
  <si>
    <t>Revenue Sensitive</t>
  </si>
  <si>
    <t>Conversion Factor</t>
  </si>
  <si>
    <t>yes</t>
  </si>
  <si>
    <t>5th Turnover</t>
  </si>
  <si>
    <t>6th Turnover</t>
  </si>
  <si>
    <t>7th turnover</t>
  </si>
  <si>
    <t>8th turnover</t>
  </si>
  <si>
    <t>9th turnover</t>
  </si>
  <si>
    <t>Mason County Recycling Program</t>
  </si>
  <si>
    <t>Labor:</t>
  </si>
  <si>
    <t>Number of drivers to cover the routes:</t>
  </si>
  <si>
    <t>Total OT wage expense per week:</t>
  </si>
  <si>
    <t>Total regular wage expense per week:</t>
  </si>
  <si>
    <t>Regular rate per hour:</t>
  </si>
  <si>
    <t>Total monthly regular wages</t>
  </si>
  <si>
    <t>Total monthly OT wage expense:</t>
  </si>
  <si>
    <t>Total Annual Labor Expense:</t>
  </si>
  <si>
    <t>OT rate per hour:</t>
  </si>
  <si>
    <t>Regular hours per driver, per week:</t>
  </si>
  <si>
    <t>OT hours per driver, per week:</t>
  </si>
  <si>
    <t>Fuel:</t>
  </si>
  <si>
    <t>Price per gallon:</t>
  </si>
  <si>
    <t>Hours per week, per driver:</t>
  </si>
  <si>
    <t>Hours per month, per driver:</t>
  </si>
  <si>
    <t>Gallons per month, per driver</t>
  </si>
  <si>
    <t>Total number of trucks:</t>
  </si>
  <si>
    <t>Total number of gallons per month;</t>
  </si>
  <si>
    <t>Fuel expense per month:</t>
  </si>
  <si>
    <t>Annual Fuel Expense:</t>
  </si>
  <si>
    <t>TV:</t>
  </si>
  <si>
    <t>Gallons per month, per truck:</t>
  </si>
  <si>
    <t>Total miles per month, all truck:</t>
  </si>
  <si>
    <t>Annual TV</t>
  </si>
  <si>
    <t>miles</t>
  </si>
  <si>
    <t>per mile</t>
  </si>
  <si>
    <t>Expense</t>
  </si>
  <si>
    <t>Real Estate Rental:</t>
  </si>
  <si>
    <t>Increase per month over existing lease</t>
  </si>
  <si>
    <t>Property tax per month:</t>
  </si>
  <si>
    <t>Annual Lease Expense:</t>
  </si>
  <si>
    <t>Monthly lease expense:</t>
  </si>
  <si>
    <t>Truck Licensing:</t>
  </si>
  <si>
    <t>Delivery truck:</t>
  </si>
  <si>
    <t>Licensing per truck</t>
  </si>
  <si>
    <t>Annual Licensing:</t>
  </si>
  <si>
    <t xml:space="preserve">Fuel </t>
  </si>
  <si>
    <t>Corporate Overhead</t>
  </si>
  <si>
    <t>Employment Taxes</t>
  </si>
  <si>
    <t>Property Lease</t>
  </si>
  <si>
    <t>Office Improvement</t>
  </si>
  <si>
    <t>Mason County Garbage Company</t>
  </si>
  <si>
    <t>Depreciation Schedule</t>
  </si>
  <si>
    <t>Months in first year</t>
  </si>
  <si>
    <t>Months in second year</t>
  </si>
  <si>
    <t>A.</t>
  </si>
  <si>
    <t>Purchase date</t>
  </si>
  <si>
    <t>First year</t>
  </si>
  <si>
    <t>B.</t>
  </si>
  <si>
    <t>End of Test Period</t>
  </si>
  <si>
    <t>Second year</t>
  </si>
  <si>
    <t>C</t>
  </si>
  <si>
    <t>Date fully Depr</t>
  </si>
  <si>
    <t>D.</t>
  </si>
  <si>
    <t>Beg of Test Period</t>
  </si>
  <si>
    <t>E.</t>
  </si>
  <si>
    <t>Disposition Date</t>
  </si>
  <si>
    <t>Disposal</t>
  </si>
  <si>
    <t>Allocated</t>
  </si>
  <si>
    <t>GARBAGE</t>
  </si>
  <si>
    <t>Accumulated</t>
  </si>
  <si>
    <t>Branch</t>
  </si>
  <si>
    <t>Accum.</t>
  </si>
  <si>
    <t xml:space="preserve"> Mo.</t>
  </si>
  <si>
    <t>Depn</t>
  </si>
  <si>
    <t>Test yr.</t>
  </si>
  <si>
    <t>Allo.</t>
  </si>
  <si>
    <t>Test year</t>
  </si>
  <si>
    <t>Depr.</t>
  </si>
  <si>
    <t>B</t>
  </si>
  <si>
    <t>C.</t>
  </si>
  <si>
    <t>Depn.</t>
  </si>
  <si>
    <t>2009 ASL Single Axle (N)</t>
  </si>
  <si>
    <t>Delivery Trk (N)</t>
  </si>
  <si>
    <t>WF Trl (N)</t>
  </si>
  <si>
    <t>Total Trks</t>
  </si>
  <si>
    <t>96 Gallon Carts</t>
  </si>
  <si>
    <t>65 Gallon Carts</t>
  </si>
  <si>
    <t>Total Carts</t>
  </si>
  <si>
    <t>Tipping Wall</t>
  </si>
  <si>
    <t>Office Furniture</t>
  </si>
  <si>
    <t>Computer</t>
  </si>
  <si>
    <t>Total Office</t>
  </si>
  <si>
    <t>Leasehold Improvement</t>
  </si>
  <si>
    <t>Start Up Cost</t>
  </si>
  <si>
    <t xml:space="preserve">Mason </t>
  </si>
  <si>
    <t>County Garbage</t>
  </si>
  <si>
    <t>Basis Pts</t>
  </si>
  <si>
    <t>Corp OH</t>
  </si>
  <si>
    <t>NEW IMPROVED LURITO - GALLAGHER FORMULA - Recycling</t>
  </si>
  <si>
    <t>Mason County  Garbage Service</t>
  </si>
  <si>
    <t>Office:</t>
  </si>
  <si>
    <t>Hours per week:</t>
  </si>
  <si>
    <t>Regular wage rate per hour:</t>
  </si>
  <si>
    <t>Number of employees:</t>
  </si>
  <si>
    <t>Hours per month:</t>
  </si>
  <si>
    <t>Total wages per month:</t>
  </si>
  <si>
    <t>Total office labor:</t>
  </si>
  <si>
    <t>Other Office:</t>
  </si>
  <si>
    <t>Total monthly:</t>
  </si>
  <si>
    <t>Annual other office expenses:</t>
  </si>
  <si>
    <t>Office telephone:</t>
  </si>
  <si>
    <t>Misc office supplies:</t>
  </si>
  <si>
    <t>Start-Up Costs:</t>
  </si>
  <si>
    <t>Labor, delivery, and placement per cart:</t>
  </si>
  <si>
    <t>Pamphlets, brochures, notifications, per cust:</t>
  </si>
  <si>
    <t>Postage per customer:</t>
  </si>
  <si>
    <t>Projected notifications</t>
  </si>
  <si>
    <t>Number of deliveries:</t>
  </si>
  <si>
    <t>Projected costs:</t>
  </si>
  <si>
    <t>Total notification cost:</t>
  </si>
  <si>
    <t>One time start-up cost:</t>
  </si>
  <si>
    <t>Payroll Tax &amp; Benefits:</t>
  </si>
  <si>
    <t>Total payroll:</t>
  </si>
  <si>
    <t>SUI</t>
  </si>
  <si>
    <t>FUTA</t>
  </si>
  <si>
    <t>Total payroll taxes:</t>
  </si>
  <si>
    <t>Benefits:</t>
  </si>
  <si>
    <t>Medical per month per employee</t>
  </si>
  <si>
    <t>Medical expense per month:</t>
  </si>
  <si>
    <t>Pension rate per payroll dollar:</t>
  </si>
  <si>
    <t>Pension expense per month:</t>
  </si>
  <si>
    <t>Total benefit expense per month:</t>
  </si>
  <si>
    <t>Processing Costs:</t>
  </si>
  <si>
    <t>Number of customers:</t>
  </si>
  <si>
    <t>Material Tons:</t>
  </si>
  <si>
    <t>Estimated participants:</t>
  </si>
  <si>
    <t>Adjusted number of customers:</t>
  </si>
  <si>
    <t>Tons per month:</t>
  </si>
  <si>
    <t>Estimated setout, percent:</t>
  </si>
  <si>
    <t>Setout per pickup:</t>
  </si>
  <si>
    <t>Number of pickup:</t>
  </si>
  <si>
    <t>Number of pickups per month:</t>
  </si>
  <si>
    <t>Annual Tons:</t>
  </si>
  <si>
    <t>Number of tons:</t>
  </si>
  <si>
    <t>Processing cost per ton:</t>
  </si>
  <si>
    <t>Annual processing cost:</t>
  </si>
  <si>
    <t>Hauling Materials to Recycling Center:</t>
  </si>
  <si>
    <t>Number of tons per haul:</t>
  </si>
  <si>
    <t>Number of trips:</t>
  </si>
  <si>
    <t>Time per trip, hours:</t>
  </si>
  <si>
    <t>Number of hours:</t>
  </si>
  <si>
    <t>Annual transport expenses:</t>
  </si>
  <si>
    <t>Recycling Material Revenue:</t>
  </si>
  <si>
    <t>Number of ton:</t>
  </si>
  <si>
    <t>Annual Revenue:</t>
  </si>
  <si>
    <t>Annual revenue:</t>
  </si>
  <si>
    <t>Estimated average rate per ton:</t>
  </si>
  <si>
    <t>Transport cost per hour:</t>
  </si>
  <si>
    <t>Commodity credit:</t>
  </si>
  <si>
    <t>Credit per customer per month:</t>
  </si>
  <si>
    <t>Company retention:</t>
  </si>
  <si>
    <t>Insurance:</t>
  </si>
  <si>
    <t>Per truck:</t>
  </si>
  <si>
    <t>Annual insurance expense:</t>
  </si>
  <si>
    <t>Workmen's Comp:</t>
  </si>
  <si>
    <t>Expense per employee:</t>
  </si>
  <si>
    <t>Annual expense:</t>
  </si>
  <si>
    <t>Lurito Gallagher</t>
  </si>
  <si>
    <t>Current Portion of LT Debt</t>
  </si>
  <si>
    <t>Long Term Debt</t>
  </si>
  <si>
    <t>Stockholder Equity</t>
  </si>
  <si>
    <t>Interest Expense;</t>
  </si>
  <si>
    <t>Mason County Garbage</t>
  </si>
  <si>
    <t>Stop</t>
  </si>
  <si>
    <t>Run</t>
  </si>
  <si>
    <t>TIME:</t>
  </si>
  <si>
    <t>Res &amp; Com</t>
  </si>
  <si>
    <t>Traditional</t>
  </si>
  <si>
    <t>(Hrs)</t>
  </si>
  <si>
    <t>D Box</t>
  </si>
  <si>
    <t>COS1</t>
  </si>
  <si>
    <t xml:space="preserve">     mileage</t>
  </si>
  <si>
    <t xml:space="preserve">     del'y</t>
  </si>
  <si>
    <t>Yard Waste</t>
  </si>
  <si>
    <t>tarping</t>
  </si>
  <si>
    <t xml:space="preserve">Reg Rt Trk </t>
  </si>
  <si>
    <t>DBx Trk</t>
  </si>
  <si>
    <t>Actual</t>
  </si>
  <si>
    <t>Adjusted</t>
  </si>
  <si>
    <t>&amp;</t>
  </si>
  <si>
    <t>WUTC &amp;</t>
  </si>
  <si>
    <t>OH Adjust</t>
  </si>
  <si>
    <t>OH Dist.</t>
  </si>
  <si>
    <t>Container</t>
  </si>
  <si>
    <t>Unit Wt</t>
  </si>
  <si>
    <t>Ext. Wt</t>
  </si>
  <si>
    <t>Stop Time</t>
  </si>
  <si>
    <t xml:space="preserve">Ext Stop </t>
  </si>
  <si>
    <t>Run Time</t>
  </si>
  <si>
    <t>Total Time</t>
  </si>
  <si>
    <t>Pass Thru</t>
  </si>
  <si>
    <t>Office Exp</t>
  </si>
  <si>
    <t>Reg Rte Dr</t>
  </si>
  <si>
    <t>DBxDvr</t>
  </si>
  <si>
    <t>R&amp;M</t>
  </si>
  <si>
    <t>Containers</t>
  </si>
  <si>
    <t>SubTotal</t>
  </si>
  <si>
    <t>Rev Taxes</t>
  </si>
  <si>
    <t>Grand Ttl</t>
  </si>
  <si>
    <t>RevReqmt</t>
  </si>
  <si>
    <t>Calculated</t>
  </si>
  <si>
    <t>% Diff</t>
  </si>
  <si>
    <t>Service Category</t>
  </si>
  <si>
    <t>Cust/PickUps</t>
  </si>
  <si>
    <t>Factor</t>
  </si>
  <si>
    <t>Customers</t>
  </si>
  <si>
    <t>Size Adj.</t>
  </si>
  <si>
    <t>Extension</t>
  </si>
  <si>
    <t>(tons)</t>
  </si>
  <si>
    <t>(secs)</t>
  </si>
  <si>
    <t>Time</t>
  </si>
  <si>
    <t>Rev</t>
  </si>
  <si>
    <t>B/4</t>
  </si>
  <si>
    <t>(hours)</t>
  </si>
  <si>
    <t>Resl</t>
  </si>
  <si>
    <t>actual</t>
  </si>
  <si>
    <t>wt</t>
  </si>
  <si>
    <t>stop + run</t>
  </si>
  <si>
    <t>OH Cust</t>
  </si>
  <si>
    <t>Reg Time</t>
  </si>
  <si>
    <t>DBxTime</t>
  </si>
  <si>
    <t>Wtd Avg</t>
  </si>
  <si>
    <t xml:space="preserve">Wtd Avg </t>
  </si>
  <si>
    <t>Tot Rev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</si>
  <si>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</si>
  <si>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</si>
  <si>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</si>
  <si>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</si>
  <si>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</si>
  <si>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</si>
  <si>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</si>
  <si>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</si>
  <si>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</si>
  <si>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</si>
  <si>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</si>
  <si>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</si>
  <si>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</si>
  <si>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</si>
  <si>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</si>
  <si>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</si>
  <si>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</si>
  <si>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(R)</t>
  </si>
  <si>
    <t>(S)</t>
  </si>
  <si>
    <t>(T)</t>
  </si>
  <si>
    <t>(V)</t>
  </si>
  <si>
    <t>(W)</t>
  </si>
  <si>
    <t>(X)</t>
  </si>
  <si>
    <t>(AA)</t>
  </si>
  <si>
    <t>(BB)</t>
  </si>
  <si>
    <t>(CC)</t>
  </si>
  <si>
    <t>(DD)</t>
  </si>
  <si>
    <t>Chargeable Deliveries</t>
  </si>
  <si>
    <t>Commingled Recycling</t>
  </si>
  <si>
    <t>Gallons per hour, per truck:</t>
  </si>
  <si>
    <t>Miles per day:</t>
  </si>
  <si>
    <t>Miles per gallon;</t>
  </si>
  <si>
    <t>Average price per gallon:</t>
  </si>
  <si>
    <t>Annual fuel expense:</t>
  </si>
  <si>
    <t>Working days:</t>
  </si>
  <si>
    <t xml:space="preserve">Annual miles:  </t>
  </si>
  <si>
    <t>miles per month</t>
  </si>
  <si>
    <t>per month per trk</t>
  </si>
  <si>
    <t>per payroll $</t>
  </si>
  <si>
    <t>3 acreas &amp; 2 bay shop &amp; cont storage</t>
  </si>
  <si>
    <t>Tractor:</t>
  </si>
  <si>
    <t>Number of trips;</t>
  </si>
  <si>
    <t>Gallons per round trip:  122 miles at 3.6 mpg</t>
  </si>
  <si>
    <t>Materials picked up, per setout, lbs:</t>
  </si>
  <si>
    <t>Number of transport/delivery driver</t>
  </si>
  <si>
    <t>days</t>
  </si>
  <si>
    <t>Adj delivery days</t>
  </si>
  <si>
    <t>miles per gallon</t>
  </si>
  <si>
    <t>Tractor</t>
  </si>
  <si>
    <t>Miles per month delivery truck:</t>
  </si>
  <si>
    <t>Miles per month tractor:</t>
  </si>
  <si>
    <t>Number of route trucks:</t>
  </si>
  <si>
    <t>Total miles per month, route trucks:</t>
  </si>
  <si>
    <t xml:space="preserve">Monthly variable operating cost </t>
  </si>
  <si>
    <t>Variable operating cost per mile:</t>
  </si>
  <si>
    <t>TV 2008</t>
  </si>
  <si>
    <t>Miles per month, per truck: 4 miles per gallon</t>
  </si>
  <si>
    <t>Amortization-Start Up Costs</t>
  </si>
  <si>
    <t>Truck Variable</t>
  </si>
  <si>
    <t>Material Processing</t>
  </si>
  <si>
    <t>Fuel 2008</t>
  </si>
  <si>
    <t>Automated Side Load trucks:</t>
  </si>
  <si>
    <t xml:space="preserve">Licensing </t>
  </si>
  <si>
    <t>Estimated at $.76 per mile, less fuel</t>
  </si>
  <si>
    <t>Driver Uniforms:</t>
  </si>
  <si>
    <t>Uniforms per month per driver</t>
  </si>
  <si>
    <t>4 Drivers</t>
  </si>
  <si>
    <t>Annual uniform expense</t>
  </si>
  <si>
    <t>Uniforms</t>
  </si>
  <si>
    <t xml:space="preserve">Monthly hauling </t>
  </si>
  <si>
    <t>Adj Rate per customer per month</t>
  </si>
  <si>
    <t>LG-Annual Revenue Requirement</t>
  </si>
  <si>
    <t>Monthly Customers</t>
  </si>
  <si>
    <t>Monthly Commodity Credit</t>
  </si>
  <si>
    <t>2000 Frlnr, Lft Ax Trctr (U)</t>
  </si>
  <si>
    <t>Transport to Tacoma</t>
  </si>
  <si>
    <t>Federal Heavy Use Tax</t>
  </si>
  <si>
    <t>days for transport</t>
  </si>
  <si>
    <t>2009 ASL Tnd Axle (N)V-479770</t>
  </si>
  <si>
    <t>2009 ASL Tnd Axle (N)V-479772</t>
  </si>
  <si>
    <t>On 6/4/09</t>
  </si>
  <si>
    <t>Annual benefit expense:</t>
  </si>
  <si>
    <t>Date to be Effective August 1, 2009</t>
  </si>
  <si>
    <t xml:space="preserve">Relief-Vacation </t>
  </si>
  <si>
    <t>Supervisor</t>
  </si>
  <si>
    <t>Supervisor:</t>
  </si>
  <si>
    <t>Annual Supervisor Salary;</t>
  </si>
  <si>
    <t>Rate per hr:</t>
  </si>
  <si>
    <t>Hrs per day:</t>
  </si>
  <si>
    <t>Debt 2007</t>
  </si>
  <si>
    <t>Date Proposed June 12, 2009</t>
  </si>
  <si>
    <t>Recycling</t>
  </si>
  <si>
    <t xml:space="preserve">was </t>
  </si>
  <si>
    <t>Garbage</t>
  </si>
  <si>
    <t>less dump fee</t>
  </si>
  <si>
    <t>96-gallon EOW</t>
  </si>
  <si>
    <t>Cart Delivery Trl (N)</t>
  </si>
  <si>
    <t>2009 ASL Tnd Axle (N)V-719770</t>
  </si>
  <si>
    <t>2009 ASL Tnd Axle (N)V-719772</t>
  </si>
  <si>
    <t>2009 ASL Single Axle (N)V-718353</t>
  </si>
  <si>
    <t>T17</t>
  </si>
  <si>
    <t>Regular hours worked - transport</t>
  </si>
  <si>
    <t>Regular hours worked  - routes</t>
  </si>
  <si>
    <t>Regular hours worked - delivery</t>
  </si>
  <si>
    <t>OT hours worked - routes</t>
  </si>
  <si>
    <t>OT hours worked - transport</t>
  </si>
  <si>
    <t>OT hours worked - delivery</t>
  </si>
  <si>
    <t xml:space="preserve">Total regular wage expense </t>
  </si>
  <si>
    <t>Total number of gallons - route trucks</t>
  </si>
  <si>
    <t>Total number of gallons - transport</t>
  </si>
  <si>
    <t>Total number of gallons - delivery</t>
  </si>
  <si>
    <t>Processing expense</t>
  </si>
  <si>
    <t>Monthly insurance expense</t>
  </si>
  <si>
    <t>Monthly licensing</t>
  </si>
  <si>
    <t>0.055 per payroll $</t>
  </si>
  <si>
    <t xml:space="preserve">Hours </t>
  </si>
  <si>
    <t>Payroll</t>
  </si>
  <si>
    <t>Labor Expense:</t>
  </si>
  <si>
    <t>Employee benefit expense</t>
  </si>
  <si>
    <t xml:space="preserve">Payroll Tax </t>
  </si>
  <si>
    <t>Miles route trucks</t>
  </si>
  <si>
    <t>Miles transport truck</t>
  </si>
  <si>
    <t>Miles delivery truck</t>
  </si>
  <si>
    <t>Program Start Date 8-17-09</t>
  </si>
  <si>
    <t>Aug 09</t>
  </si>
  <si>
    <t>Sept 09</t>
  </si>
  <si>
    <t>Oct 09</t>
  </si>
  <si>
    <t>Nov 09</t>
  </si>
  <si>
    <t>Dec 09</t>
  </si>
  <si>
    <t>Labor</t>
  </si>
  <si>
    <t>Start up cost:</t>
  </si>
  <si>
    <t>Trailer rental</t>
  </si>
  <si>
    <t>Fuel</t>
  </si>
  <si>
    <t>Attorney fee</t>
  </si>
  <si>
    <t>Brochures-printing</t>
  </si>
  <si>
    <t>Calendar-printing</t>
  </si>
  <si>
    <t>Misc labor to assemble packet</t>
  </si>
  <si>
    <t>Sub-total (2)</t>
  </si>
  <si>
    <t>Cart delivery-sub-total (1)</t>
  </si>
  <si>
    <t>Notification</t>
  </si>
  <si>
    <t>Total Start Up Cost</t>
  </si>
  <si>
    <t>Adj</t>
  </si>
  <si>
    <t>Tons picked up - actual</t>
  </si>
  <si>
    <t>Operating Ratio</t>
  </si>
  <si>
    <t>Average rate per ton:</t>
  </si>
  <si>
    <t xml:space="preserve">Estimated Credit per cust per month was </t>
  </si>
  <si>
    <t>Prorated month</t>
  </si>
  <si>
    <t>Lbs per paying customer per pickup</t>
  </si>
  <si>
    <t>Actual Credit</t>
  </si>
  <si>
    <t>(Over)/Under Refunded</t>
  </si>
  <si>
    <t>Total Holiday (non-work hrs)</t>
  </si>
  <si>
    <t>Various</t>
  </si>
  <si>
    <t>Mason</t>
  </si>
  <si>
    <t>Aug 17 - Aug 31, 2009</t>
  </si>
  <si>
    <t>Hrly Rate</t>
  </si>
  <si>
    <t>OT Rate</t>
  </si>
  <si>
    <t>Regular Hrs</t>
  </si>
  <si>
    <t>OT Hrs</t>
  </si>
  <si>
    <t>Wages</t>
  </si>
  <si>
    <t>Peterson. Eric</t>
  </si>
  <si>
    <t>Reed, Doug</t>
  </si>
  <si>
    <t xml:space="preserve">White, Chad </t>
  </si>
  <si>
    <t>Total Driver Wages</t>
  </si>
  <si>
    <t>Transfer-Ken Henderson</t>
  </si>
  <si>
    <t>Transfer-Eric Perez</t>
  </si>
  <si>
    <t>Delivery</t>
  </si>
  <si>
    <t>Sept 1 - Sept 30, 2009</t>
  </si>
  <si>
    <t>Holiday</t>
  </si>
  <si>
    <t>Transfer-Gene Hildebrandt</t>
  </si>
  <si>
    <t>Delivery-Feffrey Chappell</t>
  </si>
  <si>
    <t>Delivery-Gary Cress</t>
  </si>
  <si>
    <t>Delivery-Erik Jacobs</t>
  </si>
  <si>
    <t>Delivery-Issac Powers</t>
  </si>
  <si>
    <t>Delivery-Larry Lund</t>
  </si>
  <si>
    <t>Total Sept Payroll</t>
  </si>
  <si>
    <t>Trips to TRCI</t>
  </si>
  <si>
    <t>Tons:</t>
  </si>
  <si>
    <t>Trips:</t>
  </si>
  <si>
    <t xml:space="preserve">WF </t>
  </si>
  <si>
    <t>RO box</t>
  </si>
  <si>
    <t>Tons per trip</t>
  </si>
  <si>
    <t>Miles:</t>
  </si>
  <si>
    <t>Miles per trip</t>
  </si>
  <si>
    <t>Fuel gallons</t>
  </si>
  <si>
    <t>Fuel price p/gal</t>
  </si>
  <si>
    <t>Fuel expense</t>
  </si>
  <si>
    <t>Route Trucks:</t>
  </si>
  <si>
    <t>#27</t>
  </si>
  <si>
    <t>#28</t>
  </si>
  <si>
    <t>#29</t>
  </si>
  <si>
    <t>Miles</t>
  </si>
  <si>
    <t>Miles p/gallon</t>
  </si>
  <si>
    <t>Average p/gallon</t>
  </si>
  <si>
    <t>Delivery:</t>
  </si>
  <si>
    <t>Sept Fuel Exp:</t>
  </si>
  <si>
    <t>Total Fuel Exp August</t>
  </si>
  <si>
    <t xml:space="preserve">Credit per customer per month:  </t>
  </si>
  <si>
    <t>Oct 1 - Oct 31, 2009</t>
  </si>
  <si>
    <t>Delivery-Dale Henson</t>
  </si>
  <si>
    <t>Transfer-Anthony Perez</t>
  </si>
  <si>
    <t>Total Oct Payroll</t>
  </si>
  <si>
    <t>Total Aug Payroll</t>
  </si>
  <si>
    <t>Oct Fuel Exp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</si>
</sst>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General_)"/>
    <numFmt numFmtId="167" formatCode="0.000%"/>
    <numFmt numFmtId="168" formatCode="0.0"/>
    <numFmt numFmtId="169" formatCode="&quot;$&quot;#,##0"/>
    <numFmt numFmtId="170" formatCode="#,##0.0000_);\(#,##0.0000\)"/>
    <numFmt numFmtId="171" formatCode="0_)"/>
    <numFmt numFmtId="172" formatCode="#,##0.000_);\(#,##0.000\)"/>
    <numFmt numFmtId="173" formatCode="0.0000%"/>
    <numFmt numFmtId="174" formatCode="#,##0.000000_);\(#,##0.000000\)"/>
    <numFmt numFmtId="175" formatCode="[$-409]mmmm\ d\,\ yyyy;@"/>
    <numFmt numFmtId="176" formatCode="mm/dd/yy"/>
    <numFmt numFmtId="177" formatCode="m/d/yy"/>
    <numFmt numFmtId="178" formatCode="m/d/yy;@"/>
    <numFmt numFmtId="179" formatCode="[$-409]dddd\,\ mmmm\ dd\,\ yyyy"/>
    <numFmt numFmtId="180" formatCode="#,##0.0000"/>
    <numFmt numFmtId="181" formatCode="#,##0.000"/>
    <numFmt numFmtId="182" formatCode="#,##0.000000"/>
    <numFmt numFmtId="183" formatCode="0.0000"/>
    <numFmt numFmtId="184" formatCode="#,##0.00000000000"/>
    <numFmt numFmtId="185" formatCode="0.0_)"/>
    <numFmt numFmtId="186" formatCode="0.00_)"/>
    <numFmt numFmtId="187" formatCode="#,##0.0_);[Red]\(#,##0.0\)"/>
    <numFmt numFmtId="188" formatCode="0.000"/>
    <numFmt numFmtId="189" formatCode="&quot;$&quot;#,##0.00"/>
  </numFmts>
  <fonts count="26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SWISS"/>
      <family val="0"/>
    </font>
    <font>
      <sz val="9"/>
      <name val="SWISS"/>
      <family val="0"/>
    </font>
    <font>
      <sz val="10"/>
      <name val="Helv"/>
      <family val="0"/>
    </font>
    <font>
      <b/>
      <sz val="10"/>
      <name val="Helv"/>
      <family val="0"/>
    </font>
    <font>
      <sz val="8"/>
      <name val="SWISS"/>
      <family val="0"/>
    </font>
    <font>
      <b/>
      <sz val="8"/>
      <name val="SWISS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Helv"/>
      <family val="0"/>
    </font>
    <font>
      <sz val="10"/>
      <name val="Arial"/>
      <family val="0"/>
    </font>
    <font>
      <b/>
      <u val="single"/>
      <sz val="8"/>
      <name val="Arial"/>
      <family val="2"/>
    </font>
    <font>
      <b/>
      <sz val="8"/>
      <name val="Helv"/>
      <family val="0"/>
    </font>
    <font>
      <sz val="8"/>
      <name val="Comic Sans MS"/>
      <family val="4"/>
    </font>
    <font>
      <b/>
      <sz val="8"/>
      <name val="Comic Sans MS"/>
      <family val="4"/>
    </font>
    <font>
      <sz val="8"/>
      <color indexed="17"/>
      <name val="Arial"/>
      <family val="2"/>
    </font>
    <font>
      <sz val="8"/>
      <color indexed="12"/>
      <name val="Arial"/>
      <family val="0"/>
    </font>
    <font>
      <sz val="8"/>
      <color indexed="10"/>
      <name val="Arial"/>
      <family val="2"/>
    </font>
    <font>
      <sz val="8"/>
      <color indexed="12"/>
      <name val="Helv"/>
      <family val="0"/>
    </font>
    <font>
      <sz val="9"/>
      <color indexed="10"/>
      <name val="SWISS"/>
      <family val="0"/>
    </font>
    <font>
      <b/>
      <sz val="9"/>
      <color indexed="10"/>
      <name val="SWISS"/>
      <family val="0"/>
    </font>
    <font>
      <b/>
      <sz val="9"/>
      <color indexed="12"/>
      <name val="SWISS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7">
    <xf numFmtId="1" fontId="0" fillId="0" borderId="0">
      <alignment/>
      <protection/>
    </xf>
    <xf numFmtId="1" fontId="1" fillId="0" borderId="0" applyNumberFormat="0" applyFill="0" applyBorder="0" applyAlignment="0" applyProtection="0"/>
    <xf numFmtId="1" fontId="1" fillId="0" borderId="0" applyNumberFormat="0" applyFill="0" applyBorder="0" applyAlignment="0" applyProtection="0"/>
    <xf numFmtId="1" fontId="2" fillId="0" borderId="0" applyNumberFormat="0" applyFill="0" applyBorder="0" applyAlignment="0" applyProtection="0"/>
    <xf numFmtId="1" fontId="2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233">
    <xf numFmtId="2" fontId="9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" fontId="6" fillId="0" borderId="0" xfId="0" applyFont="1" applyAlignment="1">
      <alignment/>
    </xf>
    <xf numFmtId="1" fontId="7" fillId="0" borderId="0" xfId="0" applyFont="1" applyAlignment="1">
      <alignment horizontal="center"/>
    </xf>
    <xf numFmtId="1" fontId="7" fillId="0" borderId="0" xfId="0" applyFont="1" applyAlignment="1">
      <alignment/>
    </xf>
    <xf numFmtId="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2" fontId="8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10" fillId="0" borderId="0" xfId="0" applyFont="1" applyBorder="1" applyAlignment="1">
      <alignment/>
    </xf>
    <xf numFmtId="1" fontId="10" fillId="0" borderId="0" xfId="0" applyFont="1" applyAlignment="1">
      <alignment/>
    </xf>
    <xf numFmtId="4" fontId="11" fillId="0" borderId="0" xfId="0" applyNumberFormat="1" applyFont="1" applyBorder="1" applyAlignment="1">
      <alignment horizontal="left"/>
    </xf>
    <xf numFmtId="0" fontId="10" fillId="0" borderId="0" xfId="0" applyNumberFormat="1" applyFont="1" applyAlignment="1">
      <alignment/>
    </xf>
    <xf numFmtId="1" fontId="10" fillId="0" borderId="0" xfId="0" applyFont="1" applyAlignment="1">
      <alignment horizontal="center"/>
    </xf>
    <xf numFmtId="4" fontId="10" fillId="0" borderId="0" xfId="0" applyNumberFormat="1" applyFont="1" applyAlignment="1">
      <alignment/>
    </xf>
    <xf numFmtId="4" fontId="12" fillId="0" borderId="0" xfId="0" applyNumberFormat="1" applyFont="1" applyBorder="1" applyAlignment="1">
      <alignment horizontal="right"/>
    </xf>
    <xf numFmtId="14" fontId="13" fillId="0" borderId="0" xfId="0" applyNumberFormat="1" applyFont="1" applyAlignment="1">
      <alignment/>
    </xf>
    <xf numFmtId="4" fontId="12" fillId="0" borderId="0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right"/>
    </xf>
    <xf numFmtId="175" fontId="12" fillId="0" borderId="0" xfId="15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1" fontId="11" fillId="0" borderId="1" xfId="0" applyFont="1" applyBorder="1" applyAlignment="1">
      <alignment horizontal="center"/>
    </xf>
    <xf numFmtId="1" fontId="11" fillId="0" borderId="2" xfId="0" applyFont="1" applyBorder="1" applyAlignment="1">
      <alignment horizontal="center"/>
    </xf>
    <xf numFmtId="1" fontId="11" fillId="0" borderId="3" xfId="0" applyFont="1" applyBorder="1" applyAlignment="1">
      <alignment horizontal="center"/>
    </xf>
    <xf numFmtId="1" fontId="11" fillId="0" borderId="1" xfId="0" applyFont="1" applyBorder="1" applyAlignment="1">
      <alignment horizontal="left"/>
    </xf>
    <xf numFmtId="0" fontId="11" fillId="0" borderId="1" xfId="0" applyNumberFormat="1" applyFont="1" applyBorder="1" applyAlignment="1">
      <alignment horizontal="center"/>
    </xf>
    <xf numFmtId="9" fontId="11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right"/>
    </xf>
    <xf numFmtId="4" fontId="11" fillId="0" borderId="1" xfId="0" applyNumberFormat="1" applyFont="1" applyBorder="1" applyAlignment="1">
      <alignment horizontal="center"/>
    </xf>
    <xf numFmtId="1" fontId="15" fillId="0" borderId="1" xfId="0" applyFont="1" applyBorder="1" applyAlignment="1">
      <alignment horizontal="center"/>
    </xf>
    <xf numFmtId="1" fontId="15" fillId="0" borderId="3" xfId="0" applyFont="1" applyBorder="1" applyAlignment="1">
      <alignment horizontal="center"/>
    </xf>
    <xf numFmtId="1" fontId="15" fillId="0" borderId="1" xfId="0" applyFont="1" applyBorder="1" applyAlignment="1">
      <alignment horizontal="left"/>
    </xf>
    <xf numFmtId="0" fontId="15" fillId="0" borderId="1" xfId="0" applyNumberFormat="1" applyFont="1" applyBorder="1" applyAlignment="1">
      <alignment horizontal="center"/>
    </xf>
    <xf numFmtId="9" fontId="15" fillId="0" borderId="1" xfId="0" applyNumberFormat="1" applyFont="1" applyBorder="1" applyAlignment="1">
      <alignment horizontal="center"/>
    </xf>
    <xf numFmtId="1" fontId="10" fillId="0" borderId="0" xfId="0" applyFont="1" applyAlignment="1">
      <alignment horizontal="fill"/>
    </xf>
    <xf numFmtId="4" fontId="15" fillId="0" borderId="1" xfId="0" applyNumberFormat="1" applyFont="1" applyBorder="1" applyAlignment="1">
      <alignment horizontal="center"/>
    </xf>
    <xf numFmtId="176" fontId="11" fillId="0" borderId="1" xfId="0" applyNumberFormat="1" applyFont="1" applyBorder="1" applyAlignment="1">
      <alignment horizontal="center"/>
    </xf>
    <xf numFmtId="177" fontId="11" fillId="0" borderId="1" xfId="0" applyNumberFormat="1" applyFont="1" applyBorder="1" applyAlignment="1">
      <alignment horizontal="center"/>
    </xf>
    <xf numFmtId="178" fontId="11" fillId="0" borderId="1" xfId="0" applyNumberFormat="1" applyFont="1" applyBorder="1" applyAlignment="1">
      <alignment horizontal="center"/>
    </xf>
    <xf numFmtId="1" fontId="12" fillId="0" borderId="1" xfId="0" applyFont="1" applyBorder="1" applyAlignment="1">
      <alignment horizontal="center"/>
    </xf>
    <xf numFmtId="1" fontId="12" fillId="2" borderId="3" xfId="0" applyFont="1" applyFill="1" applyBorder="1" applyAlignment="1">
      <alignment/>
    </xf>
    <xf numFmtId="1" fontId="12" fillId="2" borderId="1" xfId="0" applyFont="1" applyFill="1" applyBorder="1" applyAlignment="1" applyProtection="1">
      <alignment/>
      <protection/>
    </xf>
    <xf numFmtId="0" fontId="12" fillId="2" borderId="1" xfId="0" applyNumberFormat="1" applyFont="1" applyFill="1" applyBorder="1" applyAlignment="1">
      <alignment/>
    </xf>
    <xf numFmtId="1" fontId="12" fillId="2" borderId="1" xfId="0" applyFont="1" applyFill="1" applyBorder="1" applyAlignment="1">
      <alignment horizontal="center"/>
    </xf>
    <xf numFmtId="9" fontId="12" fillId="2" borderId="1" xfId="0" applyNumberFormat="1" applyFont="1" applyFill="1" applyBorder="1" applyAlignment="1" applyProtection="1">
      <alignment horizontal="center"/>
      <protection/>
    </xf>
    <xf numFmtId="4" fontId="12" fillId="0" borderId="1" xfId="0" applyNumberFormat="1" applyFont="1" applyBorder="1" applyAlignment="1">
      <alignment horizontal="center"/>
    </xf>
    <xf numFmtId="0" fontId="12" fillId="2" borderId="1" xfId="0" applyNumberFormat="1" applyFont="1" applyFill="1" applyBorder="1" applyAlignment="1" applyProtection="1">
      <alignment horizontal="center"/>
      <protection/>
    </xf>
    <xf numFmtId="0" fontId="12" fillId="0" borderId="1" xfId="0" applyNumberFormat="1" applyFont="1" applyBorder="1" applyAlignment="1">
      <alignment horizontal="right"/>
    </xf>
    <xf numFmtId="1" fontId="12" fillId="2" borderId="1" xfId="0" applyFont="1" applyFill="1" applyBorder="1" applyAlignment="1">
      <alignment/>
    </xf>
    <xf numFmtId="2" fontId="8" fillId="0" borderId="0" xfId="0" applyNumberFormat="1" applyFont="1" applyAlignment="1">
      <alignment/>
    </xf>
    <xf numFmtId="3" fontId="12" fillId="2" borderId="1" xfId="0" applyNumberFormat="1" applyFont="1" applyFill="1" applyBorder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3" fontId="12" fillId="0" borderId="1" xfId="0" applyNumberFormat="1" applyFont="1" applyBorder="1" applyAlignment="1">
      <alignment horizontal="right"/>
    </xf>
    <xf numFmtId="1" fontId="11" fillId="2" borderId="3" xfId="0" applyFont="1" applyFill="1" applyBorder="1" applyAlignment="1">
      <alignment/>
    </xf>
    <xf numFmtId="1" fontId="11" fillId="2" borderId="1" xfId="0" applyFont="1" applyFill="1" applyBorder="1" applyAlignment="1" applyProtection="1">
      <alignment/>
      <protection/>
    </xf>
    <xf numFmtId="0" fontId="11" fillId="2" borderId="1" xfId="0" applyNumberFormat="1" applyFont="1" applyFill="1" applyBorder="1" applyAlignment="1">
      <alignment/>
    </xf>
    <xf numFmtId="1" fontId="11" fillId="2" borderId="1" xfId="0" applyFont="1" applyFill="1" applyBorder="1" applyAlignment="1">
      <alignment horizontal="center"/>
    </xf>
    <xf numFmtId="9" fontId="11" fillId="2" borderId="1" xfId="0" applyNumberFormat="1" applyFont="1" applyFill="1" applyBorder="1" applyAlignment="1" applyProtection="1">
      <alignment horizontal="center"/>
      <protection/>
    </xf>
    <xf numFmtId="4" fontId="11" fillId="0" borderId="1" xfId="0" applyNumberFormat="1" applyFont="1" applyBorder="1" applyAlignment="1">
      <alignment horizontal="right"/>
    </xf>
    <xf numFmtId="0" fontId="11" fillId="2" borderId="1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Border="1" applyAlignment="1">
      <alignment horizontal="right"/>
    </xf>
    <xf numFmtId="1" fontId="11" fillId="2" borderId="1" xfId="0" applyFont="1" applyFill="1" applyBorder="1" applyAlignment="1">
      <alignment/>
    </xf>
    <xf numFmtId="3" fontId="11" fillId="2" borderId="1" xfId="0" applyNumberFormat="1" applyFont="1" applyFill="1" applyBorder="1" applyAlignment="1" applyProtection="1">
      <alignment/>
      <protection/>
    </xf>
    <xf numFmtId="3" fontId="16" fillId="0" borderId="0" xfId="0" applyNumberFormat="1" applyFont="1" applyAlignment="1" applyProtection="1">
      <alignment/>
      <protection/>
    </xf>
    <xf numFmtId="1" fontId="16" fillId="0" borderId="0" xfId="0" applyFont="1" applyAlignment="1">
      <alignment/>
    </xf>
    <xf numFmtId="1" fontId="12" fillId="0" borderId="4" xfId="0" applyFont="1" applyBorder="1" applyAlignment="1">
      <alignment horizontal="center"/>
    </xf>
    <xf numFmtId="1" fontId="12" fillId="2" borderId="5" xfId="0" applyFont="1" applyFill="1" applyBorder="1" applyAlignment="1">
      <alignment/>
    </xf>
    <xf numFmtId="1" fontId="12" fillId="2" borderId="4" xfId="0" applyFont="1" applyFill="1" applyBorder="1" applyAlignment="1" applyProtection="1">
      <alignment/>
      <protection/>
    </xf>
    <xf numFmtId="0" fontId="12" fillId="2" borderId="4" xfId="0" applyNumberFormat="1" applyFont="1" applyFill="1" applyBorder="1" applyAlignment="1">
      <alignment/>
    </xf>
    <xf numFmtId="9" fontId="12" fillId="2" borderId="4" xfId="0" applyNumberFormat="1" applyFont="1" applyFill="1" applyBorder="1" applyAlignment="1" applyProtection="1">
      <alignment horizontal="center"/>
      <protection/>
    </xf>
    <xf numFmtId="4" fontId="12" fillId="0" borderId="4" xfId="0" applyNumberFormat="1" applyFont="1" applyBorder="1" applyAlignment="1">
      <alignment horizontal="right"/>
    </xf>
    <xf numFmtId="4" fontId="12" fillId="0" borderId="4" xfId="0" applyNumberFormat="1" applyFont="1" applyBorder="1" applyAlignment="1">
      <alignment horizontal="center"/>
    </xf>
    <xf numFmtId="0" fontId="12" fillId="2" borderId="4" xfId="0" applyNumberFormat="1" applyFont="1" applyFill="1" applyBorder="1" applyAlignment="1" applyProtection="1">
      <alignment horizontal="center"/>
      <protection/>
    </xf>
    <xf numFmtId="0" fontId="12" fillId="0" borderId="4" xfId="0" applyNumberFormat="1" applyFont="1" applyBorder="1" applyAlignment="1">
      <alignment horizontal="right"/>
    </xf>
    <xf numFmtId="1" fontId="12" fillId="2" borderId="4" xfId="0" applyFont="1" applyFill="1" applyBorder="1" applyAlignment="1">
      <alignment/>
    </xf>
    <xf numFmtId="3" fontId="12" fillId="2" borderId="4" xfId="0" applyNumberFormat="1" applyFont="1" applyFill="1" applyBorder="1" applyAlignment="1" applyProtection="1">
      <alignment/>
      <protection/>
    </xf>
    <xf numFmtId="3" fontId="12" fillId="0" borderId="4" xfId="0" applyNumberFormat="1" applyFont="1" applyBorder="1" applyAlignment="1">
      <alignment horizontal="right"/>
    </xf>
    <xf numFmtId="175" fontId="7" fillId="0" borderId="0" xfId="0" applyNumberFormat="1" applyFont="1" applyAlignment="1">
      <alignment horizontal="center"/>
    </xf>
    <xf numFmtId="1" fontId="17" fillId="0" borderId="0" xfId="0" applyFont="1" applyAlignment="1">
      <alignment/>
    </xf>
    <xf numFmtId="1" fontId="17" fillId="0" borderId="0" xfId="0" applyFont="1" applyAlignment="1">
      <alignment/>
    </xf>
    <xf numFmtId="1" fontId="17" fillId="0" borderId="0" xfId="0" applyFont="1" applyAlignment="1">
      <alignment horizontal="center"/>
    </xf>
    <xf numFmtId="0" fontId="17" fillId="0" borderId="0" xfId="0" applyNumberFormat="1" applyFont="1" applyAlignment="1">
      <alignment/>
    </xf>
    <xf numFmtId="169" fontId="17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10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180" fontId="17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0" fontId="17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center"/>
    </xf>
    <xf numFmtId="181" fontId="17" fillId="0" borderId="0" xfId="0" applyNumberFormat="1" applyFont="1" applyAlignment="1">
      <alignment/>
    </xf>
    <xf numFmtId="173" fontId="17" fillId="0" borderId="0" xfId="0" applyNumberFormat="1" applyFont="1" applyAlignment="1">
      <alignment/>
    </xf>
    <xf numFmtId="0" fontId="17" fillId="0" borderId="0" xfId="0" applyNumberFormat="1" applyFont="1" applyAlignment="1">
      <alignment horizontal="fill"/>
    </xf>
    <xf numFmtId="182" fontId="17" fillId="0" borderId="0" xfId="0" applyNumberFormat="1" applyFont="1" applyAlignment="1">
      <alignment/>
    </xf>
    <xf numFmtId="167" fontId="17" fillId="0" borderId="0" xfId="0" applyNumberFormat="1" applyFont="1" applyAlignment="1">
      <alignment/>
    </xf>
    <xf numFmtId="9" fontId="17" fillId="0" borderId="0" xfId="0" applyNumberFormat="1" applyFont="1" applyAlignment="1">
      <alignment/>
    </xf>
    <xf numFmtId="10" fontId="17" fillId="0" borderId="0" xfId="0" applyNumberFormat="1" applyFont="1" applyFill="1" applyAlignment="1">
      <alignment/>
    </xf>
    <xf numFmtId="2" fontId="17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1" fontId="12" fillId="0" borderId="0" xfId="0" applyFont="1" applyAlignment="1">
      <alignment/>
    </xf>
    <xf numFmtId="3" fontId="12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1" fontId="11" fillId="0" borderId="0" xfId="0" applyFont="1" applyAlignment="1">
      <alignment/>
    </xf>
    <xf numFmtId="3" fontId="19" fillId="0" borderId="0" xfId="0" applyNumberFormat="1" applyFont="1" applyAlignment="1" applyProtection="1">
      <alignment/>
      <protection/>
    </xf>
    <xf numFmtId="165" fontId="12" fillId="0" borderId="0" xfId="0" applyNumberFormat="1" applyFont="1" applyAlignment="1" applyProtection="1">
      <alignment/>
      <protection/>
    </xf>
    <xf numFmtId="1" fontId="19" fillId="0" borderId="0" xfId="0" applyFont="1" applyAlignment="1">
      <alignment/>
    </xf>
    <xf numFmtId="184" fontId="12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185" fontId="19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85" fontId="12" fillId="0" borderId="0" xfId="0" applyNumberFormat="1" applyFont="1" applyAlignment="1">
      <alignment/>
    </xf>
    <xf numFmtId="3" fontId="12" fillId="0" borderId="0" xfId="0" applyNumberFormat="1" applyFont="1" applyAlignment="1" applyProtection="1">
      <alignment/>
      <protection/>
    </xf>
    <xf numFmtId="185" fontId="12" fillId="0" borderId="0" xfId="0" applyNumberFormat="1" applyFont="1" applyAlignment="1" applyProtection="1">
      <alignment/>
      <protection/>
    </xf>
    <xf numFmtId="180" fontId="11" fillId="0" borderId="0" xfId="0" applyNumberFormat="1" applyFont="1" applyAlignment="1" applyProtection="1">
      <alignment/>
      <protection/>
    </xf>
    <xf numFmtId="165" fontId="12" fillId="0" borderId="0" xfId="0" applyNumberFormat="1" applyFont="1" applyAlignment="1">
      <alignment horizontal="center"/>
    </xf>
    <xf numFmtId="37" fontId="12" fillId="0" borderId="0" xfId="0" applyNumberFormat="1" applyFont="1" applyAlignment="1">
      <alignment/>
    </xf>
    <xf numFmtId="171" fontId="12" fillId="0" borderId="0" xfId="0" applyNumberFormat="1" applyFont="1" applyAlignment="1" applyProtection="1">
      <alignment/>
      <protection/>
    </xf>
    <xf numFmtId="3" fontId="12" fillId="0" borderId="0" xfId="0" applyNumberFormat="1" applyFont="1" applyAlignment="1" applyProtection="1">
      <alignment/>
      <protection/>
    </xf>
    <xf numFmtId="10" fontId="11" fillId="0" borderId="0" xfId="0" applyNumberFormat="1" applyFont="1" applyAlignment="1" applyProtection="1">
      <alignment/>
      <protection/>
    </xf>
    <xf numFmtId="1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1" fontId="12" fillId="0" borderId="0" xfId="0" applyFont="1" applyBorder="1" applyAlignment="1">
      <alignment/>
    </xf>
    <xf numFmtId="1" fontId="12" fillId="0" borderId="0" xfId="0" applyFont="1" applyBorder="1" applyAlignment="1">
      <alignment horizontal="center"/>
    </xf>
    <xf numFmtId="1" fontId="12" fillId="0" borderId="0" xfId="0" applyFont="1" applyAlignment="1">
      <alignment/>
    </xf>
    <xf numFmtId="37" fontId="12" fillId="0" borderId="0" xfId="0" applyNumberFormat="1" applyFont="1" applyAlignment="1" applyProtection="1">
      <alignment/>
      <protection/>
    </xf>
    <xf numFmtId="186" fontId="12" fillId="0" borderId="0" xfId="0" applyNumberFormat="1" applyFont="1" applyAlignment="1" applyProtection="1">
      <alignment/>
      <protection/>
    </xf>
    <xf numFmtId="165" fontId="12" fillId="0" borderId="0" xfId="0" applyNumberFormat="1" applyFont="1" applyAlignment="1" applyProtection="1">
      <alignment/>
      <protection/>
    </xf>
    <xf numFmtId="187" fontId="12" fillId="0" borderId="0" xfId="0" applyNumberFormat="1" applyFont="1" applyAlignment="1" applyProtection="1">
      <alignment/>
      <protection/>
    </xf>
    <xf numFmtId="44" fontId="12" fillId="0" borderId="0" xfId="16" applyFont="1" applyBorder="1" applyAlignment="1" applyProtection="1">
      <alignment/>
      <protection/>
    </xf>
    <xf numFmtId="10" fontId="12" fillId="0" borderId="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9" fontId="12" fillId="0" borderId="0" xfId="0" applyNumberFormat="1" applyFont="1" applyAlignment="1" applyProtection="1">
      <alignment/>
      <protection/>
    </xf>
    <xf numFmtId="186" fontId="12" fillId="0" borderId="0" xfId="0" applyNumberFormat="1" applyFont="1" applyBorder="1" applyAlignment="1" applyProtection="1">
      <alignment/>
      <protection/>
    </xf>
    <xf numFmtId="1" fontId="20" fillId="0" borderId="0" xfId="0" applyFont="1" applyAlignment="1">
      <alignment/>
    </xf>
    <xf numFmtId="1" fontId="20" fillId="0" borderId="0" xfId="0" applyFont="1" applyAlignment="1">
      <alignment/>
    </xf>
    <xf numFmtId="3" fontId="20" fillId="0" borderId="0" xfId="0" applyNumberFormat="1" applyFont="1" applyAlignment="1">
      <alignment/>
    </xf>
    <xf numFmtId="39" fontId="20" fillId="0" borderId="0" xfId="0" applyNumberFormat="1" applyFont="1" applyAlignment="1" applyProtection="1">
      <alignment/>
      <protection/>
    </xf>
    <xf numFmtId="3" fontId="20" fillId="0" borderId="0" xfId="0" applyNumberFormat="1" applyFont="1" applyAlignment="1">
      <alignment/>
    </xf>
    <xf numFmtId="165" fontId="20" fillId="0" borderId="0" xfId="0" applyNumberFormat="1" applyFont="1" applyAlignment="1">
      <alignment/>
    </xf>
    <xf numFmtId="186" fontId="20" fillId="0" borderId="0" xfId="0" applyNumberFormat="1" applyFont="1" applyBorder="1" applyAlignment="1" applyProtection="1">
      <alignment/>
      <protection/>
    </xf>
    <xf numFmtId="10" fontId="20" fillId="0" borderId="0" xfId="0" applyNumberFormat="1" applyFont="1" applyBorder="1" applyAlignment="1">
      <alignment/>
    </xf>
    <xf numFmtId="1" fontId="21" fillId="0" borderId="0" xfId="0" applyFont="1" applyAlignment="1">
      <alignment/>
    </xf>
    <xf numFmtId="39" fontId="21" fillId="0" borderId="0" xfId="0" applyNumberFormat="1" applyFont="1" applyAlignment="1" applyProtection="1">
      <alignment/>
      <protection/>
    </xf>
    <xf numFmtId="10" fontId="12" fillId="0" borderId="0" xfId="0" applyNumberFormat="1" applyFont="1" applyAlignment="1">
      <alignment/>
    </xf>
    <xf numFmtId="4" fontId="12" fillId="0" borderId="0" xfId="0" applyNumberFormat="1" applyFont="1" applyAlignment="1" applyProtection="1">
      <alignment/>
      <protection/>
    </xf>
    <xf numFmtId="3" fontId="12" fillId="0" borderId="0" xfId="0" applyNumberFormat="1" applyFont="1" applyBorder="1" applyAlignment="1" applyProtection="1">
      <alignment/>
      <protection/>
    </xf>
    <xf numFmtId="2" fontId="12" fillId="0" borderId="0" xfId="0" applyNumberFormat="1" applyFont="1" applyAlignment="1">
      <alignment/>
    </xf>
    <xf numFmtId="165" fontId="20" fillId="0" borderId="0" xfId="0" applyNumberFormat="1" applyFont="1" applyAlignment="1" applyProtection="1">
      <alignment/>
      <protection/>
    </xf>
    <xf numFmtId="1" fontId="22" fillId="0" borderId="0" xfId="0" applyFont="1" applyAlignment="1">
      <alignment/>
    </xf>
    <xf numFmtId="2" fontId="5" fillId="0" borderId="0" xfId="0" applyNumberFormat="1" applyFont="1" applyAlignment="1">
      <alignment horizontal="right"/>
    </xf>
    <xf numFmtId="188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5" fillId="0" borderId="0" xfId="0" applyNumberFormat="1" applyFont="1" applyAlignment="1" quotePrefix="1">
      <alignment/>
    </xf>
    <xf numFmtId="1" fontId="21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1" fontId="12" fillId="2" borderId="3" xfId="0" applyFont="1" applyFill="1" applyBorder="1" applyAlignment="1">
      <alignment horizontal="center"/>
    </xf>
    <xf numFmtId="181" fontId="5" fillId="0" borderId="0" xfId="0" applyNumberFormat="1" applyFont="1" applyAlignment="1">
      <alignment/>
    </xf>
    <xf numFmtId="181" fontId="6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1" fontId="12" fillId="0" borderId="0" xfId="0" applyFont="1" applyAlignment="1">
      <alignment horizontal="right"/>
    </xf>
    <xf numFmtId="2" fontId="7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1" fontId="16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2" fillId="2" borderId="4" xfId="0" applyNumberFormat="1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12" fillId="0" borderId="1" xfId="0" applyNumberFormat="1" applyFont="1" applyBorder="1" applyAlignment="1">
      <alignment horizontal="center"/>
    </xf>
    <xf numFmtId="0" fontId="12" fillId="0" borderId="4" xfId="0" applyNumberFormat="1" applyFont="1" applyBorder="1" applyAlignment="1">
      <alignment horizontal="center"/>
    </xf>
    <xf numFmtId="188" fontId="5" fillId="0" borderId="0" xfId="0" applyNumberFormat="1" applyFont="1" applyAlignment="1">
      <alignment horizontal="left"/>
    </xf>
    <xf numFmtId="2" fontId="24" fillId="0" borderId="0" xfId="0" applyNumberFormat="1" applyFont="1" applyAlignment="1">
      <alignment/>
    </xf>
    <xf numFmtId="175" fontId="16" fillId="0" borderId="0" xfId="0" applyNumberFormat="1" applyFont="1" applyAlignment="1" quotePrefix="1">
      <alignment horizontal="center"/>
    </xf>
    <xf numFmtId="2" fontId="4" fillId="0" borderId="0" xfId="0" applyNumberFormat="1" applyFont="1" applyAlignment="1" quotePrefix="1">
      <alignment horizontal="center"/>
    </xf>
    <xf numFmtId="2" fontId="9" fillId="0" borderId="0" xfId="0" applyNumberFormat="1" applyFont="1" applyAlignment="1" quotePrefix="1">
      <alignment horizontal="center"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11" fillId="2" borderId="1" xfId="0" applyNumberFormat="1" applyFont="1" applyFill="1" applyBorder="1" applyAlignment="1" applyProtection="1">
      <alignment/>
      <protection/>
    </xf>
    <xf numFmtId="4" fontId="25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10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1" fontId="8" fillId="0" borderId="0" xfId="0" applyFont="1" applyAlignment="1">
      <alignment/>
    </xf>
    <xf numFmtId="1" fontId="8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1" fontId="9" fillId="0" borderId="0" xfId="0" applyFont="1" applyAlignment="1">
      <alignment/>
    </xf>
    <xf numFmtId="1" fontId="8" fillId="3" borderId="0" xfId="0" applyFont="1" applyFill="1" applyAlignment="1">
      <alignment/>
    </xf>
    <xf numFmtId="4" fontId="8" fillId="3" borderId="0" xfId="0" applyNumberFormat="1" applyFont="1" applyFill="1" applyAlignment="1">
      <alignment/>
    </xf>
    <xf numFmtId="2" fontId="9" fillId="3" borderId="0" xfId="0" applyNumberFormat="1" applyFont="1" applyFill="1" applyAlignment="1">
      <alignment/>
    </xf>
    <xf numFmtId="180" fontId="11" fillId="0" borderId="0" xfId="0" applyNumberFormat="1" applyFont="1" applyAlignment="1">
      <alignment/>
    </xf>
    <xf numFmtId="1" fontId="12" fillId="0" borderId="0" xfId="0" applyFont="1" applyAlignment="1">
      <alignment horizontal="right"/>
    </xf>
    <xf numFmtId="189" fontId="11" fillId="0" borderId="0" xfId="0" applyNumberFormat="1" applyFont="1" applyAlignment="1">
      <alignment/>
    </xf>
    <xf numFmtId="189" fontId="8" fillId="0" borderId="0" xfId="0" applyNumberFormat="1" applyFont="1" applyAlignment="1">
      <alignment/>
    </xf>
    <xf numFmtId="16" fontId="11" fillId="0" borderId="0" xfId="0" applyNumberFormat="1" applyFont="1" applyAlignment="1" quotePrefix="1">
      <alignment/>
    </xf>
    <xf numFmtId="4" fontId="12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1" fontId="18" fillId="0" borderId="0" xfId="0" applyFont="1" applyBorder="1" applyAlignment="1">
      <alignment horizontal="left"/>
    </xf>
    <xf numFmtId="39" fontId="8" fillId="0" borderId="0" xfId="0" applyNumberFormat="1" applyFont="1" applyAlignment="1">
      <alignment/>
    </xf>
    <xf numFmtId="7" fontId="8" fillId="0" borderId="0" xfId="0" applyNumberFormat="1" applyFont="1" applyAlignment="1">
      <alignment/>
    </xf>
    <xf numFmtId="39" fontId="11" fillId="0" borderId="0" xfId="0" applyNumberFormat="1" applyFont="1" applyAlignment="1">
      <alignment/>
    </xf>
    <xf numFmtId="7" fontId="11" fillId="0" borderId="0" xfId="0" applyNumberFormat="1" applyFont="1" applyAlignment="1">
      <alignment/>
    </xf>
    <xf numFmtId="39" fontId="8" fillId="0" borderId="0" xfId="0" applyNumberFormat="1" applyFont="1" applyAlignment="1">
      <alignment horizontal="center"/>
    </xf>
    <xf numFmtId="39" fontId="12" fillId="0" borderId="0" xfId="0" applyNumberFormat="1" applyFont="1" applyAlignment="1">
      <alignment/>
    </xf>
    <xf numFmtId="39" fontId="12" fillId="0" borderId="0" xfId="0" applyNumberFormat="1" applyFont="1" applyAlignment="1">
      <alignment horizontal="right"/>
    </xf>
    <xf numFmtId="7" fontId="12" fillId="0" borderId="0" xfId="0" applyNumberFormat="1" applyFont="1" applyAlignment="1">
      <alignment/>
    </xf>
    <xf numFmtId="4" fontId="9" fillId="0" borderId="0" xfId="0" applyNumberFormat="1" applyFont="1" applyAlignment="1">
      <alignment/>
    </xf>
  </cellXfs>
  <cellStyles count="3">
    <cellStyle name="Normal" xfId="0"/>
    <cellStyle name="Comma" xfId="15"/>
    <cellStyle name="Currency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46"/>
  <sheetViews>
    <sheetView tabSelected="1" workbookViewId="0" topLeftCell="A1">
      <selection activeCell="A1" sqref="A1"/>
    </sheetView>
  </sheetViews>
  <sheetFormatPr defaultColWidth="8.796875" defaultRowHeight="12"/>
  <cols>
    <col min="1" max="1" width="6.09765625" style="0" customWidth="1"/>
    <col min="2" max="2" width="17.8984375" style="0" customWidth="1"/>
    <col min="3" max="3" width="10" style="0" customWidth="1"/>
    <col min="4" max="4" width="10.19921875" style="0" customWidth="1"/>
    <col min="5" max="5" width="10.296875" style="0" customWidth="1"/>
    <col min="9" max="9" width="8.8984375" style="204" customWidth="1"/>
  </cols>
  <sheetData>
    <row r="1" spans="1:5" ht="11.25">
      <c r="A1" s="72" t="s">
        <v>202</v>
      </c>
      <c r="B1" s="16"/>
      <c r="C1" s="16"/>
      <c r="D1" s="16"/>
      <c r="E1" s="72" t="s">
        <v>6</v>
      </c>
    </row>
    <row r="2" spans="1:5" ht="11.25">
      <c r="A2" s="16"/>
      <c r="B2" s="16"/>
      <c r="C2" s="16"/>
      <c r="D2" s="16"/>
      <c r="E2" s="16"/>
    </row>
    <row r="3" spans="1:5" ht="11.25">
      <c r="A3" s="16"/>
      <c r="B3" s="16"/>
      <c r="C3" s="16"/>
      <c r="D3" s="16"/>
      <c r="E3" s="16"/>
    </row>
    <row r="4" spans="1:5" ht="11.25">
      <c r="A4" s="16"/>
      <c r="B4" s="72" t="s">
        <v>460</v>
      </c>
      <c r="C4" s="72"/>
      <c r="D4" s="72"/>
      <c r="E4" s="16"/>
    </row>
    <row r="5" spans="1:5" ht="11.25">
      <c r="A5" s="16"/>
      <c r="B5" s="16"/>
      <c r="C5" s="16"/>
      <c r="D5" s="16"/>
      <c r="E5" s="16"/>
    </row>
    <row r="6" spans="1:5" ht="11.25">
      <c r="A6" s="16"/>
      <c r="B6" s="16"/>
      <c r="C6" s="16"/>
      <c r="D6" s="16"/>
      <c r="E6" s="16"/>
    </row>
    <row r="7" spans="1:5" ht="11.25">
      <c r="A7" s="16"/>
      <c r="B7" s="16"/>
      <c r="C7" s="16"/>
      <c r="D7" s="16"/>
      <c r="E7" s="177"/>
    </row>
    <row r="8" spans="1:5" ht="11.25">
      <c r="A8" s="72" t="s">
        <v>48</v>
      </c>
      <c r="B8" s="16"/>
      <c r="C8" s="16"/>
      <c r="D8" s="16"/>
      <c r="E8" s="177"/>
    </row>
    <row r="9" spans="1:9" ht="11.25">
      <c r="A9" s="177" t="s">
        <v>49</v>
      </c>
      <c r="B9" s="72" t="s">
        <v>33</v>
      </c>
      <c r="C9" s="193" t="s">
        <v>463</v>
      </c>
      <c r="D9" s="193" t="s">
        <v>462</v>
      </c>
      <c r="E9" s="193" t="s">
        <v>461</v>
      </c>
      <c r="F9" s="195"/>
      <c r="G9" s="195"/>
      <c r="H9" s="195"/>
      <c r="I9" s="196" t="s">
        <v>3</v>
      </c>
    </row>
    <row r="10" spans="1:5" ht="11.25">
      <c r="A10" s="16"/>
      <c r="B10" s="16"/>
      <c r="C10" s="16"/>
      <c r="D10" s="16"/>
      <c r="E10" s="16"/>
    </row>
    <row r="11" spans="1:9" ht="11.25">
      <c r="A11" s="18">
        <v>31100</v>
      </c>
      <c r="B11" s="16" t="s">
        <v>50</v>
      </c>
      <c r="C11" s="178">
        <f>'Calc-Monthly Reporting'!C97*(8.18)</f>
        <v>76335.76</v>
      </c>
      <c r="D11" s="178">
        <f>'Calc-Monthly Reporting'!D97*(8.18)</f>
        <v>79403.26</v>
      </c>
      <c r="E11" s="178">
        <f>'Calc-Monthly Reporting'!E97*(8.18/2)</f>
        <v>40298.77</v>
      </c>
      <c r="I11" s="205">
        <f>C11+D11+E11</f>
        <v>196037.78999999998</v>
      </c>
    </row>
    <row r="12" spans="1:5" ht="11.25">
      <c r="A12" s="18"/>
      <c r="B12" s="16" t="s">
        <v>0</v>
      </c>
      <c r="C12" s="16"/>
      <c r="D12" s="16"/>
      <c r="E12" s="178" t="s">
        <v>0</v>
      </c>
    </row>
    <row r="13" spans="1:9" ht="11.25">
      <c r="A13" s="18"/>
      <c r="B13" s="72" t="s">
        <v>5</v>
      </c>
      <c r="C13" s="179">
        <f>SUM(C11:C12)</f>
        <v>76335.76</v>
      </c>
      <c r="D13" s="179">
        <f>SUM(D11:D12)</f>
        <v>79403.26</v>
      </c>
      <c r="E13" s="179">
        <f>SUM(E11:E12)</f>
        <v>40298.77</v>
      </c>
      <c r="I13" s="204">
        <f>C13+D13+E13</f>
        <v>196037.78999999998</v>
      </c>
    </row>
    <row r="14" spans="1:5" ht="11.25">
      <c r="A14" s="18"/>
      <c r="B14" s="16"/>
      <c r="C14" s="16"/>
      <c r="D14" s="16"/>
      <c r="E14" s="16"/>
    </row>
    <row r="15" spans="1:9" ht="11.25">
      <c r="A15" s="18">
        <v>41800</v>
      </c>
      <c r="B15" s="16" t="s">
        <v>395</v>
      </c>
      <c r="C15" s="178">
        <f>'Calc-Monthly Reporting'!C34</f>
        <v>3329.1880000000006</v>
      </c>
      <c r="D15" s="178">
        <f>'Calc-Monthly Reporting'!D34</f>
        <v>4498</v>
      </c>
      <c r="E15" s="178">
        <f>'Calc-Monthly Reporting'!E34</f>
        <v>1544.472</v>
      </c>
      <c r="I15" s="205">
        <f>SUM(C15:H15)</f>
        <v>9371.66</v>
      </c>
    </row>
    <row r="16" spans="1:9" ht="11.25">
      <c r="A16" s="18">
        <v>42300</v>
      </c>
      <c r="B16" s="16" t="s">
        <v>421</v>
      </c>
      <c r="C16" s="178">
        <f>Calculations!B97</f>
        <v>0</v>
      </c>
      <c r="D16" s="178">
        <f>Calculations!C97</f>
        <v>0</v>
      </c>
      <c r="E16" s="178">
        <f>Calculations!D97</f>
        <v>0</v>
      </c>
      <c r="I16" s="205">
        <f aca="true" t="shared" si="0" ref="I16:I38">SUM(C16:H16)</f>
        <v>0</v>
      </c>
    </row>
    <row r="17" spans="1:9" ht="11.25">
      <c r="A17" s="18">
        <v>42310</v>
      </c>
      <c r="B17" s="16" t="s">
        <v>34</v>
      </c>
      <c r="C17" s="178">
        <f>'Calc-Monthly Reporting'!C18</f>
        <v>15307.54</v>
      </c>
      <c r="D17" s="178">
        <f>'Calc-Monthly Reporting'!D18</f>
        <v>14751.210000000001</v>
      </c>
      <c r="E17" s="178">
        <f>'Calc-Monthly Reporting'!E18</f>
        <v>7317.938</v>
      </c>
      <c r="I17" s="205">
        <f t="shared" si="0"/>
        <v>37376.688</v>
      </c>
    </row>
    <row r="18" spans="1:9" ht="11.25">
      <c r="A18" s="18">
        <v>42400</v>
      </c>
      <c r="B18" s="16" t="s">
        <v>148</v>
      </c>
      <c r="C18" s="178">
        <f>'Calc-Monthly Reporting'!C25</f>
        <v>7751.944200000001</v>
      </c>
      <c r="D18" s="178">
        <f>'Calc-Monthly Reporting'!D25</f>
        <v>8019.927499999999</v>
      </c>
      <c r="E18" s="178">
        <f>'Calc-Monthly Reporting'!E25</f>
        <v>3833.25</v>
      </c>
      <c r="I18" s="205">
        <f t="shared" si="0"/>
        <v>19605.1217</v>
      </c>
    </row>
    <row r="19" spans="1:9" ht="11.25">
      <c r="A19" s="18">
        <v>42800</v>
      </c>
      <c r="B19" s="16" t="s">
        <v>405</v>
      </c>
      <c r="C19" s="178">
        <f>'Calc-Monthly Reporting'!C58</f>
        <v>218.92156862745097</v>
      </c>
      <c r="D19" s="178">
        <f>'Calc-Monthly Reporting'!D58</f>
        <v>218.92156862745097</v>
      </c>
      <c r="E19" s="178">
        <f>'Calc-Monthly Reporting'!E58</f>
        <v>218.92156862745097</v>
      </c>
      <c r="I19" s="205">
        <f t="shared" si="0"/>
        <v>656.7647058823529</v>
      </c>
    </row>
    <row r="20" spans="1:9" ht="11.25">
      <c r="A20" s="18">
        <v>42810</v>
      </c>
      <c r="B20" s="16" t="s">
        <v>396</v>
      </c>
      <c r="C20" s="178">
        <f>'Calc-Monthly Reporting'!C113</f>
        <v>10104.402779294405</v>
      </c>
      <c r="D20" s="178">
        <f>'Calc-Monthly Reporting'!D113</f>
        <v>11720.8093</v>
      </c>
      <c r="E20" s="178">
        <f>'Calc-Monthly Reporting'!E113</f>
        <v>3684.0962</v>
      </c>
      <c r="I20" s="205">
        <f t="shared" si="0"/>
        <v>25509.308279294404</v>
      </c>
    </row>
    <row r="21" spans="1:9" ht="11.25">
      <c r="A21" s="18">
        <v>44300</v>
      </c>
      <c r="B21" s="16" t="s">
        <v>35</v>
      </c>
      <c r="C21" s="178">
        <f>C11*0.004</f>
        <v>305.34304</v>
      </c>
      <c r="D21" s="178">
        <f>D11*0.004</f>
        <v>317.61304</v>
      </c>
      <c r="E21" s="178">
        <f>E11*0.004</f>
        <v>161.19508</v>
      </c>
      <c r="I21" s="205">
        <f t="shared" si="0"/>
        <v>784.1511599999999</v>
      </c>
    </row>
    <row r="22" spans="1:9" ht="11.25">
      <c r="A22" s="18">
        <v>45300</v>
      </c>
      <c r="B22" s="16" t="s">
        <v>36</v>
      </c>
      <c r="C22" s="178">
        <f>'Calc-Monthly Reporting'!C48</f>
        <v>833.3499999999999</v>
      </c>
      <c r="D22" s="178">
        <f>'Calc-Monthly Reporting'!D48</f>
        <v>833.3499999999999</v>
      </c>
      <c r="E22" s="178">
        <f>'Calc-Monthly Reporting'!E48</f>
        <v>833.3499999999999</v>
      </c>
      <c r="I22" s="205">
        <f t="shared" si="0"/>
        <v>2500.0499999999997</v>
      </c>
    </row>
    <row r="23" spans="1:9" ht="11.25">
      <c r="A23" s="18">
        <v>45400</v>
      </c>
      <c r="B23" s="16" t="s">
        <v>37</v>
      </c>
      <c r="C23" s="178">
        <f>'Calc-Monthly Reporting'!C53</f>
        <v>242.25</v>
      </c>
      <c r="D23" s="178">
        <f>'Calc-Monthly Reporting'!D53</f>
        <v>242.25</v>
      </c>
      <c r="E23" s="178">
        <f>'Calc-Monthly Reporting'!E53</f>
        <v>242.25</v>
      </c>
      <c r="I23" s="205">
        <f t="shared" si="0"/>
        <v>726.75</v>
      </c>
    </row>
    <row r="24" spans="1:9" ht="11.25">
      <c r="A24" s="18">
        <v>46130</v>
      </c>
      <c r="B24" s="16" t="s">
        <v>38</v>
      </c>
      <c r="C24" s="178">
        <f>'Calc-Monthly Reporting'!C74</f>
        <v>1166</v>
      </c>
      <c r="D24" s="178">
        <f>'Calc-Monthly Reporting'!D74</f>
        <v>1166</v>
      </c>
      <c r="E24" s="178">
        <f>'Calc-Monthly Reporting'!E74</f>
        <v>1166</v>
      </c>
      <c r="I24" s="205">
        <f t="shared" si="0"/>
        <v>3498</v>
      </c>
    </row>
    <row r="25" spans="1:9" ht="11.25">
      <c r="A25" s="18">
        <v>46200</v>
      </c>
      <c r="B25" s="16" t="s">
        <v>39</v>
      </c>
      <c r="C25" s="178">
        <f>'Calc-Monthly Reporting'!C94</f>
        <v>150</v>
      </c>
      <c r="D25" s="178">
        <f>'Calc-Monthly Reporting'!D94</f>
        <v>150</v>
      </c>
      <c r="E25" s="178">
        <f>'Calc-Monthly Reporting'!E94</f>
        <v>150</v>
      </c>
      <c r="I25" s="205">
        <f t="shared" si="0"/>
        <v>450</v>
      </c>
    </row>
    <row r="26" spans="1:9" ht="11.25">
      <c r="A26" s="18">
        <v>46500</v>
      </c>
      <c r="B26" s="16" t="s">
        <v>40</v>
      </c>
      <c r="C26" s="178">
        <f>'Calc-Monthly Reporting'!C86</f>
        <v>1075.5</v>
      </c>
      <c r="D26" s="178">
        <f>'Calc-Monthly Reporting'!D86</f>
        <v>1075.5</v>
      </c>
      <c r="E26" s="178">
        <f>'Calc-Monthly Reporting'!E86</f>
        <v>1075.5</v>
      </c>
      <c r="I26" s="205">
        <f t="shared" si="0"/>
        <v>3226.5</v>
      </c>
    </row>
    <row r="27" spans="1:9" ht="11.25">
      <c r="A27" s="18">
        <v>46510</v>
      </c>
      <c r="B27" s="16" t="s">
        <v>32</v>
      </c>
      <c r="C27" s="178">
        <f>'Calc-Monthly Reporting'!C88</f>
        <v>202.62454200000002</v>
      </c>
      <c r="D27" s="178">
        <f>'Calc-Monthly Reporting'!D88</f>
        <v>195.78168300000002</v>
      </c>
      <c r="E27" s="178">
        <f>'Calc-Monthly Reporting'!E88</f>
        <v>104.3524374</v>
      </c>
      <c r="I27" s="205">
        <f t="shared" si="0"/>
        <v>502.75866240000005</v>
      </c>
    </row>
    <row r="28" spans="1:9" ht="11.25">
      <c r="A28" s="18">
        <v>46700</v>
      </c>
      <c r="B28" s="16" t="s">
        <v>41</v>
      </c>
      <c r="C28" s="178">
        <f>C13*0.004</f>
        <v>305.34304</v>
      </c>
      <c r="D28" s="178">
        <f>D13*0.004</f>
        <v>317.61304</v>
      </c>
      <c r="E28" s="178">
        <f>E13*0.004</f>
        <v>161.19508</v>
      </c>
      <c r="I28" s="205">
        <f t="shared" si="0"/>
        <v>784.1511599999999</v>
      </c>
    </row>
    <row r="29" spans="1:9" ht="11.25">
      <c r="A29" s="18">
        <v>46910</v>
      </c>
      <c r="B29" s="16" t="s">
        <v>149</v>
      </c>
      <c r="C29" s="178">
        <f>C11*0.035</f>
        <v>2671.7516</v>
      </c>
      <c r="D29" s="178">
        <f>D11*0.035</f>
        <v>2779.1141000000002</v>
      </c>
      <c r="E29" s="178">
        <f>E11*0.035</f>
        <v>1410.45695</v>
      </c>
      <c r="I29" s="205">
        <f t="shared" si="0"/>
        <v>6861.32265</v>
      </c>
    </row>
    <row r="30" spans="1:9" ht="11.25">
      <c r="A30" s="18">
        <v>50200</v>
      </c>
      <c r="B30" s="16" t="s">
        <v>42</v>
      </c>
      <c r="C30" s="178">
        <f>('Depr-Revised'!P19+'Depr-Revised'!P23)</f>
        <v>12399.463428571427</v>
      </c>
      <c r="D30" s="178">
        <f>('Depr-Revised'!P19+'Depr-Revised'!P23)</f>
        <v>12399.463428571427</v>
      </c>
      <c r="E30" s="178">
        <f>('Depr-Revised'!P19+'Depr-Revised'!P23)/2</f>
        <v>6199.731714285714</v>
      </c>
      <c r="I30" s="205">
        <f t="shared" si="0"/>
        <v>30998.65857142857</v>
      </c>
    </row>
    <row r="31" spans="1:9" ht="11.25">
      <c r="A31" s="18">
        <v>50300</v>
      </c>
      <c r="B31" s="16" t="s">
        <v>195</v>
      </c>
      <c r="C31" s="178">
        <f>('Depr-Revised'!P25+'Depr-Revised'!P27)</f>
        <v>155.7215</v>
      </c>
      <c r="D31" s="178">
        <f>('Depr-Revised'!P25+'Depr-Revised'!P27)</f>
        <v>155.7215</v>
      </c>
      <c r="E31" s="178">
        <f>('Depr-Revised'!P25+'Depr-Revised'!P27)/2</f>
        <v>77.86075</v>
      </c>
      <c r="I31" s="205">
        <f t="shared" si="0"/>
        <v>389.30375</v>
      </c>
    </row>
    <row r="32" spans="1:9" ht="11.25">
      <c r="A32" s="18">
        <v>50500</v>
      </c>
      <c r="B32" s="16" t="s">
        <v>43</v>
      </c>
      <c r="C32" s="178">
        <f>'Depr-Revised'!P31</f>
        <v>34.285714285714285</v>
      </c>
      <c r="D32" s="178">
        <f>'Depr-Revised'!P31</f>
        <v>34.285714285714285</v>
      </c>
      <c r="E32" s="178">
        <f>'Depr-Revised'!P31</f>
        <v>34.285714285714285</v>
      </c>
      <c r="I32" s="205">
        <f t="shared" si="0"/>
        <v>102.85714285714286</v>
      </c>
    </row>
    <row r="33" spans="1:9" ht="11.25">
      <c r="A33" s="18">
        <v>51500</v>
      </c>
      <c r="B33" s="16" t="s">
        <v>394</v>
      </c>
      <c r="C33" s="178">
        <f>'Depr-Revised'!P34</f>
        <v>897.1423333333333</v>
      </c>
      <c r="D33" s="178">
        <f>'Depr-Revised'!P34</f>
        <v>897.1423333333333</v>
      </c>
      <c r="E33" s="178">
        <f>'Depr-Revised'!P34/2</f>
        <v>448.57116666666667</v>
      </c>
      <c r="I33" s="205">
        <f t="shared" si="0"/>
        <v>2242.8558333333335</v>
      </c>
    </row>
    <row r="34" spans="1:9" ht="11.25">
      <c r="A34" s="18">
        <v>52030</v>
      </c>
      <c r="B34" s="16" t="s">
        <v>44</v>
      </c>
      <c r="C34" s="178">
        <f>(C11*0.015)+('Calc-Monthly Reporting'!C127*0.7*0.00483)</f>
        <v>1200.5415669899999</v>
      </c>
      <c r="D34" s="178">
        <f>(D11*0.015)+('Calc-Monthly Reporting'!D127*0.7*0.00483)</f>
        <v>1261.6283018096997</v>
      </c>
      <c r="E34" s="178">
        <f>(E11*0.015)+('Calc-Monthly Reporting'!E127*0.7*0.00483)</f>
        <v>627.4603528596</v>
      </c>
      <c r="I34" s="205">
        <f t="shared" si="0"/>
        <v>3089.6302216592994</v>
      </c>
    </row>
    <row r="35" spans="1:9" ht="11.25">
      <c r="A35" s="18">
        <v>52200</v>
      </c>
      <c r="B35" s="16" t="s">
        <v>45</v>
      </c>
      <c r="C35" s="178">
        <f>'Calc-Monthly Reporting'!C44</f>
        <v>444.3333333333333</v>
      </c>
      <c r="D35" s="178">
        <f>'Calc-Monthly Reporting'!D44</f>
        <v>444.3333333333333</v>
      </c>
      <c r="E35" s="178">
        <f>'Calc-Monthly Reporting'!E44</f>
        <v>444.3333333333333</v>
      </c>
      <c r="I35" s="205">
        <f t="shared" si="0"/>
        <v>1333</v>
      </c>
    </row>
    <row r="36" spans="1:9" ht="11.25">
      <c r="A36" s="18">
        <v>52300</v>
      </c>
      <c r="B36" s="16" t="s">
        <v>2</v>
      </c>
      <c r="C36" s="178">
        <f>('Depr-Revised'!M23+'Depr-Revised'!M31+'Depr-Revised'!M27+'Depr-Revised'!M25)*0.0115/12</f>
        <v>499.6809225</v>
      </c>
      <c r="D36" s="178">
        <f>('Depr-Revised'!M23+'Depr-Revised'!M31+'Depr-Revised'!M27+'Depr-Revised'!M25)*0.0115/12</f>
        <v>499.6809225</v>
      </c>
      <c r="E36" s="178">
        <f>('Depr-Revised'!M23+'Depr-Revised'!M31+'Depr-Revised'!M27+'Depr-Revised'!M25)*0.0115/12</f>
        <v>499.6809225</v>
      </c>
      <c r="I36" s="205">
        <f t="shared" si="0"/>
        <v>1499.0427675</v>
      </c>
    </row>
    <row r="37" spans="1:9" ht="11.25">
      <c r="A37" s="18">
        <v>52400</v>
      </c>
      <c r="B37" s="16" t="s">
        <v>150</v>
      </c>
      <c r="C37" s="178">
        <f>'Calc-Monthly Reporting'!C81</f>
        <v>1343.825262</v>
      </c>
      <c r="D37" s="178">
        <f>'Calc-Monthly Reporting'!D81</f>
        <v>1299.151963</v>
      </c>
      <c r="E37" s="178">
        <f>'Calc-Monthly Reporting'!E81</f>
        <v>702.2602214</v>
      </c>
      <c r="I37" s="205">
        <f t="shared" si="0"/>
        <v>3345.2374464</v>
      </c>
    </row>
    <row r="38" spans="1:9" ht="11.25">
      <c r="A38" s="18">
        <v>52410</v>
      </c>
      <c r="B38" s="16" t="s">
        <v>151</v>
      </c>
      <c r="C38" s="178">
        <f>'Calc-Monthly Reporting'!C63</f>
        <v>3000</v>
      </c>
      <c r="D38" s="178">
        <f>'Calc-Monthly Reporting'!D63</f>
        <v>3000</v>
      </c>
      <c r="E38" s="178">
        <f>'Calc-Monthly Reporting'!E63</f>
        <v>3000</v>
      </c>
      <c r="I38" s="205">
        <f t="shared" si="0"/>
        <v>9000</v>
      </c>
    </row>
    <row r="39" spans="1:9" ht="11.25">
      <c r="A39" s="18"/>
      <c r="B39" s="72" t="s">
        <v>46</v>
      </c>
      <c r="C39" s="179">
        <f>SUM(C15:C38)</f>
        <v>63639.15283093568</v>
      </c>
      <c r="D39" s="179">
        <f>SUM(D15:D38)</f>
        <v>66277.49772846096</v>
      </c>
      <c r="E39" s="179">
        <f>SUM(E15:E38)</f>
        <v>33937.16149135848</v>
      </c>
      <c r="I39" s="179">
        <f>SUM(I15:I38)</f>
        <v>163853.81205075505</v>
      </c>
    </row>
    <row r="40" spans="1:5" ht="11.25">
      <c r="A40" s="18"/>
      <c r="B40" s="16"/>
      <c r="C40" s="16"/>
      <c r="D40" s="178"/>
      <c r="E40" s="178"/>
    </row>
    <row r="41" spans="1:9" ht="11.25">
      <c r="A41" s="18"/>
      <c r="B41" s="72" t="s">
        <v>47</v>
      </c>
      <c r="C41" s="179">
        <f>(C11-C39)</f>
        <v>12696.607169064315</v>
      </c>
      <c r="D41" s="179">
        <f>(D11-D39)</f>
        <v>13125.762271539032</v>
      </c>
      <c r="E41" s="179">
        <f>(E11-E39)</f>
        <v>6361.608508641519</v>
      </c>
      <c r="I41" s="179">
        <f>(I11-I39)</f>
        <v>32183.97794924493</v>
      </c>
    </row>
    <row r="42" spans="1:5" ht="11.25">
      <c r="A42" s="18"/>
      <c r="B42" s="16"/>
      <c r="C42" s="16"/>
      <c r="D42" s="16"/>
      <c r="E42" s="16"/>
    </row>
    <row r="43" spans="1:9" ht="11.25">
      <c r="A43" s="57"/>
      <c r="B43" s="57" t="s">
        <v>480</v>
      </c>
      <c r="C43" s="180">
        <f>C39/C11</f>
        <v>0.8336741892782057</v>
      </c>
      <c r="D43" s="180">
        <f>D39/D11</f>
        <v>0.8346949196854256</v>
      </c>
      <c r="E43" s="180">
        <f>E39/E11</f>
        <v>0.8421388913695996</v>
      </c>
      <c r="I43" s="180">
        <f>I39/I11</f>
        <v>0.8358276842988032</v>
      </c>
    </row>
    <row r="44" spans="1:5" ht="11.25">
      <c r="A44" s="57"/>
      <c r="B44" s="57"/>
      <c r="C44" s="57"/>
      <c r="D44" s="57"/>
      <c r="E44" s="57"/>
    </row>
    <row r="45" spans="1:5" ht="11.25">
      <c r="A45" s="57"/>
      <c r="B45" s="57"/>
      <c r="C45" s="57"/>
      <c r="D45" s="57"/>
      <c r="E45" s="180"/>
    </row>
    <row r="46" ht="11.25">
      <c r="E46" s="203"/>
    </row>
  </sheetData>
  <printOptions/>
  <pageMargins left="0.75" right="0.75" top="1" bottom="1" header="0.5" footer="0.5"/>
  <pageSetup horizontalDpi="300" verticalDpi="300" orientation="portrait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01"/>
  <sheetViews>
    <sheetView workbookViewId="0" topLeftCell="A56">
      <selection activeCell="B143" sqref="B143"/>
    </sheetView>
  </sheetViews>
  <sheetFormatPr defaultColWidth="8.796875" defaultRowHeight="12"/>
  <cols>
    <col min="1" max="1" width="12.796875" style="1" customWidth="1"/>
    <col min="2" max="2" width="16.69921875" style="1" customWidth="1"/>
    <col min="3" max="5" width="12" style="1" customWidth="1"/>
    <col min="6" max="6" width="13.19921875" style="1" customWidth="1"/>
    <col min="7" max="16384" width="12" style="1" customWidth="1"/>
  </cols>
  <sheetData>
    <row r="1" ht="12">
      <c r="A1" s="1" t="s">
        <v>111</v>
      </c>
    </row>
    <row r="5" ht="12">
      <c r="A5" s="1" t="s">
        <v>112</v>
      </c>
    </row>
    <row r="6" spans="1:4" ht="12">
      <c r="A6" s="1" t="s">
        <v>116</v>
      </c>
      <c r="C6" s="13">
        <v>18.25</v>
      </c>
      <c r="D6" s="1">
        <v>18.25</v>
      </c>
    </row>
    <row r="7" spans="1:4" ht="12">
      <c r="A7" s="1" t="s">
        <v>120</v>
      </c>
      <c r="C7" s="13">
        <f>C6*1.5</f>
        <v>27.375</v>
      </c>
      <c r="D7" s="1">
        <f>18.25-13.75</f>
        <v>4.5</v>
      </c>
    </row>
    <row r="8" spans="1:3" ht="12">
      <c r="A8" s="1" t="s">
        <v>113</v>
      </c>
      <c r="C8" s="13">
        <v>3</v>
      </c>
    </row>
    <row r="9" spans="1:3" ht="12">
      <c r="A9" s="1" t="s">
        <v>381</v>
      </c>
      <c r="C9" s="13">
        <v>1</v>
      </c>
    </row>
    <row r="10" spans="1:3" ht="12">
      <c r="A10" s="1" t="s">
        <v>121</v>
      </c>
      <c r="C10" s="13">
        <v>40</v>
      </c>
    </row>
    <row r="11" spans="1:3" ht="12">
      <c r="A11" s="1" t="s">
        <v>122</v>
      </c>
      <c r="C11" s="13">
        <f>0.5*5</f>
        <v>2.5</v>
      </c>
    </row>
    <row r="12" spans="1:4" ht="12">
      <c r="A12" s="1" t="s">
        <v>115</v>
      </c>
      <c r="C12" s="13">
        <f>C10*C6*(C8+C9)</f>
        <v>2920</v>
      </c>
      <c r="D12" s="1" t="s">
        <v>0</v>
      </c>
    </row>
    <row r="13" spans="1:3" ht="12">
      <c r="A13" s="1" t="s">
        <v>114</v>
      </c>
      <c r="C13" s="13">
        <f>C11*C7*(C8+C9)</f>
        <v>273.75</v>
      </c>
    </row>
    <row r="14" spans="1:3" ht="12">
      <c r="A14" s="1" t="s">
        <v>117</v>
      </c>
      <c r="C14" s="13">
        <f>C12*4.33</f>
        <v>12643.6</v>
      </c>
    </row>
    <row r="15" spans="1:3" ht="12">
      <c r="A15" s="1" t="s">
        <v>118</v>
      </c>
      <c r="C15" s="13">
        <f>C13*4.33</f>
        <v>1185.3375</v>
      </c>
    </row>
    <row r="17" spans="1:4" ht="12">
      <c r="A17" s="1" t="s">
        <v>119</v>
      </c>
      <c r="D17" s="12">
        <f>(C14+C15)*12</f>
        <v>165947.25</v>
      </c>
    </row>
    <row r="19" ht="12">
      <c r="A19" s="1" t="s">
        <v>123</v>
      </c>
    </row>
    <row r="20" spans="1:5" ht="12">
      <c r="A20" s="1" t="s">
        <v>124</v>
      </c>
      <c r="C20" s="171">
        <v>2.529</v>
      </c>
      <c r="D20" s="1" t="s">
        <v>417</v>
      </c>
      <c r="E20" s="1" t="s">
        <v>0</v>
      </c>
    </row>
    <row r="21" spans="1:5" ht="12">
      <c r="A21" s="1" t="s">
        <v>125</v>
      </c>
      <c r="C21" s="13">
        <v>40</v>
      </c>
      <c r="E21" s="1" t="s">
        <v>0</v>
      </c>
    </row>
    <row r="22" spans="1:3" ht="12">
      <c r="A22" s="1" t="s">
        <v>126</v>
      </c>
      <c r="C22" s="13">
        <f>C21*4.33</f>
        <v>173.2</v>
      </c>
    </row>
    <row r="23" spans="1:3" ht="12">
      <c r="A23" s="1" t="s">
        <v>366</v>
      </c>
      <c r="C23" s="13">
        <v>4</v>
      </c>
    </row>
    <row r="24" spans="1:6" ht="12">
      <c r="A24" s="1" t="s">
        <v>127</v>
      </c>
      <c r="C24" s="13">
        <f>C22*C23</f>
        <v>692.8</v>
      </c>
      <c r="E24" s="1">
        <f>692.8*4</f>
        <v>2771.2</v>
      </c>
      <c r="F24" s="1" t="s">
        <v>373</v>
      </c>
    </row>
    <row r="25" spans="1:3" ht="12">
      <c r="A25" s="1" t="s">
        <v>128</v>
      </c>
      <c r="C25" s="13">
        <v>3</v>
      </c>
    </row>
    <row r="26" spans="1:3" ht="12">
      <c r="A26" s="1" t="s">
        <v>129</v>
      </c>
      <c r="C26" s="13">
        <f>C24*C25</f>
        <v>2078.3999999999996</v>
      </c>
    </row>
    <row r="27" spans="1:3" ht="12">
      <c r="A27" s="1" t="s">
        <v>130</v>
      </c>
      <c r="C27" s="13">
        <f>C26*C20</f>
        <v>5256.273599999999</v>
      </c>
    </row>
    <row r="28" spans="1:3" ht="12">
      <c r="A28" s="1" t="s">
        <v>370</v>
      </c>
      <c r="C28" s="13">
        <f>C27*12</f>
        <v>63075.28319999998</v>
      </c>
    </row>
    <row r="29" spans="1:3" ht="12">
      <c r="A29" s="1" t="s">
        <v>145</v>
      </c>
      <c r="C29" s="13">
        <v>1</v>
      </c>
    </row>
    <row r="30" spans="1:6" ht="12">
      <c r="A30" s="1" t="s">
        <v>367</v>
      </c>
      <c r="C30" s="13">
        <v>95</v>
      </c>
      <c r="E30" s="11">
        <v>260</v>
      </c>
      <c r="F30" s="1" t="s">
        <v>382</v>
      </c>
    </row>
    <row r="31" spans="1:6" ht="12">
      <c r="A31" s="1" t="s">
        <v>371</v>
      </c>
      <c r="C31" s="13">
        <f>260+E31+E32</f>
        <v>184.9492780625</v>
      </c>
      <c r="D31" s="167"/>
      <c r="E31" s="11">
        <f>-C37*4.5/8</f>
        <v>-60.05072193749999</v>
      </c>
      <c r="F31" s="1" t="s">
        <v>412</v>
      </c>
    </row>
    <row r="32" spans="1:6" ht="12">
      <c r="A32" s="1" t="s">
        <v>372</v>
      </c>
      <c r="C32" s="13">
        <f>C30*C31</f>
        <v>17570.181415937503</v>
      </c>
      <c r="E32" s="11">
        <v>-15</v>
      </c>
      <c r="F32" s="1" t="s">
        <v>420</v>
      </c>
    </row>
    <row r="33" spans="1:6" ht="12">
      <c r="A33" s="1" t="s">
        <v>368</v>
      </c>
      <c r="C33" s="13">
        <v>7.2</v>
      </c>
      <c r="E33" s="11">
        <f>SUM(E30:E32)</f>
        <v>184.9492780625</v>
      </c>
      <c r="F33" s="1" t="s">
        <v>383</v>
      </c>
    </row>
    <row r="34" spans="1:3" ht="12">
      <c r="A34" s="1" t="s">
        <v>369</v>
      </c>
      <c r="C34" s="171">
        <f>C20</f>
        <v>2.529</v>
      </c>
    </row>
    <row r="35" spans="1:3" ht="12">
      <c r="A35" s="1" t="s">
        <v>370</v>
      </c>
      <c r="C35" s="13">
        <f>C32/C33*C34</f>
        <v>6171.526222348047</v>
      </c>
    </row>
    <row r="36" spans="1:3" ht="12">
      <c r="A36" s="1" t="s">
        <v>377</v>
      </c>
      <c r="C36" s="13">
        <v>1</v>
      </c>
    </row>
    <row r="37" spans="1:6" ht="12">
      <c r="A37" s="1" t="s">
        <v>378</v>
      </c>
      <c r="C37" s="13">
        <f>C165</f>
        <v>106.75683899999999</v>
      </c>
      <c r="E37" s="1">
        <f>C37*4.5/8</f>
        <v>60.05072193749999</v>
      </c>
      <c r="F37" s="1" t="s">
        <v>414</v>
      </c>
    </row>
    <row r="38" spans="1:3" ht="12">
      <c r="A38" s="1" t="s">
        <v>379</v>
      </c>
      <c r="C38" s="13">
        <f>122/3.6</f>
        <v>33.888888888888886</v>
      </c>
    </row>
    <row r="39" spans="1:3" ht="12">
      <c r="A39" s="1" t="s">
        <v>370</v>
      </c>
      <c r="C39" s="13">
        <f>C38*C37*C20</f>
        <v>9149.594886494999</v>
      </c>
    </row>
    <row r="40" ht="12">
      <c r="C40" s="13"/>
    </row>
    <row r="41" spans="1:4" ht="12">
      <c r="A41" s="1" t="s">
        <v>131</v>
      </c>
      <c r="C41" s="13"/>
      <c r="D41" s="12">
        <f>C28+C35+C39</f>
        <v>78396.40430884303</v>
      </c>
    </row>
    <row r="42" ht="12">
      <c r="C42" s="13"/>
    </row>
    <row r="43" spans="1:3" ht="12">
      <c r="A43" s="1" t="s">
        <v>132</v>
      </c>
      <c r="C43" s="13"/>
    </row>
    <row r="44" spans="1:3" ht="12">
      <c r="A44" s="1" t="s">
        <v>400</v>
      </c>
      <c r="C44" s="13"/>
    </row>
    <row r="45" spans="1:6" ht="12">
      <c r="A45" s="1" t="s">
        <v>388</v>
      </c>
      <c r="C45" s="13">
        <v>3</v>
      </c>
      <c r="E45" s="11">
        <v>636231</v>
      </c>
      <c r="F45" s="1" t="s">
        <v>392</v>
      </c>
    </row>
    <row r="46" spans="1:6" ht="12">
      <c r="A46" s="1" t="s">
        <v>133</v>
      </c>
      <c r="C46" s="13">
        <f>C24</f>
        <v>692.8</v>
      </c>
      <c r="E46" s="11">
        <v>-336532</v>
      </c>
      <c r="F46" s="1" t="s">
        <v>397</v>
      </c>
    </row>
    <row r="47" spans="1:6" ht="12">
      <c r="A47" s="1" t="s">
        <v>393</v>
      </c>
      <c r="C47" s="13">
        <f>C24*4</f>
        <v>2771.2</v>
      </c>
      <c r="E47" s="11">
        <f>SUM(E45:E46)</f>
        <v>299699</v>
      </c>
      <c r="F47" s="1" t="s">
        <v>138</v>
      </c>
    </row>
    <row r="48" spans="1:6" ht="12">
      <c r="A48" s="1" t="s">
        <v>389</v>
      </c>
      <c r="C48" s="13">
        <f>C47*C45</f>
        <v>8313.599999999999</v>
      </c>
      <c r="E48" s="11">
        <v>395178</v>
      </c>
      <c r="F48" s="1" t="s">
        <v>136</v>
      </c>
    </row>
    <row r="49" spans="1:6" ht="12">
      <c r="A49" s="1" t="s">
        <v>386</v>
      </c>
      <c r="C49" s="13">
        <f>C32/12</f>
        <v>1464.1817846614586</v>
      </c>
      <c r="E49" s="1">
        <f>E47/E48</f>
        <v>0.7583898901254624</v>
      </c>
      <c r="F49" s="1" t="s">
        <v>137</v>
      </c>
    </row>
    <row r="50" spans="1:3" ht="12">
      <c r="A50" s="1" t="s">
        <v>387</v>
      </c>
      <c r="C50" s="13">
        <f>C37*122/12</f>
        <v>1085.3611964999998</v>
      </c>
    </row>
    <row r="51" spans="1:3" ht="12">
      <c r="A51" s="1" t="s">
        <v>134</v>
      </c>
      <c r="C51" s="13">
        <f>C48+C49+C50</f>
        <v>10863.142981161456</v>
      </c>
    </row>
    <row r="52" spans="1:6" ht="12">
      <c r="A52" s="1" t="s">
        <v>391</v>
      </c>
      <c r="C52" s="13">
        <v>0.76</v>
      </c>
      <c r="E52" s="162">
        <v>4</v>
      </c>
      <c r="F52" s="166" t="s">
        <v>384</v>
      </c>
    </row>
    <row r="53" spans="1:3" ht="12">
      <c r="A53" s="1" t="s">
        <v>390</v>
      </c>
      <c r="C53" s="13">
        <f>C51*C52</f>
        <v>8255.988665682708</v>
      </c>
    </row>
    <row r="54" ht="12">
      <c r="C54" s="13"/>
    </row>
    <row r="55" spans="1:4" ht="12">
      <c r="A55" s="1" t="s">
        <v>135</v>
      </c>
      <c r="C55" s="13"/>
      <c r="D55" s="12">
        <f>C53*12</f>
        <v>99071.86398819249</v>
      </c>
    </row>
    <row r="56" ht="12">
      <c r="C56" s="13"/>
    </row>
    <row r="57" spans="1:3" ht="12">
      <c r="A57" s="1" t="s">
        <v>144</v>
      </c>
      <c r="C57" s="13"/>
    </row>
    <row r="58" spans="1:3" ht="12">
      <c r="A58" s="1" t="s">
        <v>398</v>
      </c>
      <c r="C58" s="13">
        <v>3</v>
      </c>
    </row>
    <row r="59" spans="1:3" ht="12">
      <c r="A59" s="1" t="s">
        <v>146</v>
      </c>
      <c r="C59" s="13">
        <v>825</v>
      </c>
    </row>
    <row r="60" spans="1:3" ht="12">
      <c r="A60" s="1" t="s">
        <v>385</v>
      </c>
      <c r="C60" s="13">
        <v>1</v>
      </c>
    </row>
    <row r="61" spans="1:3" ht="12">
      <c r="A61" s="1" t="s">
        <v>399</v>
      </c>
      <c r="C61" s="13">
        <v>1832</v>
      </c>
    </row>
    <row r="62" spans="1:4" ht="12">
      <c r="A62" s="1" t="s">
        <v>413</v>
      </c>
      <c r="C62" s="13">
        <v>550</v>
      </c>
      <c r="D62" s="1" t="s">
        <v>0</v>
      </c>
    </row>
    <row r="63" spans="1:3" ht="12">
      <c r="A63" s="1" t="s">
        <v>145</v>
      </c>
      <c r="C63" s="13">
        <v>1</v>
      </c>
    </row>
    <row r="64" spans="1:3" ht="12">
      <c r="A64" s="1" t="s">
        <v>146</v>
      </c>
      <c r="C64" s="13">
        <v>475</v>
      </c>
    </row>
    <row r="65" ht="12">
      <c r="C65" s="13"/>
    </row>
    <row r="66" spans="1:4" ht="12">
      <c r="A66" s="1" t="s">
        <v>147</v>
      </c>
      <c r="C66" s="13"/>
      <c r="D66" s="12">
        <f>C59*C58+C61+C62+C64</f>
        <v>5332</v>
      </c>
    </row>
    <row r="67" ht="12">
      <c r="C67" s="13"/>
    </row>
    <row r="68" spans="1:3" ht="12">
      <c r="A68" s="1" t="s">
        <v>264</v>
      </c>
      <c r="C68" s="13"/>
    </row>
    <row r="69" spans="1:3" ht="12">
      <c r="A69" s="1" t="s">
        <v>265</v>
      </c>
      <c r="C69" s="13">
        <v>2000</v>
      </c>
    </row>
    <row r="70" ht="12">
      <c r="C70" s="13"/>
    </row>
    <row r="71" spans="1:6" ht="12">
      <c r="A71" s="1" t="s">
        <v>266</v>
      </c>
      <c r="C71" s="13"/>
      <c r="D71" s="12">
        <f>C69*5</f>
        <v>10000</v>
      </c>
      <c r="E71" s="1">
        <v>166.67</v>
      </c>
      <c r="F71" s="1" t="s">
        <v>374</v>
      </c>
    </row>
    <row r="72" ht="12">
      <c r="C72" s="13"/>
    </row>
    <row r="73" spans="1:3" ht="12">
      <c r="A73" s="1" t="s">
        <v>267</v>
      </c>
      <c r="C73" s="13"/>
    </row>
    <row r="74" spans="1:3" ht="12">
      <c r="A74" s="1" t="s">
        <v>206</v>
      </c>
      <c r="C74" s="176">
        <v>4.5</v>
      </c>
    </row>
    <row r="75" spans="1:6" ht="12">
      <c r="A75" s="1" t="s">
        <v>268</v>
      </c>
      <c r="C75" s="13">
        <v>646</v>
      </c>
      <c r="E75" s="163">
        <v>0.055</v>
      </c>
      <c r="F75" s="1" t="s">
        <v>375</v>
      </c>
    </row>
    <row r="76" ht="12">
      <c r="C76" s="13"/>
    </row>
    <row r="77" spans="1:4" ht="12">
      <c r="A77" s="1" t="s">
        <v>269</v>
      </c>
      <c r="C77" s="13"/>
      <c r="D77" s="12">
        <f>C75*C74</f>
        <v>2907</v>
      </c>
    </row>
    <row r="78" spans="3:4" ht="12">
      <c r="C78" s="13"/>
      <c r="D78" s="12"/>
    </row>
    <row r="79" spans="1:4" ht="12">
      <c r="A79" s="1" t="s">
        <v>401</v>
      </c>
      <c r="C79" s="13"/>
      <c r="D79" s="12"/>
    </row>
    <row r="80" spans="1:4" ht="12">
      <c r="A80" s="1" t="s">
        <v>402</v>
      </c>
      <c r="C80" s="13">
        <f>11165/17/12</f>
        <v>54.73039215686274</v>
      </c>
      <c r="D80" s="12"/>
    </row>
    <row r="81" spans="1:4" ht="12">
      <c r="A81" s="1" t="s">
        <v>403</v>
      </c>
      <c r="C81" s="13">
        <f>4*C80</f>
        <v>218.92156862745097</v>
      </c>
      <c r="D81" s="12"/>
    </row>
    <row r="82" spans="3:4" ht="12">
      <c r="C82" s="13"/>
      <c r="D82" s="12"/>
    </row>
    <row r="83" spans="1:4" ht="12">
      <c r="A83" s="1" t="s">
        <v>404</v>
      </c>
      <c r="C83" s="13"/>
      <c r="D83" s="12">
        <f>C81*12</f>
        <v>2627.0588235294117</v>
      </c>
    </row>
    <row r="84" ht="12">
      <c r="C84" s="13"/>
    </row>
    <row r="85" spans="1:3" ht="12">
      <c r="A85" s="1" t="s">
        <v>139</v>
      </c>
      <c r="C85" s="13"/>
    </row>
    <row r="86" spans="1:5" ht="12">
      <c r="A86" s="1" t="s">
        <v>140</v>
      </c>
      <c r="C86" s="13">
        <v>2800</v>
      </c>
      <c r="E86" s="1" t="s">
        <v>376</v>
      </c>
    </row>
    <row r="87" spans="1:3" ht="12">
      <c r="A87" s="1" t="s">
        <v>141</v>
      </c>
      <c r="C87" s="13">
        <v>200</v>
      </c>
    </row>
    <row r="88" spans="1:3" ht="12">
      <c r="A88" s="1" t="s">
        <v>143</v>
      </c>
      <c r="C88" s="13">
        <f>SUM(C86:C87)</f>
        <v>3000</v>
      </c>
    </row>
    <row r="89" ht="12">
      <c r="C89" s="13"/>
    </row>
    <row r="90" spans="1:4" ht="12">
      <c r="A90" s="1" t="s">
        <v>142</v>
      </c>
      <c r="C90" s="13"/>
      <c r="D90" s="12">
        <f>C88*12</f>
        <v>36000</v>
      </c>
    </row>
    <row r="91" ht="12">
      <c r="C91" s="13"/>
    </row>
    <row r="92" spans="1:3" ht="12">
      <c r="A92" s="1" t="s">
        <v>422</v>
      </c>
      <c r="C92" s="13"/>
    </row>
    <row r="93" spans="1:3" ht="12">
      <c r="A93" s="1" t="s">
        <v>425</v>
      </c>
      <c r="C93" s="13">
        <v>2</v>
      </c>
    </row>
    <row r="94" spans="1:5" ht="12">
      <c r="A94" s="1" t="s">
        <v>424</v>
      </c>
      <c r="C94" s="13">
        <v>29.57</v>
      </c>
      <c r="E94" s="1">
        <f>2/8</f>
        <v>0.25</v>
      </c>
    </row>
    <row r="95" spans="1:3" ht="12">
      <c r="A95" s="1" t="s">
        <v>371</v>
      </c>
      <c r="C95" s="13">
        <v>260</v>
      </c>
    </row>
    <row r="96" ht="12">
      <c r="C96" s="13"/>
    </row>
    <row r="97" spans="1:4" ht="12">
      <c r="A97" s="1" t="s">
        <v>423</v>
      </c>
      <c r="C97" s="13"/>
      <c r="D97" s="12">
        <v>0</v>
      </c>
    </row>
    <row r="98" ht="12">
      <c r="C98" s="13"/>
    </row>
    <row r="99" spans="1:3" ht="12">
      <c r="A99" s="1" t="s">
        <v>203</v>
      </c>
      <c r="C99" s="13"/>
    </row>
    <row r="100" spans="1:3" ht="12">
      <c r="A100" s="1" t="s">
        <v>206</v>
      </c>
      <c r="C100" s="13">
        <v>1</v>
      </c>
    </row>
    <row r="101" spans="1:3" ht="12">
      <c r="A101" s="1" t="s">
        <v>205</v>
      </c>
      <c r="C101" s="13">
        <v>13.25</v>
      </c>
    </row>
    <row r="102" spans="1:3" ht="12">
      <c r="A102" s="1" t="s">
        <v>204</v>
      </c>
      <c r="C102" s="13">
        <v>20</v>
      </c>
    </row>
    <row r="103" spans="1:3" ht="12">
      <c r="A103" s="1" t="s">
        <v>207</v>
      </c>
      <c r="C103" s="13">
        <f>C102*4.33</f>
        <v>86.6</v>
      </c>
    </row>
    <row r="104" spans="1:3" ht="12">
      <c r="A104" s="1" t="s">
        <v>208</v>
      </c>
      <c r="C104" s="13">
        <f>C103*C101</f>
        <v>1147.4499999999998</v>
      </c>
    </row>
    <row r="105" ht="12">
      <c r="C105" s="13"/>
    </row>
    <row r="106" spans="1:5" ht="12">
      <c r="A106" s="1" t="s">
        <v>209</v>
      </c>
      <c r="C106" s="13"/>
      <c r="D106" s="12">
        <f>C104*12</f>
        <v>13769.399999999998</v>
      </c>
      <c r="E106" s="1">
        <v>27539</v>
      </c>
    </row>
    <row r="107" ht="12">
      <c r="C107" s="13"/>
    </row>
    <row r="108" spans="1:3" ht="12">
      <c r="A108" s="1" t="s">
        <v>224</v>
      </c>
      <c r="C108" s="13"/>
    </row>
    <row r="109" spans="1:3" ht="12">
      <c r="A109" s="1" t="s">
        <v>225</v>
      </c>
      <c r="C109" s="13">
        <f>D17+D106+D97</f>
        <v>179716.65</v>
      </c>
    </row>
    <row r="110" spans="1:3" ht="12">
      <c r="A110" s="1" t="s">
        <v>31</v>
      </c>
      <c r="C110" s="13">
        <f>C109*0.0765</f>
        <v>13748.323725</v>
      </c>
    </row>
    <row r="111" spans="1:3" ht="12">
      <c r="A111" s="1" t="s">
        <v>226</v>
      </c>
      <c r="C111" s="13">
        <f>+(35700*4+D106)*0.0038</f>
        <v>594.96372</v>
      </c>
    </row>
    <row r="112" spans="1:3" ht="12">
      <c r="A112" s="1" t="s">
        <v>227</v>
      </c>
      <c r="C112" s="13">
        <f>56*5</f>
        <v>280</v>
      </c>
    </row>
    <row r="113" spans="1:4" ht="12">
      <c r="A113" s="1" t="s">
        <v>228</v>
      </c>
      <c r="C113" s="13"/>
      <c r="D113" s="12">
        <f>SUM(C110:C112)</f>
        <v>14623.287445</v>
      </c>
    </row>
    <row r="114" ht="12">
      <c r="C114" s="13"/>
    </row>
    <row r="115" spans="1:3" ht="12">
      <c r="A115" s="1" t="s">
        <v>229</v>
      </c>
      <c r="C115" s="13"/>
    </row>
    <row r="116" spans="1:3" ht="12">
      <c r="A116" s="1" t="s">
        <v>206</v>
      </c>
      <c r="C116" s="176">
        <v>4.5</v>
      </c>
    </row>
    <row r="117" spans="1:3" ht="12">
      <c r="A117" s="1" t="s">
        <v>230</v>
      </c>
      <c r="C117" s="13">
        <v>239</v>
      </c>
    </row>
    <row r="118" spans="1:3" ht="12">
      <c r="A118" s="1" t="s">
        <v>231</v>
      </c>
      <c r="C118" s="13">
        <f>C117*C116</f>
        <v>1075.5</v>
      </c>
    </row>
    <row r="119" spans="1:3" ht="12">
      <c r="A119" s="1" t="s">
        <v>232</v>
      </c>
      <c r="C119" s="164">
        <v>0.0123</v>
      </c>
    </row>
    <row r="120" spans="1:3" ht="12">
      <c r="A120" s="1" t="s">
        <v>233</v>
      </c>
      <c r="C120" s="13">
        <f>(C14+C15+C104+D97/12)*C119</f>
        <v>184.20956625000002</v>
      </c>
    </row>
    <row r="121" spans="1:3" ht="12">
      <c r="A121" s="1" t="s">
        <v>234</v>
      </c>
      <c r="C121" s="13">
        <f>C118+C120</f>
        <v>1259.70956625</v>
      </c>
    </row>
    <row r="122" ht="12">
      <c r="C122" s="13"/>
    </row>
    <row r="123" spans="1:4" ht="12">
      <c r="A123" s="1" t="s">
        <v>418</v>
      </c>
      <c r="C123" s="13"/>
      <c r="D123" s="12">
        <f>C121*12</f>
        <v>15116.514795000001</v>
      </c>
    </row>
    <row r="124" ht="12">
      <c r="C124" s="13"/>
    </row>
    <row r="125" spans="1:3" ht="12">
      <c r="A125" s="1" t="s">
        <v>210</v>
      </c>
      <c r="C125" s="13"/>
    </row>
    <row r="126" spans="1:3" ht="12">
      <c r="A126" s="1" t="s">
        <v>213</v>
      </c>
      <c r="C126" s="13">
        <v>50</v>
      </c>
    </row>
    <row r="127" spans="1:3" ht="12">
      <c r="A127" s="1" t="s">
        <v>214</v>
      </c>
      <c r="C127" s="13">
        <v>100</v>
      </c>
    </row>
    <row r="128" spans="1:3" ht="12">
      <c r="A128" s="1" t="s">
        <v>211</v>
      </c>
      <c r="C128" s="13">
        <f>SUM(C126:C127)</f>
        <v>150</v>
      </c>
    </row>
    <row r="129" ht="12">
      <c r="C129" s="13"/>
    </row>
    <row r="130" spans="1:4" ht="12">
      <c r="A130" s="1" t="s">
        <v>212</v>
      </c>
      <c r="C130" s="13"/>
      <c r="D130" s="12">
        <f>C128*12</f>
        <v>1800</v>
      </c>
    </row>
    <row r="131" ht="12">
      <c r="C131" s="13"/>
    </row>
    <row r="132" spans="1:3" ht="12">
      <c r="A132" s="1" t="s">
        <v>215</v>
      </c>
      <c r="C132" s="13"/>
    </row>
    <row r="133" spans="1:3" ht="12">
      <c r="A133" s="1" t="s">
        <v>216</v>
      </c>
      <c r="C133" s="13">
        <v>1.5</v>
      </c>
    </row>
    <row r="134" spans="1:3" ht="12">
      <c r="A134" s="1" t="s">
        <v>220</v>
      </c>
      <c r="C134" s="13">
        <v>10275</v>
      </c>
    </row>
    <row r="135" spans="1:3" ht="12">
      <c r="A135" s="1" t="s">
        <v>221</v>
      </c>
      <c r="C135" s="13">
        <f>C134*C133</f>
        <v>15412.5</v>
      </c>
    </row>
    <row r="136" spans="1:3" ht="12">
      <c r="A136" s="1" t="s">
        <v>217</v>
      </c>
      <c r="C136" s="13">
        <v>1.5</v>
      </c>
    </row>
    <row r="137" spans="1:3" ht="12">
      <c r="A137" s="1" t="s">
        <v>218</v>
      </c>
      <c r="C137" s="13">
        <v>0.44</v>
      </c>
    </row>
    <row r="138" spans="1:3" ht="12">
      <c r="A138" s="1" t="s">
        <v>219</v>
      </c>
      <c r="C138" s="13">
        <v>10500</v>
      </c>
    </row>
    <row r="139" spans="1:3" ht="12">
      <c r="A139" s="1" t="s">
        <v>222</v>
      </c>
      <c r="C139" s="13">
        <f>(C136+C137)*C138</f>
        <v>20370</v>
      </c>
    </row>
    <row r="141" spans="1:4" ht="12">
      <c r="A141" s="1" t="s">
        <v>223</v>
      </c>
      <c r="D141" s="12">
        <f>C135+C139</f>
        <v>35782.5</v>
      </c>
    </row>
    <row r="143" ht="12">
      <c r="A143" s="1" t="s">
        <v>237</v>
      </c>
    </row>
    <row r="144" spans="1:5" ht="12">
      <c r="A144" s="1" t="s">
        <v>236</v>
      </c>
      <c r="C144" s="13">
        <v>10275</v>
      </c>
      <c r="E144" s="13"/>
    </row>
    <row r="145" spans="1:5" ht="12">
      <c r="A145" s="1" t="s">
        <v>238</v>
      </c>
      <c r="C145" s="13">
        <v>0.95</v>
      </c>
      <c r="E145" s="13"/>
    </row>
    <row r="146" spans="1:5" ht="12">
      <c r="A146" s="1" t="s">
        <v>239</v>
      </c>
      <c r="C146" s="13">
        <f>C144*C145</f>
        <v>9761.25</v>
      </c>
      <c r="E146" s="13">
        <f>C146/2/5/3</f>
        <v>325.375</v>
      </c>
    </row>
    <row r="147" spans="1:5" ht="12">
      <c r="A147" s="1" t="s">
        <v>241</v>
      </c>
      <c r="C147" s="13">
        <v>0.7</v>
      </c>
      <c r="E147" s="13"/>
    </row>
    <row r="148" spans="1:5" ht="12">
      <c r="A148" s="1" t="s">
        <v>242</v>
      </c>
      <c r="C148" s="13">
        <f>C146*C147</f>
        <v>6832.875</v>
      </c>
      <c r="E148" s="13">
        <f>C148/2/5/3</f>
        <v>227.76250000000002</v>
      </c>
    </row>
    <row r="149" spans="1:5" ht="12">
      <c r="A149" s="1" t="s">
        <v>243</v>
      </c>
      <c r="C149" s="13">
        <v>2.17</v>
      </c>
      <c r="E149" s="13"/>
    </row>
    <row r="150" spans="1:5" ht="12">
      <c r="A150" s="1" t="s">
        <v>244</v>
      </c>
      <c r="C150" s="11">
        <f>C148*C149</f>
        <v>14827.338749999999</v>
      </c>
      <c r="E150" s="13"/>
    </row>
    <row r="151" spans="1:5" ht="12">
      <c r="A151" s="1" t="s">
        <v>380</v>
      </c>
      <c r="C151" s="13">
        <v>24</v>
      </c>
      <c r="E151" s="13"/>
    </row>
    <row r="152" spans="1:5" ht="12">
      <c r="A152" s="1" t="s">
        <v>240</v>
      </c>
      <c r="C152" s="13">
        <f>C150*C151/2000</f>
        <v>177.928065</v>
      </c>
      <c r="E152" s="13"/>
    </row>
    <row r="153" spans="3:5" ht="12">
      <c r="C153" s="13"/>
      <c r="E153" s="13"/>
    </row>
    <row r="154" spans="1:5" ht="12">
      <c r="A154" s="1" t="s">
        <v>245</v>
      </c>
      <c r="C154" s="13"/>
      <c r="D154" s="12">
        <f>C152*12</f>
        <v>2135.13678</v>
      </c>
      <c r="E154" s="13"/>
    </row>
    <row r="155" spans="3:5" ht="12">
      <c r="C155" s="13"/>
      <c r="E155" s="13"/>
    </row>
    <row r="156" spans="1:3" ht="12">
      <c r="A156" s="1" t="s">
        <v>235</v>
      </c>
      <c r="C156" s="13"/>
    </row>
    <row r="157" spans="1:3" ht="12">
      <c r="A157" s="1" t="s">
        <v>246</v>
      </c>
      <c r="C157" s="11">
        <f>D154</f>
        <v>2135.13678</v>
      </c>
    </row>
    <row r="158" spans="1:3" ht="12">
      <c r="A158" s="1" t="s">
        <v>247</v>
      </c>
      <c r="C158" s="13">
        <v>62.89</v>
      </c>
    </row>
    <row r="159" ht="12">
      <c r="C159" s="13"/>
    </row>
    <row r="160" spans="1:4" ht="12">
      <c r="A160" s="1" t="s">
        <v>248</v>
      </c>
      <c r="C160" s="13"/>
      <c r="D160" s="12">
        <f>C157*C158</f>
        <v>134278.7520942</v>
      </c>
    </row>
    <row r="161" ht="12">
      <c r="C161" s="13"/>
    </row>
    <row r="162" spans="1:3" ht="12">
      <c r="A162" s="1" t="s">
        <v>249</v>
      </c>
      <c r="C162" s="13"/>
    </row>
    <row r="163" spans="1:3" ht="12">
      <c r="A163" s="1" t="s">
        <v>246</v>
      </c>
      <c r="C163" s="11">
        <f>C157</f>
        <v>2135.13678</v>
      </c>
    </row>
    <row r="164" spans="1:3" ht="12">
      <c r="A164" s="1" t="s">
        <v>250</v>
      </c>
      <c r="C164" s="13">
        <v>20</v>
      </c>
    </row>
    <row r="165" spans="1:3" ht="12">
      <c r="A165" s="1" t="s">
        <v>251</v>
      </c>
      <c r="C165" s="13">
        <f>C163/C164</f>
        <v>106.75683899999999</v>
      </c>
    </row>
    <row r="166" spans="1:3" ht="12">
      <c r="A166" s="1" t="s">
        <v>252</v>
      </c>
      <c r="C166" s="13">
        <v>4.5</v>
      </c>
    </row>
    <row r="167" spans="1:3" ht="12">
      <c r="A167" s="1" t="s">
        <v>253</v>
      </c>
      <c r="C167" s="13">
        <f>C165*C166</f>
        <v>480.40577549999995</v>
      </c>
    </row>
    <row r="168" spans="1:3" ht="12">
      <c r="A168" s="1" t="s">
        <v>260</v>
      </c>
      <c r="C168" s="13">
        <v>0</v>
      </c>
    </row>
    <row r="169" ht="12">
      <c r="C169" s="13"/>
    </row>
    <row r="170" spans="1:4" ht="12">
      <c r="A170" s="1" t="s">
        <v>254</v>
      </c>
      <c r="C170" s="13"/>
      <c r="D170" s="12">
        <f>C167*C168</f>
        <v>0</v>
      </c>
    </row>
    <row r="171" ht="12">
      <c r="C171" s="13"/>
    </row>
    <row r="172" spans="1:3" ht="12">
      <c r="A172" s="1" t="s">
        <v>255</v>
      </c>
      <c r="C172" s="13"/>
    </row>
    <row r="173" spans="1:3" ht="12">
      <c r="A173" s="1" t="s">
        <v>256</v>
      </c>
      <c r="C173" s="11">
        <f>C163</f>
        <v>2135.13678</v>
      </c>
    </row>
    <row r="174" spans="1:3" ht="12">
      <c r="A174" s="1" t="s">
        <v>259</v>
      </c>
      <c r="C174" s="1">
        <v>95</v>
      </c>
    </row>
    <row r="176" spans="1:5" ht="12">
      <c r="A176" s="1" t="s">
        <v>258</v>
      </c>
      <c r="D176" s="12">
        <f>C173*C174</f>
        <v>202837.99409999998</v>
      </c>
      <c r="E176" s="1">
        <f>D176*0.7</f>
        <v>141986.59587</v>
      </c>
    </row>
    <row r="177" ht="12">
      <c r="E177" s="1">
        <f>E176*0.00483</f>
        <v>685.7952580520999</v>
      </c>
    </row>
    <row r="178" spans="1:3" ht="12">
      <c r="A178" s="1" t="s">
        <v>257</v>
      </c>
      <c r="C178" s="11">
        <f>D176</f>
        <v>202837.99409999998</v>
      </c>
    </row>
    <row r="179" spans="1:3" ht="12">
      <c r="A179" s="1" t="s">
        <v>261</v>
      </c>
      <c r="C179" s="1">
        <v>0.7</v>
      </c>
    </row>
    <row r="180" spans="1:3" ht="12">
      <c r="A180" s="1" t="s">
        <v>263</v>
      </c>
      <c r="C180" s="1">
        <v>0.3</v>
      </c>
    </row>
    <row r="181" spans="1:3" ht="12">
      <c r="A181" s="1" t="s">
        <v>262</v>
      </c>
      <c r="C181" s="14">
        <f>C178*C179/C144/12</f>
        <v>1.1515539</v>
      </c>
    </row>
    <row r="182" spans="3:4" ht="12">
      <c r="C182" s="173">
        <f>C178/C144/12</f>
        <v>1.645077</v>
      </c>
      <c r="D182" s="1">
        <v>1</v>
      </c>
    </row>
    <row r="185" spans="1:3" ht="12">
      <c r="A185" s="1" t="s">
        <v>271</v>
      </c>
      <c r="C185" s="11">
        <v>4698</v>
      </c>
    </row>
    <row r="186" spans="1:3" ht="12">
      <c r="A186" s="1" t="s">
        <v>272</v>
      </c>
      <c r="C186" s="11">
        <v>830758</v>
      </c>
    </row>
    <row r="187" spans="3:4" ht="12">
      <c r="C187" s="11">
        <f>SUM(C185:C186)</f>
        <v>835456</v>
      </c>
      <c r="D187" s="107">
        <f>C187/C191</f>
        <v>0.3997047148503265</v>
      </c>
    </row>
    <row r="188" spans="3:4" ht="12">
      <c r="C188" s="11"/>
      <c r="D188" s="107"/>
    </row>
    <row r="189" spans="1:4" ht="12">
      <c r="A189" s="1" t="s">
        <v>273</v>
      </c>
      <c r="C189" s="11">
        <v>1254727</v>
      </c>
      <c r="D189" s="107">
        <f>C189/C191</f>
        <v>0.6002952851496735</v>
      </c>
    </row>
    <row r="190" ht="12">
      <c r="C190" s="11"/>
    </row>
    <row r="191" spans="1:4" ht="12">
      <c r="A191" s="1" t="s">
        <v>3</v>
      </c>
      <c r="C191" s="11">
        <f>C187+C189</f>
        <v>2090183</v>
      </c>
      <c r="D191" s="109">
        <f>SUM(D185:D189)</f>
        <v>1</v>
      </c>
    </row>
    <row r="192" ht="12">
      <c r="C192" s="11"/>
    </row>
    <row r="193" spans="1:3" ht="12">
      <c r="A193" s="1" t="s">
        <v>274</v>
      </c>
      <c r="C193" s="11">
        <v>38824</v>
      </c>
    </row>
    <row r="194" spans="1:4" ht="12">
      <c r="A194" s="1" t="s">
        <v>426</v>
      </c>
      <c r="C194" s="11">
        <f>(13315+719518)</f>
        <v>732833</v>
      </c>
      <c r="D194" s="109">
        <f>C193/C194</f>
        <v>0.052977963601529954</v>
      </c>
    </row>
    <row r="197" spans="1:3" ht="12">
      <c r="A197" s="1" t="s">
        <v>408</v>
      </c>
      <c r="C197" s="11">
        <f>LG!E5</f>
        <v>1011750.0934598112</v>
      </c>
    </row>
    <row r="198" spans="1:3" ht="12">
      <c r="A198" s="1" t="s">
        <v>409</v>
      </c>
      <c r="C198" s="1">
        <v>10275</v>
      </c>
    </row>
    <row r="199" spans="1:3" ht="12">
      <c r="A199" s="1" t="s">
        <v>406</v>
      </c>
      <c r="C199" s="1">
        <f>C197/C198/12</f>
        <v>8.205596865043075</v>
      </c>
    </row>
    <row r="200" spans="1:3" ht="12">
      <c r="A200" s="1" t="s">
        <v>410</v>
      </c>
      <c r="C200" s="1">
        <f>C181</f>
        <v>1.1515539</v>
      </c>
    </row>
    <row r="201" spans="1:3" ht="12">
      <c r="A201" s="1" t="s">
        <v>407</v>
      </c>
      <c r="C201" s="1">
        <f>C199-C200</f>
        <v>7.054042965043076</v>
      </c>
    </row>
  </sheetData>
  <printOptions/>
  <pageMargins left="0.75" right="0.75" top="1" bottom="1" header="0.5" footer="0.5"/>
  <pageSetup horizontalDpi="300" verticalDpi="300" orientation="portrait" scale="95" r:id="rId1"/>
  <rowBreaks count="3" manualBreakCount="3">
    <brk id="55" max="255" man="1"/>
    <brk id="123" max="5" man="1"/>
    <brk id="171" max="5" man="1"/>
  </rowBreaks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V36"/>
  <sheetViews>
    <sheetView workbookViewId="0" topLeftCell="B12">
      <selection activeCell="M34" sqref="M34"/>
    </sheetView>
  </sheetViews>
  <sheetFormatPr defaultColWidth="8.796875" defaultRowHeight="12"/>
  <cols>
    <col min="1" max="1" width="4.3984375" style="57" customWidth="1"/>
    <col min="2" max="2" width="4.796875" style="57" customWidth="1"/>
    <col min="3" max="3" width="18.59765625" style="57" customWidth="1"/>
    <col min="4" max="4" width="5.69921875" style="57" customWidth="1"/>
    <col min="5" max="5" width="3.8984375" style="57" customWidth="1"/>
    <col min="6" max="6" width="5.59765625" style="57" customWidth="1"/>
    <col min="7" max="7" width="0" style="57" hidden="1" customWidth="1"/>
    <col min="8" max="8" width="6.296875" style="57" customWidth="1"/>
    <col min="9" max="10" width="4.69921875" style="57" customWidth="1"/>
    <col min="11" max="12" width="0" style="57" hidden="1" customWidth="1"/>
    <col min="13" max="13" width="7.296875" style="57" customWidth="1"/>
    <col min="14" max="14" width="0" style="57" hidden="1" customWidth="1"/>
    <col min="15" max="15" width="7.19921875" style="57" customWidth="1"/>
    <col min="16" max="16" width="7.8984375" style="57" customWidth="1"/>
    <col min="17" max="17" width="6.59765625" style="57" customWidth="1"/>
    <col min="18" max="25" width="0" style="57" hidden="1" customWidth="1"/>
    <col min="26" max="26" width="7" style="57" customWidth="1"/>
    <col min="27" max="27" width="7.59765625" style="57" customWidth="1"/>
    <col min="28" max="28" width="8.19921875" style="57" customWidth="1"/>
    <col min="29" max="16384" width="8.8984375" style="57" customWidth="1"/>
  </cols>
  <sheetData>
    <row r="1" spans="1:48" ht="11.25">
      <c r="A1" s="15"/>
      <c r="B1" s="16"/>
      <c r="C1" s="17" t="s">
        <v>153</v>
      </c>
      <c r="D1" s="18"/>
      <c r="E1" s="19"/>
      <c r="F1" s="19"/>
      <c r="G1" s="16"/>
      <c r="H1" s="19"/>
      <c r="I1" s="18"/>
      <c r="J1" s="18"/>
      <c r="K1" s="16"/>
      <c r="L1" s="16"/>
      <c r="M1" s="20"/>
      <c r="N1" s="16"/>
      <c r="O1" s="21"/>
      <c r="P1" s="21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22">
        <v>40026</v>
      </c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</row>
    <row r="2" spans="1:48" ht="11.25">
      <c r="A2" s="15"/>
      <c r="B2" s="16"/>
      <c r="C2" s="23" t="s">
        <v>154</v>
      </c>
      <c r="D2" s="18"/>
      <c r="E2" s="19"/>
      <c r="F2" s="19"/>
      <c r="G2" s="16"/>
      <c r="H2" s="19"/>
      <c r="I2" s="18"/>
      <c r="J2" s="18"/>
      <c r="K2" s="16"/>
      <c r="L2" s="16"/>
      <c r="M2" s="20"/>
      <c r="N2" s="16"/>
      <c r="O2" s="24">
        <v>5</v>
      </c>
      <c r="P2" s="23" t="s">
        <v>155</v>
      </c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</row>
    <row r="3" spans="1:48" ht="11.25">
      <c r="A3" s="15"/>
      <c r="B3" s="16"/>
      <c r="C3" s="25">
        <v>40390</v>
      </c>
      <c r="D3" s="18"/>
      <c r="E3" s="19"/>
      <c r="F3" s="19"/>
      <c r="G3" s="16"/>
      <c r="H3" s="19"/>
      <c r="I3" s="18"/>
      <c r="J3" s="18"/>
      <c r="K3" s="16"/>
      <c r="L3" s="16"/>
      <c r="M3" s="20"/>
      <c r="N3" s="16"/>
      <c r="O3" s="24">
        <v>7</v>
      </c>
      <c r="P3" s="23" t="s">
        <v>156</v>
      </c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 t="s">
        <v>157</v>
      </c>
      <c r="AE3" s="16" t="s">
        <v>158</v>
      </c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</row>
    <row r="4" spans="1:48" ht="11.25">
      <c r="A4" s="15"/>
      <c r="B4" s="16"/>
      <c r="C4" s="16"/>
      <c r="D4" s="18"/>
      <c r="E4" s="19"/>
      <c r="F4" s="19"/>
      <c r="G4" s="16"/>
      <c r="H4" s="19"/>
      <c r="I4" s="18"/>
      <c r="J4" s="18"/>
      <c r="K4" s="16"/>
      <c r="L4" s="16"/>
      <c r="M4" s="20"/>
      <c r="N4" s="16"/>
      <c r="O4" s="24">
        <v>2009</v>
      </c>
      <c r="P4" s="23" t="s">
        <v>159</v>
      </c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 t="s">
        <v>160</v>
      </c>
      <c r="AE4" s="16" t="s">
        <v>161</v>
      </c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</row>
    <row r="5" spans="1:48" ht="11.25">
      <c r="A5" s="15"/>
      <c r="B5" s="16"/>
      <c r="C5" s="16"/>
      <c r="D5" s="18"/>
      <c r="E5" s="19"/>
      <c r="F5" s="19"/>
      <c r="G5" s="16"/>
      <c r="H5" s="19"/>
      <c r="I5" s="18"/>
      <c r="J5" s="18"/>
      <c r="K5" s="16"/>
      <c r="L5" s="16"/>
      <c r="M5" s="20"/>
      <c r="N5" s="16"/>
      <c r="O5" s="24">
        <v>2010</v>
      </c>
      <c r="P5" s="23" t="s">
        <v>162</v>
      </c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 t="s">
        <v>163</v>
      </c>
      <c r="AE5" s="16" t="s">
        <v>164</v>
      </c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</row>
    <row r="6" spans="1:48" ht="11.25">
      <c r="A6" s="15"/>
      <c r="B6" s="16"/>
      <c r="C6" s="16"/>
      <c r="D6" s="18"/>
      <c r="E6" s="19"/>
      <c r="F6" s="19"/>
      <c r="G6" s="16"/>
      <c r="H6" s="19"/>
      <c r="I6" s="18"/>
      <c r="J6" s="18"/>
      <c r="K6" s="16"/>
      <c r="L6" s="16"/>
      <c r="M6" s="20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 t="s">
        <v>165</v>
      </c>
      <c r="AE6" s="16" t="s">
        <v>166</v>
      </c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11.25">
      <c r="A7" s="15"/>
      <c r="B7" s="16"/>
      <c r="C7" s="16"/>
      <c r="D7" s="18"/>
      <c r="E7" s="19"/>
      <c r="F7" s="19"/>
      <c r="G7" s="16"/>
      <c r="H7" s="19"/>
      <c r="I7" s="18"/>
      <c r="J7" s="18"/>
      <c r="K7" s="16"/>
      <c r="L7" s="16"/>
      <c r="M7" s="20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 t="s">
        <v>167</v>
      </c>
      <c r="AE7" s="16" t="s">
        <v>168</v>
      </c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</row>
    <row r="8" spans="1:48" ht="11.25">
      <c r="A8" s="15"/>
      <c r="B8" s="21"/>
      <c r="C8" s="21"/>
      <c r="D8" s="26"/>
      <c r="E8" s="27"/>
      <c r="F8" s="27"/>
      <c r="G8" s="21"/>
      <c r="H8" s="27"/>
      <c r="I8" s="26"/>
      <c r="J8" s="26"/>
      <c r="K8" s="15"/>
      <c r="L8" s="15"/>
      <c r="M8" s="28"/>
      <c r="N8" s="16"/>
      <c r="O8" s="16"/>
      <c r="P8" s="16"/>
      <c r="Q8" s="16"/>
      <c r="R8" s="19" t="s">
        <v>169</v>
      </c>
      <c r="S8" s="16"/>
      <c r="T8" s="16"/>
      <c r="U8" s="29" t="s">
        <v>3</v>
      </c>
      <c r="V8" s="16"/>
      <c r="W8" s="19" t="s">
        <v>7</v>
      </c>
      <c r="X8" s="19" t="s">
        <v>170</v>
      </c>
      <c r="Y8" s="16"/>
      <c r="Z8" s="29" t="s">
        <v>170</v>
      </c>
      <c r="AA8" s="29" t="s">
        <v>170</v>
      </c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</row>
    <row r="9" spans="1:48" ht="11.25">
      <c r="A9" s="30"/>
      <c r="B9" s="31" t="s">
        <v>0</v>
      </c>
      <c r="C9" s="32" t="s">
        <v>171</v>
      </c>
      <c r="D9" s="33" t="s">
        <v>8</v>
      </c>
      <c r="E9" s="29"/>
      <c r="F9" s="34" t="s">
        <v>1</v>
      </c>
      <c r="G9" s="35"/>
      <c r="H9" s="29" t="s">
        <v>0</v>
      </c>
      <c r="I9" s="33"/>
      <c r="J9" s="33" t="s">
        <v>9</v>
      </c>
      <c r="K9" s="30" t="s">
        <v>0</v>
      </c>
      <c r="L9" s="16"/>
      <c r="M9" s="36" t="s">
        <v>0</v>
      </c>
      <c r="N9" s="19" t="s">
        <v>18</v>
      </c>
      <c r="O9" s="32" t="s">
        <v>0</v>
      </c>
      <c r="P9" s="32"/>
      <c r="Q9" s="29" t="s">
        <v>10</v>
      </c>
      <c r="R9" s="19" t="s">
        <v>9</v>
      </c>
      <c r="S9" s="29" t="s">
        <v>3</v>
      </c>
      <c r="T9" s="29" t="s">
        <v>26</v>
      </c>
      <c r="U9" s="29" t="s">
        <v>170</v>
      </c>
      <c r="V9" s="16"/>
      <c r="W9" s="19" t="s">
        <v>172</v>
      </c>
      <c r="X9" s="19" t="s">
        <v>172</v>
      </c>
      <c r="Y9" s="19" t="s">
        <v>173</v>
      </c>
      <c r="Z9" s="29" t="s">
        <v>174</v>
      </c>
      <c r="AA9" s="29" t="s">
        <v>174</v>
      </c>
      <c r="AB9" s="29" t="s">
        <v>11</v>
      </c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</row>
    <row r="10" spans="1:48" ht="11.25">
      <c r="A10" s="29"/>
      <c r="B10" s="31" t="s">
        <v>12</v>
      </c>
      <c r="C10" s="32"/>
      <c r="D10" s="33" t="s">
        <v>13</v>
      </c>
      <c r="E10" s="29"/>
      <c r="F10" s="34" t="s">
        <v>14</v>
      </c>
      <c r="G10" s="35"/>
      <c r="H10" s="29" t="s">
        <v>15</v>
      </c>
      <c r="I10" s="33" t="s">
        <v>16</v>
      </c>
      <c r="J10" s="33" t="s">
        <v>17</v>
      </c>
      <c r="K10" s="29" t="s">
        <v>18</v>
      </c>
      <c r="L10" s="16" t="s">
        <v>175</v>
      </c>
      <c r="M10" s="36" t="s">
        <v>18</v>
      </c>
      <c r="N10" s="19" t="s">
        <v>169</v>
      </c>
      <c r="O10" s="29" t="s">
        <v>19</v>
      </c>
      <c r="P10" s="29" t="s">
        <v>20</v>
      </c>
      <c r="Q10" s="29" t="s">
        <v>9</v>
      </c>
      <c r="R10" s="19" t="s">
        <v>176</v>
      </c>
      <c r="S10" s="29" t="s">
        <v>177</v>
      </c>
      <c r="T10" s="29" t="s">
        <v>178</v>
      </c>
      <c r="U10" s="29" t="s">
        <v>179</v>
      </c>
      <c r="V10" s="29"/>
      <c r="W10" s="29" t="s">
        <v>4</v>
      </c>
      <c r="X10" s="29" t="s">
        <v>4</v>
      </c>
      <c r="Y10" s="29" t="s">
        <v>178</v>
      </c>
      <c r="Z10" s="29" t="s">
        <v>180</v>
      </c>
      <c r="AA10" s="29" t="s">
        <v>180</v>
      </c>
      <c r="AB10" s="29" t="s">
        <v>21</v>
      </c>
      <c r="AC10" s="19" t="s">
        <v>157</v>
      </c>
      <c r="AD10" s="19" t="s">
        <v>181</v>
      </c>
      <c r="AE10" s="19" t="s">
        <v>182</v>
      </c>
      <c r="AF10" s="19" t="s">
        <v>165</v>
      </c>
      <c r="AG10" s="19" t="s">
        <v>167</v>
      </c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</row>
    <row r="11" spans="1:48" ht="11.25">
      <c r="A11" s="37" t="s">
        <v>22</v>
      </c>
      <c r="B11" s="38" t="s">
        <v>23</v>
      </c>
      <c r="C11" s="39" t="s">
        <v>24</v>
      </c>
      <c r="D11" s="40" t="s">
        <v>9</v>
      </c>
      <c r="E11" s="37" t="s">
        <v>25</v>
      </c>
      <c r="F11" s="41" t="s">
        <v>26</v>
      </c>
      <c r="G11" s="35" t="s">
        <v>92</v>
      </c>
      <c r="H11" s="37" t="s">
        <v>27</v>
      </c>
      <c r="I11" s="40" t="s">
        <v>28</v>
      </c>
      <c r="J11" s="40" t="s">
        <v>19</v>
      </c>
      <c r="K11" s="37" t="s">
        <v>29</v>
      </c>
      <c r="L11" s="42" t="s">
        <v>92</v>
      </c>
      <c r="M11" s="43" t="s">
        <v>29</v>
      </c>
      <c r="N11" s="42" t="s">
        <v>92</v>
      </c>
      <c r="O11" s="37" t="s">
        <v>29</v>
      </c>
      <c r="P11" s="37" t="s">
        <v>19</v>
      </c>
      <c r="Q11" s="37" t="s">
        <v>19</v>
      </c>
      <c r="R11" s="42" t="s">
        <v>92</v>
      </c>
      <c r="S11" s="29" t="s">
        <v>183</v>
      </c>
      <c r="T11" s="37" t="s">
        <v>92</v>
      </c>
      <c r="U11" s="29" t="s">
        <v>180</v>
      </c>
      <c r="V11" s="29"/>
      <c r="W11" s="44">
        <f>+AD1</f>
        <v>40026</v>
      </c>
      <c r="X11" s="45">
        <f>+C3</f>
        <v>40390</v>
      </c>
      <c r="Y11" s="29" t="s">
        <v>26</v>
      </c>
      <c r="Z11" s="46">
        <f>+W11</f>
        <v>40026</v>
      </c>
      <c r="AA11" s="46">
        <f>+C3</f>
        <v>40390</v>
      </c>
      <c r="AB11" s="29" t="s">
        <v>92</v>
      </c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</row>
    <row r="12" spans="1:48" ht="11.25">
      <c r="A12" s="47"/>
      <c r="B12" s="170">
        <v>28</v>
      </c>
      <c r="C12" s="49" t="s">
        <v>415</v>
      </c>
      <c r="D12" s="50">
        <v>2009</v>
      </c>
      <c r="E12" s="51">
        <v>7</v>
      </c>
      <c r="F12" s="52">
        <v>0.2</v>
      </c>
      <c r="G12" s="35"/>
      <c r="H12" s="53" t="s">
        <v>30</v>
      </c>
      <c r="I12" s="54">
        <v>7</v>
      </c>
      <c r="J12" s="55">
        <f aca="true" t="shared" si="0" ref="J12:J18">D12+I12</f>
        <v>2016</v>
      </c>
      <c r="K12" s="56"/>
      <c r="L12" s="56"/>
      <c r="M12" s="58">
        <f>252588</f>
        <v>252588</v>
      </c>
      <c r="N12" s="59">
        <v>0</v>
      </c>
      <c r="O12" s="60">
        <f aca="true" t="shared" si="1" ref="O12:O18">M12-M12*F12</f>
        <v>202070.4</v>
      </c>
      <c r="P12" s="60">
        <f aca="true" t="shared" si="2" ref="P12:P18">O12/I12/12</f>
        <v>2405.6</v>
      </c>
      <c r="Q12" s="60">
        <f aca="true" t="shared" si="3" ref="Q12:Q18">IF(N12&gt;0,0,IF(OR(AC12&gt;AD12,AE12&lt;AF12),0,IF(AND(AE12&gt;=AF12,AE12&lt;=AD12),P12*((AE12-AF12)*12),IF(AND(AF12&lt;=AC12,AD12&gt;=AC12),((AD12-AC12)*12)*P12,IF(AE12&gt;AD12,12*P12,0)))))</f>
        <v>28867.199999999997</v>
      </c>
      <c r="R12" s="35">
        <f aca="true" t="shared" si="4" ref="R12:R18">IF(N12=0,0,IF(AND(AG12&gt;=AF12,AG12&lt;=AE12),((AG12-AF12)*12)*P12,0))</f>
        <v>0</v>
      </c>
      <c r="S12" s="35">
        <f aca="true" t="shared" si="5" ref="S12:S18">IF(R12&gt;0,R12,Q12)</f>
        <v>28867.199999999997</v>
      </c>
      <c r="T12" s="35">
        <v>1</v>
      </c>
      <c r="U12" s="35">
        <f aca="true" t="shared" si="6" ref="U12:U18">T12*SUM(Q12:R12)</f>
        <v>28867.199999999997</v>
      </c>
      <c r="V12" s="35"/>
      <c r="W12" s="35">
        <f aca="true" t="shared" si="7" ref="W12:W18">IF(AC12&gt;AD12,0,IF(AE12&lt;AF12,O12,IF(AND(AE12&gt;=AF12,AE12&lt;=AD12),(O12-S12),IF(AND(AF12&lt;=AC12,AD12&gt;=AC12),0,IF(AE12&gt;AD12,((AF12-AC12)*12)*P12,0)))))</f>
        <v>2405.599999997812</v>
      </c>
      <c r="X12" s="35">
        <f aca="true" t="shared" si="8" ref="X12:X18">W12*T12</f>
        <v>2405.599999997812</v>
      </c>
      <c r="Y12" s="35">
        <v>1</v>
      </c>
      <c r="Z12" s="60">
        <f>X12*Y12-2406</f>
        <v>-0.40000000218788045</v>
      </c>
      <c r="AA12" s="60">
        <f aca="true" t="shared" si="9" ref="AA12:AA18">IF(N12&gt;0,0,Z12+U12*Y12)*Y12</f>
        <v>28866.79999999781</v>
      </c>
      <c r="AB12" s="60">
        <f aca="true" t="shared" si="10" ref="AB12:AB18">IF(N12&gt;0,(M12-Z12)/2,IF(AC12&gt;=AF12,(((M12*T12)*Y12)-AA12)/2,((((M12*T12)*Y12)-Z12)+(((M12*T12)*Y12)-AA12))/2))</f>
        <v>238154.8000000022</v>
      </c>
      <c r="AC12" s="35">
        <f aca="true" t="shared" si="11" ref="AC12:AC30">$D12+(($E12-1)/12)</f>
        <v>2009.5</v>
      </c>
      <c r="AD12" s="35">
        <f aca="true" t="shared" si="12" ref="AD12:AD30">($O$5+1)-($O$2/12)</f>
        <v>2010.5833333333333</v>
      </c>
      <c r="AE12" s="35">
        <f aca="true" t="shared" si="13" ref="AE12:AE30">$J12+(($E12-1)/12)</f>
        <v>2016.5</v>
      </c>
      <c r="AF12" s="35">
        <f aca="true" t="shared" si="14" ref="AF12:AF30">$O$4+($O$3/12)</f>
        <v>2009.5833333333333</v>
      </c>
      <c r="AG12" s="35">
        <f aca="true" t="shared" si="15" ref="AG12:AG30">$K12+(($L12-1)/12)</f>
        <v>-0.08333333333333333</v>
      </c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</row>
    <row r="13" spans="1:48" ht="11.25">
      <c r="A13" s="47"/>
      <c r="B13" s="48"/>
      <c r="C13" s="49" t="s">
        <v>416</v>
      </c>
      <c r="D13" s="50">
        <v>2009</v>
      </c>
      <c r="E13" s="51">
        <v>7</v>
      </c>
      <c r="F13" s="52">
        <v>0.2</v>
      </c>
      <c r="G13" s="35"/>
      <c r="H13" s="53" t="s">
        <v>30</v>
      </c>
      <c r="I13" s="54">
        <v>7</v>
      </c>
      <c r="J13" s="55">
        <f t="shared" si="0"/>
        <v>2016</v>
      </c>
      <c r="K13" s="56"/>
      <c r="L13" s="56"/>
      <c r="M13" s="58">
        <v>249025.26</v>
      </c>
      <c r="N13" s="59">
        <v>0</v>
      </c>
      <c r="O13" s="60">
        <f t="shared" si="1"/>
        <v>199220.208</v>
      </c>
      <c r="P13" s="60">
        <f t="shared" si="2"/>
        <v>2371.669142857143</v>
      </c>
      <c r="Q13" s="60">
        <f t="shared" si="3"/>
        <v>28460.029714285716</v>
      </c>
      <c r="R13" s="35">
        <f t="shared" si="4"/>
        <v>0</v>
      </c>
      <c r="S13" s="35">
        <f t="shared" si="5"/>
        <v>28460.029714285716</v>
      </c>
      <c r="T13" s="35">
        <v>1</v>
      </c>
      <c r="U13" s="35">
        <f t="shared" si="6"/>
        <v>28460.029714285716</v>
      </c>
      <c r="V13" s="35"/>
      <c r="W13" s="35">
        <f t="shared" si="7"/>
        <v>2371.669142854986</v>
      </c>
      <c r="X13" s="35">
        <f t="shared" si="8"/>
        <v>2371.669142854986</v>
      </c>
      <c r="Y13" s="35">
        <v>1</v>
      </c>
      <c r="Z13" s="60">
        <f>X13*Y13-2372</f>
        <v>-0.33085714501385155</v>
      </c>
      <c r="AA13" s="60">
        <f t="shared" si="9"/>
        <v>28459.698857140702</v>
      </c>
      <c r="AB13" s="60">
        <f t="shared" si="10"/>
        <v>234795.57600000215</v>
      </c>
      <c r="AC13" s="35">
        <f t="shared" si="11"/>
        <v>2009.5</v>
      </c>
      <c r="AD13" s="35">
        <f t="shared" si="12"/>
        <v>2010.5833333333333</v>
      </c>
      <c r="AE13" s="35">
        <f t="shared" si="13"/>
        <v>2016.5</v>
      </c>
      <c r="AF13" s="35">
        <f t="shared" si="14"/>
        <v>2009.5833333333333</v>
      </c>
      <c r="AG13" s="35">
        <f t="shared" si="15"/>
        <v>-0.08333333333333333</v>
      </c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</row>
    <row r="14" spans="1:48" ht="11.25">
      <c r="A14" s="47"/>
      <c r="B14" s="170">
        <v>27</v>
      </c>
      <c r="C14" s="49" t="s">
        <v>184</v>
      </c>
      <c r="D14" s="50">
        <v>2009</v>
      </c>
      <c r="E14" s="51">
        <v>7</v>
      </c>
      <c r="F14" s="52">
        <v>0.2</v>
      </c>
      <c r="G14" s="35"/>
      <c r="H14" s="53" t="s">
        <v>30</v>
      </c>
      <c r="I14" s="54">
        <v>7</v>
      </c>
      <c r="J14" s="55">
        <f t="shared" si="0"/>
        <v>2016</v>
      </c>
      <c r="K14" s="56"/>
      <c r="L14" s="56"/>
      <c r="M14" s="58">
        <f>236974.86</f>
        <v>236974.86</v>
      </c>
      <c r="N14" s="59">
        <v>0</v>
      </c>
      <c r="O14" s="60">
        <f t="shared" si="1"/>
        <v>189579.88799999998</v>
      </c>
      <c r="P14" s="60">
        <f t="shared" si="2"/>
        <v>2256.9034285714283</v>
      </c>
      <c r="Q14" s="60">
        <f t="shared" si="3"/>
        <v>27082.84114285714</v>
      </c>
      <c r="R14" s="35">
        <f t="shared" si="4"/>
        <v>0</v>
      </c>
      <c r="S14" s="35">
        <f t="shared" si="5"/>
        <v>27082.84114285714</v>
      </c>
      <c r="T14" s="35">
        <v>1</v>
      </c>
      <c r="U14" s="35">
        <f t="shared" si="6"/>
        <v>27082.84114285714</v>
      </c>
      <c r="V14" s="35"/>
      <c r="W14" s="35">
        <f t="shared" si="7"/>
        <v>2256.9034285693756</v>
      </c>
      <c r="X14" s="35">
        <f t="shared" si="8"/>
        <v>2256.9034285693756</v>
      </c>
      <c r="Y14" s="35">
        <v>1</v>
      </c>
      <c r="Z14" s="60">
        <f>X14*Y14-2257</f>
        <v>-0.0965714306244081</v>
      </c>
      <c r="AA14" s="60">
        <f t="shared" si="9"/>
        <v>27082.744571426516</v>
      </c>
      <c r="AB14" s="60">
        <f t="shared" si="10"/>
        <v>223433.53600000206</v>
      </c>
      <c r="AC14" s="35">
        <f t="shared" si="11"/>
        <v>2009.5</v>
      </c>
      <c r="AD14" s="35">
        <f t="shared" si="12"/>
        <v>2010.5833333333333</v>
      </c>
      <c r="AE14" s="35">
        <f t="shared" si="13"/>
        <v>2016.5</v>
      </c>
      <c r="AF14" s="35">
        <f t="shared" si="14"/>
        <v>2009.5833333333333</v>
      </c>
      <c r="AG14" s="35">
        <f t="shared" si="15"/>
        <v>-0.08333333333333333</v>
      </c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</row>
    <row r="15" spans="1:48" ht="11.25">
      <c r="A15" s="47"/>
      <c r="B15" s="48"/>
      <c r="C15" s="49" t="s">
        <v>185</v>
      </c>
      <c r="D15" s="50">
        <v>2009</v>
      </c>
      <c r="E15" s="51">
        <v>7</v>
      </c>
      <c r="F15" s="52">
        <v>0.2</v>
      </c>
      <c r="G15" s="35"/>
      <c r="H15" s="53" t="s">
        <v>30</v>
      </c>
      <c r="I15" s="54">
        <v>7</v>
      </c>
      <c r="J15" s="55">
        <f t="shared" si="0"/>
        <v>2016</v>
      </c>
      <c r="K15" s="56"/>
      <c r="L15" s="56"/>
      <c r="M15" s="58">
        <v>45000</v>
      </c>
      <c r="N15" s="59">
        <v>0</v>
      </c>
      <c r="O15" s="60">
        <f t="shared" si="1"/>
        <v>36000</v>
      </c>
      <c r="P15" s="60">
        <f t="shared" si="2"/>
        <v>428.5714285714286</v>
      </c>
      <c r="Q15" s="60">
        <f t="shared" si="3"/>
        <v>5142.857142857143</v>
      </c>
      <c r="R15" s="35">
        <f t="shared" si="4"/>
        <v>0</v>
      </c>
      <c r="S15" s="35">
        <f t="shared" si="5"/>
        <v>5142.857142857143</v>
      </c>
      <c r="T15" s="35">
        <v>1</v>
      </c>
      <c r="U15" s="35">
        <f t="shared" si="6"/>
        <v>5142.857142857143</v>
      </c>
      <c r="V15" s="35"/>
      <c r="W15" s="35">
        <f t="shared" si="7"/>
        <v>428.57142857103884</v>
      </c>
      <c r="X15" s="35">
        <f t="shared" si="8"/>
        <v>428.57142857103884</v>
      </c>
      <c r="Y15" s="35">
        <v>1</v>
      </c>
      <c r="Z15" s="60">
        <f>X15*Y15-429</f>
        <v>-0.4285714289611633</v>
      </c>
      <c r="AA15" s="60">
        <f t="shared" si="9"/>
        <v>5142.428571428182</v>
      </c>
      <c r="AB15" s="60">
        <f t="shared" si="10"/>
        <v>42429.00000000039</v>
      </c>
      <c r="AC15" s="35">
        <f t="shared" si="11"/>
        <v>2009.5</v>
      </c>
      <c r="AD15" s="35">
        <f t="shared" si="12"/>
        <v>2010.5833333333333</v>
      </c>
      <c r="AE15" s="35">
        <f t="shared" si="13"/>
        <v>2016.5</v>
      </c>
      <c r="AF15" s="35">
        <f t="shared" si="14"/>
        <v>2009.5833333333333</v>
      </c>
      <c r="AG15" s="35">
        <f t="shared" si="15"/>
        <v>-0.08333333333333333</v>
      </c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</row>
    <row r="16" spans="1:48" ht="11.25">
      <c r="A16" s="47"/>
      <c r="B16" s="48"/>
      <c r="C16" s="49" t="s">
        <v>433</v>
      </c>
      <c r="D16" s="50">
        <v>2009</v>
      </c>
      <c r="E16" s="51">
        <v>7</v>
      </c>
      <c r="F16" s="52">
        <v>0.2</v>
      </c>
      <c r="G16" s="35"/>
      <c r="H16" s="53" t="s">
        <v>30</v>
      </c>
      <c r="I16" s="54">
        <v>7</v>
      </c>
      <c r="J16" s="55">
        <f>D16+I16</f>
        <v>2016</v>
      </c>
      <c r="K16" s="56"/>
      <c r="L16" s="56"/>
      <c r="M16" s="58">
        <v>7014.03</v>
      </c>
      <c r="N16" s="59">
        <v>0</v>
      </c>
      <c r="O16" s="60">
        <f>M16-M16*F16</f>
        <v>5611.224</v>
      </c>
      <c r="P16" s="60">
        <f>O16/I16/12</f>
        <v>66.80028571428572</v>
      </c>
      <c r="Q16" s="60">
        <f>IF(N16&gt;0,0,IF(OR(AC16&gt;AD16,AE16&lt;AF16),0,IF(AND(AE16&gt;=AF16,AE16&lt;=AD16),P16*((AE16-AF16)*12),IF(AND(AF16&lt;=AC16,AD16&gt;=AC16),((AD16-AC16)*12)*P16,IF(AE16&gt;AD16,12*P16,0)))))</f>
        <v>801.6034285714286</v>
      </c>
      <c r="R16" s="35">
        <f>IF(N16=0,0,IF(AND(AG16&gt;=AF16,AG16&lt;=AE16),((AG16-AF16)*12)*P16,0))</f>
        <v>0</v>
      </c>
      <c r="S16" s="35">
        <f>IF(R16&gt;0,R16,Q16)</f>
        <v>801.6034285714286</v>
      </c>
      <c r="T16" s="35">
        <v>1</v>
      </c>
      <c r="U16" s="35">
        <f>T16*SUM(Q16:R16)</f>
        <v>801.6034285714286</v>
      </c>
      <c r="V16" s="35"/>
      <c r="W16" s="35">
        <f>IF(AC16&gt;AD16,0,IF(AE16&lt;AF16,O16,IF(AND(AE16&gt;=AF16,AE16&lt;=AD16),(O16-S16),IF(AND(AF16&lt;=AC16,AD16&gt;=AC16),0,IF(AE16&gt;AD16,((AF16-AC16)*12)*P16,0)))))</f>
        <v>66.80028571422497</v>
      </c>
      <c r="X16" s="35">
        <f>W16*T16</f>
        <v>66.80028571422497</v>
      </c>
      <c r="Y16" s="35">
        <v>1</v>
      </c>
      <c r="Z16" s="60">
        <f>X16*Y16-429</f>
        <v>-362.19971428577503</v>
      </c>
      <c r="AA16" s="60">
        <f>IF(N16&gt;0,0,Z16+U16*Y16)*Y16</f>
        <v>439.40371428565356</v>
      </c>
      <c r="AB16" s="60">
        <f>IF(N16&gt;0,(M16-Z16)/2,IF(AC16&gt;=AF16,(((M16*T16)*Y16)-AA16)/2,((((M16*T16)*Y16)-Z16)+(((M16*T16)*Y16)-AA16))/2))</f>
        <v>6975.428000000061</v>
      </c>
      <c r="AC16" s="35">
        <f t="shared" si="11"/>
        <v>2009.5</v>
      </c>
      <c r="AD16" s="35">
        <f t="shared" si="12"/>
        <v>2010.5833333333333</v>
      </c>
      <c r="AE16" s="35">
        <f t="shared" si="13"/>
        <v>2016.5</v>
      </c>
      <c r="AF16" s="35">
        <f t="shared" si="14"/>
        <v>2009.5833333333333</v>
      </c>
      <c r="AG16" s="35">
        <f t="shared" si="15"/>
        <v>-0.08333333333333333</v>
      </c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</row>
    <row r="17" spans="1:48" ht="11.25">
      <c r="A17" s="47"/>
      <c r="B17" s="170">
        <v>17</v>
      </c>
      <c r="C17" s="49" t="s">
        <v>411</v>
      </c>
      <c r="D17" s="50">
        <v>2009</v>
      </c>
      <c r="E17" s="51">
        <v>7</v>
      </c>
      <c r="F17" s="52">
        <v>0.33</v>
      </c>
      <c r="G17" s="35"/>
      <c r="H17" s="53" t="s">
        <v>30</v>
      </c>
      <c r="I17" s="54">
        <v>5</v>
      </c>
      <c r="J17" s="55">
        <f t="shared" si="0"/>
        <v>2014</v>
      </c>
      <c r="K17" s="56"/>
      <c r="L17" s="56"/>
      <c r="M17" s="58">
        <f>14349+5696</f>
        <v>20045</v>
      </c>
      <c r="N17" s="59">
        <v>0</v>
      </c>
      <c r="O17" s="60">
        <f t="shared" si="1"/>
        <v>13430.15</v>
      </c>
      <c r="P17" s="60">
        <f t="shared" si="2"/>
        <v>223.8358333333333</v>
      </c>
      <c r="Q17" s="60">
        <f t="shared" si="3"/>
        <v>2686.0299999999997</v>
      </c>
      <c r="R17" s="35">
        <f t="shared" si="4"/>
        <v>0</v>
      </c>
      <c r="S17" s="35">
        <f t="shared" si="5"/>
        <v>2686.0299999999997</v>
      </c>
      <c r="T17" s="35">
        <v>1</v>
      </c>
      <c r="U17" s="35">
        <f t="shared" si="6"/>
        <v>2686.0299999999997</v>
      </c>
      <c r="V17" s="35"/>
      <c r="W17" s="35">
        <f t="shared" si="7"/>
        <v>223.83583333312973</v>
      </c>
      <c r="X17" s="35">
        <f t="shared" si="8"/>
        <v>223.83583333312973</v>
      </c>
      <c r="Y17" s="35">
        <v>1</v>
      </c>
      <c r="Z17" s="60">
        <f>X17*Y17-224</f>
        <v>-0.1641666668702726</v>
      </c>
      <c r="AA17" s="60">
        <f t="shared" si="9"/>
        <v>2685.8658333331296</v>
      </c>
      <c r="AB17" s="60">
        <f t="shared" si="10"/>
        <v>18702.14916666687</v>
      </c>
      <c r="AC17" s="35">
        <f t="shared" si="11"/>
        <v>2009.5</v>
      </c>
      <c r="AD17" s="35">
        <f t="shared" si="12"/>
        <v>2010.5833333333333</v>
      </c>
      <c r="AE17" s="35">
        <f t="shared" si="13"/>
        <v>2014.5</v>
      </c>
      <c r="AF17" s="35">
        <f t="shared" si="14"/>
        <v>2009.5833333333333</v>
      </c>
      <c r="AG17" s="35">
        <f t="shared" si="15"/>
        <v>-0.08333333333333333</v>
      </c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</row>
    <row r="18" spans="1:48" ht="11.25">
      <c r="A18" s="47"/>
      <c r="B18" s="48"/>
      <c r="C18" s="49" t="s">
        <v>186</v>
      </c>
      <c r="D18" s="50">
        <v>2009</v>
      </c>
      <c r="E18" s="51">
        <v>7</v>
      </c>
      <c r="F18" s="52">
        <v>0.2</v>
      </c>
      <c r="G18" s="35"/>
      <c r="H18" s="53" t="s">
        <v>30</v>
      </c>
      <c r="I18" s="54">
        <v>7</v>
      </c>
      <c r="J18" s="55">
        <f t="shared" si="0"/>
        <v>2016</v>
      </c>
      <c r="K18" s="56"/>
      <c r="L18" s="56"/>
      <c r="M18" s="58">
        <v>82000</v>
      </c>
      <c r="N18" s="59">
        <v>0</v>
      </c>
      <c r="O18" s="60">
        <f t="shared" si="1"/>
        <v>65600</v>
      </c>
      <c r="P18" s="60">
        <f t="shared" si="2"/>
        <v>780.9523809523808</v>
      </c>
      <c r="Q18" s="60">
        <f t="shared" si="3"/>
        <v>9371.42857142857</v>
      </c>
      <c r="R18" s="35">
        <f t="shared" si="4"/>
        <v>0</v>
      </c>
      <c r="S18" s="35">
        <f t="shared" si="5"/>
        <v>9371.42857142857</v>
      </c>
      <c r="T18" s="35">
        <v>1</v>
      </c>
      <c r="U18" s="35">
        <f t="shared" si="6"/>
        <v>9371.42857142857</v>
      </c>
      <c r="V18" s="35"/>
      <c r="W18" s="35">
        <f t="shared" si="7"/>
        <v>780.9523809516705</v>
      </c>
      <c r="X18" s="35">
        <f t="shared" si="8"/>
        <v>780.9523809516705</v>
      </c>
      <c r="Y18" s="35">
        <v>1</v>
      </c>
      <c r="Z18" s="60">
        <f>X18*Y18-781</f>
        <v>-0.04761904832946584</v>
      </c>
      <c r="AA18" s="60">
        <f t="shared" si="9"/>
        <v>9371.380952380241</v>
      </c>
      <c r="AB18" s="60">
        <f t="shared" si="10"/>
        <v>77314.33333333404</v>
      </c>
      <c r="AC18" s="35">
        <f t="shared" si="11"/>
        <v>2009.5</v>
      </c>
      <c r="AD18" s="35">
        <f t="shared" si="12"/>
        <v>2010.5833333333333</v>
      </c>
      <c r="AE18" s="35">
        <f t="shared" si="13"/>
        <v>2016.5</v>
      </c>
      <c r="AF18" s="35">
        <f t="shared" si="14"/>
        <v>2009.5833333333333</v>
      </c>
      <c r="AG18" s="35">
        <f t="shared" si="15"/>
        <v>-0.08333333333333333</v>
      </c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</row>
    <row r="19" spans="1:48" ht="11.25">
      <c r="A19" s="29"/>
      <c r="B19" s="61"/>
      <c r="C19" s="62" t="s">
        <v>187</v>
      </c>
      <c r="D19" s="63"/>
      <c r="E19" s="64"/>
      <c r="F19" s="65"/>
      <c r="G19" s="66"/>
      <c r="H19" s="36"/>
      <c r="I19" s="67"/>
      <c r="J19" s="68"/>
      <c r="K19" s="69"/>
      <c r="L19" s="69"/>
      <c r="M19" s="70">
        <f>SUM(M12:M18)</f>
        <v>892647.15</v>
      </c>
      <c r="N19" s="71"/>
      <c r="O19" s="70">
        <f aca="true" t="shared" si="16" ref="O19:AB19">SUM(O12:O18)</f>
        <v>711511.8700000001</v>
      </c>
      <c r="P19" s="70">
        <f t="shared" si="16"/>
        <v>8534.3325</v>
      </c>
      <c r="Q19" s="70">
        <f t="shared" si="16"/>
        <v>102411.98999999999</v>
      </c>
      <c r="R19" s="70">
        <f t="shared" si="16"/>
        <v>0</v>
      </c>
      <c r="S19" s="70">
        <f t="shared" si="16"/>
        <v>102411.98999999999</v>
      </c>
      <c r="T19" s="70">
        <f t="shared" si="16"/>
        <v>7</v>
      </c>
      <c r="U19" s="70">
        <f t="shared" si="16"/>
        <v>102411.98999999999</v>
      </c>
      <c r="V19" s="70">
        <f t="shared" si="16"/>
        <v>0</v>
      </c>
      <c r="W19" s="70">
        <f t="shared" si="16"/>
        <v>8534.332499992239</v>
      </c>
      <c r="X19" s="70">
        <f t="shared" si="16"/>
        <v>8534.332499992239</v>
      </c>
      <c r="Y19" s="70">
        <f t="shared" si="16"/>
        <v>7</v>
      </c>
      <c r="Z19" s="70">
        <f>SUM(Z12:Z18)+1</f>
        <v>-362.6675000077621</v>
      </c>
      <c r="AA19" s="70">
        <f t="shared" si="16"/>
        <v>102048.32249999224</v>
      </c>
      <c r="AB19" s="70">
        <f t="shared" si="16"/>
        <v>841804.8225000078</v>
      </c>
      <c r="AC19" s="66"/>
      <c r="AD19" s="66"/>
      <c r="AE19" s="66"/>
      <c r="AF19" s="66"/>
      <c r="AG19" s="66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</row>
    <row r="20" spans="1:48" ht="11.25">
      <c r="A20" s="47"/>
      <c r="B20" s="48"/>
      <c r="C20" s="49"/>
      <c r="D20" s="50"/>
      <c r="E20" s="51"/>
      <c r="F20" s="52"/>
      <c r="G20" s="35"/>
      <c r="H20" s="53"/>
      <c r="I20" s="54"/>
      <c r="J20" s="55"/>
      <c r="K20" s="56"/>
      <c r="L20" s="56"/>
      <c r="M20" s="58"/>
      <c r="N20" s="59"/>
      <c r="O20" s="60"/>
      <c r="P20" s="60"/>
      <c r="Q20" s="60"/>
      <c r="R20" s="35"/>
      <c r="S20" s="35"/>
      <c r="T20" s="35"/>
      <c r="U20" s="35"/>
      <c r="V20" s="35"/>
      <c r="W20" s="35"/>
      <c r="X20" s="35"/>
      <c r="Y20" s="35"/>
      <c r="Z20" s="60"/>
      <c r="AA20" s="60"/>
      <c r="AB20" s="60"/>
      <c r="AC20" s="35"/>
      <c r="AD20" s="35"/>
      <c r="AE20" s="35"/>
      <c r="AF20" s="35"/>
      <c r="AG20" s="35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</row>
    <row r="21" spans="1:41" ht="11.25">
      <c r="A21" s="47"/>
      <c r="B21" s="48">
        <v>10500</v>
      </c>
      <c r="C21" s="49" t="s">
        <v>188</v>
      </c>
      <c r="D21" s="50">
        <v>2009</v>
      </c>
      <c r="E21" s="51">
        <v>7</v>
      </c>
      <c r="F21" s="52"/>
      <c r="G21" s="35"/>
      <c r="H21" s="53" t="s">
        <v>30</v>
      </c>
      <c r="I21" s="54">
        <v>10</v>
      </c>
      <c r="J21" s="55">
        <f aca="true" t="shared" si="17" ref="J21:J30">D21+I21</f>
        <v>2019</v>
      </c>
      <c r="K21" s="56"/>
      <c r="L21" s="56"/>
      <c r="M21" s="58">
        <f>B21*45.4836</f>
        <v>477577.80000000005</v>
      </c>
      <c r="N21" s="59">
        <v>0</v>
      </c>
      <c r="O21" s="60">
        <f aca="true" t="shared" si="18" ref="O21:O30">M21-M21*F21</f>
        <v>477577.80000000005</v>
      </c>
      <c r="P21" s="60">
        <f aca="true" t="shared" si="19" ref="P21:P30">O21/I21/12</f>
        <v>3979.8150000000005</v>
      </c>
      <c r="Q21" s="60">
        <f aca="true" t="shared" si="20" ref="Q21:Q30">IF(N21&gt;0,0,IF(OR(AC21&gt;AD21,AE21&lt;AF21),0,IF(AND(AE21&gt;=AF21,AE21&lt;=AD21),P21*((AE21-AF21)*12),IF(AND(AF21&lt;=AC21,AD21&gt;=AC21),((AD21-AC21)*12)*P21,IF(AE21&gt;AD21,12*P21,0)))))</f>
        <v>47757.780000000006</v>
      </c>
      <c r="R21" s="35">
        <f aca="true" t="shared" si="21" ref="R21:R30">IF(N21=0,0,IF(AND(AG21&gt;=AF21,AG21&lt;=AE21),((AG21-AF21)*12)*P21,0))</f>
        <v>0</v>
      </c>
      <c r="S21" s="35">
        <f aca="true" t="shared" si="22" ref="S21:S30">IF(R21&gt;0,R21,Q21)</f>
        <v>47757.780000000006</v>
      </c>
      <c r="T21" s="35">
        <v>1</v>
      </c>
      <c r="U21" s="35">
        <f aca="true" t="shared" si="23" ref="U21:U30">T21*SUM(Q21:R21)</f>
        <v>47757.780000000006</v>
      </c>
      <c r="V21" s="35"/>
      <c r="W21" s="35">
        <f aca="true" t="shared" si="24" ref="W21:W30">IF(AC21&gt;AD21,0,IF(AE21&lt;AF21,O21,IF(AND(AE21&gt;=AF21,AE21&lt;=AD21),(O21-S21),IF(AND(AF21&lt;=AC21,AD21&gt;=AC21),0,IF(AE21&gt;AD21,((AF21-AC21)*12)*P21,0)))))</f>
        <v>3979.8149999963807</v>
      </c>
      <c r="X21" s="35">
        <f aca="true" t="shared" si="25" ref="X21:X30">W21*T21</f>
        <v>3979.8149999963807</v>
      </c>
      <c r="Y21" s="35">
        <v>1</v>
      </c>
      <c r="Z21" s="60">
        <f>X21*Y21-3980</f>
        <v>-0.1850000036192796</v>
      </c>
      <c r="AA21" s="60">
        <f aca="true" t="shared" si="26" ref="AA21:AA30">IF(N21&gt;0,0,Z21+U21*Y21)*Y21</f>
        <v>47757.594999996385</v>
      </c>
      <c r="AB21" s="60">
        <f aca="true" t="shared" si="27" ref="AB21:AB30">IF(N21&gt;0,(M21-Z21)/2,IF(AC21&gt;=AF21,(((M21*T21)*Y21)-AA21)/2,((((M21*T21)*Y21)-Z21)+(((M21*T21)*Y21)-AA21))/2))</f>
        <v>453699.0950000037</v>
      </c>
      <c r="AC21" s="35">
        <f t="shared" si="11"/>
        <v>2009.5</v>
      </c>
      <c r="AD21" s="35">
        <f t="shared" si="12"/>
        <v>2010.5833333333333</v>
      </c>
      <c r="AE21" s="35">
        <f t="shared" si="13"/>
        <v>2019.5</v>
      </c>
      <c r="AF21" s="35">
        <f t="shared" si="14"/>
        <v>2009.5833333333333</v>
      </c>
      <c r="AG21" s="35">
        <f t="shared" si="15"/>
        <v>-0.08333333333333333</v>
      </c>
      <c r="AH21" s="16"/>
      <c r="AI21" s="16"/>
      <c r="AJ21" s="16"/>
      <c r="AK21" s="16"/>
      <c r="AL21" s="16"/>
      <c r="AM21" s="16"/>
      <c r="AN21" s="16"/>
      <c r="AO21" s="16"/>
    </row>
    <row r="22" spans="1:41" ht="11.25">
      <c r="A22" s="47"/>
      <c r="B22" s="48">
        <v>500</v>
      </c>
      <c r="C22" s="49" t="s">
        <v>189</v>
      </c>
      <c r="D22" s="50">
        <v>2009</v>
      </c>
      <c r="E22" s="51">
        <v>7</v>
      </c>
      <c r="F22" s="52"/>
      <c r="G22" s="35"/>
      <c r="H22" s="53" t="s">
        <v>30</v>
      </c>
      <c r="I22" s="54">
        <v>10</v>
      </c>
      <c r="J22" s="55">
        <f t="shared" si="17"/>
        <v>2019</v>
      </c>
      <c r="K22" s="56"/>
      <c r="L22" s="56"/>
      <c r="M22" s="58">
        <f>B22*45.4836</f>
        <v>22741.800000000003</v>
      </c>
      <c r="N22" s="59">
        <v>0</v>
      </c>
      <c r="O22" s="60">
        <f t="shared" si="18"/>
        <v>22741.800000000003</v>
      </c>
      <c r="P22" s="60">
        <f t="shared" si="19"/>
        <v>189.51500000000001</v>
      </c>
      <c r="Q22" s="60">
        <f t="shared" si="20"/>
        <v>2274.1800000000003</v>
      </c>
      <c r="R22" s="35">
        <f t="shared" si="21"/>
        <v>0</v>
      </c>
      <c r="S22" s="35">
        <f t="shared" si="22"/>
        <v>2274.1800000000003</v>
      </c>
      <c r="T22" s="35">
        <v>1</v>
      </c>
      <c r="U22" s="35">
        <f t="shared" si="23"/>
        <v>2274.1800000000003</v>
      </c>
      <c r="V22" s="35"/>
      <c r="W22" s="35">
        <f t="shared" si="24"/>
        <v>189.51499999982767</v>
      </c>
      <c r="X22" s="35">
        <f t="shared" si="25"/>
        <v>189.51499999982767</v>
      </c>
      <c r="Y22" s="35">
        <v>1</v>
      </c>
      <c r="Z22" s="60">
        <f>X22*Y22-190</f>
        <v>-0.48500000017233447</v>
      </c>
      <c r="AA22" s="60">
        <f t="shared" si="26"/>
        <v>2273.694999999828</v>
      </c>
      <c r="AB22" s="60">
        <f t="shared" si="27"/>
        <v>21605.195000000174</v>
      </c>
      <c r="AC22" s="35">
        <f t="shared" si="11"/>
        <v>2009.5</v>
      </c>
      <c r="AD22" s="35">
        <f t="shared" si="12"/>
        <v>2010.5833333333333</v>
      </c>
      <c r="AE22" s="35">
        <f t="shared" si="13"/>
        <v>2019.5</v>
      </c>
      <c r="AF22" s="35">
        <f t="shared" si="14"/>
        <v>2009.5833333333333</v>
      </c>
      <c r="AG22" s="35">
        <f t="shared" si="15"/>
        <v>-0.08333333333333333</v>
      </c>
      <c r="AH22" s="16"/>
      <c r="AI22" s="16"/>
      <c r="AJ22" s="16"/>
      <c r="AK22" s="16"/>
      <c r="AL22" s="16"/>
      <c r="AM22" s="16"/>
      <c r="AN22" s="16"/>
      <c r="AO22" s="16"/>
    </row>
    <row r="23" spans="1:41" ht="11.25">
      <c r="A23" s="29"/>
      <c r="B23" s="61"/>
      <c r="C23" s="62" t="s">
        <v>190</v>
      </c>
      <c r="D23" s="63"/>
      <c r="E23" s="64"/>
      <c r="F23" s="65"/>
      <c r="G23" s="66"/>
      <c r="H23" s="36"/>
      <c r="I23" s="67"/>
      <c r="J23" s="68"/>
      <c r="K23" s="69"/>
      <c r="L23" s="69"/>
      <c r="M23" s="70">
        <f>SUM(M21:M22)</f>
        <v>500319.60000000003</v>
      </c>
      <c r="N23" s="71"/>
      <c r="O23" s="70">
        <f aca="true" t="shared" si="28" ref="O23:AB23">SUM(O21:O22)</f>
        <v>500319.60000000003</v>
      </c>
      <c r="P23" s="70">
        <f t="shared" si="28"/>
        <v>4169.330000000001</v>
      </c>
      <c r="Q23" s="70">
        <f t="shared" si="28"/>
        <v>50031.96000000001</v>
      </c>
      <c r="R23" s="70">
        <f t="shared" si="28"/>
        <v>0</v>
      </c>
      <c r="S23" s="70">
        <f t="shared" si="28"/>
        <v>50031.96000000001</v>
      </c>
      <c r="T23" s="70">
        <f t="shared" si="28"/>
        <v>2</v>
      </c>
      <c r="U23" s="70">
        <f t="shared" si="28"/>
        <v>50031.96000000001</v>
      </c>
      <c r="V23" s="70">
        <f t="shared" si="28"/>
        <v>0</v>
      </c>
      <c r="W23" s="70">
        <f t="shared" si="28"/>
        <v>4169.329999996208</v>
      </c>
      <c r="X23" s="70">
        <f t="shared" si="28"/>
        <v>4169.329999996208</v>
      </c>
      <c r="Y23" s="70">
        <f t="shared" si="28"/>
        <v>2</v>
      </c>
      <c r="Z23" s="70">
        <f>SUM(Z21:Z22)+1</f>
        <v>0.32999999620838594</v>
      </c>
      <c r="AA23" s="70">
        <f t="shared" si="28"/>
        <v>50031.28999999621</v>
      </c>
      <c r="AB23" s="70">
        <f t="shared" si="28"/>
        <v>475304.2900000039</v>
      </c>
      <c r="AC23" s="66"/>
      <c r="AD23" s="66"/>
      <c r="AE23" s="66"/>
      <c r="AF23" s="66"/>
      <c r="AG23" s="66"/>
      <c r="AH23" s="72"/>
      <c r="AI23" s="72"/>
      <c r="AJ23" s="72"/>
      <c r="AK23" s="72"/>
      <c r="AL23" s="72"/>
      <c r="AM23" s="72"/>
      <c r="AN23" s="72"/>
      <c r="AO23" s="72"/>
    </row>
    <row r="24" spans="1:41" ht="11.25">
      <c r="A24" s="47"/>
      <c r="B24" s="48"/>
      <c r="C24" s="49"/>
      <c r="D24" s="50"/>
      <c r="E24" s="51"/>
      <c r="F24" s="52"/>
      <c r="G24" s="35"/>
      <c r="H24" s="53"/>
      <c r="I24" s="54"/>
      <c r="J24" s="55"/>
      <c r="K24" s="56"/>
      <c r="L24" s="56"/>
      <c r="M24" s="58"/>
      <c r="N24" s="59"/>
      <c r="O24" s="60"/>
      <c r="P24" s="60"/>
      <c r="Q24" s="60"/>
      <c r="R24" s="35"/>
      <c r="S24" s="35"/>
      <c r="T24" s="35"/>
      <c r="U24" s="35"/>
      <c r="V24" s="35"/>
      <c r="W24" s="35"/>
      <c r="X24" s="35"/>
      <c r="Y24" s="35"/>
      <c r="Z24" s="60"/>
      <c r="AA24" s="60"/>
      <c r="AB24" s="60"/>
      <c r="AC24" s="35"/>
      <c r="AD24" s="35"/>
      <c r="AE24" s="35"/>
      <c r="AF24" s="35"/>
      <c r="AG24" s="35"/>
      <c r="AH24" s="16"/>
      <c r="AI24" s="16"/>
      <c r="AJ24" s="16"/>
      <c r="AK24" s="16"/>
      <c r="AL24" s="16"/>
      <c r="AM24" s="16"/>
      <c r="AN24" s="16"/>
      <c r="AO24" s="16"/>
    </row>
    <row r="25" spans="1:41" ht="11.25">
      <c r="A25" s="47"/>
      <c r="B25" s="48"/>
      <c r="C25" s="49" t="s">
        <v>191</v>
      </c>
      <c r="D25" s="50">
        <v>2009</v>
      </c>
      <c r="E25" s="51">
        <v>7</v>
      </c>
      <c r="F25" s="52"/>
      <c r="G25" s="35"/>
      <c r="H25" s="53" t="s">
        <v>30</v>
      </c>
      <c r="I25" s="54">
        <v>10</v>
      </c>
      <c r="J25" s="55">
        <f t="shared" si="17"/>
        <v>2019</v>
      </c>
      <c r="K25" s="56"/>
      <c r="L25" s="56"/>
      <c r="M25" s="58">
        <v>9000</v>
      </c>
      <c r="N25" s="59">
        <v>0</v>
      </c>
      <c r="O25" s="60">
        <f t="shared" si="18"/>
        <v>9000</v>
      </c>
      <c r="P25" s="60">
        <f t="shared" si="19"/>
        <v>75</v>
      </c>
      <c r="Q25" s="60">
        <f t="shared" si="20"/>
        <v>900</v>
      </c>
      <c r="R25" s="35">
        <f t="shared" si="21"/>
        <v>0</v>
      </c>
      <c r="S25" s="35">
        <f t="shared" si="22"/>
        <v>900</v>
      </c>
      <c r="T25" s="35">
        <v>1</v>
      </c>
      <c r="U25" s="35">
        <f t="shared" si="23"/>
        <v>900</v>
      </c>
      <c r="V25" s="35"/>
      <c r="W25" s="35">
        <f t="shared" si="24"/>
        <v>74.99999999993179</v>
      </c>
      <c r="X25" s="35">
        <f t="shared" si="25"/>
        <v>74.99999999993179</v>
      </c>
      <c r="Y25" s="35">
        <v>1</v>
      </c>
      <c r="Z25" s="60">
        <f>X25*Y25-75</f>
        <v>-6.821210263296962E-11</v>
      </c>
      <c r="AA25" s="60">
        <f t="shared" si="26"/>
        <v>899.9999999999318</v>
      </c>
      <c r="AB25" s="60">
        <f t="shared" si="27"/>
        <v>8550.00000000007</v>
      </c>
      <c r="AC25" s="35">
        <f t="shared" si="11"/>
        <v>2009.5</v>
      </c>
      <c r="AD25" s="35">
        <f t="shared" si="12"/>
        <v>2010.5833333333333</v>
      </c>
      <c r="AE25" s="35">
        <f t="shared" si="13"/>
        <v>2019.5</v>
      </c>
      <c r="AF25" s="35">
        <f t="shared" si="14"/>
        <v>2009.5833333333333</v>
      </c>
      <c r="AG25" s="35">
        <f t="shared" si="15"/>
        <v>-0.08333333333333333</v>
      </c>
      <c r="AH25" s="16"/>
      <c r="AI25" s="16"/>
      <c r="AJ25" s="16"/>
      <c r="AK25" s="16"/>
      <c r="AL25" s="16"/>
      <c r="AM25" s="16"/>
      <c r="AN25" s="16"/>
      <c r="AO25" s="16"/>
    </row>
    <row r="26" spans="1:41" ht="11.25">
      <c r="A26" s="47"/>
      <c r="B26" s="48"/>
      <c r="C26" s="49"/>
      <c r="D26" s="50"/>
      <c r="E26" s="51"/>
      <c r="F26" s="52"/>
      <c r="G26" s="35"/>
      <c r="H26" s="53"/>
      <c r="I26" s="54"/>
      <c r="J26" s="55"/>
      <c r="K26" s="56"/>
      <c r="L26" s="56"/>
      <c r="M26" s="58"/>
      <c r="N26" s="59"/>
      <c r="O26" s="60"/>
      <c r="P26" s="60"/>
      <c r="Q26" s="60"/>
      <c r="R26" s="35"/>
      <c r="S26" s="35"/>
      <c r="T26" s="35"/>
      <c r="U26" s="35"/>
      <c r="V26" s="35"/>
      <c r="W26" s="35"/>
      <c r="X26" s="35"/>
      <c r="Y26" s="35"/>
      <c r="Z26" s="60"/>
      <c r="AA26" s="60"/>
      <c r="AB26" s="60"/>
      <c r="AC26" s="35"/>
      <c r="AD26" s="35"/>
      <c r="AE26" s="35"/>
      <c r="AF26" s="35"/>
      <c r="AG26" s="35"/>
      <c r="AH26" s="16"/>
      <c r="AI26" s="16"/>
      <c r="AJ26" s="16"/>
      <c r="AK26" s="16"/>
      <c r="AL26" s="16"/>
      <c r="AM26" s="16"/>
      <c r="AN26" s="16"/>
      <c r="AO26" s="16"/>
    </row>
    <row r="27" spans="1:41" ht="11.25">
      <c r="A27" s="47"/>
      <c r="B27" s="48"/>
      <c r="C27" s="49" t="s">
        <v>152</v>
      </c>
      <c r="D27" s="50">
        <v>2009</v>
      </c>
      <c r="E27" s="51">
        <v>7</v>
      </c>
      <c r="F27" s="52"/>
      <c r="G27" s="35"/>
      <c r="H27" s="53" t="s">
        <v>30</v>
      </c>
      <c r="I27" s="54">
        <v>10</v>
      </c>
      <c r="J27" s="55">
        <f t="shared" si="17"/>
        <v>2019</v>
      </c>
      <c r="K27" s="56"/>
      <c r="L27" s="56"/>
      <c r="M27" s="58">
        <v>8500</v>
      </c>
      <c r="N27" s="59">
        <v>0</v>
      </c>
      <c r="O27" s="60">
        <f t="shared" si="18"/>
        <v>8500</v>
      </c>
      <c r="P27" s="60">
        <f t="shared" si="19"/>
        <v>70.83333333333333</v>
      </c>
      <c r="Q27" s="60">
        <f t="shared" si="20"/>
        <v>850</v>
      </c>
      <c r="R27" s="35">
        <f t="shared" si="21"/>
        <v>0</v>
      </c>
      <c r="S27" s="35">
        <f t="shared" si="22"/>
        <v>850</v>
      </c>
      <c r="T27" s="35">
        <v>1</v>
      </c>
      <c r="U27" s="35">
        <f t="shared" si="23"/>
        <v>850</v>
      </c>
      <c r="V27" s="35"/>
      <c r="W27" s="35">
        <f t="shared" si="24"/>
        <v>70.83333333326891</v>
      </c>
      <c r="X27" s="35">
        <f t="shared" si="25"/>
        <v>70.83333333326891</v>
      </c>
      <c r="Y27" s="35">
        <v>1</v>
      </c>
      <c r="Z27" s="60">
        <f>X27*Y27-71</f>
        <v>-0.1666666667310892</v>
      </c>
      <c r="AA27" s="60">
        <f t="shared" si="26"/>
        <v>849.8333333332689</v>
      </c>
      <c r="AB27" s="60">
        <f t="shared" si="27"/>
        <v>8075.1666666667315</v>
      </c>
      <c r="AC27" s="35">
        <f t="shared" si="11"/>
        <v>2009.5</v>
      </c>
      <c r="AD27" s="35">
        <f t="shared" si="12"/>
        <v>2010.5833333333333</v>
      </c>
      <c r="AE27" s="35">
        <f t="shared" si="13"/>
        <v>2019.5</v>
      </c>
      <c r="AF27" s="35">
        <f t="shared" si="14"/>
        <v>2009.5833333333333</v>
      </c>
      <c r="AG27" s="35">
        <f t="shared" si="15"/>
        <v>-0.08333333333333333</v>
      </c>
      <c r="AH27" s="16"/>
      <c r="AI27" s="16"/>
      <c r="AJ27" s="16"/>
      <c r="AK27" s="16"/>
      <c r="AL27" s="16"/>
      <c r="AM27" s="16"/>
      <c r="AN27" s="16"/>
      <c r="AO27" s="16"/>
    </row>
    <row r="28" spans="1:41" ht="11.25">
      <c r="A28" s="47"/>
      <c r="B28" s="48"/>
      <c r="C28" s="49"/>
      <c r="D28" s="50"/>
      <c r="E28" s="51"/>
      <c r="F28" s="52"/>
      <c r="G28" s="35"/>
      <c r="H28" s="53"/>
      <c r="I28" s="54"/>
      <c r="J28" s="55"/>
      <c r="K28" s="56"/>
      <c r="L28" s="56"/>
      <c r="M28" s="58"/>
      <c r="N28" s="59"/>
      <c r="O28" s="60"/>
      <c r="P28" s="60"/>
      <c r="Q28" s="60"/>
      <c r="R28" s="35"/>
      <c r="S28" s="35"/>
      <c r="T28" s="35"/>
      <c r="U28" s="35"/>
      <c r="V28" s="35"/>
      <c r="W28" s="35"/>
      <c r="X28" s="35"/>
      <c r="Y28" s="35"/>
      <c r="Z28" s="60"/>
      <c r="AA28" s="60"/>
      <c r="AB28" s="60"/>
      <c r="AC28" s="35"/>
      <c r="AD28" s="35"/>
      <c r="AE28" s="35"/>
      <c r="AF28" s="35"/>
      <c r="AG28" s="35"/>
      <c r="AH28" s="16"/>
      <c r="AI28" s="16"/>
      <c r="AJ28" s="16"/>
      <c r="AK28" s="16"/>
      <c r="AL28" s="16"/>
      <c r="AM28" s="16"/>
      <c r="AN28" s="16"/>
      <c r="AO28" s="16"/>
    </row>
    <row r="29" spans="1:41" ht="11.25">
      <c r="A29" s="47"/>
      <c r="B29" s="48"/>
      <c r="C29" s="49" t="s">
        <v>192</v>
      </c>
      <c r="D29" s="50">
        <v>2009</v>
      </c>
      <c r="E29" s="51">
        <v>7</v>
      </c>
      <c r="F29" s="52"/>
      <c r="G29" s="35"/>
      <c r="H29" s="53" t="s">
        <v>30</v>
      </c>
      <c r="I29" s="54">
        <v>7</v>
      </c>
      <c r="J29" s="55">
        <f t="shared" si="17"/>
        <v>2016</v>
      </c>
      <c r="K29" s="56"/>
      <c r="L29" s="56"/>
      <c r="M29" s="58">
        <v>1200</v>
      </c>
      <c r="N29" s="59">
        <v>0</v>
      </c>
      <c r="O29" s="60">
        <f t="shared" si="18"/>
        <v>1200</v>
      </c>
      <c r="P29" s="60">
        <f t="shared" si="19"/>
        <v>14.285714285714285</v>
      </c>
      <c r="Q29" s="60">
        <f t="shared" si="20"/>
        <v>171.42857142857142</v>
      </c>
      <c r="R29" s="35">
        <f t="shared" si="21"/>
        <v>0</v>
      </c>
      <c r="S29" s="35">
        <f t="shared" si="22"/>
        <v>171.42857142857142</v>
      </c>
      <c r="T29" s="35">
        <v>1</v>
      </c>
      <c r="U29" s="35">
        <f t="shared" si="23"/>
        <v>171.42857142857142</v>
      </c>
      <c r="V29" s="35"/>
      <c r="W29" s="35">
        <f t="shared" si="24"/>
        <v>14.285714285701292</v>
      </c>
      <c r="X29" s="35">
        <f t="shared" si="25"/>
        <v>14.285714285701292</v>
      </c>
      <c r="Y29" s="35">
        <v>1</v>
      </c>
      <c r="Z29" s="60">
        <f>X29*Y29-14</f>
        <v>0.2857142857012924</v>
      </c>
      <c r="AA29" s="60">
        <f t="shared" si="26"/>
        <v>171.7142857142727</v>
      </c>
      <c r="AB29" s="60">
        <f t="shared" si="27"/>
        <v>1114.0000000000132</v>
      </c>
      <c r="AC29" s="35">
        <f t="shared" si="11"/>
        <v>2009.5</v>
      </c>
      <c r="AD29" s="35">
        <f t="shared" si="12"/>
        <v>2010.5833333333333</v>
      </c>
      <c r="AE29" s="35">
        <f t="shared" si="13"/>
        <v>2016.5</v>
      </c>
      <c r="AF29" s="35">
        <f t="shared" si="14"/>
        <v>2009.5833333333333</v>
      </c>
      <c r="AG29" s="35">
        <f t="shared" si="15"/>
        <v>-0.08333333333333333</v>
      </c>
      <c r="AH29" s="16"/>
      <c r="AI29" s="16"/>
      <c r="AJ29" s="16"/>
      <c r="AK29" s="16"/>
      <c r="AL29" s="16"/>
      <c r="AM29" s="16"/>
      <c r="AN29" s="16"/>
      <c r="AO29" s="16"/>
    </row>
    <row r="30" spans="1:41" ht="11.25">
      <c r="A30" s="73"/>
      <c r="B30" s="74"/>
      <c r="C30" s="75" t="s">
        <v>193</v>
      </c>
      <c r="D30" s="76">
        <v>2009</v>
      </c>
      <c r="E30" s="51">
        <v>7</v>
      </c>
      <c r="F30" s="77"/>
      <c r="G30" s="78"/>
      <c r="H30" s="79" t="s">
        <v>30</v>
      </c>
      <c r="I30" s="80">
        <v>5</v>
      </c>
      <c r="J30" s="81">
        <f t="shared" si="17"/>
        <v>2014</v>
      </c>
      <c r="K30" s="82"/>
      <c r="L30" s="82"/>
      <c r="M30" s="83">
        <v>1200</v>
      </c>
      <c r="N30" s="59">
        <v>0</v>
      </c>
      <c r="O30" s="84">
        <f t="shared" si="18"/>
        <v>1200</v>
      </c>
      <c r="P30" s="84">
        <f t="shared" si="19"/>
        <v>20</v>
      </c>
      <c r="Q30" s="84">
        <f t="shared" si="20"/>
        <v>240</v>
      </c>
      <c r="R30" s="78">
        <f t="shared" si="21"/>
        <v>0</v>
      </c>
      <c r="S30" s="78">
        <f t="shared" si="22"/>
        <v>240</v>
      </c>
      <c r="T30" s="78">
        <v>1</v>
      </c>
      <c r="U30" s="78">
        <f t="shared" si="23"/>
        <v>240</v>
      </c>
      <c r="V30" s="78"/>
      <c r="W30" s="78">
        <f t="shared" si="24"/>
        <v>19.99999999998181</v>
      </c>
      <c r="X30" s="78">
        <f t="shared" si="25"/>
        <v>19.99999999998181</v>
      </c>
      <c r="Y30" s="78">
        <v>1</v>
      </c>
      <c r="Z30" s="84">
        <f>X30*Y30-20</f>
        <v>-1.8189894035458565E-11</v>
      </c>
      <c r="AA30" s="84">
        <f t="shared" si="26"/>
        <v>239.9999999999818</v>
      </c>
      <c r="AB30" s="84">
        <f t="shared" si="27"/>
        <v>1080.0000000000182</v>
      </c>
      <c r="AC30" s="78">
        <f t="shared" si="11"/>
        <v>2009.5</v>
      </c>
      <c r="AD30" s="78">
        <f t="shared" si="12"/>
        <v>2010.5833333333333</v>
      </c>
      <c r="AE30" s="78">
        <f t="shared" si="13"/>
        <v>2014.5</v>
      </c>
      <c r="AF30" s="78">
        <f t="shared" si="14"/>
        <v>2009.5833333333333</v>
      </c>
      <c r="AG30" s="78">
        <f t="shared" si="15"/>
        <v>-0.08333333333333333</v>
      </c>
      <c r="AH30" s="16"/>
      <c r="AI30" s="16"/>
      <c r="AJ30" s="16"/>
      <c r="AK30" s="16"/>
      <c r="AL30" s="16"/>
      <c r="AM30" s="16"/>
      <c r="AN30" s="16"/>
      <c r="AO30" s="16"/>
    </row>
    <row r="31" spans="3:28" s="8" customFormat="1" ht="11.25">
      <c r="C31" s="10" t="s">
        <v>194</v>
      </c>
      <c r="M31" s="9">
        <f>SUM(M29:M30)</f>
        <v>2400</v>
      </c>
      <c r="O31" s="9">
        <f aca="true" t="shared" si="29" ref="O31:AB31">SUM(O29:O30)</f>
        <v>2400</v>
      </c>
      <c r="P31" s="9">
        <f t="shared" si="29"/>
        <v>34.285714285714285</v>
      </c>
      <c r="Q31" s="9">
        <f t="shared" si="29"/>
        <v>411.42857142857144</v>
      </c>
      <c r="R31" s="9">
        <f t="shared" si="29"/>
        <v>0</v>
      </c>
      <c r="S31" s="9">
        <f t="shared" si="29"/>
        <v>411.42857142857144</v>
      </c>
      <c r="T31" s="9">
        <f t="shared" si="29"/>
        <v>2</v>
      </c>
      <c r="U31" s="9">
        <f t="shared" si="29"/>
        <v>411.42857142857144</v>
      </c>
      <c r="V31" s="9">
        <f t="shared" si="29"/>
        <v>0</v>
      </c>
      <c r="W31" s="9">
        <f t="shared" si="29"/>
        <v>34.2857142856831</v>
      </c>
      <c r="X31" s="9">
        <f t="shared" si="29"/>
        <v>34.2857142856831</v>
      </c>
      <c r="Y31" s="9">
        <f t="shared" si="29"/>
        <v>2</v>
      </c>
      <c r="Z31" s="9">
        <f t="shared" si="29"/>
        <v>0.28571428568310253</v>
      </c>
      <c r="AA31" s="9">
        <f t="shared" si="29"/>
        <v>411.7142857142545</v>
      </c>
      <c r="AB31" s="9">
        <f t="shared" si="29"/>
        <v>2194.0000000000314</v>
      </c>
    </row>
    <row r="32" s="8" customFormat="1" ht="11.25"/>
    <row r="33" s="8" customFormat="1" ht="11.25"/>
    <row r="34" spans="1:41" ht="11.25">
      <c r="A34" s="47"/>
      <c r="B34" s="48"/>
      <c r="C34" s="49" t="s">
        <v>196</v>
      </c>
      <c r="D34" s="50">
        <v>2009</v>
      </c>
      <c r="E34" s="51">
        <v>7</v>
      </c>
      <c r="F34" s="52"/>
      <c r="G34" s="35"/>
      <c r="H34" s="53" t="s">
        <v>30</v>
      </c>
      <c r="I34" s="54">
        <v>5</v>
      </c>
      <c r="J34" s="55">
        <f>D34+I34</f>
        <v>2014</v>
      </c>
      <c r="K34" s="56"/>
      <c r="L34" s="56"/>
      <c r="M34" s="58">
        <f>Calculations!D141</f>
        <v>35782.5</v>
      </c>
      <c r="N34" s="59">
        <v>0</v>
      </c>
      <c r="O34" s="60">
        <f>M34-M34*F34</f>
        <v>35782.5</v>
      </c>
      <c r="P34" s="60">
        <f>O34/I34/12</f>
        <v>596.375</v>
      </c>
      <c r="Q34" s="60">
        <f>IF(N34&gt;0,0,IF(OR(AC34&gt;AD34,AE34&lt;AF34),0,IF(AND(AE34&gt;=AF34,AE34&lt;=AD34),P34*((AE34-AF34)*12),IF(AND(AF34&lt;=AC34,AD34&gt;=AC34),((AD34-AC34)*12)*P34,IF(AE34&gt;AD34,12*P34,0)))))</f>
        <v>7156.5</v>
      </c>
      <c r="R34" s="35">
        <f>IF(N34=0,0,IF(AND(AG34&gt;=AF34,AG34&lt;=AE34),((AG34-AF34)*12)*P34,0))</f>
        <v>0</v>
      </c>
      <c r="S34" s="35">
        <f>IF(R34&gt;0,R34,Q34)</f>
        <v>7156.5</v>
      </c>
      <c r="T34" s="35">
        <v>1</v>
      </c>
      <c r="U34" s="35">
        <f>T34*SUM(Q34:R34)</f>
        <v>7156.5</v>
      </c>
      <c r="V34" s="35"/>
      <c r="W34" s="35">
        <f>IF(AC34&gt;AD34,0,IF(AE34&lt;AF34,O34,IF(AND(AE34&gt;=AF34,AE34&lt;=AD34),(O34-S34),IF(AND(AF34&lt;=AC34,AD34&gt;=AC34),0,IF(AE34&gt;AD34,((AF34-AC34)*12)*P34,0)))))</f>
        <v>596.3749999994576</v>
      </c>
      <c r="X34" s="35">
        <f>W34*T34</f>
        <v>596.3749999994576</v>
      </c>
      <c r="Y34" s="35">
        <v>1</v>
      </c>
      <c r="Z34" s="60">
        <f>X34*Y34-977</f>
        <v>-380.6250000005424</v>
      </c>
      <c r="AA34" s="60">
        <f>IF(N34&gt;0,0,Z34+U34*Y34)*Y34</f>
        <v>6775.874999999458</v>
      </c>
      <c r="AB34" s="60">
        <f>IF(N34&gt;0,(M34-Z34)/2,IF(AC34&gt;=AF34,(((M34*T34)*Y34)-AA34)/2,((((M34*T34)*Y34)-Z34)+(((M34*T34)*Y34)-AA34))/2))</f>
        <v>32584.875000000546</v>
      </c>
      <c r="AC34" s="35">
        <f>$D34+(($E34-1)/12)</f>
        <v>2009.5</v>
      </c>
      <c r="AD34" s="35">
        <f>($O$5+1)-($O$2/12)</f>
        <v>2010.5833333333333</v>
      </c>
      <c r="AE34" s="35">
        <f>$J34+(($E34-1)/12)</f>
        <v>2014.5</v>
      </c>
      <c r="AF34" s="35">
        <f>$O$4+($O$3/12)</f>
        <v>2009.5833333333333</v>
      </c>
      <c r="AG34" s="35">
        <f>$K34+(($L34-1)/12)</f>
        <v>-0.08333333333333333</v>
      </c>
      <c r="AH34" s="16"/>
      <c r="AI34" s="16"/>
      <c r="AJ34" s="16"/>
      <c r="AK34" s="16"/>
      <c r="AL34" s="16"/>
      <c r="AM34" s="16"/>
      <c r="AN34" s="16"/>
      <c r="AO34" s="16"/>
    </row>
    <row r="35" s="8" customFormat="1" ht="11.25"/>
    <row r="36" spans="17:28" s="8" customFormat="1" ht="11.25">
      <c r="Q36" s="9">
        <f>Q19+Q23+Q25+Q27+Q31+Q34</f>
        <v>161761.8785714286</v>
      </c>
      <c r="AB36" s="9">
        <f>AB19+AB23+AB25+AB27+AB31+AB34</f>
        <v>1368513.154166679</v>
      </c>
    </row>
    <row r="37" s="8" customFormat="1" ht="11.25"/>
    <row r="38" s="8" customFormat="1" ht="11.25"/>
    <row r="39" s="8" customFormat="1" ht="11.25"/>
  </sheetData>
  <printOptions/>
  <pageMargins left="0.75" right="0.75" top="1" bottom="1" header="0.5" footer="0.5"/>
  <pageSetup horizontalDpi="300" verticalDpi="300" orientation="landscape" scale="80" r:id="rId1"/>
  <colBreaks count="1" manualBreakCount="1"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I169"/>
  <sheetViews>
    <sheetView workbookViewId="0" topLeftCell="A1">
      <selection activeCell="A1" sqref="A1"/>
    </sheetView>
  </sheetViews>
  <sheetFormatPr defaultColWidth="8.796875" defaultRowHeight="12"/>
  <cols>
    <col min="2" max="2" width="17.59765625" style="0" customWidth="1"/>
    <col min="3" max="3" width="10.09765625" style="0" customWidth="1"/>
    <col min="4" max="4" width="10" style="0" customWidth="1"/>
  </cols>
  <sheetData>
    <row r="1" spans="1:8" ht="12">
      <c r="A1" s="1" t="s">
        <v>111</v>
      </c>
      <c r="B1" s="1"/>
      <c r="C1" s="1"/>
      <c r="D1" s="1"/>
      <c r="E1" s="1"/>
      <c r="F1" s="1"/>
      <c r="G1" s="1"/>
      <c r="H1" s="1"/>
    </row>
    <row r="2" spans="1:8" ht="12">
      <c r="A2" s="1"/>
      <c r="B2" s="1"/>
      <c r="C2" s="1"/>
      <c r="D2" s="1"/>
      <c r="E2" s="1"/>
      <c r="F2" s="1"/>
      <c r="G2" s="1"/>
      <c r="H2" s="1"/>
    </row>
    <row r="3" spans="1:8" ht="12">
      <c r="A3" s="1"/>
      <c r="B3" s="1"/>
      <c r="C3" s="1"/>
      <c r="D3" s="1"/>
      <c r="E3" s="1"/>
      <c r="F3" s="1"/>
      <c r="G3" s="1"/>
      <c r="H3" s="1"/>
    </row>
    <row r="4" spans="1:8" ht="12">
      <c r="A4" s="1"/>
      <c r="B4" s="1"/>
      <c r="C4" s="1"/>
      <c r="D4" s="1"/>
      <c r="E4" s="1"/>
      <c r="F4" s="1"/>
      <c r="G4" s="1"/>
      <c r="H4" s="1"/>
    </row>
    <row r="5" spans="1:9" ht="12">
      <c r="A5" s="1" t="s">
        <v>112</v>
      </c>
      <c r="B5" s="1"/>
      <c r="C5" s="194" t="s">
        <v>463</v>
      </c>
      <c r="D5" s="194" t="s">
        <v>462</v>
      </c>
      <c r="E5" s="194" t="s">
        <v>461</v>
      </c>
      <c r="F5" s="194" t="s">
        <v>462</v>
      </c>
      <c r="G5" s="194" t="s">
        <v>463</v>
      </c>
      <c r="H5" s="194" t="s">
        <v>464</v>
      </c>
      <c r="I5" s="195" t="s">
        <v>465</v>
      </c>
    </row>
    <row r="6" spans="1:8" ht="12">
      <c r="A6" s="1" t="s">
        <v>116</v>
      </c>
      <c r="B6" s="1"/>
      <c r="C6" s="206" t="s">
        <v>488</v>
      </c>
      <c r="D6" s="206" t="s">
        <v>488</v>
      </c>
      <c r="E6" s="13">
        <v>18.3</v>
      </c>
      <c r="F6" s="1"/>
      <c r="G6" s="1"/>
      <c r="H6" s="1"/>
    </row>
    <row r="7" spans="1:8" ht="12">
      <c r="A7" s="1" t="s">
        <v>120</v>
      </c>
      <c r="B7" s="1"/>
      <c r="C7" s="206" t="s">
        <v>488</v>
      </c>
      <c r="D7" s="206" t="s">
        <v>488</v>
      </c>
      <c r="E7" s="13">
        <f>E6*1.5</f>
        <v>27.450000000000003</v>
      </c>
      <c r="F7" s="1"/>
      <c r="G7" s="1"/>
      <c r="H7" s="1"/>
    </row>
    <row r="8" spans="1:8" ht="12">
      <c r="A8" s="1" t="s">
        <v>439</v>
      </c>
      <c r="B8" s="1"/>
      <c r="C8" s="1">
        <v>522.8</v>
      </c>
      <c r="D8" s="1">
        <f>Payroll!E29</f>
        <v>503.41999999999996</v>
      </c>
      <c r="E8" s="13">
        <v>265.06</v>
      </c>
      <c r="F8" s="1"/>
      <c r="G8" s="1"/>
      <c r="H8" s="1"/>
    </row>
    <row r="9" spans="1:8" ht="12">
      <c r="A9" s="1" t="s">
        <v>438</v>
      </c>
      <c r="B9" s="1"/>
      <c r="C9" s="1">
        <v>98.62</v>
      </c>
      <c r="D9" s="1">
        <f>Payroll!E34</f>
        <v>66.75999999999999</v>
      </c>
      <c r="E9" s="13">
        <v>27.5</v>
      </c>
      <c r="F9" s="1"/>
      <c r="G9" s="1"/>
      <c r="H9" s="1"/>
    </row>
    <row r="10" spans="1:8" ht="12">
      <c r="A10" s="1" t="s">
        <v>440</v>
      </c>
      <c r="B10" s="1"/>
      <c r="C10" s="1">
        <v>143.17</v>
      </c>
      <c r="D10" s="1">
        <f>Payroll!E41</f>
        <v>75.73</v>
      </c>
      <c r="E10" s="13">
        <v>0</v>
      </c>
      <c r="F10" s="1"/>
      <c r="G10" s="1"/>
      <c r="H10" s="1"/>
    </row>
    <row r="11" spans="1:8" ht="12">
      <c r="A11" s="1" t="s">
        <v>441</v>
      </c>
      <c r="B11" s="1"/>
      <c r="C11" s="1">
        <v>36.97</v>
      </c>
      <c r="D11" s="1">
        <f>Payroll!F29</f>
        <v>76.2</v>
      </c>
      <c r="E11" s="13">
        <v>70.2</v>
      </c>
      <c r="F11" s="1"/>
      <c r="G11" s="1"/>
      <c r="H11" s="1"/>
    </row>
    <row r="12" spans="1:8" ht="12">
      <c r="A12" s="1" t="s">
        <v>442</v>
      </c>
      <c r="B12" s="1"/>
      <c r="C12" s="1">
        <v>0</v>
      </c>
      <c r="D12" s="1">
        <v>0</v>
      </c>
      <c r="E12" s="13">
        <v>0</v>
      </c>
      <c r="F12" s="1"/>
      <c r="G12" s="1"/>
      <c r="H12" s="1"/>
    </row>
    <row r="13" spans="1:8" ht="12">
      <c r="A13" s="1" t="s">
        <v>443</v>
      </c>
      <c r="B13" s="1"/>
      <c r="C13" s="1">
        <v>0</v>
      </c>
      <c r="D13" s="1">
        <f>Payroll!F41</f>
        <v>14.370000000000001</v>
      </c>
      <c r="E13" s="13">
        <v>0</v>
      </c>
      <c r="F13" s="1"/>
      <c r="G13" s="1"/>
      <c r="H13" s="1"/>
    </row>
    <row r="14" spans="1:8" ht="12">
      <c r="A14" s="1" t="s">
        <v>444</v>
      </c>
      <c r="B14" s="1"/>
      <c r="C14" s="13">
        <f>15307.54-992.63</f>
        <v>14314.910000000002</v>
      </c>
      <c r="D14" s="13">
        <v>11931.03</v>
      </c>
      <c r="E14" s="13">
        <f>(E8+E9+E10)*E6</f>
        <v>5353.848</v>
      </c>
      <c r="F14" s="1" t="s">
        <v>0</v>
      </c>
      <c r="G14" s="1"/>
      <c r="H14" s="1"/>
    </row>
    <row r="15" spans="1:8" ht="12">
      <c r="A15" s="1" t="s">
        <v>114</v>
      </c>
      <c r="B15" s="1"/>
      <c r="C15" s="13">
        <v>992.63</v>
      </c>
      <c r="D15" s="13">
        <v>2380.98</v>
      </c>
      <c r="E15" s="13">
        <f>(E11+E12+E13)*E7</f>
        <v>1926.9900000000002</v>
      </c>
      <c r="F15" s="1"/>
      <c r="G15" s="1"/>
      <c r="H15" s="1"/>
    </row>
    <row r="16" spans="1:8" ht="12">
      <c r="A16" s="1" t="s">
        <v>487</v>
      </c>
      <c r="B16" s="1"/>
      <c r="C16" s="1">
        <v>0</v>
      </c>
      <c r="D16" s="13">
        <v>439.2</v>
      </c>
      <c r="E16" s="13"/>
      <c r="F16" s="1"/>
      <c r="G16" s="1"/>
      <c r="H16" s="1"/>
    </row>
    <row r="17" spans="1:8" ht="12">
      <c r="A17" s="1" t="s">
        <v>478</v>
      </c>
      <c r="B17" s="1"/>
      <c r="C17" s="1"/>
      <c r="D17" s="1"/>
      <c r="E17" s="13">
        <v>37.1</v>
      </c>
      <c r="F17" s="1"/>
      <c r="G17" s="1"/>
      <c r="H17" s="1"/>
    </row>
    <row r="18" spans="1:8" ht="12">
      <c r="A18" s="1" t="s">
        <v>454</v>
      </c>
      <c r="B18" s="1"/>
      <c r="C18" s="181">
        <f>C14+C15+C16</f>
        <v>15307.54</v>
      </c>
      <c r="D18" s="181">
        <f>D14+D15+D16</f>
        <v>14751.210000000001</v>
      </c>
      <c r="E18" s="181">
        <f>E14+E15+E17</f>
        <v>7317.938</v>
      </c>
      <c r="F18" s="1"/>
      <c r="G18" s="1"/>
      <c r="H18" s="1"/>
    </row>
    <row r="19" spans="1:8" ht="12">
      <c r="A19" s="1"/>
      <c r="B19" s="1"/>
      <c r="C19" s="1"/>
      <c r="D19" s="1"/>
      <c r="E19" s="1"/>
      <c r="F19" s="1"/>
      <c r="G19" s="1"/>
      <c r="H19" s="1"/>
    </row>
    <row r="20" spans="1:8" ht="12">
      <c r="A20" s="1" t="s">
        <v>123</v>
      </c>
      <c r="B20" s="1"/>
      <c r="C20" s="1"/>
      <c r="D20" s="1"/>
      <c r="E20" s="1"/>
      <c r="F20" s="1"/>
      <c r="G20" s="1"/>
      <c r="H20" s="1"/>
    </row>
    <row r="21" spans="1:8" ht="12">
      <c r="A21" s="1" t="s">
        <v>124</v>
      </c>
      <c r="B21" s="1"/>
      <c r="C21" s="163">
        <v>2.86</v>
      </c>
      <c r="D21" s="171">
        <v>2.99</v>
      </c>
      <c r="E21" s="171">
        <v>2.85</v>
      </c>
      <c r="F21" s="1"/>
      <c r="G21" s="1" t="s">
        <v>0</v>
      </c>
      <c r="H21" s="1"/>
    </row>
    <row r="22" spans="1:8" ht="12">
      <c r="A22" s="1" t="s">
        <v>445</v>
      </c>
      <c r="B22" s="1"/>
      <c r="C22" s="13">
        <v>1663.46</v>
      </c>
      <c r="D22" s="13">
        <f>Fuel!F57</f>
        <v>1681.11</v>
      </c>
      <c r="E22" s="13">
        <v>1009</v>
      </c>
      <c r="F22" s="1"/>
      <c r="G22" s="1"/>
      <c r="H22" s="1"/>
    </row>
    <row r="23" spans="1:8" ht="12">
      <c r="A23" s="1" t="s">
        <v>446</v>
      </c>
      <c r="B23" s="1"/>
      <c r="C23" s="13">
        <v>924</v>
      </c>
      <c r="D23" s="13">
        <f>Fuel!C41</f>
        <v>798</v>
      </c>
      <c r="E23" s="13">
        <v>336</v>
      </c>
      <c r="F23" s="1"/>
      <c r="G23" s="1"/>
      <c r="H23" s="1"/>
    </row>
    <row r="24" spans="1:8" ht="12">
      <c r="A24" s="1" t="s">
        <v>447</v>
      </c>
      <c r="B24" s="1"/>
      <c r="C24" s="13">
        <v>123.01</v>
      </c>
      <c r="D24" s="13">
        <f>Fuel!C48</f>
        <v>203.14</v>
      </c>
      <c r="E24" s="13">
        <v>0</v>
      </c>
      <c r="F24" s="1"/>
      <c r="G24" s="11"/>
      <c r="H24" s="1"/>
    </row>
    <row r="25" spans="1:8" ht="12">
      <c r="A25" s="1" t="s">
        <v>130</v>
      </c>
      <c r="B25" s="1"/>
      <c r="C25" s="181">
        <f>(C22+C23+C24)*C21</f>
        <v>7751.944200000001</v>
      </c>
      <c r="D25" s="181">
        <f>(D22+D23+D24)*D21</f>
        <v>8019.927499999999</v>
      </c>
      <c r="E25" s="181">
        <f>(E22+E23+E24)*E21</f>
        <v>3833.25</v>
      </c>
      <c r="F25" s="167"/>
      <c r="G25" s="11"/>
      <c r="H25" s="1"/>
    </row>
    <row r="26" spans="1:8" ht="12">
      <c r="A26" s="1"/>
      <c r="B26" s="1"/>
      <c r="C26" s="1"/>
      <c r="D26" s="1"/>
      <c r="E26" s="13"/>
      <c r="F26" s="1"/>
      <c r="G26" s="11"/>
      <c r="H26" s="1"/>
    </row>
    <row r="27" spans="1:8" ht="12">
      <c r="A27" s="1" t="s">
        <v>132</v>
      </c>
      <c r="B27" s="1"/>
      <c r="C27" s="1"/>
      <c r="D27" s="1"/>
      <c r="E27" s="13"/>
      <c r="F27" s="1"/>
      <c r="G27" s="1"/>
      <c r="H27" s="1"/>
    </row>
    <row r="28" spans="1:8" ht="12">
      <c r="A28" s="1" t="s">
        <v>400</v>
      </c>
      <c r="B28" s="1"/>
      <c r="C28" s="1"/>
      <c r="D28" s="1"/>
      <c r="E28" s="13"/>
      <c r="F28" s="1"/>
      <c r="G28" s="1"/>
      <c r="H28" s="1"/>
    </row>
    <row r="29" spans="1:8" ht="12">
      <c r="A29" s="1" t="s">
        <v>457</v>
      </c>
      <c r="B29" s="1"/>
      <c r="C29" s="13">
        <v>5071.97</v>
      </c>
      <c r="D29" s="13">
        <f>Fuel!F55</f>
        <v>5447</v>
      </c>
      <c r="E29" s="13">
        <v>2652</v>
      </c>
      <c r="F29" s="1"/>
      <c r="G29" s="11"/>
      <c r="H29" s="1"/>
    </row>
    <row r="30" spans="1:8" ht="12">
      <c r="A30" s="1" t="s">
        <v>458</v>
      </c>
      <c r="B30" s="1"/>
      <c r="C30" s="13">
        <v>2310</v>
      </c>
      <c r="D30" s="13">
        <f>Fuel!C39</f>
        <v>1995</v>
      </c>
      <c r="E30" s="13">
        <f>105*7</f>
        <v>735</v>
      </c>
      <c r="F30" s="1"/>
      <c r="G30" s="11"/>
      <c r="H30" s="1"/>
    </row>
    <row r="31" spans="1:8" ht="12">
      <c r="A31" s="1" t="s">
        <v>459</v>
      </c>
      <c r="B31" s="1"/>
      <c r="C31" s="13">
        <v>941</v>
      </c>
      <c r="D31" s="13">
        <f>Fuel!C47</f>
        <v>1554</v>
      </c>
      <c r="E31" s="13">
        <v>0</v>
      </c>
      <c r="F31" s="1"/>
      <c r="G31" s="11"/>
      <c r="H31" s="1"/>
    </row>
    <row r="32" spans="1:8" ht="12">
      <c r="A32" s="1" t="s">
        <v>134</v>
      </c>
      <c r="B32" s="1"/>
      <c r="C32" s="13">
        <f>SUM(C29:C31)</f>
        <v>8322.970000000001</v>
      </c>
      <c r="D32" s="13">
        <f>SUM(D29:D31)</f>
        <v>8996</v>
      </c>
      <c r="E32" s="13">
        <f>SUM(E29:E31)</f>
        <v>3387</v>
      </c>
      <c r="F32" s="1"/>
      <c r="G32" s="1"/>
      <c r="H32" s="1"/>
    </row>
    <row r="33" spans="1:8" ht="12">
      <c r="A33" s="1" t="s">
        <v>391</v>
      </c>
      <c r="B33" s="1"/>
      <c r="C33" s="13">
        <v>0.4</v>
      </c>
      <c r="D33" s="1">
        <v>0.5</v>
      </c>
      <c r="E33" s="13">
        <f>0.76*0.6</f>
        <v>0.45599999999999996</v>
      </c>
      <c r="F33" s="1"/>
      <c r="G33" s="162"/>
      <c r="H33" s="166"/>
    </row>
    <row r="34" spans="1:8" ht="12">
      <c r="A34" s="1" t="s">
        <v>390</v>
      </c>
      <c r="B34" s="1"/>
      <c r="C34" s="181">
        <f>C32*C33</f>
        <v>3329.1880000000006</v>
      </c>
      <c r="D34" s="181">
        <f>D32*D33</f>
        <v>4498</v>
      </c>
      <c r="E34" s="181">
        <f>E32*E33</f>
        <v>1544.472</v>
      </c>
      <c r="F34" s="1"/>
      <c r="G34" s="1"/>
      <c r="H34" s="1"/>
    </row>
    <row r="35" spans="1:8" ht="12">
      <c r="A35" s="1"/>
      <c r="B35" s="1"/>
      <c r="C35" s="1"/>
      <c r="D35" s="1"/>
      <c r="E35" s="13"/>
      <c r="F35" s="1"/>
      <c r="G35" s="1"/>
      <c r="H35" s="1"/>
    </row>
    <row r="36" spans="1:8" ht="12">
      <c r="A36" s="1" t="s">
        <v>144</v>
      </c>
      <c r="B36" s="1"/>
      <c r="C36" s="1"/>
      <c r="D36" s="1"/>
      <c r="E36" s="13"/>
      <c r="F36" s="1"/>
      <c r="G36" s="1"/>
      <c r="H36" s="1"/>
    </row>
    <row r="37" spans="1:8" ht="12">
      <c r="A37" s="1" t="s">
        <v>398</v>
      </c>
      <c r="B37" s="1"/>
      <c r="C37" s="13">
        <v>3</v>
      </c>
      <c r="D37" s="13">
        <v>3</v>
      </c>
      <c r="E37" s="13">
        <v>3</v>
      </c>
      <c r="F37" s="1"/>
      <c r="G37" s="1"/>
      <c r="H37" s="1"/>
    </row>
    <row r="38" spans="1:8" ht="12">
      <c r="A38" s="1" t="s">
        <v>146</v>
      </c>
      <c r="B38" s="1"/>
      <c r="C38" s="13">
        <v>825</v>
      </c>
      <c r="D38" s="13">
        <v>825</v>
      </c>
      <c r="E38" s="13">
        <v>825</v>
      </c>
      <c r="F38" s="1"/>
      <c r="G38" s="1"/>
      <c r="H38" s="1"/>
    </row>
    <row r="39" spans="1:8" ht="12">
      <c r="A39" s="1" t="s">
        <v>385</v>
      </c>
      <c r="B39" s="1"/>
      <c r="C39" s="13">
        <v>1</v>
      </c>
      <c r="D39" s="13">
        <v>1</v>
      </c>
      <c r="E39" s="13">
        <v>1</v>
      </c>
      <c r="F39" s="1"/>
      <c r="G39" s="1"/>
      <c r="H39" s="1"/>
    </row>
    <row r="40" spans="1:8" ht="12">
      <c r="A40" s="1" t="s">
        <v>399</v>
      </c>
      <c r="B40" s="1"/>
      <c r="C40" s="13">
        <v>1832</v>
      </c>
      <c r="D40" s="13">
        <v>1832</v>
      </c>
      <c r="E40" s="13">
        <v>1832</v>
      </c>
      <c r="F40" s="1"/>
      <c r="G40" s="1"/>
      <c r="H40" s="1"/>
    </row>
    <row r="41" spans="1:8" ht="12">
      <c r="A41" s="1" t="s">
        <v>413</v>
      </c>
      <c r="B41" s="1"/>
      <c r="C41" s="13">
        <v>550</v>
      </c>
      <c r="D41" s="13">
        <v>550</v>
      </c>
      <c r="E41" s="13">
        <v>550</v>
      </c>
      <c r="F41" s="1" t="s">
        <v>0</v>
      </c>
      <c r="G41" s="1"/>
      <c r="H41" s="1"/>
    </row>
    <row r="42" spans="1:8" ht="12">
      <c r="A42" s="1" t="s">
        <v>145</v>
      </c>
      <c r="B42" s="1"/>
      <c r="C42" s="13">
        <v>1</v>
      </c>
      <c r="D42" s="13">
        <v>1</v>
      </c>
      <c r="E42" s="13">
        <v>1</v>
      </c>
      <c r="F42" s="1"/>
      <c r="G42" s="1"/>
      <c r="H42" s="1"/>
    </row>
    <row r="43" spans="1:8" ht="12">
      <c r="A43" s="1" t="s">
        <v>146</v>
      </c>
      <c r="B43" s="1"/>
      <c r="C43" s="13">
        <v>475</v>
      </c>
      <c r="D43" s="13">
        <v>475</v>
      </c>
      <c r="E43" s="13">
        <v>475</v>
      </c>
      <c r="F43" s="1"/>
      <c r="G43" s="1"/>
      <c r="H43" s="1"/>
    </row>
    <row r="44" spans="1:8" ht="12">
      <c r="A44" s="1" t="s">
        <v>450</v>
      </c>
      <c r="B44" s="1"/>
      <c r="C44" s="181">
        <f>(C38*3+C40+C41+C43)/12</f>
        <v>444.3333333333333</v>
      </c>
      <c r="D44" s="181">
        <f>(D38*3+D40+D41+D43)/12</f>
        <v>444.3333333333333</v>
      </c>
      <c r="E44" s="181">
        <f>(E38*3+E40+E41+E43)/12</f>
        <v>444.3333333333333</v>
      </c>
      <c r="F44" s="1"/>
      <c r="G44" s="1"/>
      <c r="H44" s="1"/>
    </row>
    <row r="45" spans="1:8" ht="12">
      <c r="A45" s="1"/>
      <c r="B45" s="1"/>
      <c r="C45" s="1"/>
      <c r="D45" s="1"/>
      <c r="E45" s="13"/>
      <c r="F45" s="1"/>
      <c r="G45" s="1"/>
      <c r="H45" s="1"/>
    </row>
    <row r="46" spans="1:8" ht="12">
      <c r="A46" s="1" t="s">
        <v>264</v>
      </c>
      <c r="B46" s="1"/>
      <c r="C46" s="1"/>
      <c r="D46" s="1"/>
      <c r="E46" s="13"/>
      <c r="F46" s="1"/>
      <c r="G46" s="1"/>
      <c r="H46" s="1"/>
    </row>
    <row r="47" spans="1:8" ht="12">
      <c r="A47" s="1" t="s">
        <v>265</v>
      </c>
      <c r="B47" s="1"/>
      <c r="C47" s="13">
        <v>166.67</v>
      </c>
      <c r="D47" s="13">
        <v>166.67</v>
      </c>
      <c r="E47" s="13">
        <v>166.67</v>
      </c>
      <c r="F47" s="1"/>
      <c r="G47" s="1"/>
      <c r="H47" s="1"/>
    </row>
    <row r="48" spans="1:8" ht="12">
      <c r="A48" s="1" t="s">
        <v>449</v>
      </c>
      <c r="B48" s="1"/>
      <c r="C48" s="181">
        <f>C47*5</f>
        <v>833.3499999999999</v>
      </c>
      <c r="D48" s="181">
        <f>D47*5</f>
        <v>833.3499999999999</v>
      </c>
      <c r="E48" s="181">
        <f>E47*5</f>
        <v>833.3499999999999</v>
      </c>
      <c r="F48" s="1"/>
      <c r="G48" s="1"/>
      <c r="H48" s="1"/>
    </row>
    <row r="49" spans="1:8" ht="12">
      <c r="A49" s="1"/>
      <c r="B49" s="1"/>
      <c r="C49" s="1"/>
      <c r="D49" s="1"/>
      <c r="E49" s="13"/>
      <c r="F49" s="1"/>
      <c r="G49" s="1"/>
      <c r="H49" s="1"/>
    </row>
    <row r="50" spans="1:8" ht="12">
      <c r="A50" s="1" t="s">
        <v>267</v>
      </c>
      <c r="B50" s="1"/>
      <c r="C50" s="1"/>
      <c r="D50" s="1"/>
      <c r="E50" s="13"/>
      <c r="F50" s="1"/>
      <c r="G50" s="1"/>
      <c r="H50" s="1"/>
    </row>
    <row r="51" spans="1:8" ht="12">
      <c r="A51" s="1" t="s">
        <v>206</v>
      </c>
      <c r="B51" s="1"/>
      <c r="C51" s="13">
        <v>4.5</v>
      </c>
      <c r="D51" s="13">
        <v>4.5</v>
      </c>
      <c r="E51" s="13">
        <v>4.5</v>
      </c>
      <c r="F51" s="1"/>
      <c r="G51" s="1"/>
      <c r="H51" s="1"/>
    </row>
    <row r="52" spans="1:8" ht="12">
      <c r="A52" s="1" t="s">
        <v>268</v>
      </c>
      <c r="B52" s="1"/>
      <c r="C52" s="13">
        <f>646/12</f>
        <v>53.833333333333336</v>
      </c>
      <c r="D52" s="13">
        <f>646/12</f>
        <v>53.833333333333336</v>
      </c>
      <c r="E52" s="13">
        <f>646/12</f>
        <v>53.833333333333336</v>
      </c>
      <c r="F52" s="1"/>
      <c r="G52" s="163"/>
      <c r="H52" s="1"/>
    </row>
    <row r="53" spans="1:8" ht="12">
      <c r="A53" s="1" t="s">
        <v>138</v>
      </c>
      <c r="B53" s="1"/>
      <c r="C53" s="181">
        <f>C51*C52</f>
        <v>242.25</v>
      </c>
      <c r="D53" s="181">
        <f>D51*D52</f>
        <v>242.25</v>
      </c>
      <c r="E53" s="181">
        <f>E51*E52</f>
        <v>242.25</v>
      </c>
      <c r="F53" s="1"/>
      <c r="G53" s="1"/>
      <c r="H53" s="1"/>
    </row>
    <row r="54" spans="1:8" ht="12">
      <c r="A54" s="191" t="s">
        <v>451</v>
      </c>
      <c r="B54" s="1"/>
      <c r="C54" s="1"/>
      <c r="D54" s="1"/>
      <c r="E54" s="13"/>
      <c r="F54" s="12"/>
      <c r="G54" s="1"/>
      <c r="H54" s="1"/>
    </row>
    <row r="55" spans="1:8" ht="12">
      <c r="A55" s="1"/>
      <c r="B55" s="1"/>
      <c r="C55" s="1"/>
      <c r="D55" s="1"/>
      <c r="E55" s="13"/>
      <c r="F55" s="12"/>
      <c r="G55" s="1"/>
      <c r="H55" s="1"/>
    </row>
    <row r="56" spans="1:8" ht="12">
      <c r="A56" s="1" t="s">
        <v>401</v>
      </c>
      <c r="B56" s="1"/>
      <c r="C56" s="1"/>
      <c r="D56" s="1"/>
      <c r="E56" s="13"/>
      <c r="F56" s="12"/>
      <c r="G56" s="1"/>
      <c r="H56" s="1"/>
    </row>
    <row r="57" spans="1:8" ht="12">
      <c r="A57" s="1" t="s">
        <v>402</v>
      </c>
      <c r="B57" s="1"/>
      <c r="C57" s="13">
        <f>11165/17/12</f>
        <v>54.73039215686274</v>
      </c>
      <c r="D57" s="13">
        <f>11165/17/12</f>
        <v>54.73039215686274</v>
      </c>
      <c r="E57" s="13">
        <f>11165/17/12</f>
        <v>54.73039215686274</v>
      </c>
      <c r="F57" s="12"/>
      <c r="G57" s="1"/>
      <c r="H57" s="1"/>
    </row>
    <row r="58" spans="1:8" ht="12">
      <c r="A58" s="1" t="s">
        <v>403</v>
      </c>
      <c r="B58" s="1"/>
      <c r="C58" s="181">
        <f>4*C57</f>
        <v>218.92156862745097</v>
      </c>
      <c r="D58" s="181">
        <f>4*D57</f>
        <v>218.92156862745097</v>
      </c>
      <c r="E58" s="181">
        <f>4*E57</f>
        <v>218.92156862745097</v>
      </c>
      <c r="F58" s="12"/>
      <c r="G58" s="1"/>
      <c r="H58" s="1"/>
    </row>
    <row r="59" spans="1:8" ht="12">
      <c r="A59" s="1"/>
      <c r="B59" s="1"/>
      <c r="C59" s="1"/>
      <c r="D59" s="1"/>
      <c r="E59" s="13"/>
      <c r="F59" s="12"/>
      <c r="G59" s="1"/>
      <c r="H59" s="1"/>
    </row>
    <row r="60" spans="1:8" ht="12">
      <c r="A60" s="1" t="s">
        <v>139</v>
      </c>
      <c r="B60" s="1"/>
      <c r="C60" s="1"/>
      <c r="D60" s="1"/>
      <c r="E60" s="13"/>
      <c r="F60" s="1"/>
      <c r="G60" s="1"/>
      <c r="H60" s="1"/>
    </row>
    <row r="61" spans="1:8" ht="12">
      <c r="A61" s="1" t="s">
        <v>140</v>
      </c>
      <c r="B61" s="1"/>
      <c r="C61" s="13">
        <v>2800</v>
      </c>
      <c r="D61" s="13">
        <v>2800</v>
      </c>
      <c r="E61" s="13">
        <v>2800</v>
      </c>
      <c r="F61" s="1"/>
      <c r="G61" s="1"/>
      <c r="H61" s="1"/>
    </row>
    <row r="62" spans="1:8" ht="12">
      <c r="A62" s="1" t="s">
        <v>141</v>
      </c>
      <c r="B62" s="1"/>
      <c r="C62" s="13">
        <v>200</v>
      </c>
      <c r="D62" s="13">
        <v>200</v>
      </c>
      <c r="E62" s="13">
        <v>200</v>
      </c>
      <c r="F62" s="1"/>
      <c r="G62" s="1"/>
      <c r="H62" s="1"/>
    </row>
    <row r="63" spans="1:8" ht="12">
      <c r="A63" s="1" t="s">
        <v>143</v>
      </c>
      <c r="B63" s="1"/>
      <c r="C63" s="181">
        <f>SUM(C61:C62)</f>
        <v>3000</v>
      </c>
      <c r="D63" s="181">
        <f>SUM(D61:D62)</f>
        <v>3000</v>
      </c>
      <c r="E63" s="181">
        <f>SUM(E61:E62)</f>
        <v>3000</v>
      </c>
      <c r="F63" s="1"/>
      <c r="G63" s="1"/>
      <c r="H63" s="1"/>
    </row>
    <row r="64" spans="1:8" ht="12">
      <c r="A64" s="1"/>
      <c r="B64" s="1"/>
      <c r="C64" s="1"/>
      <c r="D64" s="1"/>
      <c r="E64" s="13"/>
      <c r="F64" s="1"/>
      <c r="G64" s="1"/>
      <c r="H64" s="1"/>
    </row>
    <row r="65" spans="1:8" ht="12">
      <c r="A65" s="1" t="s">
        <v>422</v>
      </c>
      <c r="B65" s="1"/>
      <c r="C65" s="1"/>
      <c r="D65" s="1"/>
      <c r="E65" s="13"/>
      <c r="F65" s="1"/>
      <c r="G65" s="1"/>
      <c r="H65" s="1"/>
    </row>
    <row r="66" spans="1:8" ht="12">
      <c r="A66" s="1" t="s">
        <v>425</v>
      </c>
      <c r="B66" s="1"/>
      <c r="C66" s="1"/>
      <c r="D66" s="1"/>
      <c r="E66" s="13"/>
      <c r="F66" s="1"/>
      <c r="G66" s="1"/>
      <c r="H66" s="1"/>
    </row>
    <row r="67" spans="1:8" ht="12">
      <c r="A67" s="1" t="s">
        <v>424</v>
      </c>
      <c r="B67" s="1"/>
      <c r="C67" s="1"/>
      <c r="D67" s="1"/>
      <c r="E67" s="13"/>
      <c r="F67" s="1"/>
      <c r="G67" s="1"/>
      <c r="H67" s="1"/>
    </row>
    <row r="68" spans="1:8" ht="12">
      <c r="A68" s="1" t="s">
        <v>371</v>
      </c>
      <c r="B68" s="1"/>
      <c r="C68" s="1"/>
      <c r="D68" s="1"/>
      <c r="E68" s="13"/>
      <c r="F68" s="1"/>
      <c r="G68" s="1"/>
      <c r="H68" s="1"/>
    </row>
    <row r="69" spans="1:8" ht="12">
      <c r="A69" s="1"/>
      <c r="B69" s="1"/>
      <c r="C69" s="1"/>
      <c r="D69" s="1"/>
      <c r="E69" s="13"/>
      <c r="F69" s="1"/>
      <c r="G69" s="1"/>
      <c r="H69" s="1"/>
    </row>
    <row r="70" spans="1:8" ht="12">
      <c r="A70" s="1" t="s">
        <v>203</v>
      </c>
      <c r="B70" s="1"/>
      <c r="C70" s="1"/>
      <c r="D70" s="1"/>
      <c r="E70" s="13"/>
      <c r="F70" s="1"/>
      <c r="G70" s="1"/>
      <c r="H70" s="1"/>
    </row>
    <row r="71" spans="1:8" ht="12">
      <c r="A71" s="1" t="s">
        <v>206</v>
      </c>
      <c r="B71" s="1"/>
      <c r="C71" s="13">
        <v>0.5</v>
      </c>
      <c r="D71" s="13">
        <v>0.5</v>
      </c>
      <c r="E71" s="13">
        <v>0.5</v>
      </c>
      <c r="F71" s="1"/>
      <c r="G71" s="1"/>
      <c r="H71" s="1"/>
    </row>
    <row r="72" spans="1:8" ht="12">
      <c r="A72" s="1" t="s">
        <v>205</v>
      </c>
      <c r="B72" s="1"/>
      <c r="C72" s="13">
        <v>13.25</v>
      </c>
      <c r="D72" s="13">
        <v>13.25</v>
      </c>
      <c r="E72" s="13">
        <v>13.25</v>
      </c>
      <c r="F72" s="1"/>
      <c r="G72" s="1"/>
      <c r="H72" s="1"/>
    </row>
    <row r="73" spans="1:8" ht="12">
      <c r="A73" s="1" t="s">
        <v>452</v>
      </c>
      <c r="B73" s="1"/>
      <c r="C73" s="13">
        <f>176*C71</f>
        <v>88</v>
      </c>
      <c r="D73" s="13">
        <f>176*D71</f>
        <v>88</v>
      </c>
      <c r="E73" s="13">
        <v>88</v>
      </c>
      <c r="F73" s="1"/>
      <c r="G73" s="1"/>
      <c r="H73" s="1"/>
    </row>
    <row r="74" spans="1:8" ht="12">
      <c r="A74" s="1" t="s">
        <v>453</v>
      </c>
      <c r="B74" s="1"/>
      <c r="C74" s="181">
        <f>C72*C73</f>
        <v>1166</v>
      </c>
      <c r="D74" s="181">
        <f>D72*D73</f>
        <v>1166</v>
      </c>
      <c r="E74" s="181">
        <f>E72*E73</f>
        <v>1166</v>
      </c>
      <c r="F74" s="1"/>
      <c r="G74" s="1"/>
      <c r="H74" s="1"/>
    </row>
    <row r="75" spans="1:8" ht="12">
      <c r="A75" s="1"/>
      <c r="B75" s="1"/>
      <c r="C75" s="1"/>
      <c r="D75" s="1"/>
      <c r="E75" s="13"/>
      <c r="F75" s="1"/>
      <c r="G75" s="1"/>
      <c r="H75" s="1"/>
    </row>
    <row r="76" spans="1:8" ht="12">
      <c r="A76" s="1" t="s">
        <v>224</v>
      </c>
      <c r="B76" s="1"/>
      <c r="C76" s="1"/>
      <c r="D76" s="1"/>
      <c r="E76" s="13"/>
      <c r="F76" s="1"/>
      <c r="G76" s="1"/>
      <c r="H76" s="1"/>
    </row>
    <row r="77" spans="1:8" ht="12">
      <c r="A77" s="1" t="s">
        <v>225</v>
      </c>
      <c r="B77" s="1"/>
      <c r="C77" s="13">
        <f>C18+C74</f>
        <v>16473.54</v>
      </c>
      <c r="D77" s="13">
        <f>D18+D74</f>
        <v>15917.210000000001</v>
      </c>
      <c r="E77" s="13">
        <f>E18+E74</f>
        <v>8483.938</v>
      </c>
      <c r="F77" s="1"/>
      <c r="G77" s="1"/>
      <c r="H77" s="1"/>
    </row>
    <row r="78" spans="1:8" ht="12">
      <c r="A78" s="1" t="s">
        <v>31</v>
      </c>
      <c r="B78" s="1"/>
      <c r="C78" s="13">
        <f>C77*0.0765</f>
        <v>1260.2258100000001</v>
      </c>
      <c r="D78" s="13">
        <f>D77*0.0765</f>
        <v>1217.666565</v>
      </c>
      <c r="E78" s="13">
        <f>E77*0.0765</f>
        <v>649.021257</v>
      </c>
      <c r="F78" s="1"/>
      <c r="G78" s="1"/>
      <c r="H78" s="1"/>
    </row>
    <row r="79" spans="1:8" ht="12">
      <c r="A79" s="1" t="s">
        <v>226</v>
      </c>
      <c r="B79" s="1"/>
      <c r="C79" s="13">
        <f>C77*0.0038</f>
        <v>62.59945200000001</v>
      </c>
      <c r="D79" s="13">
        <f>D77*0.0038</f>
        <v>60.485398</v>
      </c>
      <c r="E79" s="13">
        <f>E77*0.0038</f>
        <v>32.2389644</v>
      </c>
      <c r="F79" s="1"/>
      <c r="G79" s="1"/>
      <c r="H79" s="1"/>
    </row>
    <row r="80" spans="1:8" ht="12">
      <c r="A80" s="1" t="s">
        <v>227</v>
      </c>
      <c r="B80" s="1"/>
      <c r="C80" s="13">
        <f>(56*4.5)/12</f>
        <v>21</v>
      </c>
      <c r="D80" s="13">
        <f>(56*4.5)/12</f>
        <v>21</v>
      </c>
      <c r="E80" s="13">
        <f>(56*4.5)/12</f>
        <v>21</v>
      </c>
      <c r="F80" s="1"/>
      <c r="G80" s="1"/>
      <c r="H80" s="1"/>
    </row>
    <row r="81" spans="1:8" ht="12">
      <c r="A81" s="1" t="s">
        <v>456</v>
      </c>
      <c r="B81" s="1"/>
      <c r="C81" s="181">
        <f>C78+C79+C80</f>
        <v>1343.825262</v>
      </c>
      <c r="D81" s="181">
        <f>D78+D79+D80</f>
        <v>1299.151963</v>
      </c>
      <c r="E81" s="181">
        <f>E78+E79+E80</f>
        <v>702.2602214</v>
      </c>
      <c r="F81" s="12"/>
      <c r="G81" s="1"/>
      <c r="H81" s="1"/>
    </row>
    <row r="82" spans="1:8" ht="12">
      <c r="A82" s="1"/>
      <c r="B82" s="1"/>
      <c r="C82" s="1"/>
      <c r="D82" s="1"/>
      <c r="E82" s="13"/>
      <c r="F82" s="1"/>
      <c r="G82" s="1"/>
      <c r="H82" s="1"/>
    </row>
    <row r="83" spans="1:8" ht="12">
      <c r="A83" s="1" t="s">
        <v>229</v>
      </c>
      <c r="B83" s="1"/>
      <c r="C83" s="1"/>
      <c r="D83" s="1"/>
      <c r="E83" s="13"/>
      <c r="F83" s="1"/>
      <c r="G83" s="1"/>
      <c r="H83" s="1"/>
    </row>
    <row r="84" spans="1:8" ht="12">
      <c r="A84" s="1" t="s">
        <v>206</v>
      </c>
      <c r="B84" s="1"/>
      <c r="C84" s="13">
        <v>4.5</v>
      </c>
      <c r="D84" s="13">
        <v>4.5</v>
      </c>
      <c r="E84" s="13">
        <v>4.5</v>
      </c>
      <c r="F84" s="1"/>
      <c r="G84" s="1"/>
      <c r="H84" s="1"/>
    </row>
    <row r="85" spans="1:8" ht="12">
      <c r="A85" s="1" t="s">
        <v>230</v>
      </c>
      <c r="B85" s="1"/>
      <c r="C85" s="13">
        <v>239</v>
      </c>
      <c r="D85" s="13">
        <v>239</v>
      </c>
      <c r="E85" s="13">
        <v>239</v>
      </c>
      <c r="F85" s="1"/>
      <c r="G85" s="1"/>
      <c r="H85" s="1"/>
    </row>
    <row r="86" spans="1:8" ht="12">
      <c r="A86" s="1" t="s">
        <v>231</v>
      </c>
      <c r="B86" s="1"/>
      <c r="C86" s="13">
        <f>C85*C84</f>
        <v>1075.5</v>
      </c>
      <c r="D86" s="13">
        <f>D85*D84</f>
        <v>1075.5</v>
      </c>
      <c r="E86" s="13">
        <f>E85*E84</f>
        <v>1075.5</v>
      </c>
      <c r="F86" s="1"/>
      <c r="G86" s="1"/>
      <c r="H86" s="1"/>
    </row>
    <row r="87" spans="1:8" ht="12">
      <c r="A87" s="1" t="s">
        <v>232</v>
      </c>
      <c r="B87" s="1"/>
      <c r="C87" s="164">
        <v>0.0123</v>
      </c>
      <c r="D87" s="164">
        <v>0.0123</v>
      </c>
      <c r="E87" s="164">
        <v>0.0123</v>
      </c>
      <c r="F87" s="1"/>
      <c r="G87" s="1"/>
      <c r="H87" s="1"/>
    </row>
    <row r="88" spans="1:8" ht="12">
      <c r="A88" s="1" t="s">
        <v>233</v>
      </c>
      <c r="B88" s="1"/>
      <c r="C88" s="13">
        <f>(C18+C74)*C87</f>
        <v>202.62454200000002</v>
      </c>
      <c r="D88" s="13">
        <f>(D18+D74)*D87</f>
        <v>195.78168300000002</v>
      </c>
      <c r="E88" s="13">
        <f>(E18+E74)*E87</f>
        <v>104.3524374</v>
      </c>
      <c r="F88" s="1"/>
      <c r="G88" s="1"/>
      <c r="H88" s="1"/>
    </row>
    <row r="89" spans="1:8" ht="12">
      <c r="A89" s="1" t="s">
        <v>455</v>
      </c>
      <c r="B89" s="1"/>
      <c r="C89" s="181">
        <f>C86+C88</f>
        <v>1278.124542</v>
      </c>
      <c r="D89" s="181">
        <f>D86+D88</f>
        <v>1271.281683</v>
      </c>
      <c r="E89" s="181">
        <f>E86+E88</f>
        <v>1179.8524374</v>
      </c>
      <c r="F89" s="1"/>
      <c r="G89" s="1"/>
      <c r="H89" s="1"/>
    </row>
    <row r="90" spans="1:8" ht="12">
      <c r="A90" s="1"/>
      <c r="B90" s="1"/>
      <c r="C90" s="1"/>
      <c r="D90" s="1"/>
      <c r="E90" s="13"/>
      <c r="F90" s="1"/>
      <c r="G90" s="1"/>
      <c r="H90" s="1"/>
    </row>
    <row r="91" spans="1:8" ht="12">
      <c r="A91" s="1" t="s">
        <v>210</v>
      </c>
      <c r="B91" s="1"/>
      <c r="C91" s="1"/>
      <c r="D91" s="1"/>
      <c r="E91" s="13"/>
      <c r="F91" s="1"/>
      <c r="G91" s="1"/>
      <c r="H91" s="1"/>
    </row>
    <row r="92" spans="1:8" ht="12">
      <c r="A92" s="1" t="s">
        <v>213</v>
      </c>
      <c r="B92" s="1"/>
      <c r="C92" s="13">
        <v>50</v>
      </c>
      <c r="D92" s="13">
        <v>50</v>
      </c>
      <c r="E92" s="13">
        <v>50</v>
      </c>
      <c r="F92" s="1"/>
      <c r="G92" s="1"/>
      <c r="H92" s="1"/>
    </row>
    <row r="93" spans="1:8" ht="12">
      <c r="A93" s="1" t="s">
        <v>214</v>
      </c>
      <c r="B93" s="1"/>
      <c r="C93" s="13">
        <v>100</v>
      </c>
      <c r="D93" s="13">
        <v>100</v>
      </c>
      <c r="E93" s="13">
        <v>100</v>
      </c>
      <c r="F93" s="1"/>
      <c r="G93" s="1"/>
      <c r="H93" s="1"/>
    </row>
    <row r="94" spans="1:8" ht="12">
      <c r="A94" s="1" t="s">
        <v>211</v>
      </c>
      <c r="B94" s="1"/>
      <c r="C94" s="181">
        <f>SUM(C92:C93)</f>
        <v>150</v>
      </c>
      <c r="D94" s="181">
        <f>SUM(D92:D93)</f>
        <v>150</v>
      </c>
      <c r="E94" s="181">
        <f>SUM(E92:E93)</f>
        <v>150</v>
      </c>
      <c r="F94" s="1"/>
      <c r="G94" s="1"/>
      <c r="H94" s="1"/>
    </row>
    <row r="95" spans="1:8" ht="12">
      <c r="A95" s="1"/>
      <c r="B95" s="1"/>
      <c r="C95" s="1"/>
      <c r="D95" s="1"/>
      <c r="E95" s="13"/>
      <c r="F95" s="1"/>
      <c r="G95" s="1"/>
      <c r="H95" s="1"/>
    </row>
    <row r="96" spans="1:8" ht="12">
      <c r="A96" s="1" t="s">
        <v>237</v>
      </c>
      <c r="B96" s="1"/>
      <c r="C96" s="1"/>
      <c r="D96" s="1"/>
      <c r="E96" s="1"/>
      <c r="F96" s="1"/>
      <c r="G96" s="11"/>
      <c r="H96" s="1"/>
    </row>
    <row r="97" spans="1:8" ht="12">
      <c r="A97" s="1" t="s">
        <v>236</v>
      </c>
      <c r="B97" s="1"/>
      <c r="C97" s="13">
        <v>9332</v>
      </c>
      <c r="D97" s="13">
        <v>9707</v>
      </c>
      <c r="E97" s="13">
        <v>9853</v>
      </c>
      <c r="F97" s="1"/>
      <c r="G97" s="11"/>
      <c r="H97" s="1"/>
    </row>
    <row r="98" spans="1:8" ht="12">
      <c r="A98" s="1" t="s">
        <v>238</v>
      </c>
      <c r="B98" s="1"/>
      <c r="C98" s="13">
        <v>0.95</v>
      </c>
      <c r="D98" s="13">
        <v>0.95</v>
      </c>
      <c r="E98" s="13">
        <v>0.95</v>
      </c>
      <c r="F98" s="1"/>
      <c r="G98" s="11"/>
      <c r="H98" s="1"/>
    </row>
    <row r="99" spans="1:8" ht="12">
      <c r="A99" s="1" t="s">
        <v>239</v>
      </c>
      <c r="B99" s="1"/>
      <c r="C99" s="13">
        <f>C97*C98</f>
        <v>8865.4</v>
      </c>
      <c r="D99" s="13">
        <f>D97*D98</f>
        <v>9221.65</v>
      </c>
      <c r="E99" s="13">
        <f>E97*E98</f>
        <v>9360.35</v>
      </c>
      <c r="F99" s="1"/>
      <c r="G99" s="109"/>
      <c r="H99" s="1"/>
    </row>
    <row r="100" spans="1:8" ht="12">
      <c r="A100" s="1" t="s">
        <v>241</v>
      </c>
      <c r="B100" s="1"/>
      <c r="C100" s="13">
        <v>0.75</v>
      </c>
      <c r="D100" s="13">
        <v>0.8321</v>
      </c>
      <c r="E100" s="13">
        <v>0.7</v>
      </c>
      <c r="F100" s="1"/>
      <c r="G100" s="11"/>
      <c r="H100" s="1"/>
    </row>
    <row r="101" spans="1:8" ht="12">
      <c r="A101" s="1" t="s">
        <v>242</v>
      </c>
      <c r="B101" s="1"/>
      <c r="C101" s="13">
        <f>C99*C100</f>
        <v>6649.049999999999</v>
      </c>
      <c r="D101" s="13">
        <f>D99*D100</f>
        <v>7673.334964999999</v>
      </c>
      <c r="E101" s="13">
        <f>E99*E100</f>
        <v>6552.245</v>
      </c>
      <c r="F101" s="1"/>
      <c r="G101" s="11"/>
      <c r="H101" s="1"/>
    </row>
    <row r="102" spans="1:8" ht="12">
      <c r="A102" s="1" t="s">
        <v>243</v>
      </c>
      <c r="B102" s="1"/>
      <c r="C102" s="13">
        <v>2.17</v>
      </c>
      <c r="D102" s="13">
        <v>2.17</v>
      </c>
      <c r="E102" s="13">
        <v>1</v>
      </c>
      <c r="F102" s="1"/>
      <c r="G102" s="11"/>
      <c r="H102" s="1"/>
    </row>
    <row r="103" spans="1:8" ht="12">
      <c r="A103" s="1" t="s">
        <v>244</v>
      </c>
      <c r="B103" s="1"/>
      <c r="C103" s="11">
        <f>C101*C102</f>
        <v>14428.438499999998</v>
      </c>
      <c r="D103" s="11">
        <f>D101*D102</f>
        <v>16651.136874049997</v>
      </c>
      <c r="E103" s="11">
        <f>E101*E102</f>
        <v>6552.245</v>
      </c>
      <c r="F103" s="1"/>
      <c r="G103" s="11"/>
      <c r="H103" s="1"/>
    </row>
    <row r="104" spans="1:8" ht="12">
      <c r="A104" s="1" t="s">
        <v>380</v>
      </c>
      <c r="B104" s="1"/>
      <c r="C104" s="13">
        <v>22.271</v>
      </c>
      <c r="D104" s="13">
        <v>22.385</v>
      </c>
      <c r="E104" s="13">
        <v>17.88</v>
      </c>
      <c r="F104" s="1"/>
      <c r="G104" s="11"/>
      <c r="H104" s="1"/>
    </row>
    <row r="105" spans="1:8" ht="12">
      <c r="A105" s="1" t="s">
        <v>240</v>
      </c>
      <c r="B105" s="1"/>
      <c r="C105" s="181">
        <f>C103*C104/2000</f>
        <v>160.66787691674998</v>
      </c>
      <c r="D105" s="181">
        <f>D103*D104/2000</f>
        <v>186.3678494628046</v>
      </c>
      <c r="E105" s="181">
        <f>E103*E104/2000</f>
        <v>58.577070299999995</v>
      </c>
      <c r="F105" s="1"/>
      <c r="G105" s="13"/>
      <c r="H105" s="1"/>
    </row>
    <row r="106" spans="1:8" ht="12">
      <c r="A106" s="1"/>
      <c r="B106" s="1"/>
      <c r="C106" s="1"/>
      <c r="D106" s="1"/>
      <c r="E106" s="13"/>
      <c r="F106" s="1"/>
      <c r="G106" s="11"/>
      <c r="H106" s="1"/>
    </row>
    <row r="107" spans="1:8" ht="12">
      <c r="A107" s="1" t="s">
        <v>479</v>
      </c>
      <c r="B107" s="1"/>
      <c r="C107" s="14">
        <f>C105</f>
        <v>160.66787691674998</v>
      </c>
      <c r="D107" s="14">
        <v>186.37</v>
      </c>
      <c r="E107" s="181">
        <v>58.58</v>
      </c>
      <c r="F107" s="12"/>
      <c r="G107" s="11"/>
      <c r="H107" s="1"/>
    </row>
    <row r="108" spans="1:8" ht="12">
      <c r="A108" s="1" t="s">
        <v>484</v>
      </c>
      <c r="B108" s="1"/>
      <c r="C108" s="200">
        <f>C107*2000/C97</f>
        <v>34.433749875</v>
      </c>
      <c r="D108" s="200">
        <f>D107*2000/D97</f>
        <v>38.399093437725355</v>
      </c>
      <c r="E108" s="200">
        <f>E107*2000/E97</f>
        <v>11.890794681822795</v>
      </c>
      <c r="F108" s="12"/>
      <c r="G108" s="11"/>
      <c r="H108" s="1"/>
    </row>
    <row r="109" spans="1:8" ht="12">
      <c r="A109" s="1"/>
      <c r="B109" s="1"/>
      <c r="C109" s="1"/>
      <c r="D109" s="1"/>
      <c r="E109" s="13"/>
      <c r="F109" s="1"/>
      <c r="G109" s="11"/>
      <c r="H109" s="1"/>
    </row>
    <row r="110" spans="1:8" ht="12">
      <c r="A110" s="1" t="s">
        <v>235</v>
      </c>
      <c r="B110" s="1"/>
      <c r="C110" s="1"/>
      <c r="D110" s="1"/>
      <c r="E110" s="13"/>
      <c r="F110" s="1"/>
      <c r="G110" s="11"/>
      <c r="H110" s="1"/>
    </row>
    <row r="111" spans="1:8" ht="12">
      <c r="A111" s="1" t="s">
        <v>246</v>
      </c>
      <c r="B111" s="1"/>
      <c r="C111" s="1">
        <f>C107</f>
        <v>160.66787691674998</v>
      </c>
      <c r="D111" s="1">
        <f>D107</f>
        <v>186.37</v>
      </c>
      <c r="E111" s="1">
        <f>58.58</f>
        <v>58.58</v>
      </c>
      <c r="F111" s="1"/>
      <c r="G111" s="11"/>
      <c r="H111" s="1"/>
    </row>
    <row r="112" spans="1:8" ht="12">
      <c r="A112" s="1" t="s">
        <v>247</v>
      </c>
      <c r="B112" s="1"/>
      <c r="C112" s="13">
        <v>62.89</v>
      </c>
      <c r="D112" s="13">
        <v>62.89</v>
      </c>
      <c r="E112" s="13">
        <v>62.89</v>
      </c>
      <c r="F112" s="1"/>
      <c r="G112" s="1"/>
      <c r="H112" s="1"/>
    </row>
    <row r="113" spans="1:8" ht="12">
      <c r="A113" s="1" t="s">
        <v>448</v>
      </c>
      <c r="B113" s="1"/>
      <c r="C113" s="181">
        <f>C111*C112</f>
        <v>10104.402779294405</v>
      </c>
      <c r="D113" s="181">
        <f>D111*D112</f>
        <v>11720.8093</v>
      </c>
      <c r="E113" s="181">
        <f>E111*E112</f>
        <v>3684.0962</v>
      </c>
      <c r="F113" s="1"/>
      <c r="G113" s="1"/>
      <c r="H113" s="1"/>
    </row>
    <row r="114" spans="1:8" ht="12">
      <c r="A114" s="1"/>
      <c r="B114" s="1"/>
      <c r="C114" s="1"/>
      <c r="D114" s="1"/>
      <c r="E114" s="13"/>
      <c r="F114" s="12"/>
      <c r="G114" s="1"/>
      <c r="H114" s="1"/>
    </row>
    <row r="115" spans="1:8" ht="12">
      <c r="A115" s="1"/>
      <c r="B115" s="1"/>
      <c r="C115" s="1"/>
      <c r="D115" s="1"/>
      <c r="E115" s="13"/>
      <c r="F115" s="1"/>
      <c r="G115" s="1"/>
      <c r="H115" s="1"/>
    </row>
    <row r="116" spans="1:8" ht="12">
      <c r="A116" s="1" t="s">
        <v>249</v>
      </c>
      <c r="B116" s="1"/>
      <c r="C116" s="1"/>
      <c r="D116" s="1"/>
      <c r="E116" s="176"/>
      <c r="F116" s="1"/>
      <c r="G116" s="1"/>
      <c r="H116" s="1"/>
    </row>
    <row r="117" spans="1:8" ht="12">
      <c r="A117" s="1" t="s">
        <v>246</v>
      </c>
      <c r="B117" s="1"/>
      <c r="C117" s="1">
        <f>C111</f>
        <v>160.66787691674998</v>
      </c>
      <c r="D117" s="1">
        <f>D111</f>
        <v>186.37</v>
      </c>
      <c r="E117" s="1">
        <f>E111</f>
        <v>58.58</v>
      </c>
      <c r="F117" s="1"/>
      <c r="G117" s="1"/>
      <c r="H117" s="1"/>
    </row>
    <row r="118" spans="1:8" ht="12">
      <c r="A118" s="1" t="s">
        <v>250</v>
      </c>
      <c r="B118" s="1"/>
      <c r="C118" s="13">
        <f>C117/C119</f>
        <v>7.303085314397726</v>
      </c>
      <c r="D118" s="13">
        <f>D117/D119</f>
        <v>9.808947368421054</v>
      </c>
      <c r="E118" s="13">
        <f>58.58/7</f>
        <v>8.368571428571428</v>
      </c>
      <c r="F118" s="1"/>
      <c r="G118" s="1"/>
      <c r="H118" s="1"/>
    </row>
    <row r="119" spans="1:8" ht="12">
      <c r="A119" s="1" t="s">
        <v>251</v>
      </c>
      <c r="B119" s="1"/>
      <c r="C119" s="13">
        <v>22</v>
      </c>
      <c r="D119" s="13">
        <f>18+1</f>
        <v>19</v>
      </c>
      <c r="E119" s="13">
        <f>E117/E118</f>
        <v>7</v>
      </c>
      <c r="F119" s="1"/>
      <c r="G119" s="1"/>
      <c r="H119" s="1"/>
    </row>
    <row r="120" spans="1:8" ht="12">
      <c r="A120" s="1" t="s">
        <v>252</v>
      </c>
      <c r="B120" s="1"/>
      <c r="C120" s="13">
        <f>C121/C119</f>
        <v>4.482727272727273</v>
      </c>
      <c r="D120" s="13">
        <f>D121/D119</f>
        <v>3.513684210526316</v>
      </c>
      <c r="E120" s="13">
        <f>27.5/E119</f>
        <v>3.9285714285714284</v>
      </c>
      <c r="F120" s="1"/>
      <c r="G120" s="1"/>
      <c r="H120" s="1"/>
    </row>
    <row r="121" spans="1:8" ht="12">
      <c r="A121" s="1" t="s">
        <v>253</v>
      </c>
      <c r="B121" s="1"/>
      <c r="C121" s="13">
        <v>98.62</v>
      </c>
      <c r="D121" s="13">
        <v>66.76</v>
      </c>
      <c r="E121" s="13">
        <f>E119*E120</f>
        <v>27.5</v>
      </c>
      <c r="F121" s="1"/>
      <c r="G121" s="1"/>
      <c r="H121" s="1"/>
    </row>
    <row r="122" spans="1:8" ht="12">
      <c r="A122" s="1" t="s">
        <v>260</v>
      </c>
      <c r="B122" s="1"/>
      <c r="C122" s="13">
        <v>0</v>
      </c>
      <c r="D122" s="13">
        <v>0</v>
      </c>
      <c r="E122" s="13">
        <v>0</v>
      </c>
      <c r="F122" s="1"/>
      <c r="G122" s="1"/>
      <c r="H122" s="1"/>
    </row>
    <row r="123" spans="1:8" ht="12">
      <c r="A123" s="1"/>
      <c r="B123" s="1"/>
      <c r="C123" s="1"/>
      <c r="D123" s="1"/>
      <c r="E123" s="13"/>
      <c r="F123" s="1"/>
      <c r="G123" s="1"/>
      <c r="H123" s="1"/>
    </row>
    <row r="124" spans="1:8" ht="12">
      <c r="A124" s="1" t="s">
        <v>255</v>
      </c>
      <c r="B124" s="1"/>
      <c r="C124" s="1"/>
      <c r="D124" s="1"/>
      <c r="E124" s="13"/>
      <c r="F124" s="1"/>
      <c r="G124" s="1"/>
      <c r="H124" s="1"/>
    </row>
    <row r="125" spans="1:8" ht="12">
      <c r="A125" s="1" t="s">
        <v>256</v>
      </c>
      <c r="B125" s="1"/>
      <c r="C125" s="11">
        <f>C117</f>
        <v>160.66787691674998</v>
      </c>
      <c r="D125" s="11">
        <f>D117</f>
        <v>186.37</v>
      </c>
      <c r="E125" s="11">
        <f>E117</f>
        <v>58.58</v>
      </c>
      <c r="F125" s="1"/>
      <c r="G125" s="1"/>
      <c r="H125" s="1"/>
    </row>
    <row r="126" spans="1:8" ht="12">
      <c r="A126" s="1" t="s">
        <v>481</v>
      </c>
      <c r="B126" s="1"/>
      <c r="C126" s="1">
        <f>C127/C125</f>
        <v>102.17842119433966</v>
      </c>
      <c r="D126" s="1">
        <v>112.01</v>
      </c>
      <c r="E126" s="1">
        <v>116.02</v>
      </c>
      <c r="F126" s="1"/>
      <c r="G126" s="1"/>
      <c r="H126" s="1"/>
    </row>
    <row r="127" spans="1:8" ht="12">
      <c r="A127" s="1" t="s">
        <v>75</v>
      </c>
      <c r="B127" s="1"/>
      <c r="C127" s="13">
        <v>16416.79</v>
      </c>
      <c r="D127" s="13">
        <f>D125*D126</f>
        <v>20875.3037</v>
      </c>
      <c r="E127" s="13">
        <f>E125*E126</f>
        <v>6796.451599999999</v>
      </c>
      <c r="F127" s="1"/>
      <c r="G127" s="1"/>
      <c r="H127" s="1"/>
    </row>
    <row r="128" spans="1:8" ht="12">
      <c r="A128" s="1"/>
      <c r="B128" s="1"/>
      <c r="C128" s="1"/>
      <c r="D128" s="1"/>
      <c r="E128" s="1"/>
      <c r="F128" s="1"/>
      <c r="G128" s="1"/>
      <c r="H128" s="1"/>
    </row>
    <row r="129" spans="1:8" ht="12">
      <c r="A129" s="1" t="s">
        <v>75</v>
      </c>
      <c r="B129" s="1"/>
      <c r="C129" s="11">
        <f>C127</f>
        <v>16416.79</v>
      </c>
      <c r="D129" s="11">
        <f>D127</f>
        <v>20875.3037</v>
      </c>
      <c r="E129" s="11">
        <f>E127</f>
        <v>6796.451599999999</v>
      </c>
      <c r="F129" s="1"/>
      <c r="G129" s="1"/>
      <c r="H129" s="1"/>
    </row>
    <row r="130" spans="1:8" ht="12">
      <c r="A130" s="1" t="s">
        <v>261</v>
      </c>
      <c r="B130" s="1"/>
      <c r="C130" s="1">
        <v>0.7</v>
      </c>
      <c r="D130" s="1">
        <v>0.7</v>
      </c>
      <c r="E130" s="1">
        <v>0.7</v>
      </c>
      <c r="F130" s="1"/>
      <c r="G130" s="1"/>
      <c r="H130" s="1"/>
    </row>
    <row r="131" spans="1:8" ht="12">
      <c r="A131" s="1" t="s">
        <v>263</v>
      </c>
      <c r="B131" s="1"/>
      <c r="C131" s="1">
        <v>0.3</v>
      </c>
      <c r="D131" s="1">
        <v>0.3</v>
      </c>
      <c r="E131" s="1">
        <v>0.3</v>
      </c>
      <c r="F131" s="1"/>
      <c r="G131" s="1"/>
      <c r="H131" s="1"/>
    </row>
    <row r="132" spans="1:8" ht="12">
      <c r="A132" s="1" t="s">
        <v>533</v>
      </c>
      <c r="B132" s="1"/>
      <c r="C132" s="202">
        <f>C129*C130/C97</f>
        <v>1.2314351693099015</v>
      </c>
      <c r="D132" s="202">
        <f>D129*D130/D97</f>
        <v>1.5053788595858657</v>
      </c>
      <c r="E132" s="202">
        <f>E129*E130/E97</f>
        <v>0.4828494996447782</v>
      </c>
      <c r="F132" s="1"/>
      <c r="G132" s="1"/>
      <c r="H132" s="1"/>
    </row>
    <row r="133" spans="1:8" ht="12">
      <c r="A133" s="1"/>
      <c r="B133" s="1"/>
      <c r="C133" s="1"/>
      <c r="D133" s="1"/>
      <c r="E133" s="173" t="s">
        <v>0</v>
      </c>
      <c r="F133" s="1" t="s">
        <v>0</v>
      </c>
      <c r="G133" s="1"/>
      <c r="H133" s="1"/>
    </row>
    <row r="134" spans="1:8" ht="12">
      <c r="A134" s="1" t="s">
        <v>482</v>
      </c>
      <c r="B134" s="1"/>
      <c r="C134" s="1">
        <v>1.15</v>
      </c>
      <c r="D134" s="201">
        <v>1.15</v>
      </c>
      <c r="E134" s="201">
        <v>1.15</v>
      </c>
      <c r="F134" s="1"/>
      <c r="G134" s="1"/>
      <c r="H134" s="1"/>
    </row>
    <row r="135" spans="1:8" ht="12">
      <c r="A135" s="1" t="s">
        <v>483</v>
      </c>
      <c r="B135" s="1"/>
      <c r="C135" s="1"/>
      <c r="D135" s="14"/>
      <c r="E135" s="14">
        <f>E134/2</f>
        <v>0.575</v>
      </c>
      <c r="F135" s="1"/>
      <c r="G135" s="1"/>
      <c r="H135" s="1"/>
    </row>
    <row r="136" spans="1:8" ht="12">
      <c r="A136" s="1" t="s">
        <v>485</v>
      </c>
      <c r="B136" s="1"/>
      <c r="C136" s="1">
        <f>C127*0.7/C97</f>
        <v>1.2314351693099015</v>
      </c>
      <c r="D136" s="1">
        <f>D127*0.7/D97</f>
        <v>1.5053788595858657</v>
      </c>
      <c r="E136" s="1">
        <f>E127*0.7/E97</f>
        <v>0.4828494996447782</v>
      </c>
      <c r="F136" s="1"/>
      <c r="G136" s="1"/>
      <c r="H136" s="1"/>
    </row>
    <row r="137" spans="1:8" ht="12">
      <c r="A137" s="1"/>
      <c r="B137" s="1"/>
      <c r="C137" s="1"/>
      <c r="D137" s="1"/>
      <c r="E137" s="11"/>
      <c r="F137" s="1"/>
      <c r="G137" s="1"/>
      <c r="H137" s="1"/>
    </row>
    <row r="138" spans="1:8" ht="12">
      <c r="A138" s="1" t="s">
        <v>486</v>
      </c>
      <c r="B138" s="1"/>
      <c r="C138" s="1">
        <f>C136-C134</f>
        <v>0.08143516930990158</v>
      </c>
      <c r="D138" s="1">
        <f>D136-D134</f>
        <v>0.3553788595858658</v>
      </c>
      <c r="E138" s="13">
        <f>E136-E135</f>
        <v>-0.09215050035522176</v>
      </c>
      <c r="F138" s="107"/>
      <c r="G138" s="1"/>
      <c r="H138" s="1"/>
    </row>
    <row r="139" spans="1:8" ht="12">
      <c r="A139" s="1"/>
      <c r="B139" s="1"/>
      <c r="C139" s="1"/>
      <c r="D139" s="1"/>
      <c r="E139" s="11"/>
      <c r="F139" s="107"/>
      <c r="G139" s="1"/>
      <c r="H139" s="1"/>
    </row>
    <row r="140" spans="1:8" ht="12">
      <c r="A140" s="1"/>
      <c r="B140" s="1"/>
      <c r="C140" s="1"/>
      <c r="D140" s="1"/>
      <c r="E140" s="11"/>
      <c r="F140" s="107"/>
      <c r="G140" s="1"/>
      <c r="H140" s="1"/>
    </row>
    <row r="141" spans="1:8" ht="12">
      <c r="A141" s="1"/>
      <c r="B141" s="1"/>
      <c r="C141" s="1"/>
      <c r="D141" s="1"/>
      <c r="E141" s="11"/>
      <c r="F141" s="1"/>
      <c r="G141" s="1"/>
      <c r="H141" s="1"/>
    </row>
    <row r="142" spans="1:8" ht="12">
      <c r="A142" s="1"/>
      <c r="B142" s="1"/>
      <c r="C142" s="1"/>
      <c r="D142" s="1"/>
      <c r="E142" s="11"/>
      <c r="F142" s="109"/>
      <c r="G142" s="1"/>
      <c r="H142" s="1"/>
    </row>
    <row r="143" spans="1:8" ht="12">
      <c r="A143" s="1"/>
      <c r="B143" s="1"/>
      <c r="C143" s="1"/>
      <c r="D143" s="1"/>
      <c r="E143" s="11"/>
      <c r="F143" s="1"/>
      <c r="G143" s="1"/>
      <c r="H143" s="1"/>
    </row>
    <row r="144" spans="1:8" ht="12">
      <c r="A144" s="1"/>
      <c r="B144" s="1"/>
      <c r="C144" s="1"/>
      <c r="D144" s="1"/>
      <c r="E144" s="11"/>
      <c r="F144" s="1"/>
      <c r="G144" s="1"/>
      <c r="H144" s="1"/>
    </row>
    <row r="145" spans="1:8" ht="12">
      <c r="A145" s="1"/>
      <c r="B145" s="1"/>
      <c r="C145" s="1"/>
      <c r="D145" s="1"/>
      <c r="E145" s="11"/>
      <c r="F145" s="109"/>
      <c r="G145" s="1"/>
      <c r="H145" s="1"/>
    </row>
    <row r="146" spans="1:8" ht="12">
      <c r="A146" s="1"/>
      <c r="B146" s="1"/>
      <c r="C146" s="1"/>
      <c r="D146" s="1"/>
      <c r="E146" s="1"/>
      <c r="F146" s="1"/>
      <c r="G146" s="1"/>
      <c r="H146" s="1"/>
    </row>
    <row r="147" spans="1:8" ht="12">
      <c r="A147" s="1"/>
      <c r="B147" s="1"/>
      <c r="C147" s="1"/>
      <c r="D147" s="1"/>
      <c r="E147" s="1"/>
      <c r="F147" s="1"/>
      <c r="G147" s="1"/>
      <c r="H147" s="1"/>
    </row>
    <row r="148" spans="1:8" ht="12">
      <c r="A148" s="1"/>
      <c r="B148" s="1"/>
      <c r="C148" s="1"/>
      <c r="D148" s="1"/>
      <c r="E148" s="11"/>
      <c r="F148" s="1"/>
      <c r="G148" s="1"/>
      <c r="H148" s="1"/>
    </row>
    <row r="149" spans="1:8" ht="12">
      <c r="A149" s="1"/>
      <c r="B149" s="1"/>
      <c r="C149" s="1"/>
      <c r="D149" s="1"/>
      <c r="E149" s="1"/>
      <c r="F149" s="1"/>
      <c r="G149" s="1"/>
      <c r="H149" s="1"/>
    </row>
    <row r="150" spans="1:8" ht="12">
      <c r="A150" s="1"/>
      <c r="B150" s="1"/>
      <c r="C150" s="1"/>
      <c r="D150" s="1"/>
      <c r="E150" s="1"/>
      <c r="F150" s="1"/>
      <c r="G150" s="1"/>
      <c r="H150" s="1"/>
    </row>
    <row r="151" spans="1:8" ht="12">
      <c r="A151" s="1"/>
      <c r="B151" s="1"/>
      <c r="C151" s="1"/>
      <c r="D151" s="1"/>
      <c r="E151" s="1"/>
      <c r="F151" s="1"/>
      <c r="G151" s="1"/>
      <c r="H151" s="1"/>
    </row>
    <row r="152" spans="1:8" ht="12">
      <c r="A152" s="1"/>
      <c r="B152" s="1"/>
      <c r="C152" s="1"/>
      <c r="D152" s="1"/>
      <c r="E152" s="1"/>
      <c r="F152" s="1"/>
      <c r="G152" s="1"/>
      <c r="H152" s="1"/>
    </row>
    <row r="153" spans="1:8" ht="12">
      <c r="A153" s="1"/>
      <c r="B153" s="1"/>
      <c r="C153" s="1"/>
      <c r="D153" s="1"/>
      <c r="E153" s="1"/>
      <c r="F153" s="1"/>
      <c r="G153" s="1"/>
      <c r="H153" s="1"/>
    </row>
    <row r="154" spans="1:8" ht="12">
      <c r="A154" s="1"/>
      <c r="B154" s="1"/>
      <c r="C154" s="1"/>
      <c r="D154" s="1"/>
      <c r="E154" s="1"/>
      <c r="F154" s="1"/>
      <c r="G154" s="1"/>
      <c r="H154" s="1"/>
    </row>
    <row r="155" spans="1:8" ht="12">
      <c r="A155" s="1"/>
      <c r="B155" s="1"/>
      <c r="C155" s="1"/>
      <c r="D155" s="1"/>
      <c r="E155" s="1"/>
      <c r="F155" s="1"/>
      <c r="G155" s="1"/>
      <c r="H155" s="1"/>
    </row>
    <row r="156" spans="1:8" ht="12">
      <c r="A156" s="1"/>
      <c r="B156" s="1"/>
      <c r="C156" s="1"/>
      <c r="D156" s="1"/>
      <c r="E156" s="1"/>
      <c r="F156" s="1"/>
      <c r="G156" s="1"/>
      <c r="H156" s="1"/>
    </row>
    <row r="157" spans="1:8" ht="12">
      <c r="A157" s="1"/>
      <c r="B157" s="1"/>
      <c r="C157" s="1"/>
      <c r="D157" s="1"/>
      <c r="E157" s="1"/>
      <c r="F157" s="1"/>
      <c r="G157" s="1"/>
      <c r="H157" s="1"/>
    </row>
    <row r="158" spans="1:8" ht="12">
      <c r="A158" s="1"/>
      <c r="B158" s="1"/>
      <c r="C158" s="1"/>
      <c r="D158" s="1"/>
      <c r="E158" s="1"/>
      <c r="F158" s="1"/>
      <c r="G158" s="1"/>
      <c r="H158" s="1"/>
    </row>
    <row r="159" spans="1:8" ht="12">
      <c r="A159" s="1"/>
      <c r="B159" s="1"/>
      <c r="C159" s="1"/>
      <c r="D159" s="1"/>
      <c r="E159" s="1"/>
      <c r="F159" s="1"/>
      <c r="G159" s="1"/>
      <c r="H159" s="1"/>
    </row>
    <row r="160" spans="1:8" ht="12">
      <c r="A160" s="1"/>
      <c r="B160" s="1"/>
      <c r="C160" s="1"/>
      <c r="D160" s="1"/>
      <c r="E160" s="1"/>
      <c r="F160" s="1"/>
      <c r="G160" s="1"/>
      <c r="H160" s="1"/>
    </row>
    <row r="161" spans="1:8" ht="12">
      <c r="A161" s="1"/>
      <c r="B161" s="1"/>
      <c r="C161" s="1"/>
      <c r="D161" s="1"/>
      <c r="E161" s="1"/>
      <c r="F161" s="1"/>
      <c r="G161" s="1"/>
      <c r="H161" s="1"/>
    </row>
    <row r="162" spans="1:8" ht="12">
      <c r="A162" s="1"/>
      <c r="B162" s="1"/>
      <c r="C162" s="1"/>
      <c r="D162" s="1"/>
      <c r="E162" s="1"/>
      <c r="F162" s="1"/>
      <c r="G162" s="1"/>
      <c r="H162" s="1"/>
    </row>
    <row r="163" spans="1:8" ht="12">
      <c r="A163" s="1"/>
      <c r="B163" s="1"/>
      <c r="C163" s="1"/>
      <c r="D163" s="1"/>
      <c r="E163" s="1"/>
      <c r="F163" s="1"/>
      <c r="G163" s="1"/>
      <c r="H163" s="1"/>
    </row>
    <row r="164" spans="1:8" ht="12">
      <c r="A164" s="1"/>
      <c r="B164" s="1"/>
      <c r="C164" s="1"/>
      <c r="D164" s="1"/>
      <c r="E164" s="1"/>
      <c r="F164" s="1"/>
      <c r="G164" s="1"/>
      <c r="H164" s="1"/>
    </row>
    <row r="165" spans="1:8" ht="12">
      <c r="A165" s="1"/>
      <c r="B165" s="1"/>
      <c r="C165" s="1"/>
      <c r="D165" s="1"/>
      <c r="E165" s="1"/>
      <c r="F165" s="1"/>
      <c r="G165" s="1"/>
      <c r="H165" s="1"/>
    </row>
    <row r="166" spans="1:8" ht="12">
      <c r="A166" s="1"/>
      <c r="B166" s="1"/>
      <c r="C166" s="1"/>
      <c r="D166" s="1"/>
      <c r="E166" s="1"/>
      <c r="F166" s="1"/>
      <c r="G166" s="1"/>
      <c r="H166" s="1"/>
    </row>
    <row r="167" spans="1:8" ht="12">
      <c r="A167" s="1"/>
      <c r="B167" s="1"/>
      <c r="C167" s="1"/>
      <c r="D167" s="1"/>
      <c r="E167" s="1"/>
      <c r="F167" s="1"/>
      <c r="G167" s="1"/>
      <c r="H167" s="1"/>
    </row>
    <row r="168" spans="1:8" ht="12">
      <c r="A168" s="1"/>
      <c r="B168" s="1"/>
      <c r="C168" s="1"/>
      <c r="D168" s="1"/>
      <c r="E168" s="1"/>
      <c r="F168" s="1"/>
      <c r="G168" s="1"/>
      <c r="H168" s="1"/>
    </row>
    <row r="169" spans="1:8" ht="12">
      <c r="A169" s="1"/>
      <c r="B169" s="1"/>
      <c r="C169" s="1"/>
      <c r="D169" s="1"/>
      <c r="E169" s="1"/>
      <c r="F169" s="1"/>
      <c r="G169" s="1"/>
      <c r="H169" s="1"/>
    </row>
  </sheetData>
  <printOptions/>
  <pageMargins left="0.75" right="0.75" top="1" bottom="1" header="0.5" footer="0.5"/>
  <pageSetup horizontalDpi="300" verticalDpi="300" orientation="portrait" scale="98" r:id="rId1"/>
  <rowBreaks count="2" manualBreakCount="2">
    <brk id="55" max="255" man="1"/>
    <brk id="10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H69"/>
  <sheetViews>
    <sheetView workbookViewId="0" topLeftCell="A1">
      <selection activeCell="A18" sqref="A18"/>
    </sheetView>
  </sheetViews>
  <sheetFormatPr defaultColWidth="8.796875" defaultRowHeight="12"/>
  <sheetData>
    <row r="1" spans="1:8" ht="11.25">
      <c r="A1" s="211" t="s">
        <v>489</v>
      </c>
      <c r="B1" s="207"/>
      <c r="C1" s="207"/>
      <c r="D1" s="207"/>
      <c r="E1" s="207"/>
      <c r="F1" s="207"/>
      <c r="G1" s="207"/>
      <c r="H1" s="207"/>
    </row>
    <row r="2" spans="1:8" ht="11.25">
      <c r="A2" s="207"/>
      <c r="B2" s="207"/>
      <c r="C2" s="207"/>
      <c r="D2" s="207"/>
      <c r="E2" s="207"/>
      <c r="F2" s="207"/>
      <c r="G2" s="207"/>
      <c r="H2" s="207"/>
    </row>
    <row r="3" spans="1:8" ht="11.25">
      <c r="A3" s="211" t="s">
        <v>453</v>
      </c>
      <c r="B3" s="207"/>
      <c r="C3" s="207"/>
      <c r="D3" s="207"/>
      <c r="E3" s="207"/>
      <c r="F3" s="207"/>
      <c r="G3" s="207"/>
      <c r="H3" s="207"/>
    </row>
    <row r="4" spans="1:8" ht="11.25">
      <c r="A4" s="207"/>
      <c r="B4" s="207"/>
      <c r="C4" s="207"/>
      <c r="D4" s="207"/>
      <c r="E4" s="207"/>
      <c r="F4" s="207"/>
      <c r="G4" s="207"/>
      <c r="H4" s="207"/>
    </row>
    <row r="5" spans="1:8" ht="11.25">
      <c r="A5" s="207" t="s">
        <v>490</v>
      </c>
      <c r="B5" s="207"/>
      <c r="C5" s="207"/>
      <c r="D5" s="207"/>
      <c r="E5" s="207"/>
      <c r="F5" s="207"/>
      <c r="G5" s="207"/>
      <c r="H5" s="207"/>
    </row>
    <row r="6" spans="1:8" ht="11.25">
      <c r="A6" s="207"/>
      <c r="B6" s="207"/>
      <c r="C6" s="207"/>
      <c r="D6" s="207"/>
      <c r="E6" s="207"/>
      <c r="F6" s="207"/>
      <c r="G6" s="207"/>
      <c r="H6" s="207"/>
    </row>
    <row r="7" spans="1:8" ht="11.25">
      <c r="A7" s="207"/>
      <c r="B7" s="207"/>
      <c r="C7" s="208" t="s">
        <v>491</v>
      </c>
      <c r="D7" s="208" t="s">
        <v>492</v>
      </c>
      <c r="E7" s="208" t="s">
        <v>493</v>
      </c>
      <c r="F7" s="208" t="s">
        <v>494</v>
      </c>
      <c r="G7" s="208" t="s">
        <v>495</v>
      </c>
      <c r="H7" s="207"/>
    </row>
    <row r="8" spans="1:8" ht="11.25">
      <c r="A8" s="207" t="s">
        <v>496</v>
      </c>
      <c r="B8" s="207"/>
      <c r="C8" s="209">
        <v>16.9</v>
      </c>
      <c r="D8" s="209">
        <f>C8*1.5</f>
        <v>25.349999999999998</v>
      </c>
      <c r="E8" s="209">
        <v>89.51</v>
      </c>
      <c r="F8" s="209">
        <v>19.5</v>
      </c>
      <c r="G8" s="209">
        <f>C8*E8+D8*F8</f>
        <v>2007.0439999999999</v>
      </c>
      <c r="H8" s="207"/>
    </row>
    <row r="9" spans="1:8" ht="11.25">
      <c r="A9" s="207" t="s">
        <v>497</v>
      </c>
      <c r="B9" s="207"/>
      <c r="C9" s="209">
        <v>19</v>
      </c>
      <c r="D9" s="209">
        <f>C9*1.5</f>
        <v>28.5</v>
      </c>
      <c r="E9" s="209">
        <v>88.12</v>
      </c>
      <c r="F9" s="209">
        <v>22.17</v>
      </c>
      <c r="G9" s="209">
        <f>C9*E9+D9*F9</f>
        <v>2306.125</v>
      </c>
      <c r="H9" s="207"/>
    </row>
    <row r="10" spans="1:8" ht="11.25">
      <c r="A10" s="207" t="s">
        <v>498</v>
      </c>
      <c r="B10" s="207"/>
      <c r="C10" s="209">
        <v>19</v>
      </c>
      <c r="D10" s="209">
        <f>C10*1.5</f>
        <v>28.5</v>
      </c>
      <c r="E10" s="209">
        <v>87.43</v>
      </c>
      <c r="F10" s="209">
        <v>28.53</v>
      </c>
      <c r="G10" s="209">
        <f>C10*E10+D10*F10</f>
        <v>2474.275</v>
      </c>
      <c r="H10" s="207"/>
    </row>
    <row r="11" spans="1:8" ht="11.25">
      <c r="A11" s="115" t="s">
        <v>499</v>
      </c>
      <c r="B11" s="207"/>
      <c r="C11" s="207"/>
      <c r="D11" s="207"/>
      <c r="E11" s="209">
        <f>SUM(E8:E10)</f>
        <v>265.06</v>
      </c>
      <c r="F11" s="209">
        <f>SUM(F8:F10)</f>
        <v>70.2</v>
      </c>
      <c r="G11" s="210">
        <f>SUM(G8:G10)</f>
        <v>6787.4439999999995</v>
      </c>
      <c r="H11" s="207"/>
    </row>
    <row r="12" spans="1:8" ht="11.25">
      <c r="A12" s="207"/>
      <c r="B12" s="207"/>
      <c r="C12" s="207"/>
      <c r="D12" s="209"/>
      <c r="E12" s="209"/>
      <c r="F12" s="209"/>
      <c r="G12" s="207"/>
      <c r="H12" s="207"/>
    </row>
    <row r="13" spans="1:8" ht="11.25">
      <c r="A13" s="207" t="s">
        <v>500</v>
      </c>
      <c r="B13" s="207"/>
      <c r="C13" s="209">
        <v>21.4</v>
      </c>
      <c r="D13" s="209">
        <f>C13*1.5</f>
        <v>32.099999999999994</v>
      </c>
      <c r="E13" s="209">
        <v>7.5</v>
      </c>
      <c r="F13" s="209"/>
      <c r="G13" s="209">
        <f>C13*E13+D13*F13</f>
        <v>160.5</v>
      </c>
      <c r="H13" s="207"/>
    </row>
    <row r="14" spans="1:8" ht="11.25">
      <c r="A14" s="207" t="s">
        <v>501</v>
      </c>
      <c r="B14" s="207"/>
      <c r="C14" s="209">
        <v>18.5</v>
      </c>
      <c r="D14" s="209">
        <f>C14*1.5</f>
        <v>27.75</v>
      </c>
      <c r="E14" s="209">
        <v>20</v>
      </c>
      <c r="F14" s="209"/>
      <c r="G14" s="209">
        <f>C14*E14+D14*F14</f>
        <v>370</v>
      </c>
      <c r="H14" s="207"/>
    </row>
    <row r="15" spans="1:8" ht="11.25">
      <c r="A15" s="207" t="s">
        <v>502</v>
      </c>
      <c r="B15" s="207"/>
      <c r="C15" s="209">
        <v>16.9</v>
      </c>
      <c r="D15" s="209">
        <f>C15*1.5</f>
        <v>25.349999999999998</v>
      </c>
      <c r="E15" s="209">
        <v>0</v>
      </c>
      <c r="F15" s="209"/>
      <c r="G15" s="209">
        <f>C15*E15+D15*F15</f>
        <v>0</v>
      </c>
      <c r="H15" s="207"/>
    </row>
    <row r="16" spans="1:8" ht="11.25">
      <c r="A16" s="207" t="s">
        <v>3</v>
      </c>
      <c r="B16" s="207"/>
      <c r="C16" s="207"/>
      <c r="D16" s="207"/>
      <c r="E16" s="209">
        <f>SUM(E13:E15)</f>
        <v>27.5</v>
      </c>
      <c r="F16" s="207">
        <f>SUM(F13:F15)</f>
        <v>0</v>
      </c>
      <c r="G16" s="115">
        <f>SUM(G13:G15)</f>
        <v>530.5</v>
      </c>
      <c r="H16" s="207"/>
    </row>
    <row r="17" spans="1:8" ht="11.25">
      <c r="A17" s="207"/>
      <c r="B17" s="207"/>
      <c r="C17" s="207"/>
      <c r="D17" s="207"/>
      <c r="E17" s="209"/>
      <c r="F17" s="209"/>
      <c r="G17" s="207"/>
      <c r="H17" s="207"/>
    </row>
    <row r="18" spans="1:8" ht="11.25">
      <c r="A18" s="211" t="s">
        <v>538</v>
      </c>
      <c r="B18" s="207"/>
      <c r="C18" s="207"/>
      <c r="D18" s="207"/>
      <c r="E18" s="209">
        <f>E11+E16</f>
        <v>292.56</v>
      </c>
      <c r="F18" s="209">
        <f>F11+F16</f>
        <v>70.2</v>
      </c>
      <c r="G18" s="210">
        <f>G11+G16</f>
        <v>7317.9439999999995</v>
      </c>
      <c r="H18" s="207"/>
    </row>
    <row r="19" spans="1:8" ht="11.25">
      <c r="A19" s="207"/>
      <c r="B19" s="207"/>
      <c r="C19" s="207"/>
      <c r="D19" s="207"/>
      <c r="E19" s="209"/>
      <c r="F19" s="209"/>
      <c r="G19" s="210"/>
      <c r="H19" s="207"/>
    </row>
    <row r="20" spans="1:8" ht="11.25">
      <c r="A20" s="212"/>
      <c r="B20" s="212"/>
      <c r="C20" s="212"/>
      <c r="D20" s="212"/>
      <c r="E20" s="213"/>
      <c r="F20" s="213"/>
      <c r="G20" s="212"/>
      <c r="H20" s="212"/>
    </row>
    <row r="21" spans="1:8" ht="11.25">
      <c r="A21" s="211" t="s">
        <v>453</v>
      </c>
      <c r="B21" s="207"/>
      <c r="C21" s="207"/>
      <c r="D21" s="207"/>
      <c r="E21" s="207"/>
      <c r="F21" s="207"/>
      <c r="G21" s="207"/>
      <c r="H21" s="207"/>
    </row>
    <row r="22" spans="1:8" ht="11.25">
      <c r="A22" s="207"/>
      <c r="B22" s="207"/>
      <c r="C22" s="207"/>
      <c r="D22" s="207"/>
      <c r="E22" s="207"/>
      <c r="F22" s="207"/>
      <c r="G22" s="207"/>
      <c r="H22" s="207"/>
    </row>
    <row r="23" spans="1:8" ht="11.25">
      <c r="A23" s="207" t="s">
        <v>503</v>
      </c>
      <c r="B23" s="207"/>
      <c r="C23" s="207"/>
      <c r="D23" s="207"/>
      <c r="E23" s="207"/>
      <c r="F23" s="207"/>
      <c r="G23" s="207"/>
      <c r="H23" s="207"/>
    </row>
    <row r="24" spans="1:8" ht="11.25">
      <c r="A24" s="207"/>
      <c r="B24" s="207"/>
      <c r="C24" s="207"/>
      <c r="D24" s="207"/>
      <c r="E24" s="207"/>
      <c r="F24" s="207"/>
      <c r="G24" s="207"/>
      <c r="H24" s="207"/>
    </row>
    <row r="25" spans="1:8" ht="11.25">
      <c r="A25" s="207"/>
      <c r="B25" s="207"/>
      <c r="C25" s="208" t="s">
        <v>491</v>
      </c>
      <c r="D25" s="208" t="s">
        <v>492</v>
      </c>
      <c r="E25" s="208" t="s">
        <v>493</v>
      </c>
      <c r="F25" s="208" t="s">
        <v>494</v>
      </c>
      <c r="G25" s="208" t="s">
        <v>504</v>
      </c>
      <c r="H25" s="208" t="s">
        <v>495</v>
      </c>
    </row>
    <row r="26" spans="1:8" ht="11.25">
      <c r="A26" s="207" t="s">
        <v>496</v>
      </c>
      <c r="B26" s="207"/>
      <c r="C26" s="209">
        <v>16.9</v>
      </c>
      <c r="D26" s="209">
        <f>C26*1.5</f>
        <v>25.349999999999998</v>
      </c>
      <c r="E26" s="209">
        <v>166.56</v>
      </c>
      <c r="F26" s="209">
        <v>32.38</v>
      </c>
      <c r="G26" s="209">
        <v>8</v>
      </c>
      <c r="H26" s="209">
        <f>C26*E26+D26*F26+G26*C26</f>
        <v>3770.8969999999995</v>
      </c>
    </row>
    <row r="27" spans="1:8" ht="11.25">
      <c r="A27" s="207" t="s">
        <v>497</v>
      </c>
      <c r="B27" s="207"/>
      <c r="C27" s="209">
        <v>19</v>
      </c>
      <c r="D27" s="209">
        <f>C27*1.5</f>
        <v>28.5</v>
      </c>
      <c r="E27" s="209">
        <v>168.34</v>
      </c>
      <c r="F27" s="209">
        <v>24.46</v>
      </c>
      <c r="G27" s="209">
        <v>8</v>
      </c>
      <c r="H27" s="209">
        <f>C27*E27+D27*F27+G27*C27</f>
        <v>4047.57</v>
      </c>
    </row>
    <row r="28" spans="1:8" ht="11.25">
      <c r="A28" s="207" t="s">
        <v>498</v>
      </c>
      <c r="B28" s="207"/>
      <c r="C28" s="209">
        <v>19</v>
      </c>
      <c r="D28" s="209">
        <f>C28*1.5</f>
        <v>28.5</v>
      </c>
      <c r="E28" s="209">
        <v>168.52</v>
      </c>
      <c r="F28" s="209">
        <v>19.36</v>
      </c>
      <c r="G28" s="209">
        <v>8</v>
      </c>
      <c r="H28" s="209">
        <f>C28*E28+D28*F28+G28*C28</f>
        <v>3905.6400000000003</v>
      </c>
    </row>
    <row r="29" spans="1:8" ht="11.25">
      <c r="A29" s="115" t="s">
        <v>499</v>
      </c>
      <c r="B29" s="207"/>
      <c r="C29" s="207"/>
      <c r="D29" s="207"/>
      <c r="E29" s="210">
        <f>SUM(E26:E28)</f>
        <v>503.41999999999996</v>
      </c>
      <c r="F29" s="210">
        <f>SUM(F26:F28)</f>
        <v>76.2</v>
      </c>
      <c r="G29" s="210">
        <f>SUM(G26:G28)</f>
        <v>24</v>
      </c>
      <c r="H29" s="210">
        <f>SUM(H26:H28)</f>
        <v>11724.107</v>
      </c>
    </row>
    <row r="30" spans="1:8" ht="11.25">
      <c r="A30" s="207"/>
      <c r="B30" s="207"/>
      <c r="C30" s="207"/>
      <c r="D30" s="209"/>
      <c r="E30" s="209"/>
      <c r="F30" s="209"/>
      <c r="G30" s="207"/>
      <c r="H30" s="207"/>
    </row>
    <row r="31" spans="1:8" ht="11.25">
      <c r="A31" s="207" t="s">
        <v>500</v>
      </c>
      <c r="B31" s="207"/>
      <c r="C31" s="209">
        <v>21.4</v>
      </c>
      <c r="D31" s="209">
        <f>C31*1.5</f>
        <v>32.099999999999994</v>
      </c>
      <c r="E31" s="209">
        <v>50.26</v>
      </c>
      <c r="F31" s="209"/>
      <c r="G31" s="209"/>
      <c r="H31" s="209">
        <f aca="true" t="shared" si="0" ref="H31:H40">C31*E31+D31*F31+G31*C31</f>
        <v>1075.5639999999999</v>
      </c>
    </row>
    <row r="32" spans="1:8" ht="11.25">
      <c r="A32" s="207" t="s">
        <v>501</v>
      </c>
      <c r="B32" s="207"/>
      <c r="C32" s="209">
        <v>18.5</v>
      </c>
      <c r="D32" s="209">
        <f>C32*1.5</f>
        <v>27.75</v>
      </c>
      <c r="E32" s="209">
        <v>12.5</v>
      </c>
      <c r="F32" s="209"/>
      <c r="G32" s="209"/>
      <c r="H32" s="209">
        <f t="shared" si="0"/>
        <v>231.25</v>
      </c>
    </row>
    <row r="33" spans="1:8" ht="11.25">
      <c r="A33" s="207" t="s">
        <v>505</v>
      </c>
      <c r="B33" s="207"/>
      <c r="C33" s="209">
        <v>18.6</v>
      </c>
      <c r="D33" s="209">
        <f aca="true" t="shared" si="1" ref="D33:D40">C33*1.5</f>
        <v>27.900000000000002</v>
      </c>
      <c r="E33" s="209">
        <v>4</v>
      </c>
      <c r="F33" s="209"/>
      <c r="G33" s="209"/>
      <c r="H33" s="209">
        <f t="shared" si="0"/>
        <v>74.4</v>
      </c>
    </row>
    <row r="34" spans="1:8" ht="11.25">
      <c r="A34" s="207"/>
      <c r="B34" s="207"/>
      <c r="C34" s="209"/>
      <c r="D34" s="209"/>
      <c r="E34" s="210">
        <f>SUM(E31:E33)</f>
        <v>66.75999999999999</v>
      </c>
      <c r="F34" s="210">
        <f>SUM(F31:F33)</f>
        <v>0</v>
      </c>
      <c r="G34" s="210">
        <f>SUM(G31:G33)</f>
        <v>0</v>
      </c>
      <c r="H34" s="210">
        <f>SUM(H31:H33)</f>
        <v>1381.214</v>
      </c>
    </row>
    <row r="35" spans="1:8" ht="11.25">
      <c r="A35" s="207"/>
      <c r="B35" s="207"/>
      <c r="C35" s="209"/>
      <c r="D35" s="209"/>
      <c r="E35" s="209"/>
      <c r="F35" s="209"/>
      <c r="G35" s="209"/>
      <c r="H35" s="209"/>
    </row>
    <row r="36" spans="1:8" ht="11.25">
      <c r="A36" s="207" t="s">
        <v>506</v>
      </c>
      <c r="B36" s="207"/>
      <c r="C36" s="209">
        <v>16.1</v>
      </c>
      <c r="D36" s="209">
        <f t="shared" si="1"/>
        <v>24.150000000000002</v>
      </c>
      <c r="E36" s="209">
        <v>40.25</v>
      </c>
      <c r="F36" s="209"/>
      <c r="G36" s="209"/>
      <c r="H36" s="209">
        <f t="shared" si="0"/>
        <v>648.0250000000001</v>
      </c>
    </row>
    <row r="37" spans="1:8" ht="11.25">
      <c r="A37" s="207" t="s">
        <v>507</v>
      </c>
      <c r="B37" s="207"/>
      <c r="C37" s="209">
        <v>19</v>
      </c>
      <c r="D37" s="209">
        <f t="shared" si="1"/>
        <v>28.5</v>
      </c>
      <c r="E37" s="209">
        <v>31.18</v>
      </c>
      <c r="F37" s="209"/>
      <c r="G37" s="209"/>
      <c r="H37" s="209">
        <f t="shared" si="0"/>
        <v>592.42</v>
      </c>
    </row>
    <row r="38" spans="1:8" ht="11.25">
      <c r="A38" s="207" t="s">
        <v>508</v>
      </c>
      <c r="B38" s="207"/>
      <c r="C38" s="209">
        <v>16.1</v>
      </c>
      <c r="D38" s="209">
        <f t="shared" si="1"/>
        <v>24.150000000000002</v>
      </c>
      <c r="E38" s="209"/>
      <c r="F38" s="209">
        <v>5.2</v>
      </c>
      <c r="G38" s="209"/>
      <c r="H38" s="209">
        <f t="shared" si="0"/>
        <v>125.58000000000001</v>
      </c>
    </row>
    <row r="39" spans="1:8" ht="11.25">
      <c r="A39" s="207" t="s">
        <v>509</v>
      </c>
      <c r="B39" s="207"/>
      <c r="C39" s="209">
        <v>13.5</v>
      </c>
      <c r="D39" s="209">
        <f t="shared" si="1"/>
        <v>20.25</v>
      </c>
      <c r="E39" s="209"/>
      <c r="F39" s="209">
        <v>9.17</v>
      </c>
      <c r="G39" s="209"/>
      <c r="H39" s="209">
        <f t="shared" si="0"/>
        <v>185.6925</v>
      </c>
    </row>
    <row r="40" spans="1:8" ht="11.25">
      <c r="A40" s="207" t="s">
        <v>510</v>
      </c>
      <c r="B40" s="207"/>
      <c r="C40" s="209">
        <v>21.9</v>
      </c>
      <c r="D40" s="209">
        <f t="shared" si="1"/>
        <v>32.849999999999994</v>
      </c>
      <c r="E40" s="209">
        <v>4.3</v>
      </c>
      <c r="F40" s="209"/>
      <c r="G40" s="209"/>
      <c r="H40" s="209">
        <f t="shared" si="0"/>
        <v>94.16999999999999</v>
      </c>
    </row>
    <row r="41" spans="1:8" ht="11.25">
      <c r="A41" s="207"/>
      <c r="B41" s="207"/>
      <c r="C41" s="209"/>
      <c r="D41" s="209"/>
      <c r="E41" s="210">
        <f>SUM(E36:E40)</f>
        <v>75.73</v>
      </c>
      <c r="F41" s="210">
        <f>SUM(F36:F40)</f>
        <v>14.370000000000001</v>
      </c>
      <c r="G41" s="210">
        <f>SUM(G36:G40)</f>
        <v>0</v>
      </c>
      <c r="H41" s="210">
        <f>SUM(H36:H40)</f>
        <v>1645.8875000000003</v>
      </c>
    </row>
    <row r="42" spans="1:8" ht="11.25" customHeight="1">
      <c r="A42" s="207"/>
      <c r="B42" s="207"/>
      <c r="C42" s="209"/>
      <c r="D42" s="209"/>
      <c r="E42" s="209"/>
      <c r="F42" s="209"/>
      <c r="G42" s="209"/>
      <c r="H42" s="209"/>
    </row>
    <row r="43" spans="1:8" ht="11.25">
      <c r="A43" s="115" t="s">
        <v>511</v>
      </c>
      <c r="B43" s="207"/>
      <c r="C43" s="209"/>
      <c r="D43" s="209"/>
      <c r="E43" s="209"/>
      <c r="F43" s="209"/>
      <c r="G43" s="209"/>
      <c r="H43" s="210">
        <f>H29+H34+H41</f>
        <v>14751.2085</v>
      </c>
    </row>
    <row r="44" ht="11.25" customHeight="1"/>
    <row r="45" spans="1:8" ht="11.25" customHeight="1">
      <c r="A45" s="214"/>
      <c r="B45" s="214"/>
      <c r="C45" s="214"/>
      <c r="D45" s="214"/>
      <c r="E45" s="214"/>
      <c r="F45" s="214"/>
      <c r="G45" s="214"/>
      <c r="H45" s="214"/>
    </row>
    <row r="46" spans="1:8" ht="11.25" customHeight="1">
      <c r="A46" s="207" t="s">
        <v>534</v>
      </c>
      <c r="B46" s="207"/>
      <c r="C46" s="207"/>
      <c r="D46" s="207"/>
      <c r="E46" s="207"/>
      <c r="F46" s="207"/>
      <c r="G46" s="207"/>
      <c r="H46" s="207"/>
    </row>
    <row r="47" spans="1:8" ht="11.25" customHeight="1">
      <c r="A47" s="207"/>
      <c r="B47" s="207"/>
      <c r="C47" s="207"/>
      <c r="D47" s="207"/>
      <c r="E47" s="207"/>
      <c r="F47" s="207"/>
      <c r="G47" s="207"/>
      <c r="H47" s="207"/>
    </row>
    <row r="48" spans="1:8" ht="11.25" customHeight="1">
      <c r="A48" s="207"/>
      <c r="B48" s="207"/>
      <c r="C48" s="208" t="s">
        <v>491</v>
      </c>
      <c r="D48" s="208" t="s">
        <v>492</v>
      </c>
      <c r="E48" s="208" t="s">
        <v>493</v>
      </c>
      <c r="F48" s="208" t="s">
        <v>494</v>
      </c>
      <c r="G48" s="208" t="s">
        <v>504</v>
      </c>
      <c r="H48" s="208" t="s">
        <v>495</v>
      </c>
    </row>
    <row r="49" spans="1:8" ht="11.25" customHeight="1">
      <c r="A49" s="207" t="s">
        <v>496</v>
      </c>
      <c r="B49" s="207"/>
      <c r="C49" s="209">
        <v>16.9</v>
      </c>
      <c r="D49" s="209">
        <f>C49*1.5</f>
        <v>25.349999999999998</v>
      </c>
      <c r="E49" s="209">
        <v>174.13</v>
      </c>
      <c r="F49" s="209">
        <v>19.37</v>
      </c>
      <c r="G49" s="209">
        <v>0</v>
      </c>
      <c r="H49" s="209">
        <f>C49*E49+D49*F49+G49*C49</f>
        <v>3433.8264999999997</v>
      </c>
    </row>
    <row r="50" spans="1:8" ht="11.25" customHeight="1">
      <c r="A50" s="207" t="s">
        <v>497</v>
      </c>
      <c r="B50" s="207"/>
      <c r="C50" s="209">
        <v>19</v>
      </c>
      <c r="D50" s="209">
        <f>C50*1.5</f>
        <v>28.5</v>
      </c>
      <c r="E50" s="209">
        <v>173.11</v>
      </c>
      <c r="F50" s="209">
        <v>11.03</v>
      </c>
      <c r="G50" s="209">
        <v>0</v>
      </c>
      <c r="H50" s="209">
        <f>C50*E50+D50*F50+G50*C50</f>
        <v>3603.445</v>
      </c>
    </row>
    <row r="51" spans="1:8" ht="11.25" customHeight="1">
      <c r="A51" s="207" t="s">
        <v>498</v>
      </c>
      <c r="B51" s="207"/>
      <c r="C51" s="209">
        <v>19</v>
      </c>
      <c r="D51" s="209">
        <f>C51*1.5</f>
        <v>28.5</v>
      </c>
      <c r="E51" s="209">
        <v>175.36</v>
      </c>
      <c r="F51" s="209">
        <v>6.57</v>
      </c>
      <c r="G51" s="209">
        <v>0</v>
      </c>
      <c r="H51" s="209">
        <f>C51*E51+D51*F51+G51*C51</f>
        <v>3519.085</v>
      </c>
    </row>
    <row r="52" spans="1:8" ht="11.25" customHeight="1">
      <c r="A52" s="115" t="s">
        <v>499</v>
      </c>
      <c r="B52" s="207"/>
      <c r="C52" s="207"/>
      <c r="D52" s="207"/>
      <c r="E52" s="210">
        <f>SUM(E49:E51)</f>
        <v>522.6</v>
      </c>
      <c r="F52" s="210">
        <f>SUM(F49:F51)</f>
        <v>36.97</v>
      </c>
      <c r="G52" s="210">
        <f>SUM(G49:G51)</f>
        <v>0</v>
      </c>
      <c r="H52" s="210">
        <f>SUM(H49:H51)</f>
        <v>10556.3565</v>
      </c>
    </row>
    <row r="53" spans="1:8" ht="11.25" customHeight="1">
      <c r="A53" s="207"/>
      <c r="B53" s="207"/>
      <c r="C53" s="207"/>
      <c r="D53" s="209"/>
      <c r="E53" s="209"/>
      <c r="F53" s="209"/>
      <c r="G53" s="207"/>
      <c r="H53" s="207"/>
    </row>
    <row r="54" spans="1:8" ht="11.25" customHeight="1">
      <c r="A54" s="207" t="s">
        <v>500</v>
      </c>
      <c r="B54" s="207"/>
      <c r="C54" s="209">
        <v>21.4</v>
      </c>
      <c r="D54" s="209">
        <f>C54*1.5</f>
        <v>32.099999999999994</v>
      </c>
      <c r="E54" s="209">
        <v>34.82</v>
      </c>
      <c r="F54" s="209"/>
      <c r="G54" s="209"/>
      <c r="H54" s="209">
        <f>C54*E54+D54*F54+G54*C54</f>
        <v>745.1479999999999</v>
      </c>
    </row>
    <row r="55" spans="1:8" ht="11.25" customHeight="1">
      <c r="A55" s="207" t="s">
        <v>536</v>
      </c>
      <c r="B55" s="207"/>
      <c r="C55" s="209">
        <v>18.5</v>
      </c>
      <c r="D55" s="209">
        <f>C55*1.5</f>
        <v>27.75</v>
      </c>
      <c r="E55" s="209">
        <v>17.4</v>
      </c>
      <c r="F55" s="209"/>
      <c r="G55" s="209"/>
      <c r="H55" s="209">
        <f>C55*E55+D55*F55+G55*C55</f>
        <v>321.9</v>
      </c>
    </row>
    <row r="56" spans="1:8" ht="11.25" customHeight="1">
      <c r="A56" s="207" t="s">
        <v>505</v>
      </c>
      <c r="B56" s="207"/>
      <c r="C56" s="209">
        <v>18.6</v>
      </c>
      <c r="D56" s="209">
        <f aca="true" t="shared" si="2" ref="D56:D64">C56*1.5</f>
        <v>27.900000000000002</v>
      </c>
      <c r="E56" s="209">
        <v>46.4</v>
      </c>
      <c r="F56" s="209"/>
      <c r="G56" s="209"/>
      <c r="H56" s="209">
        <f>C56*E56+D56*F56+G56*C56</f>
        <v>863.0400000000001</v>
      </c>
    </row>
    <row r="57" spans="1:8" ht="11.25" customHeight="1">
      <c r="A57" s="207"/>
      <c r="B57" s="207"/>
      <c r="C57" s="209"/>
      <c r="D57" s="209"/>
      <c r="E57" s="210">
        <f>SUM(E54:E56)</f>
        <v>98.62</v>
      </c>
      <c r="F57" s="210">
        <f>SUM(F54:F56)</f>
        <v>0</v>
      </c>
      <c r="G57" s="210">
        <f>SUM(G54:G56)</f>
        <v>0</v>
      </c>
      <c r="H57" s="210">
        <f>SUM(H54:H56)</f>
        <v>1930.0879999999997</v>
      </c>
    </row>
    <row r="58" spans="1:8" ht="11.25" customHeight="1">
      <c r="A58" s="207"/>
      <c r="B58" s="207"/>
      <c r="C58" s="209"/>
      <c r="D58" s="209"/>
      <c r="E58" s="209"/>
      <c r="F58" s="209"/>
      <c r="G58" s="209"/>
      <c r="H58" s="209"/>
    </row>
    <row r="59" spans="1:8" ht="11.25" customHeight="1">
      <c r="A59" s="207" t="s">
        <v>506</v>
      </c>
      <c r="B59" s="207"/>
      <c r="C59" s="209">
        <v>16.1</v>
      </c>
      <c r="D59" s="209">
        <f t="shared" si="2"/>
        <v>24.150000000000002</v>
      </c>
      <c r="E59" s="209">
        <v>30.47</v>
      </c>
      <c r="F59" s="209"/>
      <c r="G59" s="209"/>
      <c r="H59" s="209">
        <f aca="true" t="shared" si="3" ref="H59:H64">C59*E59+D59*F59+G59*C59</f>
        <v>490.567</v>
      </c>
    </row>
    <row r="60" spans="1:8" ht="11.25" customHeight="1">
      <c r="A60" s="207" t="s">
        <v>507</v>
      </c>
      <c r="B60" s="207"/>
      <c r="C60" s="209">
        <v>19</v>
      </c>
      <c r="D60" s="209">
        <f t="shared" si="2"/>
        <v>28.5</v>
      </c>
      <c r="E60" s="209">
        <v>9.15</v>
      </c>
      <c r="F60" s="209"/>
      <c r="G60" s="209"/>
      <c r="H60" s="209">
        <f t="shared" si="3"/>
        <v>173.85</v>
      </c>
    </row>
    <row r="61" spans="1:8" ht="11.25" customHeight="1">
      <c r="A61" s="207" t="s">
        <v>508</v>
      </c>
      <c r="B61" s="207"/>
      <c r="C61" s="209">
        <v>16.1</v>
      </c>
      <c r="D61" s="209">
        <f t="shared" si="2"/>
        <v>24.150000000000002</v>
      </c>
      <c r="E61" s="209"/>
      <c r="F61" s="209"/>
      <c r="G61" s="209"/>
      <c r="H61" s="209">
        <f t="shared" si="3"/>
        <v>0</v>
      </c>
    </row>
    <row r="62" spans="1:8" ht="11.25" customHeight="1">
      <c r="A62" s="207" t="s">
        <v>509</v>
      </c>
      <c r="B62" s="207"/>
      <c r="C62" s="209">
        <v>13.5</v>
      </c>
      <c r="D62" s="209">
        <f t="shared" si="2"/>
        <v>20.25</v>
      </c>
      <c r="E62" s="209"/>
      <c r="F62" s="209"/>
      <c r="G62" s="209"/>
      <c r="H62" s="209">
        <f t="shared" si="3"/>
        <v>0</v>
      </c>
    </row>
    <row r="63" spans="1:8" ht="11.25" customHeight="1">
      <c r="A63" s="207" t="s">
        <v>535</v>
      </c>
      <c r="B63" s="207"/>
      <c r="C63" s="209">
        <v>19</v>
      </c>
      <c r="D63" s="209">
        <f t="shared" si="2"/>
        <v>28.5</v>
      </c>
      <c r="E63" s="209">
        <v>38.3</v>
      </c>
      <c r="F63" s="209"/>
      <c r="G63" s="209"/>
      <c r="H63" s="209">
        <f t="shared" si="3"/>
        <v>727.6999999999999</v>
      </c>
    </row>
    <row r="64" spans="1:8" ht="11.25" customHeight="1">
      <c r="A64" s="207" t="s">
        <v>510</v>
      </c>
      <c r="B64" s="207"/>
      <c r="C64" s="209">
        <v>21.9</v>
      </c>
      <c r="D64" s="209">
        <f t="shared" si="2"/>
        <v>32.849999999999994</v>
      </c>
      <c r="E64" s="209">
        <v>65.25</v>
      </c>
      <c r="F64" s="209"/>
      <c r="G64" s="209"/>
      <c r="H64" s="209">
        <f t="shared" si="3"/>
        <v>1428.975</v>
      </c>
    </row>
    <row r="65" spans="1:8" ht="11.25" customHeight="1">
      <c r="A65" s="207"/>
      <c r="B65" s="207"/>
      <c r="C65" s="209"/>
      <c r="D65" s="209"/>
      <c r="E65" s="210">
        <f>SUM(E59:E64)</f>
        <v>143.17</v>
      </c>
      <c r="F65" s="210">
        <f>SUM(F59:F64)</f>
        <v>0</v>
      </c>
      <c r="G65" s="210">
        <f>SUM(G59:G64)</f>
        <v>0</v>
      </c>
      <c r="H65" s="210">
        <f>SUM(H59:H64)</f>
        <v>2821.0919999999996</v>
      </c>
    </row>
    <row r="66" spans="1:8" ht="11.25" customHeight="1">
      <c r="A66" s="207"/>
      <c r="B66" s="207"/>
      <c r="C66" s="209"/>
      <c r="D66" s="209"/>
      <c r="E66" s="209"/>
      <c r="F66" s="209"/>
      <c r="G66" s="209"/>
      <c r="H66" s="209"/>
    </row>
    <row r="67" spans="1:8" ht="11.25" customHeight="1">
      <c r="A67" s="115" t="s">
        <v>537</v>
      </c>
      <c r="B67" s="207"/>
      <c r="C67" s="209"/>
      <c r="D67" s="209"/>
      <c r="E67" s="209"/>
      <c r="F67" s="209"/>
      <c r="G67" s="209"/>
      <c r="H67" s="210">
        <f>H52+H57+H65</f>
        <v>15307.536499999998</v>
      </c>
    </row>
    <row r="68" ht="11.25" customHeight="1"/>
    <row r="69" spans="1:8" ht="11.25" customHeight="1">
      <c r="A69" s="214"/>
      <c r="B69" s="214"/>
      <c r="C69" s="214"/>
      <c r="D69" s="214"/>
      <c r="E69" s="214"/>
      <c r="F69" s="214"/>
      <c r="G69" s="214"/>
      <c r="H69" s="214"/>
    </row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</sheetData>
  <printOptions/>
  <pageMargins left="0.75" right="0.75" top="1" bottom="1" header="0.5" footer="0.5"/>
  <pageSetup horizontalDpi="300" verticalDpi="300" orientation="portrait" r:id="rId1"/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I100"/>
  <sheetViews>
    <sheetView workbookViewId="0" topLeftCell="A59">
      <selection activeCell="F99" sqref="F99"/>
    </sheetView>
  </sheetViews>
  <sheetFormatPr defaultColWidth="8.796875" defaultRowHeight="12"/>
  <sheetData>
    <row r="1" spans="1:9" ht="11.25">
      <c r="A1" s="207" t="s">
        <v>512</v>
      </c>
      <c r="B1" s="207"/>
      <c r="C1" s="207"/>
      <c r="D1" s="207"/>
      <c r="E1" s="207"/>
      <c r="F1" s="207"/>
      <c r="G1" s="207"/>
      <c r="H1" s="207"/>
      <c r="I1" s="207"/>
    </row>
    <row r="2" spans="1:9" ht="11.25">
      <c r="A2" s="207"/>
      <c r="B2" s="207"/>
      <c r="C2" s="207"/>
      <c r="D2" s="207"/>
      <c r="E2" s="207"/>
      <c r="F2" s="207"/>
      <c r="G2" s="207"/>
      <c r="H2" s="207"/>
      <c r="I2" s="207"/>
    </row>
    <row r="3" spans="1:9" ht="11.25">
      <c r="A3" s="207" t="s">
        <v>513</v>
      </c>
      <c r="B3" s="207"/>
      <c r="C3" s="207">
        <v>58.58</v>
      </c>
      <c r="D3" s="207"/>
      <c r="E3" s="207"/>
      <c r="F3" s="207"/>
      <c r="G3" s="207"/>
      <c r="H3" s="207"/>
      <c r="I3" s="207"/>
    </row>
    <row r="4" spans="1:9" ht="11.25">
      <c r="A4" s="207"/>
      <c r="B4" s="207"/>
      <c r="C4" s="207"/>
      <c r="D4" s="207"/>
      <c r="E4" s="207"/>
      <c r="F4" s="207"/>
      <c r="G4" s="207"/>
      <c r="H4" s="207"/>
      <c r="I4" s="207"/>
    </row>
    <row r="5" spans="1:9" ht="11.25">
      <c r="A5" s="207" t="s">
        <v>514</v>
      </c>
      <c r="B5" s="207"/>
      <c r="C5" s="207"/>
      <c r="D5" s="207"/>
      <c r="E5" s="207"/>
      <c r="F5" s="207"/>
      <c r="G5" s="207"/>
      <c r="H5" s="207"/>
      <c r="I5" s="207"/>
    </row>
    <row r="6" spans="1:9" ht="11.25">
      <c r="A6" s="207" t="s">
        <v>515</v>
      </c>
      <c r="B6" s="207">
        <v>5</v>
      </c>
      <c r="C6" s="207">
        <v>5</v>
      </c>
      <c r="D6" s="207"/>
      <c r="E6" s="207"/>
      <c r="F6" s="207"/>
      <c r="G6" s="207"/>
      <c r="H6" s="207"/>
      <c r="I6" s="207"/>
    </row>
    <row r="7" spans="1:9" ht="11.25">
      <c r="A7" s="207" t="s">
        <v>516</v>
      </c>
      <c r="B7" s="207">
        <v>3</v>
      </c>
      <c r="C7" s="207">
        <v>2</v>
      </c>
      <c r="D7" s="207"/>
      <c r="E7" s="207"/>
      <c r="F7" s="207"/>
      <c r="G7" s="207"/>
      <c r="H7" s="207"/>
      <c r="I7" s="207"/>
    </row>
    <row r="8" spans="1:9" ht="11.25">
      <c r="A8" s="207"/>
      <c r="B8" s="207"/>
      <c r="C8" s="207"/>
      <c r="D8" s="207"/>
      <c r="E8" s="207"/>
      <c r="F8" s="207"/>
      <c r="G8" s="207"/>
      <c r="H8" s="207"/>
      <c r="I8" s="207"/>
    </row>
    <row r="9" spans="1:9" ht="11.25">
      <c r="A9" s="207" t="s">
        <v>517</v>
      </c>
      <c r="B9" s="207"/>
      <c r="C9" s="209">
        <f>C3/(C6+C7)</f>
        <v>8.368571428571428</v>
      </c>
      <c r="D9" s="207"/>
      <c r="E9" s="207"/>
      <c r="F9" s="207"/>
      <c r="G9" s="207"/>
      <c r="H9" s="207"/>
      <c r="I9" s="207"/>
    </row>
    <row r="10" spans="1:9" ht="11.25">
      <c r="A10" s="207"/>
      <c r="B10" s="207"/>
      <c r="C10" s="207"/>
      <c r="D10" s="207"/>
      <c r="E10" s="207"/>
      <c r="F10" s="207"/>
      <c r="G10" s="207"/>
      <c r="H10" s="207"/>
      <c r="I10" s="207"/>
    </row>
    <row r="11" spans="1:9" ht="11.25">
      <c r="A11" s="207" t="s">
        <v>518</v>
      </c>
      <c r="B11" s="207"/>
      <c r="C11" s="207">
        <f>(210+525)</f>
        <v>735</v>
      </c>
      <c r="D11" s="207"/>
      <c r="E11" s="207"/>
      <c r="F11" s="207"/>
      <c r="G11" s="207"/>
      <c r="H11" s="207"/>
      <c r="I11" s="207"/>
    </row>
    <row r="12" spans="1:9" ht="11.25">
      <c r="A12" s="207" t="s">
        <v>519</v>
      </c>
      <c r="B12" s="207"/>
      <c r="C12" s="207">
        <f>C11/7</f>
        <v>105</v>
      </c>
      <c r="D12" s="207"/>
      <c r="E12" s="207"/>
      <c r="F12" s="207"/>
      <c r="G12" s="207"/>
      <c r="H12" s="207"/>
      <c r="I12" s="207"/>
    </row>
    <row r="13" spans="1:9" ht="11.25">
      <c r="A13" s="207" t="s">
        <v>520</v>
      </c>
      <c r="B13" s="207"/>
      <c r="C13" s="136">
        <v>336</v>
      </c>
      <c r="D13" s="207"/>
      <c r="E13" s="207"/>
      <c r="F13" s="207"/>
      <c r="G13" s="207"/>
      <c r="H13" s="207"/>
      <c r="I13" s="207"/>
    </row>
    <row r="14" spans="1:9" ht="11.25">
      <c r="A14" s="207" t="s">
        <v>521</v>
      </c>
      <c r="B14" s="207"/>
      <c r="C14" s="207">
        <v>2.85</v>
      </c>
      <c r="D14" s="207"/>
      <c r="E14" s="207"/>
      <c r="F14" s="207"/>
      <c r="G14" s="207"/>
      <c r="H14" s="207"/>
      <c r="I14" s="207"/>
    </row>
    <row r="15" spans="1:9" ht="11.25">
      <c r="A15" s="207"/>
      <c r="B15" s="207"/>
      <c r="C15" s="207"/>
      <c r="D15" s="207"/>
      <c r="E15" s="215"/>
      <c r="F15" s="207"/>
      <c r="G15" s="207"/>
      <c r="H15" s="207"/>
      <c r="I15" s="207"/>
    </row>
    <row r="16" spans="1:9" ht="11.25">
      <c r="A16" s="207" t="s">
        <v>522</v>
      </c>
      <c r="B16" s="207"/>
      <c r="C16" s="210">
        <f>C13*C14</f>
        <v>957.6</v>
      </c>
      <c r="D16" s="207"/>
      <c r="E16" s="207"/>
      <c r="F16" s="207"/>
      <c r="G16" s="207"/>
      <c r="H16" s="207"/>
      <c r="I16" s="207"/>
    </row>
    <row r="17" spans="1:9" ht="11.25">
      <c r="A17" s="207"/>
      <c r="B17" s="207"/>
      <c r="C17" s="207"/>
      <c r="D17" s="207"/>
      <c r="E17" s="207"/>
      <c r="F17" s="207"/>
      <c r="G17" s="207"/>
      <c r="H17" s="207"/>
      <c r="I17" s="207"/>
    </row>
    <row r="18" spans="1:9" ht="11.25">
      <c r="A18" s="207"/>
      <c r="B18" s="207"/>
      <c r="C18" s="207"/>
      <c r="D18" s="207"/>
      <c r="E18" s="207"/>
      <c r="F18" s="207"/>
      <c r="G18" s="207"/>
      <c r="H18" s="207"/>
      <c r="I18" s="207"/>
    </row>
    <row r="19" spans="1:9" ht="11.25">
      <c r="A19" s="115" t="s">
        <v>523</v>
      </c>
      <c r="B19" s="207"/>
      <c r="C19" s="208" t="s">
        <v>524</v>
      </c>
      <c r="D19" s="208" t="s">
        <v>525</v>
      </c>
      <c r="E19" s="208" t="s">
        <v>526</v>
      </c>
      <c r="F19" s="207"/>
      <c r="G19" s="207"/>
      <c r="H19" s="207"/>
      <c r="I19" s="207"/>
    </row>
    <row r="20" spans="1:9" ht="11.25">
      <c r="A20" s="136" t="s">
        <v>527</v>
      </c>
      <c r="B20" s="136"/>
      <c r="C20" s="216">
        <v>977</v>
      </c>
      <c r="D20" s="216">
        <v>901</v>
      </c>
      <c r="E20" s="216">
        <v>774</v>
      </c>
      <c r="F20" s="217">
        <f>SUM(C20:E20)</f>
        <v>2652</v>
      </c>
      <c r="G20" s="136"/>
      <c r="H20" s="136"/>
      <c r="I20" s="136"/>
    </row>
    <row r="21" spans="1:9" ht="11.25">
      <c r="A21" s="115"/>
      <c r="B21" s="207"/>
      <c r="C21" s="208"/>
      <c r="D21" s="208"/>
      <c r="E21" s="208"/>
      <c r="F21" s="207"/>
      <c r="G21" s="207"/>
      <c r="H21" s="207"/>
      <c r="I21" s="207"/>
    </row>
    <row r="22" spans="1:9" ht="11.25">
      <c r="A22" s="207" t="s">
        <v>520</v>
      </c>
      <c r="B22" s="207"/>
      <c r="C22" s="209">
        <v>310.01</v>
      </c>
      <c r="D22" s="209">
        <v>365.04</v>
      </c>
      <c r="E22" s="209">
        <v>334</v>
      </c>
      <c r="F22" s="217">
        <f>SUM(C22:E22)</f>
        <v>1009.05</v>
      </c>
      <c r="G22" s="207"/>
      <c r="H22" s="207"/>
      <c r="I22" s="207"/>
    </row>
    <row r="23" spans="1:9" ht="11.25">
      <c r="A23" s="207" t="s">
        <v>528</v>
      </c>
      <c r="B23" s="207"/>
      <c r="C23" s="209">
        <f>C20/C22</f>
        <v>3.1515112415728526</v>
      </c>
      <c r="D23" s="209">
        <f>D20/D22</f>
        <v>2.4682226605303526</v>
      </c>
      <c r="E23" s="209">
        <f>E20/E22</f>
        <v>2.317365269461078</v>
      </c>
      <c r="F23" s="209"/>
      <c r="G23" s="207"/>
      <c r="H23" s="207"/>
      <c r="I23" s="207"/>
    </row>
    <row r="24" spans="1:9" ht="11.25">
      <c r="A24" s="207" t="s">
        <v>529</v>
      </c>
      <c r="B24" s="207"/>
      <c r="C24" s="218">
        <v>2.85</v>
      </c>
      <c r="D24" s="218">
        <v>2.85</v>
      </c>
      <c r="E24" s="218">
        <v>2.85</v>
      </c>
      <c r="F24" s="207"/>
      <c r="G24" s="207"/>
      <c r="H24" s="207"/>
      <c r="I24" s="207"/>
    </row>
    <row r="25" spans="1:9" ht="11.25">
      <c r="A25" s="207" t="s">
        <v>522</v>
      </c>
      <c r="B25" s="207"/>
      <c r="C25" s="218">
        <f>C22*C24</f>
        <v>883.5285</v>
      </c>
      <c r="D25" s="218">
        <f>D22*D24</f>
        <v>1040.364</v>
      </c>
      <c r="E25" s="218">
        <f>E22*E24</f>
        <v>951.9</v>
      </c>
      <c r="F25" s="217">
        <f>SUM(C25:E25)</f>
        <v>2875.7925</v>
      </c>
      <c r="G25" s="218"/>
      <c r="H25" s="218"/>
      <c r="I25" s="207"/>
    </row>
    <row r="26" spans="1:9" ht="11.25">
      <c r="A26" s="207"/>
      <c r="B26" s="207"/>
      <c r="C26" s="218"/>
      <c r="D26" s="218"/>
      <c r="E26" s="218"/>
      <c r="F26" s="217"/>
      <c r="G26" s="218"/>
      <c r="H26" s="218"/>
      <c r="I26" s="207"/>
    </row>
    <row r="27" spans="1:9" ht="11.25">
      <c r="A27" s="211" t="s">
        <v>532</v>
      </c>
      <c r="B27" s="207"/>
      <c r="C27" s="207"/>
      <c r="D27" s="207"/>
      <c r="E27" s="207"/>
      <c r="F27" s="221">
        <f>F25+C16</f>
        <v>3833.3925</v>
      </c>
      <c r="G27" s="207"/>
      <c r="H27" s="207"/>
      <c r="I27" s="207"/>
    </row>
    <row r="28" spans="1:9" ht="11.25">
      <c r="A28" s="212"/>
      <c r="B28" s="212"/>
      <c r="C28" s="212"/>
      <c r="D28" s="212"/>
      <c r="E28" s="212"/>
      <c r="F28" s="212"/>
      <c r="G28" s="212"/>
      <c r="H28" s="212"/>
      <c r="I28" s="207"/>
    </row>
    <row r="29" spans="1:9" ht="11.25">
      <c r="A29" s="219" t="s">
        <v>462</v>
      </c>
      <c r="B29" s="207"/>
      <c r="C29" s="207"/>
      <c r="D29" s="207"/>
      <c r="E29" s="207"/>
      <c r="F29" s="207"/>
      <c r="G29" s="207"/>
      <c r="H29" s="207"/>
      <c r="I29" s="207"/>
    </row>
    <row r="30" spans="1:9" ht="11.25">
      <c r="A30" s="207"/>
      <c r="B30" s="207"/>
      <c r="C30" s="207"/>
      <c r="D30" s="207"/>
      <c r="E30" s="207"/>
      <c r="F30" s="207"/>
      <c r="G30" s="207"/>
      <c r="H30" s="207"/>
      <c r="I30" s="207"/>
    </row>
    <row r="31" spans="1:9" ht="11.25">
      <c r="A31" s="207" t="s">
        <v>513</v>
      </c>
      <c r="B31" s="207"/>
      <c r="C31" s="207">
        <v>186.37</v>
      </c>
      <c r="D31" s="207"/>
      <c r="E31" s="207"/>
      <c r="F31" s="207"/>
      <c r="G31" s="207"/>
      <c r="H31" s="207"/>
      <c r="I31" s="207"/>
    </row>
    <row r="32" spans="1:9" ht="11.25">
      <c r="A32" s="207"/>
      <c r="B32" s="207"/>
      <c r="C32" s="207"/>
      <c r="D32" s="207"/>
      <c r="E32" s="207"/>
      <c r="F32" s="207"/>
      <c r="G32" s="207"/>
      <c r="H32" s="207"/>
      <c r="I32" s="207"/>
    </row>
    <row r="33" spans="1:9" ht="11.25">
      <c r="A33" s="207" t="s">
        <v>514</v>
      </c>
      <c r="B33" s="207"/>
      <c r="C33" s="207"/>
      <c r="D33" s="207"/>
      <c r="E33" s="207"/>
      <c r="F33" s="207"/>
      <c r="G33" s="207"/>
      <c r="H33" s="207"/>
      <c r="I33" s="207"/>
    </row>
    <row r="34" spans="1:9" ht="11.25">
      <c r="A34" s="207" t="s">
        <v>515</v>
      </c>
      <c r="B34" s="207">
        <v>18</v>
      </c>
      <c r="C34" s="207">
        <v>18</v>
      </c>
      <c r="D34" s="207"/>
      <c r="E34" s="207"/>
      <c r="F34" s="207"/>
      <c r="G34" s="207"/>
      <c r="H34" s="207"/>
      <c r="I34" s="207"/>
    </row>
    <row r="35" spans="1:9" ht="11.25">
      <c r="A35" s="207" t="s">
        <v>516</v>
      </c>
      <c r="B35" s="207">
        <v>2</v>
      </c>
      <c r="C35" s="207">
        <v>1</v>
      </c>
      <c r="D35" s="207"/>
      <c r="E35" s="207"/>
      <c r="F35" s="207"/>
      <c r="G35" s="207"/>
      <c r="H35" s="207"/>
      <c r="I35" s="207"/>
    </row>
    <row r="36" spans="1:9" ht="11.25">
      <c r="A36" s="207"/>
      <c r="B36" s="207"/>
      <c r="C36" s="207"/>
      <c r="D36" s="207"/>
      <c r="E36" s="207"/>
      <c r="F36" s="207"/>
      <c r="G36" s="207"/>
      <c r="H36" s="207"/>
      <c r="I36" s="207"/>
    </row>
    <row r="37" spans="1:9" ht="11.25">
      <c r="A37" s="207" t="s">
        <v>517</v>
      </c>
      <c r="B37" s="207"/>
      <c r="C37" s="209">
        <f>C31/(C34+C35)</f>
        <v>9.808947368421054</v>
      </c>
      <c r="D37" s="207"/>
      <c r="E37" s="207"/>
      <c r="F37" s="207"/>
      <c r="G37" s="207"/>
      <c r="H37" s="207"/>
      <c r="I37" s="207"/>
    </row>
    <row r="38" spans="1:9" ht="11.25">
      <c r="A38" s="207"/>
      <c r="B38" s="207"/>
      <c r="C38" s="207"/>
      <c r="D38" s="207"/>
      <c r="E38" s="207"/>
      <c r="F38" s="207"/>
      <c r="G38" s="207"/>
      <c r="H38" s="207"/>
      <c r="I38" s="207"/>
    </row>
    <row r="39" spans="1:9" ht="11.25">
      <c r="A39" s="207" t="s">
        <v>518</v>
      </c>
      <c r="B39" s="207"/>
      <c r="C39" s="207">
        <f>(C34+C35)*C40</f>
        <v>1995</v>
      </c>
      <c r="D39" s="207"/>
      <c r="E39" s="207"/>
      <c r="F39" s="207"/>
      <c r="G39" s="207"/>
      <c r="H39" s="207"/>
      <c r="I39" s="207"/>
    </row>
    <row r="40" spans="1:9" ht="11.25">
      <c r="A40" s="207" t="s">
        <v>519</v>
      </c>
      <c r="B40" s="207"/>
      <c r="C40" s="207">
        <v>105</v>
      </c>
      <c r="D40" s="207"/>
      <c r="E40" s="207"/>
      <c r="F40" s="207"/>
      <c r="G40" s="207"/>
      <c r="H40" s="207"/>
      <c r="I40" s="207"/>
    </row>
    <row r="41" spans="1:9" ht="11.25">
      <c r="A41" s="207" t="s">
        <v>520</v>
      </c>
      <c r="B41" s="207"/>
      <c r="C41" s="136">
        <f>C39/2.5</f>
        <v>798</v>
      </c>
      <c r="D41" s="207"/>
      <c r="E41" s="207"/>
      <c r="F41" s="207"/>
      <c r="G41" s="207"/>
      <c r="H41" s="207"/>
      <c r="I41" s="207"/>
    </row>
    <row r="42" spans="1:9" ht="11.25">
      <c r="A42" s="207" t="s">
        <v>521</v>
      </c>
      <c r="B42" s="207"/>
      <c r="C42" s="209">
        <v>2.99</v>
      </c>
      <c r="D42" s="207"/>
      <c r="E42" s="207"/>
      <c r="F42" s="207"/>
      <c r="G42" s="207"/>
      <c r="H42" s="207"/>
      <c r="I42" s="207"/>
    </row>
    <row r="43" spans="1:9" ht="11.25">
      <c r="A43" s="207"/>
      <c r="B43" s="207"/>
      <c r="C43" s="207"/>
      <c r="D43" s="207"/>
      <c r="E43" s="207"/>
      <c r="F43" s="207"/>
      <c r="G43" s="207"/>
      <c r="H43" s="207"/>
      <c r="I43" s="207"/>
    </row>
    <row r="44" spans="1:9" ht="11.25">
      <c r="A44" s="207" t="s">
        <v>522</v>
      </c>
      <c r="B44" s="207"/>
      <c r="C44" s="217">
        <f>C41*C42</f>
        <v>2386.02</v>
      </c>
      <c r="D44" s="207"/>
      <c r="E44" s="207"/>
      <c r="F44" s="207"/>
      <c r="G44" s="207"/>
      <c r="H44" s="207"/>
      <c r="I44" s="207"/>
    </row>
    <row r="45" spans="1:9" ht="11.25">
      <c r="A45" s="207"/>
      <c r="B45" s="207"/>
      <c r="C45" s="207"/>
      <c r="D45" s="207"/>
      <c r="E45" s="207"/>
      <c r="F45" s="207"/>
      <c r="G45" s="207"/>
      <c r="H45" s="207"/>
      <c r="I45" s="207"/>
    </row>
    <row r="46" spans="1:9" ht="11.25">
      <c r="A46" s="207" t="s">
        <v>530</v>
      </c>
      <c r="B46" s="207"/>
      <c r="C46" s="207"/>
      <c r="D46" s="207"/>
      <c r="E46" s="207"/>
      <c r="F46" s="207"/>
      <c r="G46" s="207"/>
      <c r="H46" s="207"/>
      <c r="I46" s="207"/>
    </row>
    <row r="47" spans="1:9" ht="11.25">
      <c r="A47" s="207" t="s">
        <v>518</v>
      </c>
      <c r="B47" s="207"/>
      <c r="C47" s="207">
        <v>1554</v>
      </c>
      <c r="D47" s="207"/>
      <c r="E47" s="207"/>
      <c r="F47" s="207"/>
      <c r="G47" s="207"/>
      <c r="H47" s="207"/>
      <c r="I47" s="207"/>
    </row>
    <row r="48" spans="1:9" ht="11.25">
      <c r="A48" s="207" t="s">
        <v>520</v>
      </c>
      <c r="B48" s="207"/>
      <c r="C48" s="220">
        <v>203.14</v>
      </c>
      <c r="D48" s="207"/>
      <c r="E48" s="207"/>
      <c r="F48" s="207"/>
      <c r="G48" s="207"/>
      <c r="H48" s="207"/>
      <c r="I48" s="207"/>
    </row>
    <row r="49" spans="1:9" ht="11.25">
      <c r="A49" s="207" t="s">
        <v>521</v>
      </c>
      <c r="B49" s="207"/>
      <c r="C49" s="209">
        <v>2.99</v>
      </c>
      <c r="D49" s="207"/>
      <c r="E49" s="207"/>
      <c r="F49" s="207"/>
      <c r="G49" s="207"/>
      <c r="H49" s="207"/>
      <c r="I49" s="207"/>
    </row>
    <row r="50" spans="1:9" ht="11.25">
      <c r="A50" s="207"/>
      <c r="B50" s="207"/>
      <c r="C50" s="207"/>
      <c r="D50" s="207"/>
      <c r="E50" s="207"/>
      <c r="F50" s="207"/>
      <c r="G50" s="207"/>
      <c r="H50" s="207"/>
      <c r="I50" s="207"/>
    </row>
    <row r="51" spans="1:9" ht="11.25">
      <c r="A51" s="207" t="s">
        <v>522</v>
      </c>
      <c r="B51" s="207"/>
      <c r="C51" s="210">
        <f>C48*C49</f>
        <v>607.3886</v>
      </c>
      <c r="D51" s="207"/>
      <c r="E51" s="207"/>
      <c r="F51" s="207"/>
      <c r="G51" s="207"/>
      <c r="H51" s="207"/>
      <c r="I51" s="207"/>
    </row>
    <row r="52" spans="1:9" ht="11.25">
      <c r="A52" s="207"/>
      <c r="B52" s="207"/>
      <c r="C52" s="207"/>
      <c r="D52" s="207"/>
      <c r="E52" s="207"/>
      <c r="F52" s="207"/>
      <c r="G52" s="207"/>
      <c r="H52" s="207"/>
      <c r="I52" s="207"/>
    </row>
    <row r="53" spans="1:9" ht="11.25">
      <c r="A53" s="207"/>
      <c r="B53" s="207"/>
      <c r="C53" s="207"/>
      <c r="D53" s="207"/>
      <c r="E53" s="207"/>
      <c r="F53" s="207"/>
      <c r="G53" s="207"/>
      <c r="H53" s="207"/>
      <c r="I53" s="207"/>
    </row>
    <row r="54" spans="1:9" ht="11.25">
      <c r="A54" s="115" t="s">
        <v>523</v>
      </c>
      <c r="B54" s="207"/>
      <c r="C54" s="208" t="s">
        <v>524</v>
      </c>
      <c r="D54" s="208" t="s">
        <v>525</v>
      </c>
      <c r="E54" s="208" t="s">
        <v>526</v>
      </c>
      <c r="F54" s="207"/>
      <c r="G54" s="207"/>
      <c r="H54" s="207"/>
      <c r="I54" s="207"/>
    </row>
    <row r="55" spans="1:9" ht="11.25">
      <c r="A55" s="136" t="s">
        <v>527</v>
      </c>
      <c r="B55" s="136"/>
      <c r="C55" s="216">
        <v>1929</v>
      </c>
      <c r="D55" s="216">
        <v>1801</v>
      </c>
      <c r="E55" s="216">
        <v>1717</v>
      </c>
      <c r="F55" s="217">
        <f>SUM(C55:E55)</f>
        <v>5447</v>
      </c>
      <c r="G55" s="136"/>
      <c r="H55" s="136"/>
      <c r="I55" s="207"/>
    </row>
    <row r="56" spans="1:9" ht="11.25">
      <c r="A56" s="115"/>
      <c r="B56" s="207"/>
      <c r="C56" s="208"/>
      <c r="D56" s="208"/>
      <c r="E56" s="208"/>
      <c r="F56" s="207"/>
      <c r="G56" s="207"/>
      <c r="H56" s="207"/>
      <c r="I56" s="207"/>
    </row>
    <row r="57" spans="1:9" ht="11.25">
      <c r="A57" s="207" t="s">
        <v>520</v>
      </c>
      <c r="B57" s="207"/>
      <c r="C57" s="209">
        <v>519.02</v>
      </c>
      <c r="D57" s="209">
        <v>571.04</v>
      </c>
      <c r="E57" s="209">
        <v>591.05</v>
      </c>
      <c r="F57" s="217">
        <f>SUM(C57:E57)</f>
        <v>1681.11</v>
      </c>
      <c r="G57" s="207"/>
      <c r="H57" s="207"/>
      <c r="I57" s="207"/>
    </row>
    <row r="58" spans="1:9" ht="11.25">
      <c r="A58" s="207" t="s">
        <v>528</v>
      </c>
      <c r="B58" s="207"/>
      <c r="C58" s="209">
        <f>C55/C57</f>
        <v>3.716619783438018</v>
      </c>
      <c r="D58" s="209">
        <f>D55/D57</f>
        <v>3.1538946483608856</v>
      </c>
      <c r="E58" s="209">
        <f>E55/E57</f>
        <v>2.9049995770239407</v>
      </c>
      <c r="F58" s="209"/>
      <c r="G58" s="207"/>
      <c r="H58" s="207"/>
      <c r="I58" s="207"/>
    </row>
    <row r="59" spans="1:9" ht="11.25">
      <c r="A59" s="207" t="s">
        <v>529</v>
      </c>
      <c r="B59" s="207"/>
      <c r="C59" s="218">
        <v>2.99</v>
      </c>
      <c r="D59" s="218">
        <v>2.99</v>
      </c>
      <c r="E59" s="218">
        <v>2.99</v>
      </c>
      <c r="F59" s="207"/>
      <c r="G59" s="207"/>
      <c r="H59" s="207"/>
      <c r="I59" s="207"/>
    </row>
    <row r="60" spans="1:9" ht="11.25">
      <c r="A60" s="207" t="s">
        <v>522</v>
      </c>
      <c r="B60" s="207"/>
      <c r="C60" s="218">
        <f>C57*C59</f>
        <v>1551.8698000000002</v>
      </c>
      <c r="D60" s="218">
        <f>D57*D59</f>
        <v>1707.4096</v>
      </c>
      <c r="E60" s="218">
        <f>E57*E59</f>
        <v>1767.2395</v>
      </c>
      <c r="F60" s="217">
        <f>SUM(C60:E60)</f>
        <v>5026.5189</v>
      </c>
      <c r="G60" s="207"/>
      <c r="H60" s="207"/>
      <c r="I60" s="207"/>
    </row>
    <row r="61" spans="1:9" ht="11.25">
      <c r="A61" s="207"/>
      <c r="B61" s="207"/>
      <c r="C61" s="207"/>
      <c r="D61" s="207"/>
      <c r="E61" s="207"/>
      <c r="F61" s="207"/>
      <c r="G61" s="207"/>
      <c r="H61" s="207"/>
      <c r="I61" s="207"/>
    </row>
    <row r="62" spans="1:9" ht="11.25">
      <c r="A62" s="115" t="s">
        <v>531</v>
      </c>
      <c r="B62" s="207"/>
      <c r="C62" s="207"/>
      <c r="D62" s="207"/>
      <c r="E62" s="207"/>
      <c r="F62" s="217">
        <f>C44+C51+F60</f>
        <v>8019.9275</v>
      </c>
      <c r="G62" s="207"/>
      <c r="H62" s="207"/>
      <c r="I62" s="207"/>
    </row>
    <row r="63" spans="1:9" ht="11.25">
      <c r="A63" s="212"/>
      <c r="B63" s="212"/>
      <c r="C63" s="212"/>
      <c r="D63" s="212"/>
      <c r="E63" s="212"/>
      <c r="F63" s="212"/>
      <c r="G63" s="212"/>
      <c r="H63" s="207"/>
      <c r="I63" s="207"/>
    </row>
    <row r="64" spans="1:9" ht="11.25">
      <c r="A64" s="211" t="s">
        <v>534</v>
      </c>
      <c r="B64" s="207"/>
      <c r="C64" s="207"/>
      <c r="D64" s="207"/>
      <c r="E64" s="207"/>
      <c r="F64" s="207"/>
      <c r="G64" s="207"/>
      <c r="H64" s="207"/>
      <c r="I64" s="207"/>
    </row>
    <row r="65" spans="1:6" ht="11.25">
      <c r="A65" s="207"/>
      <c r="B65" s="207"/>
      <c r="C65" s="207"/>
      <c r="D65" s="207"/>
      <c r="E65" s="207"/>
      <c r="F65" s="207"/>
    </row>
    <row r="66" spans="1:6" ht="11.25">
      <c r="A66" s="224"/>
      <c r="B66" s="224"/>
      <c r="C66" s="224"/>
      <c r="D66" s="224"/>
      <c r="E66" s="224"/>
      <c r="F66" s="224"/>
    </row>
    <row r="67" spans="1:6" ht="11.25">
      <c r="A67" s="224" t="s">
        <v>513</v>
      </c>
      <c r="B67" s="224"/>
      <c r="C67" s="224">
        <v>160.67</v>
      </c>
      <c r="D67" s="224"/>
      <c r="E67" s="224"/>
      <c r="F67" s="224"/>
    </row>
    <row r="68" spans="1:6" ht="11.25">
      <c r="A68" s="224"/>
      <c r="B68" s="224"/>
      <c r="C68" s="224"/>
      <c r="D68" s="224"/>
      <c r="E68" s="224"/>
      <c r="F68" s="224"/>
    </row>
    <row r="69" spans="1:6" ht="11.25">
      <c r="A69" s="224" t="s">
        <v>514</v>
      </c>
      <c r="B69" s="224"/>
      <c r="C69" s="224"/>
      <c r="D69" s="224"/>
      <c r="E69" s="224"/>
      <c r="F69" s="224"/>
    </row>
    <row r="70" spans="1:6" ht="11.25">
      <c r="A70" s="224" t="s">
        <v>515</v>
      </c>
      <c r="B70" s="224">
        <v>22</v>
      </c>
      <c r="C70" s="224">
        <v>22</v>
      </c>
      <c r="D70" s="224"/>
      <c r="E70" s="224"/>
      <c r="F70" s="224"/>
    </row>
    <row r="71" spans="1:6" ht="11.25">
      <c r="A71" s="224" t="s">
        <v>516</v>
      </c>
      <c r="B71" s="224">
        <v>0</v>
      </c>
      <c r="C71" s="224">
        <v>0</v>
      </c>
      <c r="D71" s="224"/>
      <c r="E71" s="224"/>
      <c r="F71" s="224"/>
    </row>
    <row r="72" spans="1:6" ht="11.25">
      <c r="A72" s="224"/>
      <c r="B72" s="224"/>
      <c r="C72" s="224"/>
      <c r="D72" s="224"/>
      <c r="E72" s="224"/>
      <c r="F72" s="224"/>
    </row>
    <row r="73" spans="1:6" ht="11.25">
      <c r="A73" s="224" t="s">
        <v>517</v>
      </c>
      <c r="B73" s="224"/>
      <c r="C73" s="224">
        <f>C67/(C70+C71)</f>
        <v>7.303181818181818</v>
      </c>
      <c r="D73" s="224"/>
      <c r="E73" s="224"/>
      <c r="F73" s="224"/>
    </row>
    <row r="74" spans="1:6" ht="11.25">
      <c r="A74" s="224"/>
      <c r="B74" s="224"/>
      <c r="C74" s="224"/>
      <c r="D74" s="224"/>
      <c r="E74" s="224"/>
      <c r="F74" s="224"/>
    </row>
    <row r="75" spans="1:6" ht="11.25">
      <c r="A75" s="224" t="s">
        <v>518</v>
      </c>
      <c r="B75" s="224"/>
      <c r="C75" s="224">
        <f>(105*22)</f>
        <v>2310</v>
      </c>
      <c r="D75" s="224"/>
      <c r="E75" s="225"/>
      <c r="F75" s="224"/>
    </row>
    <row r="76" spans="1:6" ht="11.25">
      <c r="A76" s="224" t="s">
        <v>519</v>
      </c>
      <c r="B76" s="224"/>
      <c r="C76" s="224">
        <f>C75/(C70+C71)</f>
        <v>105</v>
      </c>
      <c r="D76" s="224"/>
      <c r="E76" s="225"/>
      <c r="F76" s="224"/>
    </row>
    <row r="77" spans="1:6" ht="11.25">
      <c r="A77" s="224" t="s">
        <v>520</v>
      </c>
      <c r="B77" s="224"/>
      <c r="C77" s="229">
        <f>C75/2.5</f>
        <v>924</v>
      </c>
      <c r="D77" s="224"/>
      <c r="E77" s="224"/>
      <c r="F77" s="224"/>
    </row>
    <row r="78" spans="1:6" ht="11.25">
      <c r="A78" s="224" t="s">
        <v>521</v>
      </c>
      <c r="B78" s="224"/>
      <c r="C78" s="225">
        <v>2.86</v>
      </c>
      <c r="D78" s="224"/>
      <c r="E78" s="224"/>
      <c r="F78" s="224"/>
    </row>
    <row r="79" spans="1:6" ht="11.25">
      <c r="A79" s="224"/>
      <c r="B79" s="224"/>
      <c r="C79" s="224"/>
      <c r="D79" s="224"/>
      <c r="E79" s="226"/>
      <c r="F79" s="224"/>
    </row>
    <row r="80" spans="1:6" ht="11.25">
      <c r="A80" s="224" t="s">
        <v>522</v>
      </c>
      <c r="B80" s="224"/>
      <c r="C80" s="227">
        <f>C77*C78</f>
        <v>2642.64</v>
      </c>
      <c r="D80" s="224"/>
      <c r="E80" s="224"/>
      <c r="F80" s="224"/>
    </row>
    <row r="81" spans="1:6" ht="11.25">
      <c r="A81" s="224"/>
      <c r="B81" s="224"/>
      <c r="C81" s="224"/>
      <c r="D81" s="224"/>
      <c r="E81" s="224"/>
      <c r="F81" s="224"/>
    </row>
    <row r="82" spans="1:6" ht="11.25">
      <c r="A82" s="224"/>
      <c r="B82" s="224"/>
      <c r="C82" s="224"/>
      <c r="D82" s="224"/>
      <c r="E82" s="224"/>
      <c r="F82" s="224"/>
    </row>
    <row r="83" spans="1:6" ht="11.25">
      <c r="A83" s="224"/>
      <c r="B83" s="224"/>
      <c r="C83" s="224"/>
      <c r="D83" s="224"/>
      <c r="E83" s="224"/>
      <c r="F83" s="224"/>
    </row>
    <row r="84" spans="1:6" ht="11.25">
      <c r="A84" s="224" t="s">
        <v>518</v>
      </c>
      <c r="B84" s="224"/>
      <c r="C84" s="224">
        <v>941</v>
      </c>
      <c r="D84" s="224"/>
      <c r="E84" s="225"/>
      <c r="F84" s="224"/>
    </row>
    <row r="85" spans="1:6" ht="11.25">
      <c r="A85" s="224" t="s">
        <v>520</v>
      </c>
      <c r="B85" s="224"/>
      <c r="C85" s="229">
        <f>C84/7.65</f>
        <v>123.00653594771241</v>
      </c>
      <c r="D85" s="224"/>
      <c r="E85" s="225"/>
      <c r="F85" s="224"/>
    </row>
    <row r="86" spans="1:6" ht="11.25">
      <c r="A86" s="224" t="s">
        <v>521</v>
      </c>
      <c r="B86" s="224"/>
      <c r="C86" s="225">
        <v>2.86</v>
      </c>
      <c r="D86" s="224"/>
      <c r="E86" s="224"/>
      <c r="F86" s="224"/>
    </row>
    <row r="87" spans="1:6" ht="11.25">
      <c r="A87" s="224"/>
      <c r="B87" s="224"/>
      <c r="C87" s="224"/>
      <c r="D87" s="224"/>
      <c r="E87" s="226"/>
      <c r="F87" s="224"/>
    </row>
    <row r="88" spans="1:6" ht="11.25">
      <c r="A88" s="224" t="s">
        <v>522</v>
      </c>
      <c r="B88" s="224"/>
      <c r="C88" s="227">
        <f>C85*C86</f>
        <v>351.79869281045745</v>
      </c>
      <c r="D88" s="224"/>
      <c r="E88" s="224"/>
      <c r="F88" s="224"/>
    </row>
    <row r="89" spans="1:6" ht="11.25">
      <c r="A89" s="224"/>
      <c r="B89" s="224"/>
      <c r="C89" s="224"/>
      <c r="D89" s="224"/>
      <c r="E89" s="224"/>
      <c r="F89" s="224"/>
    </row>
    <row r="90" spans="1:6" ht="11.25">
      <c r="A90" s="224"/>
      <c r="B90" s="224"/>
      <c r="C90" s="224"/>
      <c r="D90" s="224"/>
      <c r="E90" s="224"/>
      <c r="F90" s="224"/>
    </row>
    <row r="91" spans="1:6" ht="11.25">
      <c r="A91" s="226" t="s">
        <v>523</v>
      </c>
      <c r="B91" s="224"/>
      <c r="C91" s="228" t="s">
        <v>524</v>
      </c>
      <c r="D91" s="228" t="s">
        <v>525</v>
      </c>
      <c r="E91" s="228" t="s">
        <v>526</v>
      </c>
      <c r="F91" s="224"/>
    </row>
    <row r="92" spans="1:6" ht="11.25">
      <c r="A92" s="229" t="s">
        <v>527</v>
      </c>
      <c r="B92" s="229"/>
      <c r="C92" s="230">
        <v>1717.82</v>
      </c>
      <c r="D92" s="230">
        <v>1894.6</v>
      </c>
      <c r="E92" s="230">
        <v>1459.55</v>
      </c>
      <c r="F92" s="226">
        <f>SUM(C92:E92)</f>
        <v>5071.97</v>
      </c>
    </row>
    <row r="93" spans="1:6" ht="11.25">
      <c r="A93" s="226"/>
      <c r="B93" s="224"/>
      <c r="C93" s="228"/>
      <c r="D93" s="228"/>
      <c r="E93" s="228"/>
      <c r="F93" s="224"/>
    </row>
    <row r="94" spans="1:6" ht="11.25">
      <c r="A94" s="224" t="s">
        <v>520</v>
      </c>
      <c r="B94" s="224"/>
      <c r="C94" s="224">
        <v>603.04</v>
      </c>
      <c r="D94" s="224">
        <v>524.41</v>
      </c>
      <c r="E94" s="224">
        <v>536.01</v>
      </c>
      <c r="F94" s="226">
        <f>SUM(C94:E94)</f>
        <v>1663.4599999999998</v>
      </c>
    </row>
    <row r="95" spans="1:6" ht="11.25">
      <c r="A95" s="224" t="s">
        <v>528</v>
      </c>
      <c r="B95" s="224"/>
      <c r="C95" s="224">
        <f>C92/C94</f>
        <v>2.8486004245157868</v>
      </c>
      <c r="D95" s="224">
        <f>D92/D94</f>
        <v>3.6128220285654353</v>
      </c>
      <c r="E95" s="224">
        <f>E92/E94</f>
        <v>2.7229902427193524</v>
      </c>
      <c r="F95" s="224"/>
    </row>
    <row r="96" spans="1:6" ht="11.25">
      <c r="A96" s="224" t="s">
        <v>529</v>
      </c>
      <c r="B96" s="224"/>
      <c r="C96" s="225">
        <v>2.86</v>
      </c>
      <c r="D96" s="225">
        <v>2.86</v>
      </c>
      <c r="E96" s="225">
        <v>2.86</v>
      </c>
      <c r="F96" s="224"/>
    </row>
    <row r="97" spans="1:6" ht="11.25">
      <c r="A97" s="224" t="s">
        <v>522</v>
      </c>
      <c r="B97" s="224"/>
      <c r="C97" s="231">
        <f>C94*C96</f>
        <v>1724.6943999999999</v>
      </c>
      <c r="D97" s="231">
        <f>D94*D96</f>
        <v>1499.8125999999997</v>
      </c>
      <c r="E97" s="231">
        <f>E94*E96</f>
        <v>1532.9886</v>
      </c>
      <c r="F97" s="227">
        <f>SUM(C97:E97)</f>
        <v>4757.495599999999</v>
      </c>
    </row>
    <row r="99" spans="1:6" ht="11.25">
      <c r="A99" t="s">
        <v>539</v>
      </c>
      <c r="F99" s="232">
        <f>C80+C88+F97</f>
        <v>7751.934292810456</v>
      </c>
    </row>
    <row r="100" spans="1:9" ht="11.25">
      <c r="A100" s="212"/>
      <c r="B100" s="212"/>
      <c r="C100" s="212"/>
      <c r="D100" s="212"/>
      <c r="E100" s="212"/>
      <c r="F100" s="212"/>
      <c r="G100" s="212"/>
      <c r="H100" s="207"/>
      <c r="I100" s="207"/>
    </row>
  </sheetData>
  <printOptions/>
  <pageMargins left="0.75" right="0.75" top="1" bottom="1" header="0.5" footer="0.5"/>
  <pageSetup horizontalDpi="300" verticalDpi="300" orientation="portrait" scale="90" r:id="rId1"/>
  <rowBreaks count="1" manualBreakCount="1">
    <brk id="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BX322"/>
  <sheetViews>
    <sheetView workbookViewId="0" topLeftCell="A1">
      <selection activeCell="E6" sqref="E6"/>
    </sheetView>
  </sheetViews>
  <sheetFormatPr defaultColWidth="8.796875" defaultRowHeight="12"/>
  <cols>
    <col min="1" max="1" width="2.3984375" style="0" customWidth="1"/>
  </cols>
  <sheetData>
    <row r="1" spans="1:76" ht="12.7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</row>
    <row r="2" spans="1:76" ht="12.75">
      <c r="A2" s="86"/>
      <c r="B2" s="86" t="s">
        <v>0</v>
      </c>
      <c r="C2" s="86"/>
      <c r="D2" s="86"/>
      <c r="E2" s="86"/>
      <c r="F2" s="86"/>
      <c r="G2" s="86"/>
      <c r="H2" s="86"/>
      <c r="I2" s="86"/>
      <c r="J2" s="86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 t="s">
        <v>52</v>
      </c>
      <c r="AF2" s="88" t="s">
        <v>53</v>
      </c>
      <c r="AG2" s="87"/>
      <c r="AH2" s="87"/>
      <c r="AI2" s="87" t="s">
        <v>54</v>
      </c>
      <c r="AJ2" s="87"/>
      <c r="AK2" s="87"/>
      <c r="AL2" s="87"/>
      <c r="AM2" s="87"/>
      <c r="AN2" s="87"/>
      <c r="AO2" s="87"/>
      <c r="AP2" s="87"/>
      <c r="AQ2" s="87"/>
      <c r="AR2" s="87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</row>
    <row r="3" spans="1:76" ht="12.75">
      <c r="A3" s="86"/>
      <c r="B3" s="87" t="s">
        <v>201</v>
      </c>
      <c r="C3" s="86"/>
      <c r="D3" s="86"/>
      <c r="E3" s="86"/>
      <c r="F3" s="86"/>
      <c r="G3" s="86"/>
      <c r="H3" s="86"/>
      <c r="I3" s="86"/>
      <c r="J3" s="86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8"/>
      <c r="AF3" s="88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</row>
    <row r="4" spans="1:76" ht="12.75">
      <c r="A4" s="86"/>
      <c r="B4" s="89"/>
      <c r="C4" s="87"/>
      <c r="D4" s="87"/>
      <c r="E4" s="90"/>
      <c r="F4" s="87"/>
      <c r="G4" s="87"/>
      <c r="H4" s="87"/>
      <c r="I4" s="106"/>
      <c r="J4" s="87"/>
      <c r="K4" s="87"/>
      <c r="L4" s="87"/>
      <c r="M4" s="87"/>
      <c r="N4" s="87" t="s">
        <v>55</v>
      </c>
      <c r="O4" s="87"/>
      <c r="P4" s="87"/>
      <c r="Q4" s="87"/>
      <c r="R4" s="87"/>
      <c r="S4" s="87"/>
      <c r="T4" s="87"/>
      <c r="U4" s="88" t="s">
        <v>56</v>
      </c>
      <c r="V4" s="88" t="s">
        <v>57</v>
      </c>
      <c r="W4" s="88" t="s">
        <v>27</v>
      </c>
      <c r="X4" s="88" t="s">
        <v>58</v>
      </c>
      <c r="Y4" s="88" t="s">
        <v>59</v>
      </c>
      <c r="Z4" s="87"/>
      <c r="AA4" s="88" t="s">
        <v>60</v>
      </c>
      <c r="AB4" s="87" t="s">
        <v>61</v>
      </c>
      <c r="AC4" s="88" t="s">
        <v>62</v>
      </c>
      <c r="AD4" s="88" t="s">
        <v>63</v>
      </c>
      <c r="AE4" s="88" t="s">
        <v>64</v>
      </c>
      <c r="AF4" s="87"/>
      <c r="AG4" s="87"/>
      <c r="AH4" s="87"/>
      <c r="AI4" s="87" t="s">
        <v>65</v>
      </c>
      <c r="AJ4" s="87"/>
      <c r="AK4" s="87"/>
      <c r="AL4" s="87"/>
      <c r="AM4" s="87"/>
      <c r="AN4" s="87"/>
      <c r="AO4" s="87"/>
      <c r="AP4" s="87"/>
      <c r="AQ4" s="87"/>
      <c r="AR4" s="87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</row>
    <row r="5" spans="1:76" ht="12.75">
      <c r="A5" s="86"/>
      <c r="B5" s="91" t="s">
        <v>66</v>
      </c>
      <c r="C5" s="91" t="s">
        <v>67</v>
      </c>
      <c r="D5" s="87"/>
      <c r="E5" s="90">
        <f>E7+E6</f>
        <v>200562.93984772838</v>
      </c>
      <c r="F5" s="91" t="s">
        <v>68</v>
      </c>
      <c r="G5" s="87"/>
      <c r="H5" s="87"/>
      <c r="I5" s="87"/>
      <c r="J5" s="91"/>
      <c r="K5" s="87"/>
      <c r="L5" s="92"/>
      <c r="M5" s="87"/>
      <c r="N5" s="91" t="s">
        <v>69</v>
      </c>
      <c r="O5" s="87"/>
      <c r="P5" s="87"/>
      <c r="Q5" s="91" t="s">
        <v>70</v>
      </c>
      <c r="R5" s="87"/>
      <c r="S5" s="87"/>
      <c r="T5" s="87"/>
      <c r="U5" s="93">
        <f>$E$8*1.25</f>
        <v>204817.2650634438</v>
      </c>
      <c r="V5" s="94">
        <f>100*(+U5/$E$9)</f>
        <v>90.7208942259593</v>
      </c>
      <c r="W5" s="95">
        <f>EXP(5.7226-(0.68367*LN(+V5)))</f>
        <v>14.023868702716547</v>
      </c>
      <c r="X5" s="95">
        <f>(+W5*V5)/100</f>
        <v>12.72257909217889</v>
      </c>
      <c r="Y5" s="94">
        <f>100*((((X5/100)-((X5/100)-0.03574)*$E$21)-0.03574-0.00619)/0.344)</f>
        <v>15.753087793133918</v>
      </c>
      <c r="Z5" s="87">
        <f>$E$20</f>
        <v>0.25</v>
      </c>
      <c r="AA5" s="94">
        <f>Y5+Z5</f>
        <v>16.00308779313392</v>
      </c>
      <c r="AB5" s="94">
        <f>100*($E$17*$E$19+($E$18*(AA5/100))/(1-$E$21))</f>
        <v>16.668261630121744</v>
      </c>
      <c r="AC5" s="95">
        <f>AB5/V5</f>
        <v>0.1837312316235107</v>
      </c>
      <c r="AD5" s="93">
        <f>$E$8/(1-AC5)</f>
        <v>200735.12352634865</v>
      </c>
      <c r="AE5" s="87" t="str">
        <f>IF(AD5=$U$5,"yes","not yet")</f>
        <v>not yet</v>
      </c>
      <c r="AF5" s="94">
        <f>100*(1-AC5)</f>
        <v>81.62687683764894</v>
      </c>
      <c r="AG5" s="87"/>
      <c r="AH5" s="87"/>
      <c r="AI5" s="87">
        <v>0</v>
      </c>
      <c r="AJ5" s="87">
        <v>1</v>
      </c>
      <c r="AK5" s="87"/>
      <c r="AL5" s="87"/>
      <c r="AM5" s="87"/>
      <c r="AN5" s="87"/>
      <c r="AO5" s="87"/>
      <c r="AP5" s="87"/>
      <c r="AQ5" s="87"/>
      <c r="AR5" s="87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</row>
    <row r="6" spans="1:76" ht="12.75">
      <c r="A6" s="86"/>
      <c r="B6" s="91" t="s">
        <v>66</v>
      </c>
      <c r="C6" s="91" t="s">
        <v>71</v>
      </c>
      <c r="D6" s="87"/>
      <c r="E6" s="90">
        <f>(+E8-((H15/100)*E7))/H25</f>
        <v>4525.149847728414</v>
      </c>
      <c r="F6" s="96" t="s">
        <v>68</v>
      </c>
      <c r="G6" s="87"/>
      <c r="H6" s="222"/>
      <c r="I6" s="87"/>
      <c r="J6" s="91"/>
      <c r="K6" s="87"/>
      <c r="L6" s="92"/>
      <c r="M6" s="87"/>
      <c r="N6" s="91" t="s">
        <v>72</v>
      </c>
      <c r="O6" s="87"/>
      <c r="P6" s="87"/>
      <c r="Q6" s="91" t="s">
        <v>73</v>
      </c>
      <c r="R6" s="87"/>
      <c r="S6" s="87"/>
      <c r="T6" s="87"/>
      <c r="U6" s="93">
        <f>$E$8*1.25</f>
        <v>204817.2650634438</v>
      </c>
      <c r="V6" s="94">
        <f>100*(+U6/$E$9)</f>
        <v>90.7208942259593</v>
      </c>
      <c r="W6" s="95">
        <f>EXP(5.70827-(0.68367*LN(+V6)))</f>
        <v>13.824339703893202</v>
      </c>
      <c r="X6" s="95">
        <f>(+W6*V6)/100</f>
        <v>12.541564600206245</v>
      </c>
      <c r="Y6" s="94">
        <f>100*((((X6/100)-((X6/100)-0.03574)*$E$21)-0.03574-0.00619)/0.344)</f>
        <v>15.40579254690733</v>
      </c>
      <c r="Z6" s="87">
        <f>$E$20</f>
        <v>0.25</v>
      </c>
      <c r="AA6" s="94">
        <f>Y6+Z6</f>
        <v>15.65579254690733</v>
      </c>
      <c r="AB6" s="94">
        <f>100*($E$17*$E$19+($E$18*(AA6/100))/(1-$E$21))</f>
        <v>16.352538679006663</v>
      </c>
      <c r="AC6" s="95">
        <f>AB6/V6</f>
        <v>0.1802510746672895</v>
      </c>
      <c r="AD6" s="93">
        <f>$E$8/(1-AC6)</f>
        <v>199882.9238894725</v>
      </c>
      <c r="AE6" s="87" t="str">
        <f>IF(AD6=$U$6,"yes","not yet")</f>
        <v>not yet</v>
      </c>
      <c r="AF6" s="94">
        <f>100*(1-AC6)</f>
        <v>81.97489253327105</v>
      </c>
      <c r="AG6" s="87"/>
      <c r="AH6" s="87"/>
      <c r="AI6" s="87">
        <v>50</v>
      </c>
      <c r="AJ6" s="87">
        <v>2</v>
      </c>
      <c r="AK6" s="87"/>
      <c r="AL6" s="87"/>
      <c r="AM6" s="87"/>
      <c r="AN6" s="87"/>
      <c r="AO6" s="87"/>
      <c r="AP6" s="87"/>
      <c r="AQ6" s="87"/>
      <c r="AR6" s="87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</row>
    <row r="7" spans="1:76" ht="12.75">
      <c r="A7" s="86"/>
      <c r="B7" s="97" t="s">
        <v>74</v>
      </c>
      <c r="C7" s="91" t="s">
        <v>75</v>
      </c>
      <c r="D7" s="97" t="s">
        <v>92</v>
      </c>
      <c r="E7" s="90">
        <f>'Prof-Monthly Reporting'!I13</f>
        <v>196037.78999999998</v>
      </c>
      <c r="F7" s="91" t="s">
        <v>76</v>
      </c>
      <c r="G7" s="87"/>
      <c r="H7" s="87"/>
      <c r="I7" s="87"/>
      <c r="J7" s="91"/>
      <c r="K7" s="87"/>
      <c r="L7" s="92"/>
      <c r="M7" s="87"/>
      <c r="N7" s="91" t="s">
        <v>77</v>
      </c>
      <c r="O7" s="87"/>
      <c r="P7" s="87"/>
      <c r="Q7" s="91" t="s">
        <v>78</v>
      </c>
      <c r="R7" s="87"/>
      <c r="S7" s="87"/>
      <c r="T7" s="87"/>
      <c r="U7" s="93">
        <f>$E$8*1.25</f>
        <v>204817.2650634438</v>
      </c>
      <c r="V7" s="94">
        <f>100*(+U7/$E$9)</f>
        <v>90.7208942259593</v>
      </c>
      <c r="W7" s="95">
        <f>EXP(5.6985-(0.68367*LN(V7)))</f>
        <v>13.68993354817659</v>
      </c>
      <c r="X7" s="95">
        <f>(+W7*V7)/100</f>
        <v>12.4196301338454</v>
      </c>
      <c r="Y7" s="94">
        <f>100*((((X7/100)-((X7/100)-0.03574)*$E$21)-0.03574-0.00619)/0.344)</f>
        <v>15.171848512610358</v>
      </c>
      <c r="Z7" s="87">
        <f>$E$20</f>
        <v>0.25</v>
      </c>
      <c r="AA7" s="94">
        <f>Y7+Z7</f>
        <v>15.421848512610358</v>
      </c>
      <c r="AB7" s="94">
        <f>100*($E$17*$E$19+($E$18*(AA7/100))/(1-$E$21))</f>
        <v>16.139862284191235</v>
      </c>
      <c r="AC7" s="95">
        <f>AB7/V7</f>
        <v>0.1779067812536277</v>
      </c>
      <c r="AD7" s="93">
        <f>$E$8/(1-AC7)</f>
        <v>199312.93473095333</v>
      </c>
      <c r="AE7" s="87" t="str">
        <f>IF(AD7=$U$7,"yes","not yet")</f>
        <v>not yet</v>
      </c>
      <c r="AF7" s="94">
        <f>100*(1-AC7)</f>
        <v>82.20932187463723</v>
      </c>
      <c r="AG7" s="87"/>
      <c r="AH7" s="87"/>
      <c r="AI7" s="87">
        <v>125</v>
      </c>
      <c r="AJ7" s="87">
        <v>3</v>
      </c>
      <c r="AK7" s="87"/>
      <c r="AL7" s="87"/>
      <c r="AM7" s="87"/>
      <c r="AN7" s="87"/>
      <c r="AO7" s="87"/>
      <c r="AP7" s="87"/>
      <c r="AQ7" s="87"/>
      <c r="AR7" s="87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</row>
    <row r="8" spans="1:76" ht="12.75">
      <c r="A8" s="86"/>
      <c r="B8" s="97" t="s">
        <v>74</v>
      </c>
      <c r="C8" s="91" t="s">
        <v>79</v>
      </c>
      <c r="D8" s="97" t="s">
        <v>92</v>
      </c>
      <c r="E8" s="90">
        <f>'Prof-Monthly Reporting'!I39</f>
        <v>163853.81205075505</v>
      </c>
      <c r="F8" s="91" t="s">
        <v>76</v>
      </c>
      <c r="G8" s="87"/>
      <c r="H8" s="87"/>
      <c r="I8" s="87"/>
      <c r="J8" s="91"/>
      <c r="K8" s="87"/>
      <c r="L8" s="92"/>
      <c r="M8" s="87"/>
      <c r="N8" s="91" t="s">
        <v>80</v>
      </c>
      <c r="O8" s="87"/>
      <c r="P8" s="87"/>
      <c r="Q8" s="91" t="s">
        <v>81</v>
      </c>
      <c r="R8" s="87"/>
      <c r="S8" s="87"/>
      <c r="T8" s="87"/>
      <c r="U8" s="93">
        <f>$E$8*1.25</f>
        <v>204817.2650634438</v>
      </c>
      <c r="V8" s="94">
        <f>100*(+U8/$E$9)</f>
        <v>90.7208942259593</v>
      </c>
      <c r="W8" s="95">
        <f>EXP(5.6922-(0.68367*LN(V8)))</f>
        <v>13.60395807393064</v>
      </c>
      <c r="X8" s="95">
        <f>(+W8*V8)/100</f>
        <v>12.341632414794464</v>
      </c>
      <c r="Y8" s="94">
        <f>100*((((X8/100)-((X8/100)-0.03574)*$E$21)-0.03574-0.00619)/0.344)</f>
        <v>15.022201726059144</v>
      </c>
      <c r="Z8" s="87">
        <f>$E$20</f>
        <v>0.25</v>
      </c>
      <c r="AA8" s="94">
        <f>Y8+Z8</f>
        <v>15.272201726059144</v>
      </c>
      <c r="AB8" s="94">
        <f>100*($E$17*$E$19+($E$18*(AA8/100))/(1-$E$21))</f>
        <v>16.00381975096286</v>
      </c>
      <c r="AC8" s="95">
        <f>AB8/V8</f>
        <v>0.17640720902840765</v>
      </c>
      <c r="AD8" s="93">
        <f>$E$8/(1-AC8)</f>
        <v>198950.0319174197</v>
      </c>
      <c r="AE8" s="87" t="str">
        <f>IF(AD8=$U$8,"yes","not yet")</f>
        <v>not yet</v>
      </c>
      <c r="AF8" s="94">
        <f>100*(1-AC8)</f>
        <v>82.35927909715923</v>
      </c>
      <c r="AG8" s="87"/>
      <c r="AH8" s="87"/>
      <c r="AI8" s="87">
        <v>401</v>
      </c>
      <c r="AJ8" s="87">
        <v>4</v>
      </c>
      <c r="AK8" s="87"/>
      <c r="AL8" s="87"/>
      <c r="AM8" s="87"/>
      <c r="AN8" s="87"/>
      <c r="AO8" s="87"/>
      <c r="AP8" s="87"/>
      <c r="AQ8" s="87"/>
      <c r="AR8" s="87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</row>
    <row r="9" spans="1:76" ht="12.75">
      <c r="A9" s="86"/>
      <c r="B9" s="97" t="s">
        <v>74</v>
      </c>
      <c r="C9" s="91" t="s">
        <v>82</v>
      </c>
      <c r="D9" s="87"/>
      <c r="E9" s="90">
        <f>'Depr-Revised'!AB36/12*2</f>
        <v>225766.36486111316</v>
      </c>
      <c r="F9" s="91" t="s">
        <v>76</v>
      </c>
      <c r="G9" s="87"/>
      <c r="H9" s="87"/>
      <c r="I9" s="87"/>
      <c r="J9" s="91"/>
      <c r="K9" s="87"/>
      <c r="L9" s="92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94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</row>
    <row r="10" spans="1:76" ht="12.75">
      <c r="A10" s="86"/>
      <c r="B10" s="89"/>
      <c r="C10" s="91" t="s">
        <v>83</v>
      </c>
      <c r="D10" s="87"/>
      <c r="E10" s="94">
        <f>V5</f>
        <v>90.7208942259593</v>
      </c>
      <c r="F10" s="91" t="s">
        <v>84</v>
      </c>
      <c r="G10" s="87"/>
      <c r="H10" s="94"/>
      <c r="I10" s="94"/>
      <c r="J10" s="89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98" t="s">
        <v>85</v>
      </c>
      <c r="W10" s="98" t="s">
        <v>27</v>
      </c>
      <c r="X10" s="98" t="s">
        <v>58</v>
      </c>
      <c r="Y10" s="98" t="s">
        <v>59</v>
      </c>
      <c r="Z10" s="87"/>
      <c r="AA10" s="94"/>
      <c r="AB10" s="87"/>
      <c r="AC10" s="87"/>
      <c r="AD10" s="87"/>
      <c r="AE10" s="87"/>
      <c r="AF10" s="87"/>
      <c r="AG10" s="87"/>
      <c r="AH10" s="87"/>
      <c r="AI10" s="87" t="s">
        <v>86</v>
      </c>
      <c r="AJ10" s="87"/>
      <c r="AK10" s="87"/>
      <c r="AL10" s="87"/>
      <c r="AM10" s="87"/>
      <c r="AN10" s="87"/>
      <c r="AO10" s="87"/>
      <c r="AP10" s="87"/>
      <c r="AQ10" s="87"/>
      <c r="AR10" s="87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</row>
    <row r="11" spans="1:76" ht="12.75">
      <c r="A11" s="86"/>
      <c r="B11" s="89"/>
      <c r="C11" s="91" t="s">
        <v>87</v>
      </c>
      <c r="D11" s="87"/>
      <c r="E11" s="94">
        <f>HLOOKUP($AJ$34,$AJ$28:$AR$32,($E$12)+1)</f>
        <v>88.78027518550167</v>
      </c>
      <c r="F11" s="91" t="s">
        <v>84</v>
      </c>
      <c r="G11" s="87"/>
      <c r="H11" s="87"/>
      <c r="I11" s="87"/>
      <c r="J11" s="89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94">
        <f>100*(+AD5/$E$9)</f>
        <v>88.9127676967456</v>
      </c>
      <c r="W11" s="99">
        <f>EXP(5.7226-(0.68367*LN(+V11)))</f>
        <v>14.218222162441073</v>
      </c>
      <c r="X11" s="95">
        <f>(+W11*V11)/100</f>
        <v>12.64181484189843</v>
      </c>
      <c r="Y11" s="94">
        <f>100*((((X11/100)-((X11/100)-0.03574)*$E$21)-0.03574-0.00619)/0.344)</f>
        <v>15.598133126898153</v>
      </c>
      <c r="Z11" s="87">
        <f>$E$20</f>
        <v>0.25</v>
      </c>
      <c r="AA11" s="94">
        <f>Y11+Z11</f>
        <v>15.848133126898153</v>
      </c>
      <c r="AB11" s="94">
        <f>100*($E$17*$E$19+($E$18*(AA11/100))/(1-$E$21))</f>
        <v>16.527393751725594</v>
      </c>
      <c r="AC11" s="95">
        <f>AB11/V11</f>
        <v>0.1858832446662273</v>
      </c>
      <c r="AD11" s="93">
        <f>$E$8/(1-AC11)</f>
        <v>201265.74103437786</v>
      </c>
      <c r="AE11" s="87" t="str">
        <f>IF(AD11=AD5,"yes","not yet")</f>
        <v>not yet</v>
      </c>
      <c r="AF11" s="94">
        <f>100*(1-AC11)</f>
        <v>81.41167553337726</v>
      </c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</row>
    <row r="12" spans="1:76" ht="12.75">
      <c r="A12" s="86"/>
      <c r="B12" s="89"/>
      <c r="C12" s="91" t="s">
        <v>88</v>
      </c>
      <c r="D12" s="87"/>
      <c r="E12" s="87">
        <f>VLOOKUP(E10,AI5:AJ8,2)</f>
        <v>2</v>
      </c>
      <c r="F12" s="91" t="s">
        <v>84</v>
      </c>
      <c r="G12" s="87"/>
      <c r="H12" s="87"/>
      <c r="I12" s="87"/>
      <c r="J12" s="89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94">
        <f>100*(+AD6/$E$9)</f>
        <v>88.53529798933351</v>
      </c>
      <c r="W12" s="99">
        <f>EXP(5.70827-(0.68367*LN(+V12)))</f>
        <v>14.056754388689528</v>
      </c>
      <c r="X12" s="95">
        <f>(+W12*V12)/100</f>
        <v>12.44518938565499</v>
      </c>
      <c r="Y12" s="94">
        <f>100*((((X12/100)-((X12/100)-0.03574)*$E$21)-0.03574-0.00619)/0.344)</f>
        <v>15.22088661201248</v>
      </c>
      <c r="Z12" s="87">
        <f>$E$20</f>
        <v>0.25</v>
      </c>
      <c r="AA12" s="94">
        <f>Y12+Z12</f>
        <v>15.47088661201248</v>
      </c>
      <c r="AB12" s="94">
        <f>100*($E$17*$E$19+($E$18*(AA12/100))/(1-$E$21))</f>
        <v>16.184442374556802</v>
      </c>
      <c r="AC12" s="95">
        <f>AB12/V12</f>
        <v>0.18280214493101563</v>
      </c>
      <c r="AD12" s="93">
        <f>$E$8/(1-AC12)</f>
        <v>200506.90421467542</v>
      </c>
      <c r="AE12" s="87" t="str">
        <f>IF(AD12=AD6,"yes","not yet")</f>
        <v>not yet</v>
      </c>
      <c r="AF12" s="94">
        <f>100*(1-AC12)</f>
        <v>81.71978550689843</v>
      </c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</row>
    <row r="13" spans="1:76" ht="12.75">
      <c r="A13" s="86"/>
      <c r="B13" s="89"/>
      <c r="C13" s="87"/>
      <c r="D13" s="87"/>
      <c r="E13" s="87"/>
      <c r="F13" s="87"/>
      <c r="G13" s="87"/>
      <c r="H13" s="87"/>
      <c r="I13" s="87"/>
      <c r="J13" s="89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94">
        <f>100*(+AD7/$E$9)</f>
        <v>88.28282939912975</v>
      </c>
      <c r="W13" s="99">
        <f>EXP(5.6985-(0.68367*LN(V13)))</f>
        <v>13.947292010957437</v>
      </c>
      <c r="X13" s="95">
        <f>(+W13*V13)/100</f>
        <v>12.313064011832006</v>
      </c>
      <c r="Y13" s="94">
        <f>100*((((X13/100)-((X13/100)-0.03574)*$E$21)-0.03574-0.00619)/0.344)</f>
        <v>14.967390255259083</v>
      </c>
      <c r="Z13" s="87">
        <f>$E$20</f>
        <v>0.25</v>
      </c>
      <c r="AA13" s="94">
        <f>Y13+Z13</f>
        <v>15.217390255259083</v>
      </c>
      <c r="AB13" s="94">
        <f>100*($E$17*$E$19+($E$18*(AA13/100))/(1-$E$21))</f>
        <v>15.953991141144622</v>
      </c>
      <c r="AC13" s="95">
        <f>AB13/V13</f>
        <v>0.18071454267755818</v>
      </c>
      <c r="AD13" s="93">
        <f>$E$8/(1-AC13)</f>
        <v>199995.99722696893</v>
      </c>
      <c r="AE13" s="87" t="str">
        <f>IF(AD13=AD7,"yes","not yet")</f>
        <v>not yet</v>
      </c>
      <c r="AF13" s="94">
        <f>100*(1-AC13)</f>
        <v>81.92854573224419</v>
      </c>
      <c r="AG13" s="87"/>
      <c r="AH13" s="87"/>
      <c r="AI13" s="87"/>
      <c r="AJ13" s="87">
        <v>1</v>
      </c>
      <c r="AK13" s="87">
        <v>2</v>
      </c>
      <c r="AL13" s="87">
        <v>3</v>
      </c>
      <c r="AM13" s="87">
        <v>4</v>
      </c>
      <c r="AN13" s="87">
        <v>5</v>
      </c>
      <c r="AO13" s="87">
        <v>6</v>
      </c>
      <c r="AP13" s="87">
        <v>7</v>
      </c>
      <c r="AQ13" s="87">
        <v>8</v>
      </c>
      <c r="AR13" s="87">
        <v>9</v>
      </c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</row>
    <row r="14" spans="1:76" ht="12.75">
      <c r="A14" s="86"/>
      <c r="B14" s="89"/>
      <c r="C14" s="91" t="s">
        <v>89</v>
      </c>
      <c r="D14" s="87"/>
      <c r="E14" s="87"/>
      <c r="F14" s="87"/>
      <c r="G14" s="87"/>
      <c r="H14" s="87"/>
      <c r="I14" s="87"/>
      <c r="J14" s="89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94">
        <f>100*(+AD8/$E$9)</f>
        <v>88.12208675982788</v>
      </c>
      <c r="W14" s="99">
        <f>EXP(5.6922-(0.68367*LN(V14)))</f>
        <v>13.876979388917704</v>
      </c>
      <c r="X14" s="95">
        <f>(+W14*V14)/100</f>
        <v>12.228683816745493</v>
      </c>
      <c r="Y14" s="94">
        <f>100*((((X14/100)-((X14/100)-0.03574)*$E$21)-0.03574-0.00619)/0.344)</f>
        <v>14.805498020500075</v>
      </c>
      <c r="Z14" s="87">
        <f>$E$20</f>
        <v>0.25</v>
      </c>
      <c r="AA14" s="94">
        <f>Y14+Z14</f>
        <v>15.055498020500075</v>
      </c>
      <c r="AB14" s="94">
        <f>100*($E$17*$E$19+($E$18*(AA14/100))/(1-$E$21))</f>
        <v>15.806816382272796</v>
      </c>
      <c r="AC14" s="95">
        <f>AB14/V14</f>
        <v>0.17937405891616529</v>
      </c>
      <c r="AD14" s="93">
        <f>$E$8/(1-AC14)</f>
        <v>199669.30588904675</v>
      </c>
      <c r="AE14" s="87" t="str">
        <f>IF(AD14=AD8,"yes","not yet")</f>
        <v>not yet</v>
      </c>
      <c r="AF14" s="94">
        <f>100*(1-AC14)</f>
        <v>82.06259410838346</v>
      </c>
      <c r="AG14" s="87"/>
      <c r="AH14" s="87"/>
      <c r="AI14" s="87"/>
      <c r="AJ14" s="87" t="str">
        <f>AE5</f>
        <v>not yet</v>
      </c>
      <c r="AK14" s="87" t="str">
        <f>AE11</f>
        <v>not yet</v>
      </c>
      <c r="AL14" s="87" t="str">
        <f>AE17</f>
        <v>not yet</v>
      </c>
      <c r="AM14" s="87" t="str">
        <f>AE23</f>
        <v>not yet</v>
      </c>
      <c r="AN14" s="87" t="str">
        <f>AE29</f>
        <v>not yet</v>
      </c>
      <c r="AO14" s="87" t="str">
        <f>AE35</f>
        <v>not yet</v>
      </c>
      <c r="AP14" s="87" t="str">
        <f>AE41</f>
        <v>yes</v>
      </c>
      <c r="AQ14" s="87" t="str">
        <f>AE47</f>
        <v>yes</v>
      </c>
      <c r="AR14" s="87" t="str">
        <f>AE53</f>
        <v>yes</v>
      </c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</row>
    <row r="15" spans="1:76" ht="12.75">
      <c r="A15" s="86"/>
      <c r="B15" s="89"/>
      <c r="C15" s="91" t="s">
        <v>90</v>
      </c>
      <c r="D15" s="87"/>
      <c r="E15" s="97" t="s">
        <v>66</v>
      </c>
      <c r="F15" s="91" t="s">
        <v>91</v>
      </c>
      <c r="G15" s="87"/>
      <c r="H15" s="94">
        <f>HLOOKUP($AJ$25,$AJ$19:$AR$23,($E$12)+1)</f>
        <v>81.74884683168938</v>
      </c>
      <c r="I15" s="91" t="s">
        <v>68</v>
      </c>
      <c r="J15" s="86"/>
      <c r="K15" s="100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94"/>
      <c r="AB15" s="87"/>
      <c r="AC15" s="87"/>
      <c r="AD15" s="87"/>
      <c r="AE15" s="87"/>
      <c r="AF15" s="87"/>
      <c r="AG15" s="87"/>
      <c r="AH15" s="87"/>
      <c r="AI15" s="87"/>
      <c r="AJ15" s="87" t="str">
        <f>AE6</f>
        <v>not yet</v>
      </c>
      <c r="AK15" s="87" t="str">
        <f>AE12</f>
        <v>not yet</v>
      </c>
      <c r="AL15" s="87" t="str">
        <f>AE18</f>
        <v>not yet</v>
      </c>
      <c r="AM15" s="87" t="str">
        <f>AE24</f>
        <v>not yet</v>
      </c>
      <c r="AN15" s="87" t="str">
        <f>AE30</f>
        <v>not yet</v>
      </c>
      <c r="AO15" s="87" t="str">
        <f>AE36</f>
        <v>not yet</v>
      </c>
      <c r="AP15" s="87" t="str">
        <f>AE42</f>
        <v>yes</v>
      </c>
      <c r="AQ15" s="87" t="str">
        <f>AE48</f>
        <v>yes</v>
      </c>
      <c r="AR15" s="87" t="str">
        <f>AE54</f>
        <v>yes</v>
      </c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</row>
    <row r="16" spans="1:76" ht="12.75">
      <c r="A16" s="86"/>
      <c r="B16" s="89"/>
      <c r="C16" s="101"/>
      <c r="D16" s="101"/>
      <c r="E16" s="102"/>
      <c r="F16" s="87"/>
      <c r="G16" s="87"/>
      <c r="H16" s="101"/>
      <c r="I16" s="89"/>
      <c r="J16" s="86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91" t="s">
        <v>93</v>
      </c>
      <c r="W16" s="98" t="s">
        <v>27</v>
      </c>
      <c r="X16" s="98" t="s">
        <v>58</v>
      </c>
      <c r="Y16" s="98" t="s">
        <v>59</v>
      </c>
      <c r="Z16" s="87"/>
      <c r="AA16" s="94"/>
      <c r="AB16" s="87"/>
      <c r="AC16" s="87"/>
      <c r="AD16" s="87"/>
      <c r="AE16" s="87"/>
      <c r="AF16" s="87"/>
      <c r="AG16" s="87"/>
      <c r="AH16" s="87"/>
      <c r="AI16" s="87"/>
      <c r="AJ16" s="87" t="str">
        <f>AE7</f>
        <v>not yet</v>
      </c>
      <c r="AK16" s="87" t="str">
        <f>AE13</f>
        <v>not yet</v>
      </c>
      <c r="AL16" s="87" t="str">
        <f>AE19</f>
        <v>not yet</v>
      </c>
      <c r="AM16" s="87" t="str">
        <f>AE25</f>
        <v>not yet</v>
      </c>
      <c r="AN16" s="87" t="str">
        <f>AE31</f>
        <v>not yet</v>
      </c>
      <c r="AO16" s="87" t="str">
        <f>AE37</f>
        <v>not yet</v>
      </c>
      <c r="AP16" s="87" t="str">
        <f>AE43</f>
        <v>yes</v>
      </c>
      <c r="AQ16" s="87" t="str">
        <f>AE49</f>
        <v>yes</v>
      </c>
      <c r="AR16" s="87" t="str">
        <f>AE55</f>
        <v>yes</v>
      </c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</row>
    <row r="17" spans="1:76" ht="12.75">
      <c r="A17" s="86"/>
      <c r="B17" s="97" t="s">
        <v>74</v>
      </c>
      <c r="C17" s="91" t="s">
        <v>94</v>
      </c>
      <c r="D17" s="87"/>
      <c r="E17" s="92">
        <v>0.4</v>
      </c>
      <c r="F17" s="91" t="s">
        <v>95</v>
      </c>
      <c r="G17" s="87"/>
      <c r="H17" s="87"/>
      <c r="I17" s="89"/>
      <c r="J17" s="86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94">
        <f>100*(+AD11/$E$9)</f>
        <v>89.14779717438974</v>
      </c>
      <c r="W17" s="99">
        <f>EXP(5.7226-(0.68367*LN(+V17)))</f>
        <v>14.192584123372134</v>
      </c>
      <c r="X17" s="95">
        <f>(+W17*V17)/100</f>
        <v>12.65237610810843</v>
      </c>
      <c r="Y17" s="94">
        <f>100*((((X17/100)-((X17/100)-0.03574)*$E$21)-0.03574-0.00619)/0.344)</f>
        <v>15.618396021370822</v>
      </c>
      <c r="Z17" s="87">
        <f>$E$20</f>
        <v>0.25</v>
      </c>
      <c r="AA17" s="94">
        <f>Y17+Z17</f>
        <v>15.868396021370822</v>
      </c>
      <c r="AB17" s="94">
        <f>100*($E$17*$E$19+($E$18*(AA17/100))/(1-$E$21))</f>
        <v>16.545814564882566</v>
      </c>
      <c r="AC17" s="95">
        <f>AB17/V17</f>
        <v>0.18559981389686908</v>
      </c>
      <c r="AD17" s="93">
        <f>$E$8/(1-AC17)</f>
        <v>201195.6957362551</v>
      </c>
      <c r="AE17" s="87" t="str">
        <f>IF(AD17=AD11,"yes","not yet")</f>
        <v>not yet</v>
      </c>
      <c r="AF17" s="94">
        <f>100*(1-AC17)</f>
        <v>81.44001861031309</v>
      </c>
      <c r="AG17" s="87"/>
      <c r="AH17" s="87"/>
      <c r="AI17" s="87"/>
      <c r="AJ17" s="87" t="str">
        <f>AE8</f>
        <v>not yet</v>
      </c>
      <c r="AK17" s="87" t="str">
        <f>AE14</f>
        <v>not yet</v>
      </c>
      <c r="AL17" s="87" t="str">
        <f>AE20</f>
        <v>not yet</v>
      </c>
      <c r="AM17" s="87" t="str">
        <f>AE26</f>
        <v>not yet</v>
      </c>
      <c r="AN17" s="87" t="str">
        <f>AE32</f>
        <v>not yet</v>
      </c>
      <c r="AO17" s="87" t="str">
        <f>AE38</f>
        <v>not yet</v>
      </c>
      <c r="AP17" s="87" t="str">
        <f>AE44</f>
        <v>yes</v>
      </c>
      <c r="AQ17" s="87" t="str">
        <f>AE50</f>
        <v>yes</v>
      </c>
      <c r="AR17" s="87" t="str">
        <f>AE56</f>
        <v>yes</v>
      </c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</row>
    <row r="18" spans="1:76" ht="12.75">
      <c r="A18" s="86"/>
      <c r="B18" s="97" t="s">
        <v>74</v>
      </c>
      <c r="C18" s="91" t="s">
        <v>96</v>
      </c>
      <c r="D18" s="87"/>
      <c r="E18" s="92">
        <v>0.6</v>
      </c>
      <c r="F18" s="91" t="s">
        <v>97</v>
      </c>
      <c r="G18" s="87"/>
      <c r="H18" s="103">
        <v>0.015</v>
      </c>
      <c r="I18" s="91" t="s">
        <v>74</v>
      </c>
      <c r="J18" s="86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94">
        <f>100*(+AD12/$E$9)</f>
        <v>88.81168119884605</v>
      </c>
      <c r="W18" s="99">
        <f>EXP(5.70827-(0.68367*LN(+V18)))</f>
        <v>14.02683262776003</v>
      </c>
      <c r="X18" s="95">
        <f>(+W18*V18)/100</f>
        <v>12.457465875661958</v>
      </c>
      <c r="Y18" s="94">
        <f>100*((((X18/100)-((X18/100)-0.03574)*$E$21)-0.03574-0.00619)/0.344)</f>
        <v>15.244440342839805</v>
      </c>
      <c r="Z18" s="87">
        <f>$E$20</f>
        <v>0.25</v>
      </c>
      <c r="AA18" s="94">
        <f>Y18+Z18</f>
        <v>15.494440342839805</v>
      </c>
      <c r="AB18" s="94">
        <f>100*($E$17*$E$19+($E$18*(AA18/100))/(1-$E$21))</f>
        <v>16.205854857127093</v>
      </c>
      <c r="AC18" s="95">
        <f>AB18/V18</f>
        <v>0.1824743619124019</v>
      </c>
      <c r="AD18" s="93">
        <f>$E$8/(1-AC18)</f>
        <v>200426.51192450806</v>
      </c>
      <c r="AE18" s="87" t="str">
        <f>IF(AD18=AD12,"yes","not yet")</f>
        <v>not yet</v>
      </c>
      <c r="AF18" s="94">
        <f>100*(1-AC18)</f>
        <v>81.75256380875982</v>
      </c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</row>
    <row r="19" spans="1:76" ht="12.75">
      <c r="A19" s="86"/>
      <c r="B19" s="97" t="s">
        <v>74</v>
      </c>
      <c r="C19" s="91" t="s">
        <v>98</v>
      </c>
      <c r="D19" s="87"/>
      <c r="E19" s="92">
        <v>0.053</v>
      </c>
      <c r="F19" s="91" t="s">
        <v>99</v>
      </c>
      <c r="G19" s="87"/>
      <c r="H19" s="103">
        <v>0.004</v>
      </c>
      <c r="I19" s="91" t="s">
        <v>74</v>
      </c>
      <c r="J19" s="86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94">
        <f>100*(+AD13/$E$9)</f>
        <v>88.58538221581517</v>
      </c>
      <c r="W19" s="99">
        <f>EXP(5.6985-(0.68367*LN(V19)))</f>
        <v>13.914707557132354</v>
      </c>
      <c r="X19" s="95">
        <f>(+W19*V19)/100</f>
        <v>12.326396873698613</v>
      </c>
      <c r="Y19" s="94">
        <f>100*((((X19/100)-((X19/100)-0.03574)*$E$21)-0.03574-0.00619)/0.344)</f>
        <v>14.992970746049664</v>
      </c>
      <c r="Z19" s="87">
        <f>$E$20</f>
        <v>0.25</v>
      </c>
      <c r="AA19" s="94">
        <f>Y19+Z19</f>
        <v>15.242970746049664</v>
      </c>
      <c r="AB19" s="94">
        <f>100*($E$17*$E$19+($E$18*(AA19/100))/(1-$E$21))</f>
        <v>15.977246132772422</v>
      </c>
      <c r="AC19" s="95">
        <f>AB19/V19</f>
        <v>0.18035984869205654</v>
      </c>
      <c r="AD19" s="93">
        <f>$E$8/(1-AC19)</f>
        <v>199909.45024994784</v>
      </c>
      <c r="AE19" s="87" t="str">
        <f>IF(AD19=AD13,"yes","not yet")</f>
        <v>not yet</v>
      </c>
      <c r="AF19" s="94">
        <f>100*(1-AC19)</f>
        <v>81.96401513079434</v>
      </c>
      <c r="AG19" s="87"/>
      <c r="AH19" s="87"/>
      <c r="AI19" s="87"/>
      <c r="AJ19" s="87" t="str">
        <f>HLOOKUP(1,$AJ$13:$AR$17,($E$12)+1)</f>
        <v>not yet</v>
      </c>
      <c r="AK19" s="87" t="str">
        <f>HLOOKUP(2,$AJ$13:$AR$17,($E$12)+1)</f>
        <v>not yet</v>
      </c>
      <c r="AL19" s="87" t="str">
        <f>HLOOKUP(3,$AJ$13:$AR$17,($E$12)+1)</f>
        <v>not yet</v>
      </c>
      <c r="AM19" s="87" t="str">
        <f>HLOOKUP(4,$AJ$13:$AR$17,($E$12)+1)</f>
        <v>not yet</v>
      </c>
      <c r="AN19" s="87" t="str">
        <f>HLOOKUP(5,$AJ$13:$AR$17,($E$12)+1)</f>
        <v>not yet</v>
      </c>
      <c r="AO19" s="87" t="str">
        <f>HLOOKUP(6,$AJ$13:$AR$17,($E$12)+1)</f>
        <v>not yet</v>
      </c>
      <c r="AP19" s="87" t="str">
        <f>HLOOKUP(7,$AJ$13:$AR$17,($E$12)+1)</f>
        <v>yes</v>
      </c>
      <c r="AQ19" s="87" t="str">
        <f>HLOOKUP(8,$AJ$13:$AR$17,($E$12)+1)</f>
        <v>yes</v>
      </c>
      <c r="AR19" s="87" t="str">
        <f>HLOOKUP(9,$AJ$13:$AR$17,($E$12)+1)</f>
        <v>yes</v>
      </c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</row>
    <row r="20" spans="1:76" ht="12.75">
      <c r="A20" s="86"/>
      <c r="B20" s="97" t="s">
        <v>74</v>
      </c>
      <c r="C20" s="91" t="s">
        <v>199</v>
      </c>
      <c r="D20" s="87"/>
      <c r="E20" s="104">
        <v>0.25</v>
      </c>
      <c r="F20" s="91" t="s">
        <v>200</v>
      </c>
      <c r="G20" s="87"/>
      <c r="H20" s="92">
        <v>0</v>
      </c>
      <c r="I20" s="91" t="s">
        <v>74</v>
      </c>
      <c r="J20" s="86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94">
        <f>100*(+AD14/$E$9)</f>
        <v>88.44067893456105</v>
      </c>
      <c r="W20" s="99">
        <f>EXP(5.6922-(0.68367*LN(V20)))</f>
        <v>13.842783628266034</v>
      </c>
      <c r="X20" s="95">
        <f>(+W20*V20)/100</f>
        <v>12.242651824280745</v>
      </c>
      <c r="Y20" s="94">
        <f>100*((((X20/100)-((X20/100)-0.03574)*$E$21)-0.03574-0.00619)/0.344)</f>
        <v>14.832297104724686</v>
      </c>
      <c r="Z20" s="87">
        <f>$E$20</f>
        <v>0.25</v>
      </c>
      <c r="AA20" s="94">
        <f>Y20+Z20</f>
        <v>15.082297104724686</v>
      </c>
      <c r="AB20" s="94">
        <f>100*($E$17*$E$19+($E$18*(AA20/100))/(1-$E$21))</f>
        <v>15.831179186113353</v>
      </c>
      <c r="AC20" s="95">
        <f>AB20/V20</f>
        <v>0.17900336560992647</v>
      </c>
      <c r="AD20" s="93">
        <f>$E$8/(1-AC20)</f>
        <v>199579.15195655296</v>
      </c>
      <c r="AE20" s="87" t="str">
        <f>IF(AD20=AD14,"yes","not yet")</f>
        <v>not yet</v>
      </c>
      <c r="AF20" s="94">
        <f>100*(1-AC20)</f>
        <v>82.09966343900736</v>
      </c>
      <c r="AG20" s="87"/>
      <c r="AH20" s="87"/>
      <c r="AI20" s="87">
        <v>1</v>
      </c>
      <c r="AJ20" s="94">
        <f>AF5</f>
        <v>81.62687683764894</v>
      </c>
      <c r="AK20" s="94">
        <f>AF11</f>
        <v>81.41167553337726</v>
      </c>
      <c r="AL20" s="94">
        <f>AF17</f>
        <v>81.44001861031309</v>
      </c>
      <c r="AM20" s="94">
        <f>AF23</f>
        <v>81.43628355066434</v>
      </c>
      <c r="AN20" s="94">
        <f>AF29</f>
        <v>81.4367757208972</v>
      </c>
      <c r="AO20" s="94">
        <f>AF35</f>
        <v>81.43671086679379</v>
      </c>
      <c r="AP20" s="94">
        <f>AF41</f>
        <v>81.43672646495399</v>
      </c>
      <c r="AQ20" s="94">
        <f>AF47</f>
        <v>81.43672646495399</v>
      </c>
      <c r="AR20" s="94">
        <f>AF53</f>
        <v>81.43672646495399</v>
      </c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</row>
    <row r="21" spans="1:76" ht="12.75">
      <c r="A21" s="86"/>
      <c r="B21" s="97" t="s">
        <v>74</v>
      </c>
      <c r="C21" s="91" t="s">
        <v>100</v>
      </c>
      <c r="D21" s="87"/>
      <c r="E21" s="104">
        <v>0.34</v>
      </c>
      <c r="F21" s="91" t="s">
        <v>101</v>
      </c>
      <c r="G21" s="87"/>
      <c r="H21" s="105">
        <v>0.004</v>
      </c>
      <c r="I21" s="91" t="s">
        <v>74</v>
      </c>
      <c r="J21" s="86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94"/>
      <c r="AB21" s="87"/>
      <c r="AC21" s="87"/>
      <c r="AD21" s="87"/>
      <c r="AE21" s="87"/>
      <c r="AF21" s="87"/>
      <c r="AG21" s="87"/>
      <c r="AH21" s="87"/>
      <c r="AI21" s="87">
        <v>2</v>
      </c>
      <c r="AJ21" s="94">
        <f>AF6</f>
        <v>81.97489253327105</v>
      </c>
      <c r="AK21" s="94">
        <f>AF12</f>
        <v>81.71978550689843</v>
      </c>
      <c r="AL21" s="94">
        <f>AF18</f>
        <v>81.75256380875982</v>
      </c>
      <c r="AM21" s="94">
        <f>AF24</f>
        <v>81.74834929366335</v>
      </c>
      <c r="AN21" s="94">
        <f>AF30</f>
        <v>81.74889113304611</v>
      </c>
      <c r="AO21" s="94">
        <f>AF36</f>
        <v>81.74882147064586</v>
      </c>
      <c r="AP21" s="94">
        <f>AF42</f>
        <v>81.74884683168938</v>
      </c>
      <c r="AQ21" s="94">
        <f>AF48</f>
        <v>81.74884683168938</v>
      </c>
      <c r="AR21" s="94">
        <f>AF54</f>
        <v>81.74884683168938</v>
      </c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</row>
    <row r="22" spans="1:76" ht="12.75">
      <c r="A22" s="86"/>
      <c r="B22" s="89"/>
      <c r="C22" s="87"/>
      <c r="D22" s="87"/>
      <c r="E22" s="87"/>
      <c r="F22" s="87"/>
      <c r="G22" s="87"/>
      <c r="H22" s="101"/>
      <c r="I22" s="101"/>
      <c r="J22" s="89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91" t="s">
        <v>102</v>
      </c>
      <c r="W22" s="98" t="s">
        <v>27</v>
      </c>
      <c r="X22" s="98" t="s">
        <v>58</v>
      </c>
      <c r="Y22" s="98" t="s">
        <v>59</v>
      </c>
      <c r="Z22" s="87"/>
      <c r="AA22" s="94"/>
      <c r="AB22" s="87"/>
      <c r="AC22" s="87"/>
      <c r="AD22" s="87"/>
      <c r="AE22" s="87"/>
      <c r="AF22" s="87"/>
      <c r="AG22" s="87"/>
      <c r="AH22" s="87"/>
      <c r="AI22" s="87">
        <v>3</v>
      </c>
      <c r="AJ22" s="94">
        <f>AF7</f>
        <v>82.20932187463723</v>
      </c>
      <c r="AK22" s="94">
        <f>AF13</f>
        <v>81.92854573224419</v>
      </c>
      <c r="AL22" s="94">
        <f>AF19</f>
        <v>81.96401513079434</v>
      </c>
      <c r="AM22" s="94">
        <f>AF25</f>
        <v>81.95953101839855</v>
      </c>
      <c r="AN22" s="94">
        <f>AF31</f>
        <v>81.96009785456366</v>
      </c>
      <c r="AO22" s="94">
        <f>AF37</f>
        <v>81.96002619999734</v>
      </c>
      <c r="AP22" s="94">
        <f>AF43</f>
        <v>81.96002594575165</v>
      </c>
      <c r="AQ22" s="94">
        <f>AF49</f>
        <v>81.96002594575165</v>
      </c>
      <c r="AR22" s="94">
        <f>AF55</f>
        <v>81.96002594575165</v>
      </c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</row>
    <row r="23" spans="1:76" ht="12.75">
      <c r="A23" s="86"/>
      <c r="B23" s="89"/>
      <c r="C23" s="87"/>
      <c r="D23" s="87"/>
      <c r="E23" s="87"/>
      <c r="F23" s="91" t="s">
        <v>103</v>
      </c>
      <c r="G23" s="87"/>
      <c r="H23" s="92">
        <f>SUM(H18:H21)</f>
        <v>0.023</v>
      </c>
      <c r="I23" s="92"/>
      <c r="J23" s="89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94">
        <f>100*(+AD17/$E$9)</f>
        <v>89.11677160591506</v>
      </c>
      <c r="W23" s="99">
        <f>EXP(5.7226-(0.68367*LN(+V23)))</f>
        <v>14.195962004729868</v>
      </c>
      <c r="X23" s="95">
        <f>(+W23*V23)/100</f>
        <v>12.650983037017598</v>
      </c>
      <c r="Y23" s="94">
        <f>100*((((X23/100)-((X23/100)-0.03574)*$E$21)-0.03574-0.00619)/0.344)</f>
        <v>15.615723268696557</v>
      </c>
      <c r="Z23" s="87">
        <f>$E$20</f>
        <v>0.25</v>
      </c>
      <c r="AA23" s="94">
        <f>Y23+Z23</f>
        <v>15.865723268696557</v>
      </c>
      <c r="AB23" s="94">
        <f>100*($E$17*$E$19+($E$18*(AA23/100))/(1-$E$21))</f>
        <v>16.543384789724144</v>
      </c>
      <c r="AC23" s="95">
        <f>AB23/V23</f>
        <v>0.18563716449335657</v>
      </c>
      <c r="AD23" s="93">
        <f>$E$8/(1-AC23)</f>
        <v>201204.923538555</v>
      </c>
      <c r="AE23" s="87" t="str">
        <f>IF(AD23=AD17,"yes","not yet")</f>
        <v>not yet</v>
      </c>
      <c r="AF23" s="94">
        <f>100*(1-AC23)</f>
        <v>81.43628355066434</v>
      </c>
      <c r="AG23" s="87"/>
      <c r="AH23" s="87"/>
      <c r="AI23" s="87">
        <v>4</v>
      </c>
      <c r="AJ23" s="94">
        <f>AF8</f>
        <v>82.35927909715923</v>
      </c>
      <c r="AK23" s="94">
        <f>AF14</f>
        <v>82.06259410838346</v>
      </c>
      <c r="AL23" s="94">
        <f>AF20</f>
        <v>82.09966343900736</v>
      </c>
      <c r="AM23" s="94">
        <f>AF26</f>
        <v>82.09502808402416</v>
      </c>
      <c r="AN23" s="94">
        <f>AF32</f>
        <v>82.09560765629132</v>
      </c>
      <c r="AO23" s="94">
        <f>AF38</f>
        <v>82.09553518973031</v>
      </c>
      <c r="AP23" s="94">
        <f>AF44</f>
        <v>82.09553458296465</v>
      </c>
      <c r="AQ23" s="94">
        <f>AF50</f>
        <v>82.09553458296465</v>
      </c>
      <c r="AR23" s="94">
        <f>AF56</f>
        <v>82.09553458296465</v>
      </c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</row>
    <row r="24" spans="1:76" ht="12.75">
      <c r="A24" s="86"/>
      <c r="B24" s="89"/>
      <c r="C24" s="87"/>
      <c r="D24" s="87"/>
      <c r="E24" s="87"/>
      <c r="F24" s="87"/>
      <c r="G24" s="87"/>
      <c r="H24" s="87"/>
      <c r="I24" s="87"/>
      <c r="J24" s="89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94">
        <f>100*(+AD18/$E$9)</f>
        <v>88.7760725774215</v>
      </c>
      <c r="W24" s="99">
        <f>EXP(5.70827-(0.68367*LN(+V24)))</f>
        <v>14.030678880532433</v>
      </c>
      <c r="X24" s="95">
        <f>(+W24*V24)/100</f>
        <v>12.455885666086424</v>
      </c>
      <c r="Y24" s="94">
        <f>100*((((X24/100)-((X24/100)-0.03574)*$E$21)-0.03574-0.00619)/0.344)</f>
        <v>15.241408545398368</v>
      </c>
      <c r="Z24" s="87">
        <f>$E$20</f>
        <v>0.25</v>
      </c>
      <c r="AA24" s="94">
        <f>Y24+Z24</f>
        <v>15.491408545398368</v>
      </c>
      <c r="AB24" s="94">
        <f>100*($E$17*$E$19+($E$18*(AA24/100))/(1-$E$21))</f>
        <v>16.20309867763488</v>
      </c>
      <c r="AC24" s="95">
        <f>AB24/V24</f>
        <v>0.18251650706336642</v>
      </c>
      <c r="AD24" s="93">
        <f>$E$8/(1-AC24)</f>
        <v>200436.8448617176</v>
      </c>
      <c r="AE24" s="87" t="str">
        <f>IF(AD24=AD18,"yes","not yet")</f>
        <v>not yet</v>
      </c>
      <c r="AF24" s="94">
        <f>100*(1-AC24)</f>
        <v>81.74834929366335</v>
      </c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</row>
    <row r="25" spans="1:76" ht="12.75">
      <c r="A25" s="86"/>
      <c r="B25" s="89"/>
      <c r="C25" s="87"/>
      <c r="D25" s="87"/>
      <c r="E25" s="87"/>
      <c r="F25" s="91" t="s">
        <v>104</v>
      </c>
      <c r="G25" s="87"/>
      <c r="H25" s="95">
        <f>((+H15/100)-H23)</f>
        <v>0.7944884683168938</v>
      </c>
      <c r="I25" s="95"/>
      <c r="J25" s="89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94">
        <f>100*(+AD19/$E$9)</f>
        <v>88.54704746339343</v>
      </c>
      <c r="W25" s="99">
        <f>EXP(5.6985-(0.68367*LN(V25)))</f>
        <v>13.918825776257764</v>
      </c>
      <c r="X25" s="95">
        <f>(+W25*V25)/100</f>
        <v>12.32470926645</v>
      </c>
      <c r="Y25" s="94">
        <f>100*((((X25/100)-((X25/100)-0.03574)*$E$21)-0.03574-0.00619)/0.344)</f>
        <v>14.989732894933141</v>
      </c>
      <c r="Z25" s="87">
        <f>$E$20</f>
        <v>0.25</v>
      </c>
      <c r="AA25" s="94">
        <f>Y25+Z25</f>
        <v>15.239732894933141</v>
      </c>
      <c r="AB25" s="94">
        <f>100*($E$17*$E$19+($E$18*(AA25/100))/(1-$E$21))</f>
        <v>15.9743026317574</v>
      </c>
      <c r="AC25" s="95">
        <f>AB25/V25</f>
        <v>0.18040468981601446</v>
      </c>
      <c r="AD25" s="93">
        <f>$E$8/(1-AC25)</f>
        <v>199920.38755562497</v>
      </c>
      <c r="AE25" s="87" t="str">
        <f>IF(AD25=AD19,"yes","not yet")</f>
        <v>not yet</v>
      </c>
      <c r="AF25" s="94">
        <f>100*(1-AC25)</f>
        <v>81.95953101839855</v>
      </c>
      <c r="AG25" s="87"/>
      <c r="AH25" s="87"/>
      <c r="AI25" s="87"/>
      <c r="AJ25" s="87" t="s">
        <v>105</v>
      </c>
      <c r="AK25" s="87"/>
      <c r="AL25" s="87"/>
      <c r="AM25" s="87"/>
      <c r="AN25" s="87"/>
      <c r="AO25" s="87"/>
      <c r="AP25" s="87"/>
      <c r="AQ25" s="87"/>
      <c r="AR25" s="87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</row>
    <row r="26" spans="1:76" ht="12.75">
      <c r="A26" s="86"/>
      <c r="B26" s="89"/>
      <c r="C26" s="87"/>
      <c r="D26" s="87"/>
      <c r="E26" s="87"/>
      <c r="F26" s="87"/>
      <c r="G26" s="87"/>
      <c r="H26" s="87"/>
      <c r="I26" s="87"/>
      <c r="J26" s="89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94">
        <f>100*(+AD20/$E$9)</f>
        <v>88.40074653251824</v>
      </c>
      <c r="W26" s="99">
        <f>EXP(5.6922-(0.68367*LN(V26)))</f>
        <v>13.84705835574011</v>
      </c>
      <c r="X26" s="95">
        <f>(+W26*V26)/100</f>
        <v>12.240902959267704</v>
      </c>
      <c r="Y26" s="94">
        <f>100*((((X26/100)-((X26/100)-0.03574)*$E$21)-0.03574-0.00619)/0.344)</f>
        <v>14.828941724176408</v>
      </c>
      <c r="Z26" s="87">
        <f>$E$20</f>
        <v>0.25</v>
      </c>
      <c r="AA26" s="94">
        <f>Y26+Z26</f>
        <v>15.078941724176408</v>
      </c>
      <c r="AB26" s="94">
        <f>100*($E$17*$E$19+($E$18*(AA26/100))/(1-$E$21))</f>
        <v>15.828128840160375</v>
      </c>
      <c r="AC26" s="95">
        <f>AB26/V26</f>
        <v>0.17904971915975837</v>
      </c>
      <c r="AD26" s="93">
        <f>$E$8/(1-AC26)</f>
        <v>199590.4208511274</v>
      </c>
      <c r="AE26" s="87" t="str">
        <f>IF(AD26=AD20,"yes","not yet")</f>
        <v>not yet</v>
      </c>
      <c r="AF26" s="94">
        <f>100*(1-AC26)</f>
        <v>82.09502808402416</v>
      </c>
      <c r="AG26" s="87"/>
      <c r="AH26" s="87"/>
      <c r="AI26" s="87"/>
      <c r="AJ26" s="94">
        <f>HLOOKUP($AJ$25,$AJ$19:$AR$23,($E$12)+1)</f>
        <v>81.74884683168938</v>
      </c>
      <c r="AK26" s="87"/>
      <c r="AL26" s="87"/>
      <c r="AM26" s="87"/>
      <c r="AN26" s="87"/>
      <c r="AO26" s="87"/>
      <c r="AP26" s="87"/>
      <c r="AQ26" s="87"/>
      <c r="AR26" s="87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</row>
    <row r="27" spans="1:76" ht="12.75">
      <c r="A27" s="86"/>
      <c r="B27" s="89"/>
      <c r="C27" s="87"/>
      <c r="D27" s="87"/>
      <c r="E27" s="93"/>
      <c r="F27" s="87"/>
      <c r="G27" s="87"/>
      <c r="H27" s="87"/>
      <c r="I27" s="87"/>
      <c r="J27" s="89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94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</row>
    <row r="28" spans="1:76" ht="12.75">
      <c r="A28" s="86"/>
      <c r="B28" s="89"/>
      <c r="C28" s="89"/>
      <c r="D28" s="89" t="s">
        <v>0</v>
      </c>
      <c r="E28" s="90" t="s">
        <v>0</v>
      </c>
      <c r="F28" s="89"/>
      <c r="G28" s="89" t="s">
        <v>0</v>
      </c>
      <c r="H28" s="89"/>
      <c r="I28" s="89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91" t="s">
        <v>106</v>
      </c>
      <c r="W28" s="98" t="s">
        <v>27</v>
      </c>
      <c r="X28" s="98" t="s">
        <v>58</v>
      </c>
      <c r="Y28" s="98" t="s">
        <v>59</v>
      </c>
      <c r="Z28" s="87"/>
      <c r="AA28" s="94"/>
      <c r="AB28" s="87"/>
      <c r="AC28" s="87"/>
      <c r="AD28" s="87"/>
      <c r="AE28" s="87"/>
      <c r="AF28" s="87"/>
      <c r="AG28" s="87"/>
      <c r="AH28" s="87"/>
      <c r="AI28" s="87"/>
      <c r="AJ28" s="87" t="str">
        <f>HLOOKUP(1,$AJ$13:$AR$17,($E$12)+1)</f>
        <v>not yet</v>
      </c>
      <c r="AK28" s="87" t="str">
        <f>HLOOKUP(2,$AJ$13:$AR$17,($E$12)+1)</f>
        <v>not yet</v>
      </c>
      <c r="AL28" s="87" t="str">
        <f>HLOOKUP(3,$AJ$13:$AR$17,($E$12)+1)</f>
        <v>not yet</v>
      </c>
      <c r="AM28" s="87" t="str">
        <f>HLOOKUP(4,$AJ$13:$AR$17,($E$12)+1)</f>
        <v>not yet</v>
      </c>
      <c r="AN28" s="87" t="str">
        <f>HLOOKUP(5,$AJ$13:$AR$17,($E$12)+1)</f>
        <v>not yet</v>
      </c>
      <c r="AO28" s="87" t="str">
        <f>HLOOKUP(6,$AJ$13:$AR$17,($E$12)+1)</f>
        <v>not yet</v>
      </c>
      <c r="AP28" s="87" t="str">
        <f>HLOOKUP(7,$AJ$13:$AR$17,($E$12)+1)</f>
        <v>yes</v>
      </c>
      <c r="AQ28" s="87" t="str">
        <f>HLOOKUP(8,$AJ$13:$AR$17,($E$12)+1)</f>
        <v>yes</v>
      </c>
      <c r="AR28" s="87" t="str">
        <f>HLOOKUP(9,$AJ$13:$AR$17,($E$12)+1)</f>
        <v>yes</v>
      </c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</row>
    <row r="29" spans="1:76" ht="12.75">
      <c r="A29" s="86"/>
      <c r="B29" s="87"/>
      <c r="C29" s="87"/>
      <c r="D29" s="87" t="s">
        <v>0</v>
      </c>
      <c r="E29" s="93" t="s">
        <v>0</v>
      </c>
      <c r="F29" s="87"/>
      <c r="G29" s="87" t="s">
        <v>0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94">
        <f>100*(+AD23/$E$9)</f>
        <v>89.12085892968696</v>
      </c>
      <c r="W29" s="99">
        <f>EXP(5.7226-(0.68367*LN(+V29)))</f>
        <v>14.19551688773175</v>
      </c>
      <c r="X29" s="95">
        <f>(+W29*V29)/100</f>
        <v>12.651166579855303</v>
      </c>
      <c r="Y29" s="94">
        <f>100*((((X29/100)-((X29/100)-0.03574)*$E$21)-0.03574-0.00619)/0.344)</f>
        <v>15.61607541483866</v>
      </c>
      <c r="Z29" s="87">
        <f>$E$20</f>
        <v>0.25</v>
      </c>
      <c r="AA29" s="94">
        <f>Y29+Z29</f>
        <v>15.86607541483866</v>
      </c>
      <c r="AB29" s="94">
        <f>100*($E$17*$E$19+($E$18*(AA29/100))/(1-$E$21))</f>
        <v>16.543704922580602</v>
      </c>
      <c r="AC29" s="95">
        <f>AB29/V29</f>
        <v>0.18563224279102797</v>
      </c>
      <c r="AD29" s="93">
        <f>$E$8/(1-AC29)</f>
        <v>201203.70753911012</v>
      </c>
      <c r="AE29" s="87" t="str">
        <f>IF(AD29=AD23,"yes","not yet")</f>
        <v>not yet</v>
      </c>
      <c r="AF29" s="94">
        <f>100*(1-AC29)</f>
        <v>81.4367757208972</v>
      </c>
      <c r="AG29" s="87"/>
      <c r="AH29" s="87"/>
      <c r="AI29" s="87">
        <v>1</v>
      </c>
      <c r="AJ29" s="94">
        <f>V5</f>
        <v>90.7208942259593</v>
      </c>
      <c r="AK29" s="94">
        <f>V11</f>
        <v>88.9127676967456</v>
      </c>
      <c r="AL29" s="94">
        <f>V17</f>
        <v>89.14779717438974</v>
      </c>
      <c r="AM29" s="94">
        <f>V23</f>
        <v>89.11677160591506</v>
      </c>
      <c r="AN29" s="94">
        <f>V29</f>
        <v>89.12085892968696</v>
      </c>
      <c r="AO29" s="94">
        <f>V35</f>
        <v>89.1203203200293</v>
      </c>
      <c r="AP29" s="94">
        <f>V41</f>
        <v>89.1204498614205</v>
      </c>
      <c r="AQ29" s="94">
        <f>V47</f>
        <v>89.1204498614205</v>
      </c>
      <c r="AR29" s="94">
        <f>V53</f>
        <v>89.1204498614205</v>
      </c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</row>
    <row r="30" spans="1:76" ht="12.75">
      <c r="A30" s="86"/>
      <c r="B30" s="87"/>
      <c r="C30" s="87"/>
      <c r="D30" s="87" t="s">
        <v>0</v>
      </c>
      <c r="E30" s="93" t="s">
        <v>0</v>
      </c>
      <c r="F30" s="87"/>
      <c r="G30" s="87" t="s">
        <v>0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94">
        <f>100*(+AD24/$E$9)</f>
        <v>88.78064940498211</v>
      </c>
      <c r="W30" s="99">
        <f>EXP(5.70827-(0.68367*LN(+V30)))</f>
        <v>14.030184370642216</v>
      </c>
      <c r="X30" s="95">
        <f>(+W30*V30)/100</f>
        <v>12.456088796972463</v>
      </c>
      <c r="Y30" s="94">
        <f>100*((((X30/100)-((X30/100)-0.03574)*$E$21)-0.03574-0.00619)/0.344)</f>
        <v>15.241798273261123</v>
      </c>
      <c r="Z30" s="87">
        <f>$E$20</f>
        <v>0.25</v>
      </c>
      <c r="AA30" s="94">
        <f>Y30+Z30</f>
        <v>15.491798273261123</v>
      </c>
      <c r="AB30" s="94">
        <f>100*($E$17*$E$19+($E$18*(AA30/100))/(1-$E$21))</f>
        <v>16.20345297569193</v>
      </c>
      <c r="AC30" s="95">
        <f>AB30/V30</f>
        <v>0.18251108866953883</v>
      </c>
      <c r="AD30" s="93">
        <f>$E$8/(1-AC30)</f>
        <v>200435.51634735128</v>
      </c>
      <c r="AE30" s="87" t="str">
        <f>IF(AD30=AD24,"yes","not yet")</f>
        <v>not yet</v>
      </c>
      <c r="AF30" s="94">
        <f>100*(1-AC30)</f>
        <v>81.74889113304611</v>
      </c>
      <c r="AG30" s="87"/>
      <c r="AH30" s="87"/>
      <c r="AI30" s="87">
        <v>2</v>
      </c>
      <c r="AJ30" s="94">
        <f>V6</f>
        <v>90.7208942259593</v>
      </c>
      <c r="AK30" s="94">
        <f>V12</f>
        <v>88.53529798933351</v>
      </c>
      <c r="AL30" s="94">
        <f>V18</f>
        <v>88.81168119884605</v>
      </c>
      <c r="AM30" s="94">
        <f>V24</f>
        <v>88.7760725774215</v>
      </c>
      <c r="AN30" s="94">
        <f>V30</f>
        <v>88.78064940498211</v>
      </c>
      <c r="AO30" s="94">
        <f>V36</f>
        <v>88.78006095844042</v>
      </c>
      <c r="AP30" s="94">
        <f>V42</f>
        <v>88.78027518550167</v>
      </c>
      <c r="AQ30" s="94">
        <f>V48</f>
        <v>88.78027518550167</v>
      </c>
      <c r="AR30" s="94">
        <f>V54</f>
        <v>88.78027518550167</v>
      </c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</row>
    <row r="31" spans="1:76" ht="12.75">
      <c r="A31" s="86"/>
      <c r="B31" s="87"/>
      <c r="C31" s="87"/>
      <c r="D31" s="87" t="s">
        <v>0</v>
      </c>
      <c r="E31" s="93" t="s">
        <v>0</v>
      </c>
      <c r="F31" s="87"/>
      <c r="G31" s="87" t="s">
        <v>0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94">
        <f>100*(+AD25/$E$9)</f>
        <v>88.55189198737017</v>
      </c>
      <c r="W31" s="99">
        <f>EXP(5.6985-(0.68367*LN(V31)))</f>
        <v>13.918305173882992</v>
      </c>
      <c r="X31" s="95">
        <f>(+W31*V31)/100</f>
        <v>12.324922564049421</v>
      </c>
      <c r="Y31" s="94">
        <f>100*((((X31/100)-((X31/100)-0.03574)*$E$21)-0.03574-0.00619)/0.344)</f>
        <v>14.990142128699471</v>
      </c>
      <c r="Z31" s="87">
        <f>$E$20</f>
        <v>0.25</v>
      </c>
      <c r="AA31" s="94">
        <f>Y31+Z31</f>
        <v>15.240142128699471</v>
      </c>
      <c r="AB31" s="94">
        <f>100*($E$17*$E$19+($E$18*(AA31/100))/(1-$E$21))</f>
        <v>15.974674662454067</v>
      </c>
      <c r="AC31" s="95">
        <f>AB31/V31</f>
        <v>0.18039902145436346</v>
      </c>
      <c r="AD31" s="93">
        <f>$E$8/(1-AC31)</f>
        <v>199919.0049059116</v>
      </c>
      <c r="AE31" s="87" t="str">
        <f>IF(AD31=AD25,"yes","not yet")</f>
        <v>not yet</v>
      </c>
      <c r="AF31" s="94">
        <f>100*(1-AC31)</f>
        <v>81.96009785456366</v>
      </c>
      <c r="AG31" s="87"/>
      <c r="AH31" s="87"/>
      <c r="AI31" s="87">
        <v>3</v>
      </c>
      <c r="AJ31" s="94">
        <f>V7</f>
        <v>90.7208942259593</v>
      </c>
      <c r="AK31" s="94">
        <f>V13</f>
        <v>88.28282939912975</v>
      </c>
      <c r="AL31" s="94">
        <f>V19</f>
        <v>88.58538221581517</v>
      </c>
      <c r="AM31" s="94">
        <f>V25</f>
        <v>88.54704746339343</v>
      </c>
      <c r="AN31" s="94">
        <f>V31</f>
        <v>88.55189198737017</v>
      </c>
      <c r="AO31" s="94">
        <f>V37</f>
        <v>88.55127956234654</v>
      </c>
      <c r="AP31" s="94">
        <f>V43</f>
        <v>88.55127738934276</v>
      </c>
      <c r="AQ31" s="94">
        <f>V49</f>
        <v>88.55127738934276</v>
      </c>
      <c r="AR31" s="94">
        <f>V55</f>
        <v>88.55127738934276</v>
      </c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</row>
    <row r="32" spans="1:76" ht="12.75">
      <c r="A32" s="86"/>
      <c r="B32" s="87"/>
      <c r="C32" s="87"/>
      <c r="D32" s="87"/>
      <c r="E32" s="93" t="s">
        <v>0</v>
      </c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94">
        <f>100*(+AD26/$E$9)</f>
        <v>88.4057379290805</v>
      </c>
      <c r="W32" s="99">
        <f>EXP(5.6922-(0.68367*LN(V32)))</f>
        <v>13.846523853480058</v>
      </c>
      <c r="X32" s="95">
        <f>(+W32*V32)/100</f>
        <v>12.241121590195199</v>
      </c>
      <c r="Y32" s="94">
        <f>100*((((X32/100)-((X32/100)-0.03574)*$E$21)-0.03574-0.00619)/0.344)</f>
        <v>14.829361190490786</v>
      </c>
      <c r="Z32" s="87">
        <f>$E$20</f>
        <v>0.25</v>
      </c>
      <c r="AA32" s="94">
        <f>Y32+Z32</f>
        <v>15.079361190490786</v>
      </c>
      <c r="AB32" s="94">
        <f>100*($E$17*$E$19+($E$18*(AA32/100))/(1-$E$21))</f>
        <v>15.828510173173443</v>
      </c>
      <c r="AC32" s="95">
        <f>AB32/V32</f>
        <v>0.17904392343708672</v>
      </c>
      <c r="AD32" s="93">
        <f>$E$8/(1-AC32)</f>
        <v>199589.01179799996</v>
      </c>
      <c r="AE32" s="87" t="str">
        <f>IF(AD32=AD26,"yes","not yet")</f>
        <v>not yet</v>
      </c>
      <c r="AF32" s="94">
        <f>100*(1-AC32)</f>
        <v>82.09560765629132</v>
      </c>
      <c r="AG32" s="87"/>
      <c r="AH32" s="87"/>
      <c r="AI32" s="87">
        <v>4</v>
      </c>
      <c r="AJ32" s="94">
        <f>V8</f>
        <v>90.7208942259593</v>
      </c>
      <c r="AK32" s="94">
        <f>V14</f>
        <v>88.12208675982788</v>
      </c>
      <c r="AL32" s="94">
        <f>V20</f>
        <v>88.44067893456105</v>
      </c>
      <c r="AM32" s="94">
        <f>V26</f>
        <v>88.40074653251824</v>
      </c>
      <c r="AN32" s="94">
        <f>V32</f>
        <v>88.4057379290805</v>
      </c>
      <c r="AO32" s="94">
        <f>V38</f>
        <v>88.40511380904017</v>
      </c>
      <c r="AP32" s="94">
        <f>V44</f>
        <v>88.40510858328389</v>
      </c>
      <c r="AQ32" s="94">
        <f>V50</f>
        <v>88.40510858328389</v>
      </c>
      <c r="AR32" s="94">
        <f>V56</f>
        <v>88.40510858328389</v>
      </c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</row>
    <row r="33" spans="1:76" ht="12.75">
      <c r="A33" s="86"/>
      <c r="B33" s="87"/>
      <c r="C33" s="87"/>
      <c r="D33" s="87"/>
      <c r="E33" s="93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94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</row>
    <row r="34" spans="1:76" ht="12.75">
      <c r="A34" s="86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91" t="s">
        <v>107</v>
      </c>
      <c r="W34" s="98" t="s">
        <v>27</v>
      </c>
      <c r="X34" s="98" t="s">
        <v>58</v>
      </c>
      <c r="Y34" s="98" t="s">
        <v>59</v>
      </c>
      <c r="Z34" s="87"/>
      <c r="AA34" s="94"/>
      <c r="AB34" s="87"/>
      <c r="AC34" s="87"/>
      <c r="AD34" s="87"/>
      <c r="AE34" s="87"/>
      <c r="AF34" s="87"/>
      <c r="AG34" s="87"/>
      <c r="AH34" s="87"/>
      <c r="AI34" s="87"/>
      <c r="AJ34" s="87" t="s">
        <v>105</v>
      </c>
      <c r="AK34" s="87"/>
      <c r="AL34" s="87"/>
      <c r="AM34" s="87"/>
      <c r="AN34" s="87"/>
      <c r="AO34" s="87"/>
      <c r="AP34" s="87"/>
      <c r="AQ34" s="87"/>
      <c r="AR34" s="87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</row>
    <row r="35" spans="1:76" ht="12.75">
      <c r="A35" s="86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94">
        <f>100*(+AD29/$E$9)</f>
        <v>89.1203203200293</v>
      </c>
      <c r="W35" s="99">
        <f>EXP(5.7226-(0.68367*LN(+V35)))</f>
        <v>14.195575541337588</v>
      </c>
      <c r="X35" s="95">
        <f>(+W35*V35)/100</f>
        <v>12.65114239371179</v>
      </c>
      <c r="Y35" s="94">
        <f>100*((((X35/100)-((X35/100)-0.03574)*$E$21)-0.03574-0.00619)/0.344)</f>
        <v>15.616029011191223</v>
      </c>
      <c r="Z35" s="87">
        <f>$E$20</f>
        <v>0.25</v>
      </c>
      <c r="AA35" s="94">
        <f>Y35+Z35</f>
        <v>15.866029011191223</v>
      </c>
      <c r="AB35" s="94">
        <f>100*($E$17*$E$19+($E$18*(AA35/100))/(1-$E$21))</f>
        <v>16.543662737446567</v>
      </c>
      <c r="AC35" s="95">
        <f>AB35/V35</f>
        <v>0.18563289133206215</v>
      </c>
      <c r="AD35" s="93">
        <f>ROUND($E$8/(1-AC35),0)</f>
        <v>201204</v>
      </c>
      <c r="AE35" s="87" t="str">
        <f>IF(AD35=AD29,"yes","not yet")</f>
        <v>not yet</v>
      </c>
      <c r="AF35" s="94">
        <f>100*(1-AC35)</f>
        <v>81.43671086679379</v>
      </c>
      <c r="AG35" s="87"/>
      <c r="AH35" s="87"/>
      <c r="AI35" s="87"/>
      <c r="AJ35" s="94">
        <f>HLOOKUP($AJ$34,$AJ$28:$AR$32,($E$12)+1)</f>
        <v>88.78027518550167</v>
      </c>
      <c r="AK35" s="87"/>
      <c r="AL35" s="87"/>
      <c r="AM35" s="87"/>
      <c r="AN35" s="87"/>
      <c r="AO35" s="87"/>
      <c r="AP35" s="87"/>
      <c r="AQ35" s="87"/>
      <c r="AR35" s="87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</row>
    <row r="36" spans="1:76" ht="12.75">
      <c r="A36" s="86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94">
        <f>100*(+AD30/$E$9)</f>
        <v>88.78006095844042</v>
      </c>
      <c r="W36" s="99">
        <f>EXP(5.70827-(0.68367*LN(+V36)))</f>
        <v>14.030247947787274</v>
      </c>
      <c r="X36" s="95">
        <f>(+W36*V36)/100</f>
        <v>12.456062680665877</v>
      </c>
      <c r="Y36" s="94">
        <f>100*((((X36/100)-((X36/100)-0.03574)*$E$21)-0.03574-0.00619)/0.344)</f>
        <v>15.241748166393835</v>
      </c>
      <c r="Z36" s="87">
        <f>$E$20</f>
        <v>0.25</v>
      </c>
      <c r="AA36" s="94">
        <f>Y36+Z36</f>
        <v>15.491748166393835</v>
      </c>
      <c r="AB36" s="94">
        <f>100*($E$17*$E$19+($E$18*(AA36/100))/(1-$E$21))</f>
        <v>16.203407423994395</v>
      </c>
      <c r="AC36" s="95">
        <f>AB36/V36</f>
        <v>0.18251178529354142</v>
      </c>
      <c r="AD36" s="93">
        <f>ROUND($E$8/(1-AC36),0)</f>
        <v>200436</v>
      </c>
      <c r="AE36" s="87" t="str">
        <f>IF(AD36=AD30,"yes","not yet")</f>
        <v>not yet</v>
      </c>
      <c r="AF36" s="94">
        <f>100*(1-AC36)</f>
        <v>81.74882147064586</v>
      </c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</row>
    <row r="37" spans="1:76" ht="12.75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94">
        <f>100*(+AD31/$E$9)</f>
        <v>88.55127956234654</v>
      </c>
      <c r="W37" s="99">
        <f>EXP(5.6985-(0.68367*LN(V37)))</f>
        <v>13.918370983670615</v>
      </c>
      <c r="X37" s="95">
        <f>(+W37*V37)/100</f>
        <v>12.324895600274688</v>
      </c>
      <c r="Y37" s="94">
        <f>100*((((X37/100)-((X37/100)-0.03574)*$E$21)-0.03574-0.00619)/0.344)</f>
        <v>14.990090395875855</v>
      </c>
      <c r="Z37" s="87">
        <f>$E$20</f>
        <v>0.25</v>
      </c>
      <c r="AA37" s="94">
        <f>Y37+Z37</f>
        <v>15.240090395875855</v>
      </c>
      <c r="AB37" s="94">
        <f>100*($E$17*$E$19+($E$18*(AA37/100))/(1-$E$21))</f>
        <v>15.974627632614416</v>
      </c>
      <c r="AC37" s="95">
        <f>AB37/V37</f>
        <v>0.18039973800002648</v>
      </c>
      <c r="AD37" s="93">
        <f>ROUND($E$8/(1-AC37),0)</f>
        <v>199919</v>
      </c>
      <c r="AE37" s="87" t="str">
        <f>IF(AD37=AD31,"yes","not yet")</f>
        <v>not yet</v>
      </c>
      <c r="AF37" s="94">
        <f>100*(1-AC37)</f>
        <v>81.96002619999734</v>
      </c>
      <c r="AG37" s="87"/>
      <c r="AH37" s="87"/>
      <c r="AI37" s="87"/>
      <c r="AJ37" s="87" t="str">
        <f>HLOOKUP(1,$AJ$13:$AR$17,($E$12)+1)</f>
        <v>not yet</v>
      </c>
      <c r="AK37" s="87" t="str">
        <f>HLOOKUP(2,$AJ$13:$AR$17,($E$12)+1)</f>
        <v>not yet</v>
      </c>
      <c r="AL37" s="87" t="str">
        <f>HLOOKUP(3,$AJ$13:$AR$17,($E$12)+1)</f>
        <v>not yet</v>
      </c>
      <c r="AM37" s="87" t="str">
        <f>HLOOKUP(4,$AJ$13:$AR$17,($E$12)+1)</f>
        <v>not yet</v>
      </c>
      <c r="AN37" s="87" t="str">
        <f>HLOOKUP(5,$AJ$13:$AR$17,($E$12)+1)</f>
        <v>not yet</v>
      </c>
      <c r="AO37" s="87" t="str">
        <f>HLOOKUP(6,$AJ$13:$AR$17,($E$12)+1)</f>
        <v>not yet</v>
      </c>
      <c r="AP37" s="87" t="str">
        <f>HLOOKUP(7,$AJ$13:$AR$17,($E$12)+1)</f>
        <v>yes</v>
      </c>
      <c r="AQ37" s="87" t="str">
        <f>HLOOKUP(8,$AJ$13:$AR$17,($E$12)+1)</f>
        <v>yes</v>
      </c>
      <c r="AR37" s="87" t="str">
        <f>HLOOKUP(9,$AJ$13:$AR$17,($E$12)+1)</f>
        <v>yes</v>
      </c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</row>
    <row r="38" spans="1:76" ht="12.75">
      <c r="A38" s="86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94">
        <f>100*(+AD32/$E$9)</f>
        <v>88.40511380904017</v>
      </c>
      <c r="W38" s="99">
        <f>EXP(5.6922-(0.68367*LN(V38)))</f>
        <v>13.846590684414972</v>
      </c>
      <c r="X38" s="95">
        <f>(+W38*V38)/100</f>
        <v>12.24109425322901</v>
      </c>
      <c r="Y38" s="94">
        <f>100*((((X38/100)-((X38/100)-0.03574)*$E$21)-0.03574-0.00619)/0.344)</f>
        <v>14.829308741660311</v>
      </c>
      <c r="Z38" s="87">
        <f>$E$20</f>
        <v>0.25</v>
      </c>
      <c r="AA38" s="94">
        <f>Y38+Z38</f>
        <v>15.079308741660311</v>
      </c>
      <c r="AB38" s="94">
        <f>100*($E$17*$E$19+($E$18*(AA38/100))/(1-$E$21))</f>
        <v>15.828462492418463</v>
      </c>
      <c r="AC38" s="95">
        <f>AB38/V38</f>
        <v>0.17904464810269685</v>
      </c>
      <c r="AD38" s="93">
        <f>ROUND($E$8/(1-AC38),0)</f>
        <v>199589</v>
      </c>
      <c r="AE38" s="87" t="str">
        <f>IF(AD38=AD32,"yes","not yet")</f>
        <v>not yet</v>
      </c>
      <c r="AF38" s="94">
        <f>100*(1-AC38)</f>
        <v>82.09553518973031</v>
      </c>
      <c r="AG38" s="87"/>
      <c r="AH38" s="87"/>
      <c r="AI38" s="87">
        <v>1</v>
      </c>
      <c r="AJ38" s="93">
        <f>AD5</f>
        <v>200735.12352634865</v>
      </c>
      <c r="AK38" s="93">
        <f>AD11</f>
        <v>201265.74103437786</v>
      </c>
      <c r="AL38" s="93">
        <f>AD17</f>
        <v>201195.6957362551</v>
      </c>
      <c r="AM38" s="93">
        <f>AD23</f>
        <v>201204.923538555</v>
      </c>
      <c r="AN38" s="93">
        <f>AD29</f>
        <v>201203.70753911012</v>
      </c>
      <c r="AO38" s="93">
        <f>AD35</f>
        <v>201204</v>
      </c>
      <c r="AP38" s="93">
        <f>AD41</f>
        <v>201204</v>
      </c>
      <c r="AQ38" s="93">
        <f>AD47</f>
        <v>201204</v>
      </c>
      <c r="AR38" s="93">
        <f>AD53</f>
        <v>201204</v>
      </c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</row>
    <row r="39" spans="1:76" ht="12.75">
      <c r="A39" s="86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94"/>
      <c r="AB39" s="87"/>
      <c r="AC39" s="87"/>
      <c r="AD39" s="87"/>
      <c r="AE39" s="87"/>
      <c r="AF39" s="87"/>
      <c r="AG39" s="87"/>
      <c r="AH39" s="87"/>
      <c r="AI39" s="87">
        <v>2</v>
      </c>
      <c r="AJ39" s="93">
        <f>AD6</f>
        <v>199882.9238894725</v>
      </c>
      <c r="AK39" s="93">
        <f>AD12</f>
        <v>200506.90421467542</v>
      </c>
      <c r="AL39" s="93">
        <f>AD18</f>
        <v>200426.51192450806</v>
      </c>
      <c r="AM39" s="93">
        <f>AD24</f>
        <v>200436.8448617176</v>
      </c>
      <c r="AN39" s="93">
        <f>AD30</f>
        <v>200435.51634735128</v>
      </c>
      <c r="AO39" s="93">
        <f>AD36</f>
        <v>200436</v>
      </c>
      <c r="AP39" s="93">
        <f>AD42</f>
        <v>200436</v>
      </c>
      <c r="AQ39" s="93">
        <f>AD48</f>
        <v>200436</v>
      </c>
      <c r="AR39" s="93">
        <f>AD54</f>
        <v>200436</v>
      </c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</row>
    <row r="40" spans="1:76" ht="12.75">
      <c r="A40" s="86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91" t="s">
        <v>108</v>
      </c>
      <c r="W40" s="98" t="s">
        <v>27</v>
      </c>
      <c r="X40" s="98" t="s">
        <v>58</v>
      </c>
      <c r="Y40" s="98" t="s">
        <v>59</v>
      </c>
      <c r="Z40" s="87"/>
      <c r="AA40" s="94"/>
      <c r="AB40" s="87"/>
      <c r="AC40" s="87"/>
      <c r="AD40" s="87"/>
      <c r="AE40" s="87"/>
      <c r="AF40" s="87"/>
      <c r="AG40" s="87"/>
      <c r="AH40" s="87"/>
      <c r="AI40" s="87">
        <v>3</v>
      </c>
      <c r="AJ40" s="93">
        <f>AD7</f>
        <v>199312.93473095333</v>
      </c>
      <c r="AK40" s="93">
        <f>AD13</f>
        <v>199995.99722696893</v>
      </c>
      <c r="AL40" s="93">
        <f>AD19</f>
        <v>199909.45024994784</v>
      </c>
      <c r="AM40" s="93">
        <f>AD25</f>
        <v>199920.38755562497</v>
      </c>
      <c r="AN40" s="93">
        <f>AD31</f>
        <v>199919.0049059116</v>
      </c>
      <c r="AO40" s="93">
        <f>AD37</f>
        <v>199919</v>
      </c>
      <c r="AP40" s="93">
        <f>AD43</f>
        <v>199919</v>
      </c>
      <c r="AQ40" s="93">
        <f>AD49</f>
        <v>199919</v>
      </c>
      <c r="AR40" s="93">
        <f>AD55</f>
        <v>199919</v>
      </c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</row>
    <row r="41" spans="1:76" ht="12.75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94">
        <f>100*(+AD35/$E$9)</f>
        <v>89.1204498614205</v>
      </c>
      <c r="W41" s="99">
        <f>EXP(5.7226-(0.68367*LN(+V41)))</f>
        <v>14.195561434462686</v>
      </c>
      <c r="X41" s="95">
        <f>(+W41*V41)/100</f>
        <v>12.651148210747463</v>
      </c>
      <c r="Y41" s="94">
        <f>100*((((X41/100)-((X41/100)-0.03574)*$E$21)-0.03574-0.00619)/0.344)</f>
        <v>15.616040171782918</v>
      </c>
      <c r="Z41" s="87">
        <f>$E$20</f>
        <v>0.25</v>
      </c>
      <c r="AA41" s="94">
        <f>Y41+Z41</f>
        <v>15.866040171782918</v>
      </c>
      <c r="AB41" s="94">
        <f>100*($E$17*$E$19+($E$18*(AA41/100))/(1-$E$21))</f>
        <v>16.54367288343902</v>
      </c>
      <c r="AC41" s="95">
        <f>AB41/V41</f>
        <v>0.1856327353504601</v>
      </c>
      <c r="AD41" s="93">
        <f>ROUND($E$8/(1-AC41),0)</f>
        <v>201204</v>
      </c>
      <c r="AE41" s="87" t="str">
        <f>IF(OR(OR(AD41=AD35,AD41=(AD35+1)),AD41=(AD27-1)),"yes","not yet")</f>
        <v>yes</v>
      </c>
      <c r="AF41" s="94">
        <f>100*(1-AC41)</f>
        <v>81.43672646495399</v>
      </c>
      <c r="AG41" s="87"/>
      <c r="AH41" s="87"/>
      <c r="AI41" s="87">
        <v>4</v>
      </c>
      <c r="AJ41" s="93">
        <f>AD8</f>
        <v>198950.0319174197</v>
      </c>
      <c r="AK41" s="93">
        <f>AD14</f>
        <v>199669.30588904675</v>
      </c>
      <c r="AL41" s="93">
        <f>AD20</f>
        <v>199579.15195655296</v>
      </c>
      <c r="AM41" s="93">
        <f>AD26</f>
        <v>199590.4208511274</v>
      </c>
      <c r="AN41" s="93">
        <f>AD32</f>
        <v>199589.01179799996</v>
      </c>
      <c r="AO41" s="93">
        <f>AD38</f>
        <v>199589</v>
      </c>
      <c r="AP41" s="93">
        <f>AD44</f>
        <v>199589</v>
      </c>
      <c r="AQ41" s="93">
        <f>AD50</f>
        <v>199589</v>
      </c>
      <c r="AR41" s="93">
        <f>AD56</f>
        <v>199589</v>
      </c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</row>
    <row r="42" spans="1:76" ht="12.75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94">
        <f>100*(+AD36/$E$9)</f>
        <v>88.78027518550167</v>
      </c>
      <c r="W42" s="99">
        <f>EXP(5.70827-(0.68367*LN(+V42)))</f>
        <v>14.030224802110798</v>
      </c>
      <c r="X42" s="95">
        <f>(+W42*V42)/100</f>
        <v>12.456072188458473</v>
      </c>
      <c r="Y42" s="94">
        <f>100*((((X42/100)-((X42/100)-0.03574)*$E$21)-0.03574-0.00619)/0.344)</f>
        <v>15.241766408088928</v>
      </c>
      <c r="Z42" s="87">
        <f>$E$20</f>
        <v>0.25</v>
      </c>
      <c r="AA42" s="94">
        <f>Y42+Z42</f>
        <v>15.491766408088928</v>
      </c>
      <c r="AB42" s="94">
        <f>100*($E$17*$E$19+($E$18*(AA42/100))/(1-$E$21))</f>
        <v>16.203424007353572</v>
      </c>
      <c r="AC42" s="95">
        <f>AB42/V42</f>
        <v>0.1825115316831062</v>
      </c>
      <c r="AD42" s="93">
        <f>ROUND($E$8/(1-AC42),0)</f>
        <v>200436</v>
      </c>
      <c r="AE42" s="87" t="str">
        <f>IF(OR(OR(AD42=AD36,AD42=(AD36+5)),AD42=(AD28-5)),"yes","not yet")</f>
        <v>yes</v>
      </c>
      <c r="AF42" s="94">
        <f>100*(1-AC42)</f>
        <v>81.74884683168938</v>
      </c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</row>
    <row r="43" spans="1:76" ht="12.75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94">
        <f>100*(+AD37/$E$9)</f>
        <v>88.55127738934276</v>
      </c>
      <c r="W43" s="99">
        <f>EXP(5.6985-(0.68367*LN(V43)))</f>
        <v>13.918371217177967</v>
      </c>
      <c r="X43" s="95">
        <f>(+W43*V43)/100</f>
        <v>12.324895504601702</v>
      </c>
      <c r="Y43" s="94">
        <f>100*((((X43/100)-((X43/100)-0.03574)*$E$21)-0.03574-0.00619)/0.344)</f>
        <v>14.99009021231722</v>
      </c>
      <c r="Z43" s="87">
        <f>$E$20</f>
        <v>0.25</v>
      </c>
      <c r="AA43" s="94">
        <f>Y43+Z43</f>
        <v>15.24009021231722</v>
      </c>
      <c r="AB43" s="94">
        <f>100*($E$17*$E$19+($E$18*(AA43/100))/(1-$E$21))</f>
        <v>15.974627465742927</v>
      </c>
      <c r="AC43" s="95">
        <f>AB43/V43</f>
        <v>0.1803997405424836</v>
      </c>
      <c r="AD43" s="93">
        <f>ROUND($E$8/(1-AC43),0)</f>
        <v>199919</v>
      </c>
      <c r="AE43" s="87" t="str">
        <f>IF(OR(OR(AD43=AD37,AD43=(AD37+5)),AD43=(AD29-5)),"yes","not yet")</f>
        <v>yes</v>
      </c>
      <c r="AF43" s="94">
        <f>100*(1-AC43)</f>
        <v>81.96002594575165</v>
      </c>
      <c r="AG43" s="87"/>
      <c r="AH43" s="87"/>
      <c r="AI43" s="87"/>
      <c r="AJ43" s="87" t="s">
        <v>105</v>
      </c>
      <c r="AK43" s="87"/>
      <c r="AL43" s="87"/>
      <c r="AM43" s="87"/>
      <c r="AN43" s="87"/>
      <c r="AO43" s="87"/>
      <c r="AP43" s="87"/>
      <c r="AQ43" s="87"/>
      <c r="AR43" s="87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</row>
    <row r="44" spans="1:76" ht="12.75">
      <c r="A44" s="86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94">
        <f>100*(+AD38/$E$9)</f>
        <v>88.40510858328389</v>
      </c>
      <c r="W44" s="99">
        <f>EXP(5.6922-(0.68367*LN(V44)))</f>
        <v>13.846591243993668</v>
      </c>
      <c r="X44" s="95">
        <f>(+W44*V44)/100</f>
        <v>12.241094024336082</v>
      </c>
      <c r="Y44" s="94">
        <f>100*((((X44/100)-((X44/100)-0.03574)*$E$21)-0.03574-0.00619)/0.344)</f>
        <v>14.829308302505275</v>
      </c>
      <c r="Z44" s="87">
        <f>$E$20</f>
        <v>0.25</v>
      </c>
      <c r="AA44" s="94">
        <f>Y44+Z44</f>
        <v>15.079308302505275</v>
      </c>
      <c r="AB44" s="94">
        <f>100*($E$17*$E$19+($E$18*(AA44/100))/(1-$E$21))</f>
        <v>15.828462093186616</v>
      </c>
      <c r="AC44" s="95">
        <f>AB44/V44</f>
        <v>0.1790446541703535</v>
      </c>
      <c r="AD44" s="93">
        <f>ROUND($E$8/(1-AC44),0)</f>
        <v>199589</v>
      </c>
      <c r="AE44" s="87" t="str">
        <f>IF(OR(OR(AD44=AD38,AD44=(AD38+5)),AD44=(AD30-5)),"yes","not yet")</f>
        <v>yes</v>
      </c>
      <c r="AF44" s="94">
        <f>100*(1-AC44)</f>
        <v>82.09553458296465</v>
      </c>
      <c r="AG44" s="87"/>
      <c r="AH44" s="87"/>
      <c r="AI44" s="87"/>
      <c r="AJ44" s="93">
        <f>HLOOKUP($AJ$34,$AJ$37:$AR$41,($E$12)+1)</f>
        <v>200436</v>
      </c>
      <c r="AK44" s="87"/>
      <c r="AL44" s="87"/>
      <c r="AM44" s="87"/>
      <c r="AN44" s="87"/>
      <c r="AO44" s="87"/>
      <c r="AP44" s="87"/>
      <c r="AQ44" s="87"/>
      <c r="AR44" s="87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</row>
    <row r="45" spans="1:76" ht="12.75">
      <c r="A45" s="86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94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</row>
    <row r="46" spans="1:76" ht="12.75">
      <c r="A46" s="86"/>
      <c r="B46" s="87"/>
      <c r="C46" s="87"/>
      <c r="D46" s="93"/>
      <c r="E46" s="93"/>
      <c r="F46" s="93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91" t="s">
        <v>109</v>
      </c>
      <c r="W46" s="98" t="s">
        <v>27</v>
      </c>
      <c r="X46" s="98" t="s">
        <v>58</v>
      </c>
      <c r="Y46" s="98" t="s">
        <v>59</v>
      </c>
      <c r="Z46" s="87"/>
      <c r="AA46" s="94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</row>
    <row r="47" spans="1:76" ht="12.75">
      <c r="A47" s="86"/>
      <c r="B47" s="87"/>
      <c r="C47" s="87"/>
      <c r="D47" s="93"/>
      <c r="E47" s="93"/>
      <c r="F47" s="93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94">
        <f>100*(+AD41/$E$9)</f>
        <v>89.1204498614205</v>
      </c>
      <c r="W47" s="99">
        <f>EXP(5.7226-(0.68367*LN(+V47)))</f>
        <v>14.195561434462686</v>
      </c>
      <c r="X47" s="95">
        <f>(+W47*V47)/100</f>
        <v>12.651148210747463</v>
      </c>
      <c r="Y47" s="94">
        <f>100*((((X47/100)-((X47/100)-0.03574)*$E$21)-0.03574-0.00619)/0.344)</f>
        <v>15.616040171782918</v>
      </c>
      <c r="Z47" s="87">
        <f>$E$20</f>
        <v>0.25</v>
      </c>
      <c r="AA47" s="94">
        <f>Y47+Z47</f>
        <v>15.866040171782918</v>
      </c>
      <c r="AB47" s="94">
        <f>100*($E$17*$E$19+($E$18*(AA47/100))/(1-$E$21))</f>
        <v>16.54367288343902</v>
      </c>
      <c r="AC47" s="95">
        <f>AB47/V47</f>
        <v>0.1856327353504601</v>
      </c>
      <c r="AD47" s="93">
        <f>ROUND($E$8/(1-AC47),0)</f>
        <v>201204</v>
      </c>
      <c r="AE47" s="87" t="str">
        <f>IF(OR(OR(AD47=AD41,AD47=(AD41+1)),AD47=(AD33-1)),"yes","not yet")</f>
        <v>yes</v>
      </c>
      <c r="AF47" s="94">
        <f>100*(1-AC47)</f>
        <v>81.43672646495399</v>
      </c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</row>
    <row r="48" spans="1:76" ht="12.75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94">
        <f>100*(+AD42/$E$9)</f>
        <v>88.78027518550167</v>
      </c>
      <c r="W48" s="99">
        <f>EXP(5.70827-(0.68367*LN(+V48)))</f>
        <v>14.030224802110798</v>
      </c>
      <c r="X48" s="95">
        <f>(+W48*V48)/100</f>
        <v>12.456072188458473</v>
      </c>
      <c r="Y48" s="94">
        <f>100*((((X48/100)-((X48/100)-0.03574)*$E$21)-0.03574-0.00619)/0.344)</f>
        <v>15.241766408088928</v>
      </c>
      <c r="Z48" s="87">
        <f>$E$20</f>
        <v>0.25</v>
      </c>
      <c r="AA48" s="94">
        <f>Y48+Z48</f>
        <v>15.491766408088928</v>
      </c>
      <c r="AB48" s="94">
        <f>100*($E$17*$E$19+($E$18*(AA48/100))/(1-$E$21))</f>
        <v>16.203424007353572</v>
      </c>
      <c r="AC48" s="95">
        <f>AB48/V48</f>
        <v>0.1825115316831062</v>
      </c>
      <c r="AD48" s="93">
        <f>ROUND($E$8/(1-AC48),0)</f>
        <v>200436</v>
      </c>
      <c r="AE48" s="87" t="str">
        <f>IF(OR(OR(AD48=AD42,AD48=(AD42+1)),AD48=(AD42-1)),"yes","not yet")</f>
        <v>yes</v>
      </c>
      <c r="AF48" s="94">
        <f>100*(1-AC48)</f>
        <v>81.74884683168938</v>
      </c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</row>
    <row r="49" spans="1:76" ht="12.75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94">
        <f>100*(+AD43/$E$9)</f>
        <v>88.55127738934276</v>
      </c>
      <c r="W49" s="99">
        <f>EXP(5.6985-(0.68367*LN(V49)))</f>
        <v>13.918371217177967</v>
      </c>
      <c r="X49" s="95">
        <f>(+W49*V49)/100</f>
        <v>12.324895504601702</v>
      </c>
      <c r="Y49" s="94">
        <f>100*((((X49/100)-((X49/100)-0.03574)*$E$21)-0.03574-0.00619)/0.344)</f>
        <v>14.99009021231722</v>
      </c>
      <c r="Z49" s="87">
        <f>$E$20</f>
        <v>0.25</v>
      </c>
      <c r="AA49" s="94">
        <f>Y49+Z49</f>
        <v>15.24009021231722</v>
      </c>
      <c r="AB49" s="94">
        <f>100*($E$17*$E$19+($E$18*(AA49/100))/(1-$E$21))</f>
        <v>15.974627465742927</v>
      </c>
      <c r="AC49" s="95">
        <f>AB49/V49</f>
        <v>0.1803997405424836</v>
      </c>
      <c r="AD49" s="93">
        <f>ROUND($E$8/(1-AC49),0)</f>
        <v>199919</v>
      </c>
      <c r="AE49" s="87" t="str">
        <f>IF(OR(OR(AD49=AD43,AD49=(AD43+1)),AD49=(AD43-1)),"yes","not yet")</f>
        <v>yes</v>
      </c>
      <c r="AF49" s="94">
        <f>100*(1-AC49)</f>
        <v>81.96002594575165</v>
      </c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</row>
    <row r="50" spans="1:76" ht="12.75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94">
        <f>100*(+AD44/$E$9)</f>
        <v>88.40510858328389</v>
      </c>
      <c r="W50" s="99">
        <f>EXP(5.6922-(0.68367*LN(V50)))</f>
        <v>13.846591243993668</v>
      </c>
      <c r="X50" s="95">
        <f>(+W50*V50)/100</f>
        <v>12.241094024336082</v>
      </c>
      <c r="Y50" s="94">
        <f>100*((((X50/100)-((X50/100)-0.03574)*$E$21)-0.03574-0.00619)/0.344)</f>
        <v>14.829308302505275</v>
      </c>
      <c r="Z50" s="87">
        <f>$E$20</f>
        <v>0.25</v>
      </c>
      <c r="AA50" s="94">
        <f>Y50+Z50</f>
        <v>15.079308302505275</v>
      </c>
      <c r="AB50" s="94">
        <f>100*($E$17*$E$19+($E$18*(AA50/100))/(1-$E$21))</f>
        <v>15.828462093186616</v>
      </c>
      <c r="AC50" s="95">
        <f>AB50/V50</f>
        <v>0.1790446541703535</v>
      </c>
      <c r="AD50" s="93">
        <f>ROUND($E$8/(1-AC50),0)</f>
        <v>199589</v>
      </c>
      <c r="AE50" s="87" t="str">
        <f>IF(OR(OR(AD50=AD44,AD50=(AD44+1)),AD50=(AD44-1)),"yes","not yet")</f>
        <v>yes</v>
      </c>
      <c r="AF50" s="94">
        <f>100*(1-AC50)</f>
        <v>82.09553458296465</v>
      </c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</row>
    <row r="51" spans="1:76" ht="12.75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94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</row>
    <row r="52" spans="1:76" ht="12.75">
      <c r="A52" s="86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91" t="s">
        <v>110</v>
      </c>
      <c r="W52" s="98" t="s">
        <v>27</v>
      </c>
      <c r="X52" s="98" t="s">
        <v>58</v>
      </c>
      <c r="Y52" s="98" t="s">
        <v>59</v>
      </c>
      <c r="Z52" s="87"/>
      <c r="AA52" s="94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</row>
    <row r="53" spans="1:76" ht="12.75">
      <c r="A53" s="86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94">
        <f>100*(+AD47/$E$9)</f>
        <v>89.1204498614205</v>
      </c>
      <c r="W53" s="99">
        <f>EXP(5.7226-(0.68367*LN(+V53)))</f>
        <v>14.195561434462686</v>
      </c>
      <c r="X53" s="95">
        <f>(+W53*V53)/100</f>
        <v>12.651148210747463</v>
      </c>
      <c r="Y53" s="94">
        <f>100*((((X53/100)-((X53/100)-0.03574)*$E$21)-0.03574-0.00619)/0.344)</f>
        <v>15.616040171782918</v>
      </c>
      <c r="Z53" s="87">
        <f>$E$20</f>
        <v>0.25</v>
      </c>
      <c r="AA53" s="94">
        <f>Y53+Z53</f>
        <v>15.866040171782918</v>
      </c>
      <c r="AB53" s="94">
        <f>100*($E$17*$E$19+($E$18*(AA53/100))/(1-$E$21))</f>
        <v>16.54367288343902</v>
      </c>
      <c r="AC53" s="95">
        <f>AB53/V53</f>
        <v>0.1856327353504601</v>
      </c>
      <c r="AD53" s="93">
        <f>ROUND($E$8/(1-AC53),0)</f>
        <v>201204</v>
      </c>
      <c r="AE53" s="87" t="str">
        <f>IF(OR(OR(AD53=AD47,AD53=(AD47+1)),AD53=(AD39-1)),"yes","not yet")</f>
        <v>yes</v>
      </c>
      <c r="AF53" s="94">
        <f>100*(1-AC53)</f>
        <v>81.43672646495399</v>
      </c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</row>
    <row r="54" spans="1:76" ht="12.75">
      <c r="A54" s="86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94">
        <f>100*(+AD48/$E$9)</f>
        <v>88.78027518550167</v>
      </c>
      <c r="W54" s="99">
        <f>EXP(5.70827-(0.68367*LN(+V54)))</f>
        <v>14.030224802110798</v>
      </c>
      <c r="X54" s="95">
        <f>(+W54*V54)/100</f>
        <v>12.456072188458473</v>
      </c>
      <c r="Y54" s="94">
        <f>100*((((X54/100)-((X54/100)-0.03574)*$E$21)-0.03574-0.00619)/0.344)</f>
        <v>15.241766408088928</v>
      </c>
      <c r="Z54" s="87">
        <f>$E$20</f>
        <v>0.25</v>
      </c>
      <c r="AA54" s="94">
        <f>Y54+Z54</f>
        <v>15.491766408088928</v>
      </c>
      <c r="AB54" s="94">
        <f>100*($E$17*$E$19+($E$18*(AA54/100))/(1-$E$21))</f>
        <v>16.203424007353572</v>
      </c>
      <c r="AC54" s="95">
        <f>AB54/V54</f>
        <v>0.1825115316831062</v>
      </c>
      <c r="AD54" s="93">
        <f>ROUND($E$8/(1-AC54),0)</f>
        <v>200436</v>
      </c>
      <c r="AE54" s="87" t="str">
        <f>IF(OR(OR(AD54=AD48,AD54=(AD48+1)),AD54=(AD48-1)),"yes","not yet")</f>
        <v>yes</v>
      </c>
      <c r="AF54" s="94">
        <f>100*(1-AC54)</f>
        <v>81.74884683168938</v>
      </c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</row>
    <row r="55" spans="1:76" ht="12.75">
      <c r="A55" s="86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94">
        <f>100*(+AD49/$E$9)</f>
        <v>88.55127738934276</v>
      </c>
      <c r="W55" s="99">
        <f>EXP(5.6985-(0.68367*LN(V55)))</f>
        <v>13.918371217177967</v>
      </c>
      <c r="X55" s="95">
        <f>(+W55*V55)/100</f>
        <v>12.324895504601702</v>
      </c>
      <c r="Y55" s="94">
        <f>100*((((X55/100)-((X55/100)-0.03574)*$E$21)-0.03574-0.00619)/0.344)</f>
        <v>14.99009021231722</v>
      </c>
      <c r="Z55" s="87">
        <f>$E$20</f>
        <v>0.25</v>
      </c>
      <c r="AA55" s="94">
        <f>Y55+Z55</f>
        <v>15.24009021231722</v>
      </c>
      <c r="AB55" s="94">
        <f>100*($E$17*$E$19+($E$18*(AA55/100))/(1-$E$21))</f>
        <v>15.974627465742927</v>
      </c>
      <c r="AC55" s="95">
        <f>AB55/V55</f>
        <v>0.1803997405424836</v>
      </c>
      <c r="AD55" s="93">
        <f>ROUND($E$8/(1-AC55),0)</f>
        <v>199919</v>
      </c>
      <c r="AE55" s="87" t="str">
        <f>IF(OR(OR(AD55=AD49,AD55=(AD49+1)),AD55=(AD49-1)),"yes","not yet")</f>
        <v>yes</v>
      </c>
      <c r="AF55" s="94">
        <f>100*(1-AC55)</f>
        <v>81.96002594575165</v>
      </c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</row>
    <row r="56" spans="1:76" ht="12.75">
      <c r="A56" s="86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94">
        <f>100*(+AD50/$E$9)</f>
        <v>88.40510858328389</v>
      </c>
      <c r="W56" s="99">
        <f>EXP(5.6922-(0.68367*LN(V56)))</f>
        <v>13.846591243993668</v>
      </c>
      <c r="X56" s="95">
        <f>(+W56*V56)/100</f>
        <v>12.241094024336082</v>
      </c>
      <c r="Y56" s="94">
        <f>100*((((X56/100)-((X56/100)-0.03574)*$E$21)-0.03574-0.00619)/0.344)</f>
        <v>14.829308302505275</v>
      </c>
      <c r="Z56" s="87">
        <f>$E$20</f>
        <v>0.25</v>
      </c>
      <c r="AA56" s="94">
        <f>Y56+Z56</f>
        <v>15.079308302505275</v>
      </c>
      <c r="AB56" s="94">
        <f>100*($E$17*$E$19+($E$18*(AA56/100))/(1-$E$21))</f>
        <v>15.828462093186616</v>
      </c>
      <c r="AC56" s="95">
        <f>AB56/V56</f>
        <v>0.1790446541703535</v>
      </c>
      <c r="AD56" s="93">
        <f>ROUND($E$8/(1-AC56),0)</f>
        <v>199589</v>
      </c>
      <c r="AE56" s="87" t="str">
        <f>IF(OR(OR(AD56=AD50,AD56=(AD50+1)),AD56=(AD50-1)),"yes","not yet")</f>
        <v>yes</v>
      </c>
      <c r="AF56" s="94">
        <f>100*(1-AC56)</f>
        <v>82.09553458296465</v>
      </c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</row>
    <row r="57" spans="1:76" ht="12.75">
      <c r="A57" s="86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94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</row>
    <row r="58" spans="1:76" ht="12.7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</row>
    <row r="59" spans="1:76" ht="12.7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</row>
    <row r="60" spans="1:76" ht="12.75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</row>
    <row r="61" spans="1:76" ht="12.75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</row>
    <row r="62" spans="1:76" ht="12.75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</row>
    <row r="63" spans="1:76" ht="12.7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</row>
    <row r="64" spans="1:76" ht="12.7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</row>
    <row r="65" spans="1:76" ht="12.7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</row>
    <row r="66" spans="1:76" ht="12.75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</row>
    <row r="67" spans="1:76" ht="12.75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</row>
    <row r="68" spans="1:76" ht="12.75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</row>
    <row r="69" spans="1:76" ht="12.75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</row>
    <row r="70" spans="1:76" ht="12.75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</row>
    <row r="71" spans="1:76" ht="12.75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</row>
    <row r="72" spans="1:76" ht="12.75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</row>
    <row r="73" spans="1:76" ht="12.75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</row>
    <row r="74" spans="1:76" ht="12.75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</row>
    <row r="75" spans="1:76" ht="12.75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</row>
    <row r="76" spans="1:76" ht="12.75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</row>
    <row r="77" spans="1:76" ht="12.75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</row>
    <row r="78" spans="1:76" ht="12.75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</row>
    <row r="79" spans="1:76" ht="12.75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</row>
    <row r="80" spans="1:76" ht="12.75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</row>
    <row r="81" spans="1:76" ht="12.75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</row>
    <row r="82" spans="1:76" ht="12.75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</row>
    <row r="83" spans="1:76" ht="12.75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</row>
    <row r="84" spans="1:76" ht="12.75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</row>
    <row r="85" spans="1:76" ht="12.75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</row>
    <row r="86" spans="1:76" ht="12.75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</row>
    <row r="87" spans="1:76" ht="12.75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</row>
    <row r="88" spans="1:76" ht="12.75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</row>
    <row r="89" spans="1:76" ht="12.75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</row>
    <row r="90" spans="1:76" ht="12.75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</row>
    <row r="91" spans="1:76" ht="12.75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</row>
    <row r="92" spans="1:76" ht="12.75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</row>
    <row r="93" spans="1:76" ht="12.75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</row>
    <row r="94" spans="1:76" ht="12.75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</row>
    <row r="95" spans="1:76" ht="12.75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</row>
    <row r="96" spans="1:76" ht="12.75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</row>
    <row r="97" spans="1:76" ht="12.75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</row>
    <row r="98" spans="1:76" ht="12.75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</row>
    <row r="99" spans="1:76" ht="12.75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</row>
    <row r="100" spans="1:76" ht="12.75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</row>
    <row r="101" spans="1:76" ht="12.75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</row>
    <row r="102" spans="1:76" ht="12.75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</row>
    <row r="103" spans="1:76" ht="12.75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</row>
    <row r="104" spans="1:76" ht="12.75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</row>
    <row r="105" spans="1:76" ht="12.75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</row>
    <row r="106" spans="1:76" ht="12.75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</row>
    <row r="107" spans="1:76" ht="12.75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</row>
    <row r="108" spans="1:76" ht="12.75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</row>
    <row r="109" spans="1:76" ht="12.75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</row>
    <row r="110" spans="1:76" ht="12.75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</row>
    <row r="111" spans="1:76" ht="12.75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</row>
    <row r="112" spans="1:76" ht="12.75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</row>
    <row r="113" spans="1:76" ht="12.75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</row>
    <row r="114" spans="1:76" ht="12.75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</row>
    <row r="115" spans="1:76" ht="12.75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</row>
    <row r="116" spans="1:76" ht="12.75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  <c r="BX116" s="86"/>
    </row>
    <row r="117" spans="1:76" ht="12.75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</row>
    <row r="118" spans="1:76" ht="12.75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</row>
    <row r="119" spans="1:76" ht="12.75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</row>
    <row r="120" spans="1:76" ht="12.75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</row>
    <row r="121" spans="1:76" ht="12.75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</row>
    <row r="122" spans="1:76" ht="12.75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</row>
    <row r="123" spans="1:76" ht="12.75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</row>
    <row r="124" spans="1:76" ht="12.75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</row>
    <row r="125" spans="1:76" ht="12.75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</row>
    <row r="126" spans="1:76" ht="12.75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</row>
    <row r="127" spans="1:76" ht="12.75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</row>
    <row r="128" spans="1:76" ht="12.75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</row>
    <row r="129" spans="1:76" ht="12.75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</row>
    <row r="130" spans="1:76" ht="12.75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</row>
    <row r="131" spans="1:76" ht="12.75">
      <c r="A131" s="86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</row>
    <row r="132" spans="1:76" ht="12.75">
      <c r="A132" s="86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</row>
    <row r="133" spans="1:76" ht="12.75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</row>
    <row r="134" spans="1:76" ht="12.75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</row>
    <row r="135" spans="1:76" ht="12.75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  <c r="BX135" s="86"/>
    </row>
    <row r="136" spans="1:76" ht="12.75">
      <c r="A136" s="86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6"/>
      <c r="BW136" s="86"/>
      <c r="BX136" s="86"/>
    </row>
    <row r="137" spans="1:76" ht="12.75">
      <c r="A137" s="86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</row>
    <row r="138" spans="1:76" ht="12.75">
      <c r="A138" s="86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</row>
    <row r="139" spans="1:76" ht="12.75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</row>
    <row r="140" spans="1:76" ht="12.75">
      <c r="A140" s="86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</row>
    <row r="141" spans="1:76" ht="12.75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</row>
    <row r="142" spans="1:76" ht="12.75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</row>
    <row r="143" spans="1:76" ht="12.75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</row>
    <row r="144" spans="1:76" ht="12.75">
      <c r="A144" s="86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</row>
    <row r="145" spans="1:76" ht="12.75">
      <c r="A145" s="86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</row>
    <row r="146" spans="1:76" ht="12.75">
      <c r="A146" s="86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</row>
    <row r="147" spans="1:76" ht="12.75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</row>
    <row r="148" spans="1:76" ht="12.75">
      <c r="A148" s="86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</row>
    <row r="149" spans="1:76" ht="12.75">
      <c r="A149" s="86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</row>
    <row r="150" spans="1:76" ht="12.75">
      <c r="A150" s="86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</row>
    <row r="151" spans="1:76" ht="12.75">
      <c r="A151" s="86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</row>
    <row r="152" spans="1:76" ht="12.75">
      <c r="A152" s="86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6"/>
    </row>
    <row r="153" spans="1:76" ht="12.75">
      <c r="A153" s="86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</row>
    <row r="154" spans="1:76" ht="12.75">
      <c r="A154" s="86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</row>
    <row r="155" spans="1:76" ht="12.75">
      <c r="A155" s="86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</row>
    <row r="156" spans="1:76" ht="12.75">
      <c r="A156" s="86"/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</row>
    <row r="157" spans="1:76" ht="12.75">
      <c r="A157" s="86"/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</row>
    <row r="158" spans="1:76" ht="12.75">
      <c r="A158" s="86"/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6"/>
    </row>
    <row r="159" spans="1:76" ht="12.75">
      <c r="A159" s="86"/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6"/>
    </row>
    <row r="160" spans="1:76" ht="12.75">
      <c r="A160" s="86"/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</row>
    <row r="161" spans="1:76" ht="12.75">
      <c r="A161" s="86"/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</row>
    <row r="162" spans="1:76" ht="12.75">
      <c r="A162" s="86"/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</row>
    <row r="163" spans="1:76" ht="12.75">
      <c r="A163" s="86"/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</row>
    <row r="164" spans="1:76" ht="12.75">
      <c r="A164" s="86"/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  <c r="BX164" s="86"/>
    </row>
    <row r="165" spans="1:76" ht="12.75">
      <c r="A165" s="86"/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  <c r="BV165" s="86"/>
      <c r="BW165" s="86"/>
      <c r="BX165" s="86"/>
    </row>
    <row r="166" spans="1:76" ht="12.75">
      <c r="A166" s="86"/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  <c r="BV166" s="86"/>
      <c r="BW166" s="86"/>
      <c r="BX166" s="86"/>
    </row>
    <row r="167" spans="1:76" ht="12.75">
      <c r="A167" s="86"/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/>
      <c r="BR167" s="86"/>
      <c r="BS167" s="86"/>
      <c r="BT167" s="86"/>
      <c r="BU167" s="86"/>
      <c r="BV167" s="86"/>
      <c r="BW167" s="86"/>
      <c r="BX167" s="86"/>
    </row>
    <row r="168" spans="1:76" ht="12.75">
      <c r="A168" s="86"/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  <c r="BT168" s="86"/>
      <c r="BU168" s="86"/>
      <c r="BV168" s="86"/>
      <c r="BW168" s="86"/>
      <c r="BX168" s="86"/>
    </row>
    <row r="169" spans="1:76" ht="12.75">
      <c r="A169" s="86"/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  <c r="BX169" s="86"/>
    </row>
    <row r="170" spans="1:76" ht="12.75">
      <c r="A170" s="86"/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  <c r="BV170" s="86"/>
      <c r="BW170" s="86"/>
      <c r="BX170" s="86"/>
    </row>
    <row r="171" spans="1:76" ht="12.75">
      <c r="A171" s="86"/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  <c r="BV171" s="86"/>
      <c r="BW171" s="86"/>
      <c r="BX171" s="86"/>
    </row>
    <row r="172" spans="1:76" ht="12.75">
      <c r="A172" s="86"/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6"/>
      <c r="BQ172" s="86"/>
      <c r="BR172" s="86"/>
      <c r="BS172" s="86"/>
      <c r="BT172" s="86"/>
      <c r="BU172" s="86"/>
      <c r="BV172" s="86"/>
      <c r="BW172" s="86"/>
      <c r="BX172" s="86"/>
    </row>
    <row r="173" spans="1:76" ht="12.75">
      <c r="A173" s="86"/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  <c r="BV173" s="86"/>
      <c r="BW173" s="86"/>
      <c r="BX173" s="86"/>
    </row>
    <row r="174" spans="1:76" ht="12.75">
      <c r="A174" s="86"/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  <c r="BT174" s="86"/>
      <c r="BU174" s="86"/>
      <c r="BV174" s="86"/>
      <c r="BW174" s="86"/>
      <c r="BX174" s="86"/>
    </row>
    <row r="175" spans="1:76" ht="12.75">
      <c r="A175" s="86"/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  <c r="BV175" s="86"/>
      <c r="BW175" s="86"/>
      <c r="BX175" s="86"/>
    </row>
    <row r="176" spans="1:76" ht="12.75">
      <c r="A176" s="86"/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  <c r="BV176" s="86"/>
      <c r="BW176" s="86"/>
      <c r="BX176" s="86"/>
    </row>
    <row r="177" spans="1:76" ht="12.75">
      <c r="A177" s="86"/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  <c r="BV177" s="86"/>
      <c r="BW177" s="86"/>
      <c r="BX177" s="86"/>
    </row>
    <row r="178" spans="1:76" ht="12.75">
      <c r="A178" s="86"/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  <c r="BV178" s="86"/>
      <c r="BW178" s="86"/>
      <c r="BX178" s="86"/>
    </row>
    <row r="179" spans="1:76" ht="12.75">
      <c r="A179" s="86"/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  <c r="BV179" s="86"/>
      <c r="BW179" s="86"/>
      <c r="BX179" s="86"/>
    </row>
    <row r="180" spans="1:76" ht="12.75">
      <c r="A180" s="86"/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  <c r="BT180" s="86"/>
      <c r="BU180" s="86"/>
      <c r="BV180" s="86"/>
      <c r="BW180" s="86"/>
      <c r="BX180" s="86"/>
    </row>
    <row r="181" spans="1:76" ht="12.75">
      <c r="A181" s="86"/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  <c r="BV181" s="86"/>
      <c r="BW181" s="86"/>
      <c r="BX181" s="86"/>
    </row>
    <row r="182" spans="1:76" ht="12.75">
      <c r="A182" s="86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</row>
    <row r="183" spans="1:76" ht="12.75">
      <c r="A183" s="86"/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  <c r="BX183" s="86"/>
    </row>
    <row r="184" spans="1:76" ht="12.75">
      <c r="A184" s="86"/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  <c r="BX184" s="86"/>
    </row>
    <row r="185" spans="1:76" ht="12.75">
      <c r="A185" s="86"/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</row>
    <row r="186" spans="1:76" ht="12.75">
      <c r="A186" s="86"/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86"/>
      <c r="BW186" s="86"/>
      <c r="BX186" s="86"/>
    </row>
    <row r="187" spans="1:76" ht="12.75">
      <c r="A187" s="86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86"/>
      <c r="BW187" s="86"/>
      <c r="BX187" s="86"/>
    </row>
    <row r="188" spans="1:76" ht="12.75">
      <c r="A188" s="86"/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  <c r="BV188" s="86"/>
      <c r="BW188" s="86"/>
      <c r="BX188" s="86"/>
    </row>
    <row r="189" spans="1:76" ht="12.75">
      <c r="A189" s="86"/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  <c r="BV189" s="86"/>
      <c r="BW189" s="86"/>
      <c r="BX189" s="86"/>
    </row>
    <row r="190" spans="1:76" ht="12.75">
      <c r="A190" s="86"/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6"/>
      <c r="BC190" s="86"/>
      <c r="BD190" s="86"/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  <c r="BV190" s="86"/>
      <c r="BW190" s="86"/>
      <c r="BX190" s="86"/>
    </row>
    <row r="191" spans="1:76" ht="12.75">
      <c r="A191" s="86"/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  <c r="BV191" s="86"/>
      <c r="BW191" s="86"/>
      <c r="BX191" s="86"/>
    </row>
    <row r="192" spans="1:76" ht="12.75">
      <c r="A192" s="86"/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  <c r="BV192" s="86"/>
      <c r="BW192" s="86"/>
      <c r="BX192" s="86"/>
    </row>
    <row r="193" spans="1:76" ht="12.75">
      <c r="A193" s="86"/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  <c r="BV193" s="86"/>
      <c r="BW193" s="86"/>
      <c r="BX193" s="86"/>
    </row>
    <row r="194" spans="1:76" ht="12.75">
      <c r="A194" s="86"/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  <c r="BX194" s="86"/>
    </row>
    <row r="195" spans="1:76" ht="12.75">
      <c r="A195" s="86"/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</row>
    <row r="196" spans="1:76" ht="12.75">
      <c r="A196" s="86"/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  <c r="BX196" s="86"/>
    </row>
    <row r="197" spans="1:76" ht="12.75">
      <c r="A197" s="86"/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  <c r="BV197" s="86"/>
      <c r="BW197" s="86"/>
      <c r="BX197" s="86"/>
    </row>
    <row r="198" spans="1:76" ht="12.75">
      <c r="A198" s="86"/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</row>
    <row r="199" spans="1:76" ht="12.75">
      <c r="A199" s="86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/>
      <c r="BX199" s="86"/>
    </row>
    <row r="200" spans="1:76" ht="12.75">
      <c r="A200" s="86"/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6"/>
      <c r="BC200" s="86"/>
      <c r="BD200" s="86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  <c r="BV200" s="86"/>
      <c r="BW200" s="86"/>
      <c r="BX200" s="86"/>
    </row>
    <row r="201" spans="1:76" ht="12.75">
      <c r="A201" s="86"/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  <c r="BV201" s="86"/>
      <c r="BW201" s="86"/>
      <c r="BX201" s="86"/>
    </row>
    <row r="202" spans="1:76" ht="12.75">
      <c r="A202" s="86"/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  <c r="BV202" s="86"/>
      <c r="BW202" s="86"/>
      <c r="BX202" s="86"/>
    </row>
    <row r="203" spans="1:76" ht="12.75">
      <c r="A203" s="86"/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  <c r="BV203" s="86"/>
      <c r="BW203" s="86"/>
      <c r="BX203" s="86"/>
    </row>
    <row r="204" spans="1:76" ht="12.75">
      <c r="A204" s="86"/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</row>
    <row r="205" spans="1:76" ht="12.75">
      <c r="A205" s="86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  <c r="BV205" s="86"/>
      <c r="BW205" s="86"/>
      <c r="BX205" s="86"/>
    </row>
    <row r="206" spans="1:76" ht="12.75">
      <c r="A206" s="86"/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  <c r="BV206" s="86"/>
      <c r="BW206" s="86"/>
      <c r="BX206" s="86"/>
    </row>
    <row r="207" spans="1:76" ht="12.75">
      <c r="A207" s="86"/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  <c r="BV207" s="86"/>
      <c r="BW207" s="86"/>
      <c r="BX207" s="86"/>
    </row>
    <row r="208" spans="1:76" ht="12.75">
      <c r="A208" s="86"/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86"/>
      <c r="BB208" s="86"/>
      <c r="BC208" s="86"/>
      <c r="BD208" s="86"/>
      <c r="BE208" s="86"/>
      <c r="BF208" s="86"/>
      <c r="BG208" s="86"/>
      <c r="BH208" s="86"/>
      <c r="BI208" s="86"/>
      <c r="BJ208" s="86"/>
      <c r="BK208" s="86"/>
      <c r="BL208" s="86"/>
      <c r="BM208" s="86"/>
      <c r="BN208" s="86"/>
      <c r="BO208" s="86"/>
      <c r="BP208" s="86"/>
      <c r="BQ208" s="86"/>
      <c r="BR208" s="86"/>
      <c r="BS208" s="86"/>
      <c r="BT208" s="86"/>
      <c r="BU208" s="86"/>
      <c r="BV208" s="86"/>
      <c r="BW208" s="86"/>
      <c r="BX208" s="86"/>
    </row>
    <row r="209" spans="1:76" ht="12.75">
      <c r="A209" s="86"/>
      <c r="B209" s="86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  <c r="BV209" s="86"/>
      <c r="BW209" s="86"/>
      <c r="BX209" s="86"/>
    </row>
    <row r="210" spans="1:76" ht="12.75">
      <c r="A210" s="86"/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  <c r="BV210" s="86"/>
      <c r="BW210" s="86"/>
      <c r="BX210" s="86"/>
    </row>
    <row r="211" spans="1:76" ht="12.75">
      <c r="A211" s="86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  <c r="BV211" s="86"/>
      <c r="BW211" s="86"/>
      <c r="BX211" s="86"/>
    </row>
    <row r="212" spans="1:76" ht="12.75">
      <c r="A212" s="86"/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  <c r="AZ212" s="86"/>
      <c r="BA212" s="86"/>
      <c r="BB212" s="86"/>
      <c r="BC212" s="86"/>
      <c r="BD212" s="86"/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  <c r="BT212" s="86"/>
      <c r="BU212" s="86"/>
      <c r="BV212" s="86"/>
      <c r="BW212" s="86"/>
      <c r="BX212" s="86"/>
    </row>
    <row r="213" spans="1:76" ht="12.75">
      <c r="A213" s="86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  <c r="BV213" s="86"/>
      <c r="BW213" s="86"/>
      <c r="BX213" s="86"/>
    </row>
    <row r="214" spans="1:76" ht="12.75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  <c r="BV214" s="86"/>
      <c r="BW214" s="86"/>
      <c r="BX214" s="86"/>
    </row>
    <row r="215" spans="1:76" ht="12.75">
      <c r="A215" s="86"/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  <c r="BV215" s="86"/>
      <c r="BW215" s="86"/>
      <c r="BX215" s="86"/>
    </row>
    <row r="216" spans="1:76" ht="12.75">
      <c r="A216" s="86"/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  <c r="BT216" s="86"/>
      <c r="BU216" s="86"/>
      <c r="BV216" s="86"/>
      <c r="BW216" s="86"/>
      <c r="BX216" s="86"/>
    </row>
    <row r="217" spans="1:76" ht="12.75">
      <c r="A217" s="86"/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  <c r="BV217" s="86"/>
      <c r="BW217" s="86"/>
      <c r="BX217" s="86"/>
    </row>
    <row r="218" spans="1:76" ht="12.75">
      <c r="A218" s="86"/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  <c r="BT218" s="86"/>
      <c r="BU218" s="86"/>
      <c r="BV218" s="86"/>
      <c r="BW218" s="86"/>
      <c r="BX218" s="86"/>
    </row>
    <row r="219" spans="1:76" ht="12.75">
      <c r="A219" s="86"/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  <c r="BV219" s="86"/>
      <c r="BW219" s="86"/>
      <c r="BX219" s="86"/>
    </row>
    <row r="220" spans="1:76" ht="12.75">
      <c r="A220" s="86"/>
      <c r="B220" s="86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  <c r="BV220" s="86"/>
      <c r="BW220" s="86"/>
      <c r="BX220" s="86"/>
    </row>
    <row r="221" spans="1:76" ht="12.75">
      <c r="A221" s="86"/>
      <c r="B221" s="86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  <c r="BT221" s="86"/>
      <c r="BU221" s="86"/>
      <c r="BV221" s="86"/>
      <c r="BW221" s="86"/>
      <c r="BX221" s="86"/>
    </row>
    <row r="222" spans="1:76" ht="12.75">
      <c r="A222" s="86"/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  <c r="BT222" s="86"/>
      <c r="BU222" s="86"/>
      <c r="BV222" s="86"/>
      <c r="BW222" s="86"/>
      <c r="BX222" s="86"/>
    </row>
    <row r="223" spans="1:76" ht="12.75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86"/>
      <c r="BB223" s="86"/>
      <c r="BC223" s="86"/>
      <c r="BD223" s="86"/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  <c r="BT223" s="86"/>
      <c r="BU223" s="86"/>
      <c r="BV223" s="86"/>
      <c r="BW223" s="86"/>
      <c r="BX223" s="86"/>
    </row>
    <row r="224" spans="1:76" ht="12.75">
      <c r="A224" s="86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  <c r="BV224" s="86"/>
      <c r="BW224" s="86"/>
      <c r="BX224" s="86"/>
    </row>
    <row r="225" spans="1:76" ht="12.75">
      <c r="A225" s="86"/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  <c r="BV225" s="86"/>
      <c r="BW225" s="86"/>
      <c r="BX225" s="86"/>
    </row>
    <row r="226" spans="1:76" ht="12.75">
      <c r="A226" s="86"/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  <c r="AY226" s="86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  <c r="BV226" s="86"/>
      <c r="BW226" s="86"/>
      <c r="BX226" s="86"/>
    </row>
    <row r="227" spans="1:76" ht="12.75">
      <c r="A227" s="86"/>
      <c r="B227" s="86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  <c r="BV227" s="86"/>
      <c r="BW227" s="86"/>
      <c r="BX227" s="86"/>
    </row>
    <row r="228" spans="1:76" ht="12.75">
      <c r="A228" s="86"/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  <c r="BO228" s="86"/>
      <c r="BP228" s="86"/>
      <c r="BQ228" s="86"/>
      <c r="BR228" s="86"/>
      <c r="BS228" s="86"/>
      <c r="BT228" s="86"/>
      <c r="BU228" s="86"/>
      <c r="BV228" s="86"/>
      <c r="BW228" s="86"/>
      <c r="BX228" s="86"/>
    </row>
    <row r="229" spans="1:76" ht="12.75">
      <c r="A229" s="86"/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  <c r="BV229" s="86"/>
      <c r="BW229" s="86"/>
      <c r="BX229" s="86"/>
    </row>
    <row r="230" spans="1:76" ht="12.75">
      <c r="A230" s="86"/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6"/>
      <c r="AY230" s="86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  <c r="BT230" s="86"/>
      <c r="BU230" s="86"/>
      <c r="BV230" s="86"/>
      <c r="BW230" s="86"/>
      <c r="BX230" s="86"/>
    </row>
    <row r="231" spans="1:76" ht="12.75">
      <c r="A231" s="86"/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  <c r="BV231" s="86"/>
      <c r="BW231" s="86"/>
      <c r="BX231" s="86"/>
    </row>
    <row r="232" spans="1:76" ht="12.75">
      <c r="A232" s="86"/>
      <c r="B232" s="86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86"/>
      <c r="AP232" s="86"/>
      <c r="AQ232" s="86"/>
      <c r="AR232" s="86"/>
      <c r="AS232" s="86"/>
      <c r="AT232" s="86"/>
      <c r="AU232" s="86"/>
      <c r="AV232" s="86"/>
      <c r="AW232" s="86"/>
      <c r="AX232" s="86"/>
      <c r="AY232" s="86"/>
      <c r="AZ232" s="86"/>
      <c r="BA232" s="86"/>
      <c r="BB232" s="86"/>
      <c r="BC232" s="86"/>
      <c r="BD232" s="86"/>
      <c r="BE232" s="86"/>
      <c r="BF232" s="86"/>
      <c r="BG232" s="86"/>
      <c r="BH232" s="86"/>
      <c r="BI232" s="86"/>
      <c r="BJ232" s="86"/>
      <c r="BK232" s="86"/>
      <c r="BL232" s="86"/>
      <c r="BM232" s="86"/>
      <c r="BN232" s="86"/>
      <c r="BO232" s="86"/>
      <c r="BP232" s="86"/>
      <c r="BQ232" s="86"/>
      <c r="BR232" s="86"/>
      <c r="BS232" s="86"/>
      <c r="BT232" s="86"/>
      <c r="BU232" s="86"/>
      <c r="BV232" s="86"/>
      <c r="BW232" s="86"/>
      <c r="BX232" s="86"/>
    </row>
    <row r="233" spans="1:76" ht="12.75">
      <c r="A233" s="86"/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  <c r="BU233" s="86"/>
      <c r="BV233" s="86"/>
      <c r="BW233" s="86"/>
      <c r="BX233" s="86"/>
    </row>
    <row r="234" spans="1:76" ht="12.75">
      <c r="A234" s="86"/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  <c r="BK234" s="86"/>
      <c r="BL234" s="86"/>
      <c r="BM234" s="86"/>
      <c r="BN234" s="86"/>
      <c r="BO234" s="86"/>
      <c r="BP234" s="86"/>
      <c r="BQ234" s="86"/>
      <c r="BR234" s="86"/>
      <c r="BS234" s="86"/>
      <c r="BT234" s="86"/>
      <c r="BU234" s="86"/>
      <c r="BV234" s="86"/>
      <c r="BW234" s="86"/>
      <c r="BX234" s="86"/>
    </row>
    <row r="235" spans="1:76" ht="12.75">
      <c r="A235" s="86"/>
      <c r="B235" s="86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  <c r="AZ235" s="86"/>
      <c r="BA235" s="86"/>
      <c r="BB235" s="86"/>
      <c r="BC235" s="86"/>
      <c r="BD235" s="86"/>
      <c r="BE235" s="86"/>
      <c r="BF235" s="86"/>
      <c r="BG235" s="86"/>
      <c r="BH235" s="86"/>
      <c r="BI235" s="86"/>
      <c r="BJ235" s="86"/>
      <c r="BK235" s="86"/>
      <c r="BL235" s="86"/>
      <c r="BM235" s="86"/>
      <c r="BN235" s="86"/>
      <c r="BO235" s="86"/>
      <c r="BP235" s="86"/>
      <c r="BQ235" s="86"/>
      <c r="BR235" s="86"/>
      <c r="BS235" s="86"/>
      <c r="BT235" s="86"/>
      <c r="BU235" s="86"/>
      <c r="BV235" s="86"/>
      <c r="BW235" s="86"/>
      <c r="BX235" s="86"/>
    </row>
    <row r="236" spans="1:76" ht="12.75">
      <c r="A236" s="86"/>
      <c r="B236" s="86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86"/>
      <c r="AY236" s="86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  <c r="BO236" s="86"/>
      <c r="BP236" s="86"/>
      <c r="BQ236" s="86"/>
      <c r="BR236" s="86"/>
      <c r="BS236" s="86"/>
      <c r="BT236" s="86"/>
      <c r="BU236" s="86"/>
      <c r="BV236" s="86"/>
      <c r="BW236" s="86"/>
      <c r="BX236" s="86"/>
    </row>
    <row r="237" spans="1:76" ht="12.75">
      <c r="A237" s="86"/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  <c r="BT237" s="86"/>
      <c r="BU237" s="86"/>
      <c r="BV237" s="86"/>
      <c r="BW237" s="86"/>
      <c r="BX237" s="86"/>
    </row>
    <row r="238" spans="1:76" ht="12.75">
      <c r="A238" s="86"/>
      <c r="B238" s="86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  <c r="BT238" s="86"/>
      <c r="BU238" s="86"/>
      <c r="BV238" s="86"/>
      <c r="BW238" s="86"/>
      <c r="BX238" s="86"/>
    </row>
    <row r="239" spans="1:76" ht="12.75">
      <c r="A239" s="86"/>
      <c r="B239" s="86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T239" s="86"/>
      <c r="AU239" s="86"/>
      <c r="AV239" s="86"/>
      <c r="AW239" s="86"/>
      <c r="AX239" s="86"/>
      <c r="AY239" s="86"/>
      <c r="AZ239" s="86"/>
      <c r="BA239" s="86"/>
      <c r="BB239" s="86"/>
      <c r="BC239" s="86"/>
      <c r="BD239" s="86"/>
      <c r="BE239" s="86"/>
      <c r="BF239" s="86"/>
      <c r="BG239" s="86"/>
      <c r="BH239" s="86"/>
      <c r="BI239" s="86"/>
      <c r="BJ239" s="86"/>
      <c r="BK239" s="86"/>
      <c r="BL239" s="86"/>
      <c r="BM239" s="86"/>
      <c r="BN239" s="86"/>
      <c r="BO239" s="86"/>
      <c r="BP239" s="86"/>
      <c r="BQ239" s="86"/>
      <c r="BR239" s="86"/>
      <c r="BS239" s="86"/>
      <c r="BT239" s="86"/>
      <c r="BU239" s="86"/>
      <c r="BV239" s="86"/>
      <c r="BW239" s="86"/>
      <c r="BX239" s="86"/>
    </row>
    <row r="240" spans="1:76" ht="12.75">
      <c r="A240" s="86"/>
      <c r="B240" s="86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  <c r="BV240" s="86"/>
      <c r="BW240" s="86"/>
      <c r="BX240" s="86"/>
    </row>
    <row r="241" spans="1:76" ht="12.75">
      <c r="A241" s="86"/>
      <c r="B241" s="86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  <c r="AX241" s="86"/>
      <c r="AY241" s="86"/>
      <c r="AZ241" s="86"/>
      <c r="BA241" s="86"/>
      <c r="BB241" s="86"/>
      <c r="BC241" s="86"/>
      <c r="BD241" s="86"/>
      <c r="BE241" s="86"/>
      <c r="BF241" s="86"/>
      <c r="BG241" s="86"/>
      <c r="BH241" s="86"/>
      <c r="BI241" s="86"/>
      <c r="BJ241" s="86"/>
      <c r="BK241" s="86"/>
      <c r="BL241" s="86"/>
      <c r="BM241" s="86"/>
      <c r="BN241" s="86"/>
      <c r="BO241" s="86"/>
      <c r="BP241" s="86"/>
      <c r="BQ241" s="86"/>
      <c r="BR241" s="86"/>
      <c r="BS241" s="86"/>
      <c r="BT241" s="86"/>
      <c r="BU241" s="86"/>
      <c r="BV241" s="86"/>
      <c r="BW241" s="86"/>
      <c r="BX241" s="86"/>
    </row>
    <row r="242" spans="1:76" ht="12.75">
      <c r="A242" s="86"/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R242" s="86"/>
      <c r="AS242" s="86"/>
      <c r="AT242" s="86"/>
      <c r="AU242" s="86"/>
      <c r="AV242" s="86"/>
      <c r="AW242" s="86"/>
      <c r="AX242" s="86"/>
      <c r="AY242" s="86"/>
      <c r="AZ242" s="86"/>
      <c r="BA242" s="86"/>
      <c r="BB242" s="86"/>
      <c r="BC242" s="86"/>
      <c r="BD242" s="86"/>
      <c r="BE242" s="86"/>
      <c r="BF242" s="86"/>
      <c r="BG242" s="86"/>
      <c r="BH242" s="86"/>
      <c r="BI242" s="86"/>
      <c r="BJ242" s="86"/>
      <c r="BK242" s="86"/>
      <c r="BL242" s="86"/>
      <c r="BM242" s="86"/>
      <c r="BN242" s="86"/>
      <c r="BO242" s="86"/>
      <c r="BP242" s="86"/>
      <c r="BQ242" s="86"/>
      <c r="BR242" s="86"/>
      <c r="BS242" s="86"/>
      <c r="BT242" s="86"/>
      <c r="BU242" s="86"/>
      <c r="BV242" s="86"/>
      <c r="BW242" s="86"/>
      <c r="BX242" s="86"/>
    </row>
    <row r="243" spans="1:76" ht="12.75">
      <c r="A243" s="86"/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  <c r="BV243" s="86"/>
      <c r="BW243" s="86"/>
      <c r="BX243" s="86"/>
    </row>
    <row r="244" spans="1:76" ht="12.75">
      <c r="A244" s="86"/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  <c r="AR244" s="86"/>
      <c r="AS244" s="86"/>
      <c r="AT244" s="86"/>
      <c r="AU244" s="86"/>
      <c r="AV244" s="86"/>
      <c r="AW244" s="86"/>
      <c r="AX244" s="86"/>
      <c r="AY244" s="86"/>
      <c r="AZ244" s="86"/>
      <c r="BA244" s="86"/>
      <c r="BB244" s="86"/>
      <c r="BC244" s="86"/>
      <c r="BD244" s="86"/>
      <c r="BE244" s="86"/>
      <c r="BF244" s="86"/>
      <c r="BG244" s="86"/>
      <c r="BH244" s="86"/>
      <c r="BI244" s="86"/>
      <c r="BJ244" s="86"/>
      <c r="BK244" s="86"/>
      <c r="BL244" s="86"/>
      <c r="BM244" s="86"/>
      <c r="BN244" s="86"/>
      <c r="BO244" s="86"/>
      <c r="BP244" s="86"/>
      <c r="BQ244" s="86"/>
      <c r="BR244" s="86"/>
      <c r="BS244" s="86"/>
      <c r="BT244" s="86"/>
      <c r="BU244" s="86"/>
      <c r="BV244" s="86"/>
      <c r="BW244" s="86"/>
      <c r="BX244" s="86"/>
    </row>
    <row r="245" spans="1:76" ht="12.75">
      <c r="A245" s="86"/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86"/>
      <c r="BW245" s="86"/>
      <c r="BX245" s="86"/>
    </row>
    <row r="246" spans="1:76" ht="12.75">
      <c r="A246" s="86"/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86"/>
      <c r="AY246" s="86"/>
      <c r="AZ246" s="86"/>
      <c r="BA246" s="86"/>
      <c r="BB246" s="86"/>
      <c r="BC246" s="86"/>
      <c r="BD246" s="86"/>
      <c r="BE246" s="86"/>
      <c r="BF246" s="86"/>
      <c r="BG246" s="86"/>
      <c r="BH246" s="86"/>
      <c r="BI246" s="86"/>
      <c r="BJ246" s="86"/>
      <c r="BK246" s="86"/>
      <c r="BL246" s="86"/>
      <c r="BM246" s="86"/>
      <c r="BN246" s="86"/>
      <c r="BO246" s="86"/>
      <c r="BP246" s="86"/>
      <c r="BQ246" s="86"/>
      <c r="BR246" s="86"/>
      <c r="BS246" s="86"/>
      <c r="BT246" s="86"/>
      <c r="BU246" s="86"/>
      <c r="BV246" s="86"/>
      <c r="BW246" s="86"/>
      <c r="BX246" s="86"/>
    </row>
    <row r="247" spans="1:76" ht="12.75">
      <c r="A247" s="86"/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6"/>
      <c r="AY247" s="86"/>
      <c r="AZ247" s="86"/>
      <c r="BA247" s="86"/>
      <c r="BB247" s="86"/>
      <c r="BC247" s="86"/>
      <c r="BD247" s="86"/>
      <c r="BE247" s="86"/>
      <c r="BF247" s="86"/>
      <c r="BG247" s="86"/>
      <c r="BH247" s="86"/>
      <c r="BI247" s="86"/>
      <c r="BJ247" s="86"/>
      <c r="BK247" s="86"/>
      <c r="BL247" s="86"/>
      <c r="BM247" s="86"/>
      <c r="BN247" s="86"/>
      <c r="BO247" s="86"/>
      <c r="BP247" s="86"/>
      <c r="BQ247" s="86"/>
      <c r="BR247" s="86"/>
      <c r="BS247" s="86"/>
      <c r="BT247" s="86"/>
      <c r="BU247" s="86"/>
      <c r="BV247" s="86"/>
      <c r="BW247" s="86"/>
      <c r="BX247" s="86"/>
    </row>
    <row r="248" spans="1:76" ht="12.75">
      <c r="A248" s="86"/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  <c r="AS248" s="86"/>
      <c r="AT248" s="86"/>
      <c r="AU248" s="86"/>
      <c r="AV248" s="86"/>
      <c r="AW248" s="86"/>
      <c r="AX248" s="86"/>
      <c r="AY248" s="86"/>
      <c r="AZ248" s="86"/>
      <c r="BA248" s="86"/>
      <c r="BB248" s="86"/>
      <c r="BC248" s="86"/>
      <c r="BD248" s="86"/>
      <c r="BE248" s="86"/>
      <c r="BF248" s="86"/>
      <c r="BG248" s="86"/>
      <c r="BH248" s="86"/>
      <c r="BI248" s="86"/>
      <c r="BJ248" s="86"/>
      <c r="BK248" s="86"/>
      <c r="BL248" s="86"/>
      <c r="BM248" s="86"/>
      <c r="BN248" s="86"/>
      <c r="BO248" s="86"/>
      <c r="BP248" s="86"/>
      <c r="BQ248" s="86"/>
      <c r="BR248" s="86"/>
      <c r="BS248" s="86"/>
      <c r="BT248" s="86"/>
      <c r="BU248" s="86"/>
      <c r="BV248" s="86"/>
      <c r="BW248" s="86"/>
      <c r="BX248" s="86"/>
    </row>
    <row r="249" spans="1:76" ht="12.75">
      <c r="A249" s="86"/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  <c r="AQ249" s="86"/>
      <c r="AR249" s="86"/>
      <c r="AS249" s="86"/>
      <c r="AT249" s="86"/>
      <c r="AU249" s="86"/>
      <c r="AV249" s="86"/>
      <c r="AW249" s="86"/>
      <c r="AX249" s="86"/>
      <c r="AY249" s="86"/>
      <c r="AZ249" s="86"/>
      <c r="BA249" s="86"/>
      <c r="BB249" s="86"/>
      <c r="BC249" s="86"/>
      <c r="BD249" s="86"/>
      <c r="BE249" s="86"/>
      <c r="BF249" s="86"/>
      <c r="BG249" s="86"/>
      <c r="BH249" s="86"/>
      <c r="BI249" s="86"/>
      <c r="BJ249" s="86"/>
      <c r="BK249" s="86"/>
      <c r="BL249" s="86"/>
      <c r="BM249" s="86"/>
      <c r="BN249" s="86"/>
      <c r="BO249" s="86"/>
      <c r="BP249" s="86"/>
      <c r="BQ249" s="86"/>
      <c r="BR249" s="86"/>
      <c r="BS249" s="86"/>
      <c r="BT249" s="86"/>
      <c r="BU249" s="86"/>
      <c r="BV249" s="86"/>
      <c r="BW249" s="86"/>
      <c r="BX249" s="86"/>
    </row>
    <row r="250" spans="1:76" ht="12.75">
      <c r="A250" s="86"/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86"/>
      <c r="AY250" s="86"/>
      <c r="AZ250" s="86"/>
      <c r="BA250" s="86"/>
      <c r="BB250" s="86"/>
      <c r="BC250" s="86"/>
      <c r="BD250" s="86"/>
      <c r="BE250" s="86"/>
      <c r="BF250" s="86"/>
      <c r="BG250" s="86"/>
      <c r="BH250" s="86"/>
      <c r="BI250" s="86"/>
      <c r="BJ250" s="86"/>
      <c r="BK250" s="86"/>
      <c r="BL250" s="86"/>
      <c r="BM250" s="86"/>
      <c r="BN250" s="86"/>
      <c r="BO250" s="86"/>
      <c r="BP250" s="86"/>
      <c r="BQ250" s="86"/>
      <c r="BR250" s="86"/>
      <c r="BS250" s="86"/>
      <c r="BT250" s="86"/>
      <c r="BU250" s="86"/>
      <c r="BV250" s="86"/>
      <c r="BW250" s="86"/>
      <c r="BX250" s="86"/>
    </row>
    <row r="251" spans="1:76" ht="12.75">
      <c r="A251" s="86"/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  <c r="BV251" s="86"/>
      <c r="BW251" s="86"/>
      <c r="BX251" s="86"/>
    </row>
    <row r="252" spans="1:76" ht="12.75">
      <c r="A252" s="86"/>
      <c r="B252" s="86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86"/>
      <c r="AY252" s="86"/>
      <c r="AZ252" s="86"/>
      <c r="BA252" s="86"/>
      <c r="BB252" s="86"/>
      <c r="BC252" s="86"/>
      <c r="BD252" s="86"/>
      <c r="BE252" s="86"/>
      <c r="BF252" s="86"/>
      <c r="BG252" s="86"/>
      <c r="BH252" s="86"/>
      <c r="BI252" s="86"/>
      <c r="BJ252" s="86"/>
      <c r="BK252" s="86"/>
      <c r="BL252" s="86"/>
      <c r="BM252" s="86"/>
      <c r="BN252" s="86"/>
      <c r="BO252" s="86"/>
      <c r="BP252" s="86"/>
      <c r="BQ252" s="86"/>
      <c r="BR252" s="86"/>
      <c r="BS252" s="86"/>
      <c r="BT252" s="86"/>
      <c r="BU252" s="86"/>
      <c r="BV252" s="86"/>
      <c r="BW252" s="86"/>
      <c r="BX252" s="86"/>
    </row>
    <row r="253" spans="1:76" ht="12.75">
      <c r="A253" s="86"/>
      <c r="B253" s="86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  <c r="AR253" s="86"/>
      <c r="AS253" s="86"/>
      <c r="AT253" s="86"/>
      <c r="AU253" s="86"/>
      <c r="AV253" s="86"/>
      <c r="AW253" s="86"/>
      <c r="AX253" s="86"/>
      <c r="AY253" s="86"/>
      <c r="AZ253" s="86"/>
      <c r="BA253" s="86"/>
      <c r="BB253" s="86"/>
      <c r="BC253" s="86"/>
      <c r="BD253" s="86"/>
      <c r="BE253" s="86"/>
      <c r="BF253" s="86"/>
      <c r="BG253" s="86"/>
      <c r="BH253" s="86"/>
      <c r="BI253" s="86"/>
      <c r="BJ253" s="86"/>
      <c r="BK253" s="86"/>
      <c r="BL253" s="86"/>
      <c r="BM253" s="86"/>
      <c r="BN253" s="86"/>
      <c r="BO253" s="86"/>
      <c r="BP253" s="86"/>
      <c r="BQ253" s="86"/>
      <c r="BR253" s="86"/>
      <c r="BS253" s="86"/>
      <c r="BT253" s="86"/>
      <c r="BU253" s="86"/>
      <c r="BV253" s="86"/>
      <c r="BW253" s="86"/>
      <c r="BX253" s="86"/>
    </row>
    <row r="254" spans="1:76" ht="12.75">
      <c r="A254" s="86"/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  <c r="BA254" s="86"/>
      <c r="BB254" s="86"/>
      <c r="BC254" s="86"/>
      <c r="BD254" s="86"/>
      <c r="BE254" s="86"/>
      <c r="BF254" s="86"/>
      <c r="BG254" s="86"/>
      <c r="BH254" s="86"/>
      <c r="BI254" s="86"/>
      <c r="BJ254" s="86"/>
      <c r="BK254" s="86"/>
      <c r="BL254" s="86"/>
      <c r="BM254" s="86"/>
      <c r="BN254" s="86"/>
      <c r="BO254" s="86"/>
      <c r="BP254" s="86"/>
      <c r="BQ254" s="86"/>
      <c r="BR254" s="86"/>
      <c r="BS254" s="86"/>
      <c r="BT254" s="86"/>
      <c r="BU254" s="86"/>
      <c r="BV254" s="86"/>
      <c r="BW254" s="86"/>
      <c r="BX254" s="86"/>
    </row>
    <row r="255" spans="1:76" ht="12.75">
      <c r="A255" s="86"/>
      <c r="B255" s="86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  <c r="BA255" s="86"/>
      <c r="BB255" s="86"/>
      <c r="BC255" s="86"/>
      <c r="BD255" s="86"/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  <c r="BO255" s="86"/>
      <c r="BP255" s="86"/>
      <c r="BQ255" s="86"/>
      <c r="BR255" s="86"/>
      <c r="BS255" s="86"/>
      <c r="BT255" s="86"/>
      <c r="BU255" s="86"/>
      <c r="BV255" s="86"/>
      <c r="BW255" s="86"/>
      <c r="BX255" s="86"/>
    </row>
    <row r="256" spans="1:76" ht="12.75">
      <c r="A256" s="86"/>
      <c r="B256" s="86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  <c r="AZ256" s="86"/>
      <c r="BA256" s="86"/>
      <c r="BB256" s="86"/>
      <c r="BC256" s="86"/>
      <c r="BD256" s="86"/>
      <c r="BE256" s="86"/>
      <c r="BF256" s="86"/>
      <c r="BG256" s="86"/>
      <c r="BH256" s="86"/>
      <c r="BI256" s="86"/>
      <c r="BJ256" s="86"/>
      <c r="BK256" s="86"/>
      <c r="BL256" s="86"/>
      <c r="BM256" s="86"/>
      <c r="BN256" s="86"/>
      <c r="BO256" s="86"/>
      <c r="BP256" s="86"/>
      <c r="BQ256" s="86"/>
      <c r="BR256" s="86"/>
      <c r="BS256" s="86"/>
      <c r="BT256" s="86"/>
      <c r="BU256" s="86"/>
      <c r="BV256" s="86"/>
      <c r="BW256" s="86"/>
      <c r="BX256" s="86"/>
    </row>
    <row r="257" spans="1:76" ht="12.75">
      <c r="A257" s="86"/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  <c r="BV257" s="86"/>
      <c r="BW257" s="86"/>
      <c r="BX257" s="86"/>
    </row>
    <row r="258" spans="1:76" ht="12.75">
      <c r="A258" s="86"/>
      <c r="B258" s="86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86"/>
      <c r="AY258" s="86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  <c r="BO258" s="86"/>
      <c r="BP258" s="86"/>
      <c r="BQ258" s="86"/>
      <c r="BR258" s="86"/>
      <c r="BS258" s="86"/>
      <c r="BT258" s="86"/>
      <c r="BU258" s="86"/>
      <c r="BV258" s="86"/>
      <c r="BW258" s="86"/>
      <c r="BX258" s="86"/>
    </row>
    <row r="259" spans="1:76" ht="12.75">
      <c r="A259" s="86"/>
      <c r="B259" s="86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  <c r="AY259" s="86"/>
      <c r="AZ259" s="86"/>
      <c r="BA259" s="86"/>
      <c r="BB259" s="86"/>
      <c r="BC259" s="86"/>
      <c r="BD259" s="86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  <c r="BT259" s="86"/>
      <c r="BU259" s="86"/>
      <c r="BV259" s="86"/>
      <c r="BW259" s="86"/>
      <c r="BX259" s="86"/>
    </row>
    <row r="260" spans="1:76" ht="12.75">
      <c r="A260" s="86"/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  <c r="AY260" s="86"/>
      <c r="AZ260" s="86"/>
      <c r="BA260" s="86"/>
      <c r="BB260" s="86"/>
      <c r="BC260" s="86"/>
      <c r="BD260" s="86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  <c r="BO260" s="86"/>
      <c r="BP260" s="86"/>
      <c r="BQ260" s="86"/>
      <c r="BR260" s="86"/>
      <c r="BS260" s="86"/>
      <c r="BT260" s="86"/>
      <c r="BU260" s="86"/>
      <c r="BV260" s="86"/>
      <c r="BW260" s="86"/>
      <c r="BX260" s="86"/>
    </row>
    <row r="261" spans="1:76" ht="12.75">
      <c r="A261" s="86"/>
      <c r="B261" s="86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6"/>
      <c r="AY261" s="86"/>
      <c r="AZ261" s="86"/>
      <c r="BA261" s="86"/>
      <c r="BB261" s="86"/>
      <c r="BC261" s="86"/>
      <c r="BD261" s="86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6"/>
      <c r="BQ261" s="86"/>
      <c r="BR261" s="86"/>
      <c r="BS261" s="86"/>
      <c r="BT261" s="86"/>
      <c r="BU261" s="86"/>
      <c r="BV261" s="86"/>
      <c r="BW261" s="86"/>
      <c r="BX261" s="86"/>
    </row>
    <row r="262" spans="1:76" ht="12.75">
      <c r="A262" s="86"/>
      <c r="B262" s="86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  <c r="BV262" s="86"/>
      <c r="BW262" s="86"/>
      <c r="BX262" s="86"/>
    </row>
    <row r="263" spans="1:76" ht="12.75">
      <c r="A263" s="86"/>
      <c r="B263" s="86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6"/>
      <c r="BQ263" s="86"/>
      <c r="BR263" s="86"/>
      <c r="BS263" s="86"/>
      <c r="BT263" s="86"/>
      <c r="BU263" s="86"/>
      <c r="BV263" s="86"/>
      <c r="BW263" s="86"/>
      <c r="BX263" s="86"/>
    </row>
    <row r="264" spans="1:76" ht="12.75">
      <c r="A264" s="86"/>
      <c r="B264" s="86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86"/>
      <c r="AY264" s="86"/>
      <c r="AZ264" s="86"/>
      <c r="BA264" s="86"/>
      <c r="BB264" s="86"/>
      <c r="BC264" s="86"/>
      <c r="BD264" s="86"/>
      <c r="BE264" s="86"/>
      <c r="BF264" s="86"/>
      <c r="BG264" s="86"/>
      <c r="BH264" s="86"/>
      <c r="BI264" s="86"/>
      <c r="BJ264" s="86"/>
      <c r="BK264" s="86"/>
      <c r="BL264" s="86"/>
      <c r="BM264" s="86"/>
      <c r="BN264" s="86"/>
      <c r="BO264" s="86"/>
      <c r="BP264" s="86"/>
      <c r="BQ264" s="86"/>
      <c r="BR264" s="86"/>
      <c r="BS264" s="86"/>
      <c r="BT264" s="86"/>
      <c r="BU264" s="86"/>
      <c r="BV264" s="86"/>
      <c r="BW264" s="86"/>
      <c r="BX264" s="86"/>
    </row>
    <row r="265" spans="1:76" ht="12.75">
      <c r="A265" s="86"/>
      <c r="B265" s="86"/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  <c r="AX265" s="86"/>
      <c r="AY265" s="86"/>
      <c r="AZ265" s="86"/>
      <c r="BA265" s="86"/>
      <c r="BB265" s="86"/>
      <c r="BC265" s="86"/>
      <c r="BD265" s="86"/>
      <c r="BE265" s="86"/>
      <c r="BF265" s="86"/>
      <c r="BG265" s="86"/>
      <c r="BH265" s="86"/>
      <c r="BI265" s="86"/>
      <c r="BJ265" s="86"/>
      <c r="BK265" s="86"/>
      <c r="BL265" s="86"/>
      <c r="BM265" s="86"/>
      <c r="BN265" s="86"/>
      <c r="BO265" s="86"/>
      <c r="BP265" s="86"/>
      <c r="BQ265" s="86"/>
      <c r="BR265" s="86"/>
      <c r="BS265" s="86"/>
      <c r="BT265" s="86"/>
      <c r="BU265" s="86"/>
      <c r="BV265" s="86"/>
      <c r="BW265" s="86"/>
      <c r="BX265" s="86"/>
    </row>
    <row r="266" spans="1:76" ht="12.75">
      <c r="A266" s="86"/>
      <c r="B266" s="86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86"/>
      <c r="AY266" s="86"/>
      <c r="AZ266" s="86"/>
      <c r="BA266" s="86"/>
      <c r="BB266" s="86"/>
      <c r="BC266" s="86"/>
      <c r="BD266" s="86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6"/>
      <c r="BQ266" s="86"/>
      <c r="BR266" s="86"/>
      <c r="BS266" s="86"/>
      <c r="BT266" s="86"/>
      <c r="BU266" s="86"/>
      <c r="BV266" s="86"/>
      <c r="BW266" s="86"/>
      <c r="BX266" s="86"/>
    </row>
    <row r="267" spans="1:76" ht="12.75">
      <c r="A267" s="86"/>
      <c r="B267" s="86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  <c r="BV267" s="86"/>
      <c r="BW267" s="86"/>
      <c r="BX267" s="86"/>
    </row>
    <row r="268" spans="1:76" ht="12.75">
      <c r="A268" s="86"/>
      <c r="B268" s="86"/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  <c r="BT268" s="86"/>
      <c r="BU268" s="86"/>
      <c r="BV268" s="86"/>
      <c r="BW268" s="86"/>
      <c r="BX268" s="86"/>
    </row>
    <row r="269" spans="1:76" ht="12.75">
      <c r="A269" s="86"/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  <c r="BT269" s="86"/>
      <c r="BU269" s="86"/>
      <c r="BV269" s="86"/>
      <c r="BW269" s="86"/>
      <c r="BX269" s="86"/>
    </row>
    <row r="270" spans="1:76" ht="12.75">
      <c r="A270" s="86"/>
      <c r="B270" s="86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  <c r="AR270" s="86"/>
      <c r="AS270" s="86"/>
      <c r="AT270" s="86"/>
      <c r="AU270" s="86"/>
      <c r="AV270" s="86"/>
      <c r="AW270" s="86"/>
      <c r="AX270" s="86"/>
      <c r="AY270" s="86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  <c r="BT270" s="86"/>
      <c r="BU270" s="86"/>
      <c r="BV270" s="86"/>
      <c r="BW270" s="86"/>
      <c r="BX270" s="86"/>
    </row>
    <row r="271" spans="1:76" ht="12.75">
      <c r="A271" s="86"/>
      <c r="B271" s="86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86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  <c r="BS271" s="86"/>
      <c r="BT271" s="86"/>
      <c r="BU271" s="86"/>
      <c r="BV271" s="86"/>
      <c r="BW271" s="86"/>
      <c r="BX271" s="86"/>
    </row>
    <row r="272" spans="1:76" ht="12.75">
      <c r="A272" s="86"/>
      <c r="B272" s="86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86"/>
      <c r="AO272" s="86"/>
      <c r="AP272" s="86"/>
      <c r="AQ272" s="86"/>
      <c r="AR272" s="86"/>
      <c r="AS272" s="86"/>
      <c r="AT272" s="86"/>
      <c r="AU272" s="86"/>
      <c r="AV272" s="86"/>
      <c r="AW272" s="86"/>
      <c r="AX272" s="86"/>
      <c r="AY272" s="86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/>
      <c r="BV272" s="86"/>
      <c r="BW272" s="86"/>
      <c r="BX272" s="86"/>
    </row>
    <row r="273" spans="1:76" ht="12.75">
      <c r="A273" s="86"/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86"/>
      <c r="AP273" s="86"/>
      <c r="AQ273" s="86"/>
      <c r="AR273" s="86"/>
      <c r="AS273" s="86"/>
      <c r="AT273" s="86"/>
      <c r="AU273" s="86"/>
      <c r="AV273" s="86"/>
      <c r="AW273" s="86"/>
      <c r="AX273" s="86"/>
      <c r="AY273" s="86"/>
      <c r="AZ273" s="86"/>
      <c r="BA273" s="86"/>
      <c r="BB273" s="86"/>
      <c r="BC273" s="86"/>
      <c r="BD273" s="86"/>
      <c r="BE273" s="86"/>
      <c r="BF273" s="86"/>
      <c r="BG273" s="86"/>
      <c r="BH273" s="86"/>
      <c r="BI273" s="86"/>
      <c r="BJ273" s="86"/>
      <c r="BK273" s="86"/>
      <c r="BL273" s="86"/>
      <c r="BM273" s="86"/>
      <c r="BN273" s="86"/>
      <c r="BO273" s="86"/>
      <c r="BP273" s="86"/>
      <c r="BQ273" s="86"/>
      <c r="BR273" s="86"/>
      <c r="BS273" s="86"/>
      <c r="BT273" s="86"/>
      <c r="BU273" s="86"/>
      <c r="BV273" s="86"/>
      <c r="BW273" s="86"/>
      <c r="BX273" s="86"/>
    </row>
    <row r="274" spans="1:76" ht="12.75">
      <c r="A274" s="86"/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86"/>
      <c r="AO274" s="86"/>
      <c r="AP274" s="86"/>
      <c r="AQ274" s="86"/>
      <c r="AR274" s="86"/>
      <c r="AS274" s="86"/>
      <c r="AT274" s="86"/>
      <c r="AU274" s="86"/>
      <c r="AV274" s="86"/>
      <c r="AW274" s="86"/>
      <c r="AX274" s="86"/>
      <c r="AY274" s="86"/>
      <c r="AZ274" s="86"/>
      <c r="BA274" s="86"/>
      <c r="BB274" s="86"/>
      <c r="BC274" s="86"/>
      <c r="BD274" s="86"/>
      <c r="BE274" s="86"/>
      <c r="BF274" s="86"/>
      <c r="BG274" s="86"/>
      <c r="BH274" s="86"/>
      <c r="BI274" s="86"/>
      <c r="BJ274" s="86"/>
      <c r="BK274" s="86"/>
      <c r="BL274" s="86"/>
      <c r="BM274" s="86"/>
      <c r="BN274" s="86"/>
      <c r="BO274" s="86"/>
      <c r="BP274" s="86"/>
      <c r="BQ274" s="86"/>
      <c r="BR274" s="86"/>
      <c r="BS274" s="86"/>
      <c r="BT274" s="86"/>
      <c r="BU274" s="86"/>
      <c r="BV274" s="86"/>
      <c r="BW274" s="86"/>
      <c r="BX274" s="86"/>
    </row>
    <row r="275" spans="1:76" ht="12.75">
      <c r="A275" s="86"/>
      <c r="B275" s="86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86"/>
      <c r="AY275" s="86"/>
      <c r="AZ275" s="86"/>
      <c r="BA275" s="86"/>
      <c r="BB275" s="86"/>
      <c r="BC275" s="86"/>
      <c r="BD275" s="86"/>
      <c r="BE275" s="86"/>
      <c r="BF275" s="86"/>
      <c r="BG275" s="86"/>
      <c r="BH275" s="86"/>
      <c r="BI275" s="86"/>
      <c r="BJ275" s="86"/>
      <c r="BK275" s="86"/>
      <c r="BL275" s="86"/>
      <c r="BM275" s="86"/>
      <c r="BN275" s="86"/>
      <c r="BO275" s="86"/>
      <c r="BP275" s="86"/>
      <c r="BQ275" s="86"/>
      <c r="BR275" s="86"/>
      <c r="BS275" s="86"/>
      <c r="BT275" s="86"/>
      <c r="BU275" s="86"/>
      <c r="BV275" s="86"/>
      <c r="BW275" s="86"/>
      <c r="BX275" s="86"/>
    </row>
    <row r="276" spans="1:76" ht="12.75">
      <c r="A276" s="86"/>
      <c r="B276" s="86"/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86"/>
      <c r="AN276" s="86"/>
      <c r="AO276" s="86"/>
      <c r="AP276" s="86"/>
      <c r="AQ276" s="86"/>
      <c r="AR276" s="86"/>
      <c r="AS276" s="86"/>
      <c r="AT276" s="86"/>
      <c r="AU276" s="86"/>
      <c r="AV276" s="86"/>
      <c r="AW276" s="86"/>
      <c r="AX276" s="86"/>
      <c r="AY276" s="86"/>
      <c r="AZ276" s="86"/>
      <c r="BA276" s="86"/>
      <c r="BB276" s="86"/>
      <c r="BC276" s="86"/>
      <c r="BD276" s="86"/>
      <c r="BE276" s="86"/>
      <c r="BF276" s="86"/>
      <c r="BG276" s="86"/>
      <c r="BH276" s="86"/>
      <c r="BI276" s="86"/>
      <c r="BJ276" s="86"/>
      <c r="BK276" s="86"/>
      <c r="BL276" s="86"/>
      <c r="BM276" s="86"/>
      <c r="BN276" s="86"/>
      <c r="BO276" s="86"/>
      <c r="BP276" s="86"/>
      <c r="BQ276" s="86"/>
      <c r="BR276" s="86"/>
      <c r="BS276" s="86"/>
      <c r="BT276" s="86"/>
      <c r="BU276" s="86"/>
      <c r="BV276" s="86"/>
      <c r="BW276" s="86"/>
      <c r="BX276" s="86"/>
    </row>
    <row r="277" spans="1:76" ht="12.75">
      <c r="A277" s="86"/>
      <c r="B277" s="86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86"/>
      <c r="AP277" s="86"/>
      <c r="AQ277" s="86"/>
      <c r="AR277" s="86"/>
      <c r="AS277" s="86"/>
      <c r="AT277" s="86"/>
      <c r="AU277" s="86"/>
      <c r="AV277" s="86"/>
      <c r="AW277" s="86"/>
      <c r="AX277" s="86"/>
      <c r="AY277" s="86"/>
      <c r="AZ277" s="86"/>
      <c r="BA277" s="86"/>
      <c r="BB277" s="86"/>
      <c r="BC277" s="86"/>
      <c r="BD277" s="86"/>
      <c r="BE277" s="86"/>
      <c r="BF277" s="86"/>
      <c r="BG277" s="86"/>
      <c r="BH277" s="86"/>
      <c r="BI277" s="86"/>
      <c r="BJ277" s="86"/>
      <c r="BK277" s="86"/>
      <c r="BL277" s="86"/>
      <c r="BM277" s="86"/>
      <c r="BN277" s="86"/>
      <c r="BO277" s="86"/>
      <c r="BP277" s="86"/>
      <c r="BQ277" s="86"/>
      <c r="BR277" s="86"/>
      <c r="BS277" s="86"/>
      <c r="BT277" s="86"/>
      <c r="BU277" s="86"/>
      <c r="BV277" s="86"/>
      <c r="BW277" s="86"/>
      <c r="BX277" s="86"/>
    </row>
    <row r="278" spans="1:76" ht="12.75">
      <c r="A278" s="86"/>
      <c r="B278" s="86"/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  <c r="AQ278" s="86"/>
      <c r="AR278" s="86"/>
      <c r="AS278" s="86"/>
      <c r="AT278" s="86"/>
      <c r="AU278" s="86"/>
      <c r="AV278" s="86"/>
      <c r="AW278" s="86"/>
      <c r="AX278" s="86"/>
      <c r="AY278" s="86"/>
      <c r="AZ278" s="86"/>
      <c r="BA278" s="86"/>
      <c r="BB278" s="86"/>
      <c r="BC278" s="86"/>
      <c r="BD278" s="86"/>
      <c r="BE278" s="86"/>
      <c r="BF278" s="86"/>
      <c r="BG278" s="86"/>
      <c r="BH278" s="86"/>
      <c r="BI278" s="86"/>
      <c r="BJ278" s="86"/>
      <c r="BK278" s="86"/>
      <c r="BL278" s="86"/>
      <c r="BM278" s="86"/>
      <c r="BN278" s="86"/>
      <c r="BO278" s="86"/>
      <c r="BP278" s="86"/>
      <c r="BQ278" s="86"/>
      <c r="BR278" s="86"/>
      <c r="BS278" s="86"/>
      <c r="BT278" s="86"/>
      <c r="BU278" s="86"/>
      <c r="BV278" s="86"/>
      <c r="BW278" s="86"/>
      <c r="BX278" s="86"/>
    </row>
    <row r="279" spans="1:76" ht="12.75">
      <c r="A279" s="86"/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86"/>
      <c r="AN279" s="86"/>
      <c r="AO279" s="86"/>
      <c r="AP279" s="86"/>
      <c r="AQ279" s="86"/>
      <c r="AR279" s="86"/>
      <c r="AS279" s="86"/>
      <c r="AT279" s="86"/>
      <c r="AU279" s="86"/>
      <c r="AV279" s="86"/>
      <c r="AW279" s="86"/>
      <c r="AX279" s="86"/>
      <c r="AY279" s="86"/>
      <c r="AZ279" s="86"/>
      <c r="BA279" s="86"/>
      <c r="BB279" s="86"/>
      <c r="BC279" s="86"/>
      <c r="BD279" s="86"/>
      <c r="BE279" s="86"/>
      <c r="BF279" s="86"/>
      <c r="BG279" s="86"/>
      <c r="BH279" s="86"/>
      <c r="BI279" s="86"/>
      <c r="BJ279" s="86"/>
      <c r="BK279" s="86"/>
      <c r="BL279" s="86"/>
      <c r="BM279" s="86"/>
      <c r="BN279" s="86"/>
      <c r="BO279" s="86"/>
      <c r="BP279" s="86"/>
      <c r="BQ279" s="86"/>
      <c r="BR279" s="86"/>
      <c r="BS279" s="86"/>
      <c r="BT279" s="86"/>
      <c r="BU279" s="86"/>
      <c r="BV279" s="86"/>
      <c r="BW279" s="86"/>
      <c r="BX279" s="86"/>
    </row>
    <row r="280" spans="1:76" ht="12.75">
      <c r="A280" s="86"/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86"/>
      <c r="AN280" s="86"/>
      <c r="AO280" s="86"/>
      <c r="AP280" s="86"/>
      <c r="AQ280" s="86"/>
      <c r="AR280" s="86"/>
      <c r="AS280" s="86"/>
      <c r="AT280" s="86"/>
      <c r="AU280" s="86"/>
      <c r="AV280" s="86"/>
      <c r="AW280" s="86"/>
      <c r="AX280" s="86"/>
      <c r="AY280" s="86"/>
      <c r="AZ280" s="86"/>
      <c r="BA280" s="86"/>
      <c r="BB280" s="86"/>
      <c r="BC280" s="86"/>
      <c r="BD280" s="86"/>
      <c r="BE280" s="86"/>
      <c r="BF280" s="86"/>
      <c r="BG280" s="86"/>
      <c r="BH280" s="86"/>
      <c r="BI280" s="86"/>
      <c r="BJ280" s="86"/>
      <c r="BK280" s="86"/>
      <c r="BL280" s="86"/>
      <c r="BM280" s="86"/>
      <c r="BN280" s="86"/>
      <c r="BO280" s="86"/>
      <c r="BP280" s="86"/>
      <c r="BQ280" s="86"/>
      <c r="BR280" s="86"/>
      <c r="BS280" s="86"/>
      <c r="BT280" s="86"/>
      <c r="BU280" s="86"/>
      <c r="BV280" s="86"/>
      <c r="BW280" s="86"/>
      <c r="BX280" s="86"/>
    </row>
    <row r="281" spans="1:76" ht="12.75">
      <c r="A281" s="86"/>
      <c r="B281" s="86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86"/>
      <c r="AP281" s="86"/>
      <c r="AQ281" s="86"/>
      <c r="AR281" s="86"/>
      <c r="AS281" s="86"/>
      <c r="AT281" s="86"/>
      <c r="AU281" s="86"/>
      <c r="AV281" s="86"/>
      <c r="AW281" s="86"/>
      <c r="AX281" s="86"/>
      <c r="AY281" s="86"/>
      <c r="AZ281" s="86"/>
      <c r="BA281" s="86"/>
      <c r="BB281" s="86"/>
      <c r="BC281" s="86"/>
      <c r="BD281" s="86"/>
      <c r="BE281" s="86"/>
      <c r="BF281" s="86"/>
      <c r="BG281" s="86"/>
      <c r="BH281" s="86"/>
      <c r="BI281" s="86"/>
      <c r="BJ281" s="86"/>
      <c r="BK281" s="86"/>
      <c r="BL281" s="86"/>
      <c r="BM281" s="86"/>
      <c r="BN281" s="86"/>
      <c r="BO281" s="86"/>
      <c r="BP281" s="86"/>
      <c r="BQ281" s="86"/>
      <c r="BR281" s="86"/>
      <c r="BS281" s="86"/>
      <c r="BT281" s="86"/>
      <c r="BU281" s="86"/>
      <c r="BV281" s="86"/>
      <c r="BW281" s="86"/>
      <c r="BX281" s="86"/>
    </row>
    <row r="282" spans="1:76" ht="12.75">
      <c r="A282" s="86"/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  <c r="AM282" s="86"/>
      <c r="AN282" s="86"/>
      <c r="AO282" s="86"/>
      <c r="AP282" s="86"/>
      <c r="AQ282" s="86"/>
      <c r="AR282" s="86"/>
      <c r="AS282" s="86"/>
      <c r="AT282" s="86"/>
      <c r="AU282" s="86"/>
      <c r="AV282" s="86"/>
      <c r="AW282" s="86"/>
      <c r="AX282" s="86"/>
      <c r="AY282" s="86"/>
      <c r="AZ282" s="86"/>
      <c r="BA282" s="86"/>
      <c r="BB282" s="86"/>
      <c r="BC282" s="86"/>
      <c r="BD282" s="86"/>
      <c r="BE282" s="86"/>
      <c r="BF282" s="86"/>
      <c r="BG282" s="86"/>
      <c r="BH282" s="86"/>
      <c r="BI282" s="86"/>
      <c r="BJ282" s="86"/>
      <c r="BK282" s="86"/>
      <c r="BL282" s="86"/>
      <c r="BM282" s="86"/>
      <c r="BN282" s="86"/>
      <c r="BO282" s="86"/>
      <c r="BP282" s="86"/>
      <c r="BQ282" s="86"/>
      <c r="BR282" s="86"/>
      <c r="BS282" s="86"/>
      <c r="BT282" s="86"/>
      <c r="BU282" s="86"/>
      <c r="BV282" s="86"/>
      <c r="BW282" s="86"/>
      <c r="BX282" s="86"/>
    </row>
    <row r="283" spans="1:76" ht="12.75">
      <c r="A283" s="86"/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86"/>
      <c r="AL283" s="86"/>
      <c r="AM283" s="86"/>
      <c r="AN283" s="86"/>
      <c r="AO283" s="86"/>
      <c r="AP283" s="86"/>
      <c r="AQ283" s="86"/>
      <c r="AR283" s="86"/>
      <c r="AS283" s="86"/>
      <c r="AT283" s="86"/>
      <c r="AU283" s="86"/>
      <c r="AV283" s="86"/>
      <c r="AW283" s="86"/>
      <c r="AX283" s="86"/>
      <c r="AY283" s="86"/>
      <c r="AZ283" s="86"/>
      <c r="BA283" s="86"/>
      <c r="BB283" s="86"/>
      <c r="BC283" s="86"/>
      <c r="BD283" s="86"/>
      <c r="BE283" s="86"/>
      <c r="BF283" s="86"/>
      <c r="BG283" s="86"/>
      <c r="BH283" s="86"/>
      <c r="BI283" s="86"/>
      <c r="BJ283" s="86"/>
      <c r="BK283" s="86"/>
      <c r="BL283" s="86"/>
      <c r="BM283" s="86"/>
      <c r="BN283" s="86"/>
      <c r="BO283" s="86"/>
      <c r="BP283" s="86"/>
      <c r="BQ283" s="86"/>
      <c r="BR283" s="86"/>
      <c r="BS283" s="86"/>
      <c r="BT283" s="86"/>
      <c r="BU283" s="86"/>
      <c r="BV283" s="86"/>
      <c r="BW283" s="86"/>
      <c r="BX283" s="86"/>
    </row>
    <row r="284" spans="1:76" ht="12.75">
      <c r="A284" s="86"/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  <c r="AM284" s="86"/>
      <c r="AN284" s="86"/>
      <c r="AO284" s="86"/>
      <c r="AP284" s="86"/>
      <c r="AQ284" s="86"/>
      <c r="AR284" s="86"/>
      <c r="AS284" s="86"/>
      <c r="AT284" s="86"/>
      <c r="AU284" s="86"/>
      <c r="AV284" s="86"/>
      <c r="AW284" s="86"/>
      <c r="AX284" s="86"/>
      <c r="AY284" s="86"/>
      <c r="AZ284" s="86"/>
      <c r="BA284" s="86"/>
      <c r="BB284" s="86"/>
      <c r="BC284" s="86"/>
      <c r="BD284" s="86"/>
      <c r="BE284" s="86"/>
      <c r="BF284" s="86"/>
      <c r="BG284" s="86"/>
      <c r="BH284" s="86"/>
      <c r="BI284" s="86"/>
      <c r="BJ284" s="86"/>
      <c r="BK284" s="86"/>
      <c r="BL284" s="86"/>
      <c r="BM284" s="86"/>
      <c r="BN284" s="86"/>
      <c r="BO284" s="86"/>
      <c r="BP284" s="86"/>
      <c r="BQ284" s="86"/>
      <c r="BR284" s="86"/>
      <c r="BS284" s="86"/>
      <c r="BT284" s="86"/>
      <c r="BU284" s="86"/>
      <c r="BV284" s="86"/>
      <c r="BW284" s="86"/>
      <c r="BX284" s="86"/>
    </row>
    <row r="285" spans="1:76" ht="12.75">
      <c r="A285" s="86"/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  <c r="AM285" s="86"/>
      <c r="AN285" s="86"/>
      <c r="AO285" s="86"/>
      <c r="AP285" s="86"/>
      <c r="AQ285" s="86"/>
      <c r="AR285" s="86"/>
      <c r="AS285" s="86"/>
      <c r="AT285" s="86"/>
      <c r="AU285" s="86"/>
      <c r="AV285" s="86"/>
      <c r="AW285" s="86"/>
      <c r="AX285" s="86"/>
      <c r="AY285" s="86"/>
      <c r="AZ285" s="86"/>
      <c r="BA285" s="86"/>
      <c r="BB285" s="86"/>
      <c r="BC285" s="86"/>
      <c r="BD285" s="86"/>
      <c r="BE285" s="86"/>
      <c r="BF285" s="86"/>
      <c r="BG285" s="86"/>
      <c r="BH285" s="86"/>
      <c r="BI285" s="86"/>
      <c r="BJ285" s="86"/>
      <c r="BK285" s="86"/>
      <c r="BL285" s="86"/>
      <c r="BM285" s="86"/>
      <c r="BN285" s="86"/>
      <c r="BO285" s="86"/>
      <c r="BP285" s="86"/>
      <c r="BQ285" s="86"/>
      <c r="BR285" s="86"/>
      <c r="BS285" s="86"/>
      <c r="BT285" s="86"/>
      <c r="BU285" s="86"/>
      <c r="BV285" s="86"/>
      <c r="BW285" s="86"/>
      <c r="BX285" s="86"/>
    </row>
    <row r="286" spans="1:76" ht="12.75">
      <c r="A286" s="86"/>
      <c r="B286" s="86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86"/>
      <c r="AO286" s="86"/>
      <c r="AP286" s="86"/>
      <c r="AQ286" s="86"/>
      <c r="AR286" s="86"/>
      <c r="AS286" s="86"/>
      <c r="AT286" s="86"/>
      <c r="AU286" s="86"/>
      <c r="AV286" s="86"/>
      <c r="AW286" s="86"/>
      <c r="AX286" s="86"/>
      <c r="AY286" s="86"/>
      <c r="AZ286" s="86"/>
      <c r="BA286" s="86"/>
      <c r="BB286" s="86"/>
      <c r="BC286" s="86"/>
      <c r="BD286" s="86"/>
      <c r="BE286" s="86"/>
      <c r="BF286" s="86"/>
      <c r="BG286" s="86"/>
      <c r="BH286" s="86"/>
      <c r="BI286" s="86"/>
      <c r="BJ286" s="86"/>
      <c r="BK286" s="86"/>
      <c r="BL286" s="86"/>
      <c r="BM286" s="86"/>
      <c r="BN286" s="86"/>
      <c r="BO286" s="86"/>
      <c r="BP286" s="86"/>
      <c r="BQ286" s="86"/>
      <c r="BR286" s="86"/>
      <c r="BS286" s="86"/>
      <c r="BT286" s="86"/>
      <c r="BU286" s="86"/>
      <c r="BV286" s="86"/>
      <c r="BW286" s="86"/>
      <c r="BX286" s="86"/>
    </row>
    <row r="287" spans="1:76" ht="12.75">
      <c r="A287" s="86"/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  <c r="AM287" s="86"/>
      <c r="AN287" s="86"/>
      <c r="AO287" s="86"/>
      <c r="AP287" s="86"/>
      <c r="AQ287" s="86"/>
      <c r="AR287" s="86"/>
      <c r="AS287" s="86"/>
      <c r="AT287" s="86"/>
      <c r="AU287" s="86"/>
      <c r="AV287" s="86"/>
      <c r="AW287" s="86"/>
      <c r="AX287" s="86"/>
      <c r="AY287" s="86"/>
      <c r="AZ287" s="86"/>
      <c r="BA287" s="86"/>
      <c r="BB287" s="86"/>
      <c r="BC287" s="86"/>
      <c r="BD287" s="86"/>
      <c r="BE287" s="86"/>
      <c r="BF287" s="86"/>
      <c r="BG287" s="86"/>
      <c r="BH287" s="86"/>
      <c r="BI287" s="86"/>
      <c r="BJ287" s="86"/>
      <c r="BK287" s="86"/>
      <c r="BL287" s="86"/>
      <c r="BM287" s="86"/>
      <c r="BN287" s="86"/>
      <c r="BO287" s="86"/>
      <c r="BP287" s="86"/>
      <c r="BQ287" s="86"/>
      <c r="BR287" s="86"/>
      <c r="BS287" s="86"/>
      <c r="BT287" s="86"/>
      <c r="BU287" s="86"/>
      <c r="BV287" s="86"/>
      <c r="BW287" s="86"/>
      <c r="BX287" s="86"/>
    </row>
    <row r="288" spans="1:76" ht="12.75">
      <c r="A288" s="86"/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  <c r="AM288" s="86"/>
      <c r="AN288" s="86"/>
      <c r="AO288" s="86"/>
      <c r="AP288" s="86"/>
      <c r="AQ288" s="86"/>
      <c r="AR288" s="86"/>
      <c r="AS288" s="86"/>
      <c r="AT288" s="86"/>
      <c r="AU288" s="86"/>
      <c r="AV288" s="86"/>
      <c r="AW288" s="86"/>
      <c r="AX288" s="86"/>
      <c r="AY288" s="86"/>
      <c r="AZ288" s="86"/>
      <c r="BA288" s="86"/>
      <c r="BB288" s="86"/>
      <c r="BC288" s="86"/>
      <c r="BD288" s="86"/>
      <c r="BE288" s="86"/>
      <c r="BF288" s="86"/>
      <c r="BG288" s="86"/>
      <c r="BH288" s="86"/>
      <c r="BI288" s="86"/>
      <c r="BJ288" s="86"/>
      <c r="BK288" s="86"/>
      <c r="BL288" s="86"/>
      <c r="BM288" s="86"/>
      <c r="BN288" s="86"/>
      <c r="BO288" s="86"/>
      <c r="BP288" s="86"/>
      <c r="BQ288" s="86"/>
      <c r="BR288" s="86"/>
      <c r="BS288" s="86"/>
      <c r="BT288" s="86"/>
      <c r="BU288" s="86"/>
      <c r="BV288" s="86"/>
      <c r="BW288" s="86"/>
      <c r="BX288" s="86"/>
    </row>
    <row r="289" spans="1:76" ht="12.75">
      <c r="A289" s="86"/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86"/>
      <c r="AO289" s="86"/>
      <c r="AP289" s="86"/>
      <c r="AQ289" s="86"/>
      <c r="AR289" s="86"/>
      <c r="AS289" s="86"/>
      <c r="AT289" s="86"/>
      <c r="AU289" s="86"/>
      <c r="AV289" s="86"/>
      <c r="AW289" s="86"/>
      <c r="AX289" s="86"/>
      <c r="AY289" s="86"/>
      <c r="AZ289" s="86"/>
      <c r="BA289" s="86"/>
      <c r="BB289" s="86"/>
      <c r="BC289" s="86"/>
      <c r="BD289" s="86"/>
      <c r="BE289" s="86"/>
      <c r="BF289" s="86"/>
      <c r="BG289" s="86"/>
      <c r="BH289" s="86"/>
      <c r="BI289" s="86"/>
      <c r="BJ289" s="86"/>
      <c r="BK289" s="86"/>
      <c r="BL289" s="86"/>
      <c r="BM289" s="86"/>
      <c r="BN289" s="86"/>
      <c r="BO289" s="86"/>
      <c r="BP289" s="86"/>
      <c r="BQ289" s="86"/>
      <c r="BR289" s="86"/>
      <c r="BS289" s="86"/>
      <c r="BT289" s="86"/>
      <c r="BU289" s="86"/>
      <c r="BV289" s="86"/>
      <c r="BW289" s="86"/>
      <c r="BX289" s="86"/>
    </row>
    <row r="290" spans="1:76" ht="12.75">
      <c r="A290" s="86"/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6"/>
      <c r="AK290" s="86"/>
      <c r="AL290" s="86"/>
      <c r="AM290" s="86"/>
      <c r="AN290" s="86"/>
      <c r="AO290" s="86"/>
      <c r="AP290" s="86"/>
      <c r="AQ290" s="86"/>
      <c r="AR290" s="86"/>
      <c r="AS290" s="86"/>
      <c r="AT290" s="86"/>
      <c r="AU290" s="86"/>
      <c r="AV290" s="86"/>
      <c r="AW290" s="86"/>
      <c r="AX290" s="86"/>
      <c r="AY290" s="86"/>
      <c r="AZ290" s="86"/>
      <c r="BA290" s="86"/>
      <c r="BB290" s="86"/>
      <c r="BC290" s="86"/>
      <c r="BD290" s="86"/>
      <c r="BE290" s="86"/>
      <c r="BF290" s="86"/>
      <c r="BG290" s="86"/>
      <c r="BH290" s="86"/>
      <c r="BI290" s="86"/>
      <c r="BJ290" s="86"/>
      <c r="BK290" s="86"/>
      <c r="BL290" s="86"/>
      <c r="BM290" s="86"/>
      <c r="BN290" s="86"/>
      <c r="BO290" s="86"/>
      <c r="BP290" s="86"/>
      <c r="BQ290" s="86"/>
      <c r="BR290" s="86"/>
      <c r="BS290" s="86"/>
      <c r="BT290" s="86"/>
      <c r="BU290" s="86"/>
      <c r="BV290" s="86"/>
      <c r="BW290" s="86"/>
      <c r="BX290" s="86"/>
    </row>
    <row r="291" spans="1:76" ht="12.75">
      <c r="A291" s="86"/>
      <c r="B291" s="86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6"/>
      <c r="AK291" s="86"/>
      <c r="AL291" s="86"/>
      <c r="AM291" s="86"/>
      <c r="AN291" s="86"/>
      <c r="AO291" s="86"/>
      <c r="AP291" s="86"/>
      <c r="AQ291" s="86"/>
      <c r="AR291" s="86"/>
      <c r="AS291" s="86"/>
      <c r="AT291" s="86"/>
      <c r="AU291" s="86"/>
      <c r="AV291" s="86"/>
      <c r="AW291" s="86"/>
      <c r="AX291" s="86"/>
      <c r="AY291" s="86"/>
      <c r="AZ291" s="86"/>
      <c r="BA291" s="86"/>
      <c r="BB291" s="86"/>
      <c r="BC291" s="86"/>
      <c r="BD291" s="86"/>
      <c r="BE291" s="86"/>
      <c r="BF291" s="86"/>
      <c r="BG291" s="86"/>
      <c r="BH291" s="86"/>
      <c r="BI291" s="86"/>
      <c r="BJ291" s="86"/>
      <c r="BK291" s="86"/>
      <c r="BL291" s="86"/>
      <c r="BM291" s="86"/>
      <c r="BN291" s="86"/>
      <c r="BO291" s="86"/>
      <c r="BP291" s="86"/>
      <c r="BQ291" s="86"/>
      <c r="BR291" s="86"/>
      <c r="BS291" s="86"/>
      <c r="BT291" s="86"/>
      <c r="BU291" s="86"/>
      <c r="BV291" s="86"/>
      <c r="BW291" s="86"/>
      <c r="BX291" s="86"/>
    </row>
    <row r="292" spans="1:76" ht="12.75">
      <c r="A292" s="86"/>
      <c r="B292" s="86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6"/>
      <c r="AK292" s="86"/>
      <c r="AL292" s="86"/>
      <c r="AM292" s="86"/>
      <c r="AN292" s="86"/>
      <c r="AO292" s="86"/>
      <c r="AP292" s="86"/>
      <c r="AQ292" s="86"/>
      <c r="AR292" s="86"/>
      <c r="AS292" s="86"/>
      <c r="AT292" s="86"/>
      <c r="AU292" s="86"/>
      <c r="AV292" s="86"/>
      <c r="AW292" s="86"/>
      <c r="AX292" s="86"/>
      <c r="AY292" s="86"/>
      <c r="AZ292" s="86"/>
      <c r="BA292" s="86"/>
      <c r="BB292" s="86"/>
      <c r="BC292" s="86"/>
      <c r="BD292" s="86"/>
      <c r="BE292" s="86"/>
      <c r="BF292" s="86"/>
      <c r="BG292" s="86"/>
      <c r="BH292" s="86"/>
      <c r="BI292" s="86"/>
      <c r="BJ292" s="86"/>
      <c r="BK292" s="86"/>
      <c r="BL292" s="86"/>
      <c r="BM292" s="86"/>
      <c r="BN292" s="86"/>
      <c r="BO292" s="86"/>
      <c r="BP292" s="86"/>
      <c r="BQ292" s="86"/>
      <c r="BR292" s="86"/>
      <c r="BS292" s="86"/>
      <c r="BT292" s="86"/>
      <c r="BU292" s="86"/>
      <c r="BV292" s="86"/>
      <c r="BW292" s="86"/>
      <c r="BX292" s="86"/>
    </row>
    <row r="293" spans="1:76" ht="12.75">
      <c r="A293" s="86"/>
      <c r="B293" s="86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6"/>
      <c r="AK293" s="86"/>
      <c r="AL293" s="86"/>
      <c r="AM293" s="86"/>
      <c r="AN293" s="86"/>
      <c r="AO293" s="86"/>
      <c r="AP293" s="86"/>
      <c r="AQ293" s="86"/>
      <c r="AR293" s="86"/>
      <c r="AS293" s="86"/>
      <c r="AT293" s="86"/>
      <c r="AU293" s="86"/>
      <c r="AV293" s="86"/>
      <c r="AW293" s="86"/>
      <c r="AX293" s="86"/>
      <c r="AY293" s="86"/>
      <c r="AZ293" s="86"/>
      <c r="BA293" s="86"/>
      <c r="BB293" s="86"/>
      <c r="BC293" s="86"/>
      <c r="BD293" s="86"/>
      <c r="BE293" s="86"/>
      <c r="BF293" s="86"/>
      <c r="BG293" s="86"/>
      <c r="BH293" s="86"/>
      <c r="BI293" s="86"/>
      <c r="BJ293" s="86"/>
      <c r="BK293" s="86"/>
      <c r="BL293" s="86"/>
      <c r="BM293" s="86"/>
      <c r="BN293" s="86"/>
      <c r="BO293" s="86"/>
      <c r="BP293" s="86"/>
      <c r="BQ293" s="86"/>
      <c r="BR293" s="86"/>
      <c r="BS293" s="86"/>
      <c r="BT293" s="86"/>
      <c r="BU293" s="86"/>
      <c r="BV293" s="86"/>
      <c r="BW293" s="86"/>
      <c r="BX293" s="86"/>
    </row>
    <row r="294" spans="1:76" ht="12.75">
      <c r="A294" s="86"/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86"/>
      <c r="AL294" s="86"/>
      <c r="AM294" s="86"/>
      <c r="AN294" s="86"/>
      <c r="AO294" s="86"/>
      <c r="AP294" s="86"/>
      <c r="AQ294" s="86"/>
      <c r="AR294" s="86"/>
      <c r="AS294" s="86"/>
      <c r="AT294" s="86"/>
      <c r="AU294" s="86"/>
      <c r="AV294" s="86"/>
      <c r="AW294" s="86"/>
      <c r="AX294" s="86"/>
      <c r="AY294" s="86"/>
      <c r="AZ294" s="86"/>
      <c r="BA294" s="86"/>
      <c r="BB294" s="86"/>
      <c r="BC294" s="86"/>
      <c r="BD294" s="86"/>
      <c r="BE294" s="86"/>
      <c r="BF294" s="86"/>
      <c r="BG294" s="86"/>
      <c r="BH294" s="86"/>
      <c r="BI294" s="86"/>
      <c r="BJ294" s="86"/>
      <c r="BK294" s="86"/>
      <c r="BL294" s="86"/>
      <c r="BM294" s="86"/>
      <c r="BN294" s="86"/>
      <c r="BO294" s="86"/>
      <c r="BP294" s="86"/>
      <c r="BQ294" s="86"/>
      <c r="BR294" s="86"/>
      <c r="BS294" s="86"/>
      <c r="BT294" s="86"/>
      <c r="BU294" s="86"/>
      <c r="BV294" s="86"/>
      <c r="BW294" s="86"/>
      <c r="BX294" s="86"/>
    </row>
    <row r="295" spans="1:76" ht="12.75">
      <c r="A295" s="86"/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O295" s="86"/>
      <c r="AP295" s="86"/>
      <c r="AQ295" s="86"/>
      <c r="AR295" s="86"/>
      <c r="AS295" s="86"/>
      <c r="AT295" s="86"/>
      <c r="AU295" s="86"/>
      <c r="AV295" s="86"/>
      <c r="AW295" s="86"/>
      <c r="AX295" s="86"/>
      <c r="AY295" s="86"/>
      <c r="AZ295" s="86"/>
      <c r="BA295" s="86"/>
      <c r="BB295" s="86"/>
      <c r="BC295" s="86"/>
      <c r="BD295" s="86"/>
      <c r="BE295" s="86"/>
      <c r="BF295" s="86"/>
      <c r="BG295" s="86"/>
      <c r="BH295" s="86"/>
      <c r="BI295" s="86"/>
      <c r="BJ295" s="86"/>
      <c r="BK295" s="86"/>
      <c r="BL295" s="86"/>
      <c r="BM295" s="86"/>
      <c r="BN295" s="86"/>
      <c r="BO295" s="86"/>
      <c r="BP295" s="86"/>
      <c r="BQ295" s="86"/>
      <c r="BR295" s="86"/>
      <c r="BS295" s="86"/>
      <c r="BT295" s="86"/>
      <c r="BU295" s="86"/>
      <c r="BV295" s="86"/>
      <c r="BW295" s="86"/>
      <c r="BX295" s="86"/>
    </row>
    <row r="296" spans="1:76" ht="12.75">
      <c r="A296" s="86"/>
      <c r="B296" s="86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86"/>
      <c r="AO296" s="86"/>
      <c r="AP296" s="86"/>
      <c r="AQ296" s="86"/>
      <c r="AR296" s="86"/>
      <c r="AS296" s="86"/>
      <c r="AT296" s="86"/>
      <c r="AU296" s="86"/>
      <c r="AV296" s="86"/>
      <c r="AW296" s="86"/>
      <c r="AX296" s="86"/>
      <c r="AY296" s="86"/>
      <c r="AZ296" s="86"/>
      <c r="BA296" s="86"/>
      <c r="BB296" s="86"/>
      <c r="BC296" s="86"/>
      <c r="BD296" s="86"/>
      <c r="BE296" s="86"/>
      <c r="BF296" s="86"/>
      <c r="BG296" s="86"/>
      <c r="BH296" s="86"/>
      <c r="BI296" s="86"/>
      <c r="BJ296" s="86"/>
      <c r="BK296" s="86"/>
      <c r="BL296" s="86"/>
      <c r="BM296" s="86"/>
      <c r="BN296" s="86"/>
      <c r="BO296" s="86"/>
      <c r="BP296" s="86"/>
      <c r="BQ296" s="86"/>
      <c r="BR296" s="86"/>
      <c r="BS296" s="86"/>
      <c r="BT296" s="86"/>
      <c r="BU296" s="86"/>
      <c r="BV296" s="86"/>
      <c r="BW296" s="86"/>
      <c r="BX296" s="86"/>
    </row>
    <row r="297" spans="1:76" ht="12.75">
      <c r="A297" s="86"/>
      <c r="B297" s="86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M297" s="86"/>
      <c r="AN297" s="86"/>
      <c r="AO297" s="86"/>
      <c r="AP297" s="86"/>
      <c r="AQ297" s="86"/>
      <c r="AR297" s="86"/>
      <c r="AS297" s="86"/>
      <c r="AT297" s="86"/>
      <c r="AU297" s="86"/>
      <c r="AV297" s="86"/>
      <c r="AW297" s="86"/>
      <c r="AX297" s="86"/>
      <c r="AY297" s="86"/>
      <c r="AZ297" s="86"/>
      <c r="BA297" s="86"/>
      <c r="BB297" s="86"/>
      <c r="BC297" s="86"/>
      <c r="BD297" s="86"/>
      <c r="BE297" s="86"/>
      <c r="BF297" s="86"/>
      <c r="BG297" s="86"/>
      <c r="BH297" s="86"/>
      <c r="BI297" s="86"/>
      <c r="BJ297" s="86"/>
      <c r="BK297" s="86"/>
      <c r="BL297" s="86"/>
      <c r="BM297" s="86"/>
      <c r="BN297" s="86"/>
      <c r="BO297" s="86"/>
      <c r="BP297" s="86"/>
      <c r="BQ297" s="86"/>
      <c r="BR297" s="86"/>
      <c r="BS297" s="86"/>
      <c r="BT297" s="86"/>
      <c r="BU297" s="86"/>
      <c r="BV297" s="86"/>
      <c r="BW297" s="86"/>
      <c r="BX297" s="86"/>
    </row>
    <row r="298" spans="1:76" ht="12.75">
      <c r="A298" s="86"/>
      <c r="B298" s="86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  <c r="AM298" s="86"/>
      <c r="AN298" s="86"/>
      <c r="AO298" s="86"/>
      <c r="AP298" s="86"/>
      <c r="AQ298" s="86"/>
      <c r="AR298" s="86"/>
      <c r="AS298" s="86"/>
      <c r="AT298" s="86"/>
      <c r="AU298" s="86"/>
      <c r="AV298" s="86"/>
      <c r="AW298" s="86"/>
      <c r="AX298" s="86"/>
      <c r="AY298" s="86"/>
      <c r="AZ298" s="86"/>
      <c r="BA298" s="86"/>
      <c r="BB298" s="86"/>
      <c r="BC298" s="86"/>
      <c r="BD298" s="86"/>
      <c r="BE298" s="86"/>
      <c r="BF298" s="86"/>
      <c r="BG298" s="86"/>
      <c r="BH298" s="86"/>
      <c r="BI298" s="86"/>
      <c r="BJ298" s="86"/>
      <c r="BK298" s="86"/>
      <c r="BL298" s="86"/>
      <c r="BM298" s="86"/>
      <c r="BN298" s="86"/>
      <c r="BO298" s="86"/>
      <c r="BP298" s="86"/>
      <c r="BQ298" s="86"/>
      <c r="BR298" s="86"/>
      <c r="BS298" s="86"/>
      <c r="BT298" s="86"/>
      <c r="BU298" s="86"/>
      <c r="BV298" s="86"/>
      <c r="BW298" s="86"/>
      <c r="BX298" s="86"/>
    </row>
    <row r="299" spans="1:76" ht="12.75">
      <c r="A299" s="86"/>
      <c r="B299" s="86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86"/>
      <c r="AO299" s="86"/>
      <c r="AP299" s="86"/>
      <c r="AQ299" s="86"/>
      <c r="AR299" s="86"/>
      <c r="AS299" s="86"/>
      <c r="AT299" s="86"/>
      <c r="AU299" s="86"/>
      <c r="AV299" s="86"/>
      <c r="AW299" s="86"/>
      <c r="AX299" s="86"/>
      <c r="AY299" s="86"/>
      <c r="AZ299" s="86"/>
      <c r="BA299" s="86"/>
      <c r="BB299" s="86"/>
      <c r="BC299" s="86"/>
      <c r="BD299" s="86"/>
      <c r="BE299" s="86"/>
      <c r="BF299" s="86"/>
      <c r="BG299" s="86"/>
      <c r="BH299" s="86"/>
      <c r="BI299" s="86"/>
      <c r="BJ299" s="86"/>
      <c r="BK299" s="86"/>
      <c r="BL299" s="86"/>
      <c r="BM299" s="86"/>
      <c r="BN299" s="86"/>
      <c r="BO299" s="86"/>
      <c r="BP299" s="86"/>
      <c r="BQ299" s="86"/>
      <c r="BR299" s="86"/>
      <c r="BS299" s="86"/>
      <c r="BT299" s="86"/>
      <c r="BU299" s="86"/>
      <c r="BV299" s="86"/>
      <c r="BW299" s="86"/>
      <c r="BX299" s="86"/>
    </row>
    <row r="300" spans="1:76" ht="12.75">
      <c r="A300" s="86"/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86"/>
      <c r="AL300" s="86"/>
      <c r="AM300" s="86"/>
      <c r="AN300" s="86"/>
      <c r="AO300" s="86"/>
      <c r="AP300" s="86"/>
      <c r="AQ300" s="86"/>
      <c r="AR300" s="86"/>
      <c r="AS300" s="86"/>
      <c r="AT300" s="86"/>
      <c r="AU300" s="86"/>
      <c r="AV300" s="86"/>
      <c r="AW300" s="86"/>
      <c r="AX300" s="86"/>
      <c r="AY300" s="86"/>
      <c r="AZ300" s="86"/>
      <c r="BA300" s="86"/>
      <c r="BB300" s="86"/>
      <c r="BC300" s="86"/>
      <c r="BD300" s="86"/>
      <c r="BE300" s="86"/>
      <c r="BF300" s="86"/>
      <c r="BG300" s="86"/>
      <c r="BH300" s="86"/>
      <c r="BI300" s="86"/>
      <c r="BJ300" s="86"/>
      <c r="BK300" s="86"/>
      <c r="BL300" s="86"/>
      <c r="BM300" s="86"/>
      <c r="BN300" s="86"/>
      <c r="BO300" s="86"/>
      <c r="BP300" s="86"/>
      <c r="BQ300" s="86"/>
      <c r="BR300" s="86"/>
      <c r="BS300" s="86"/>
      <c r="BT300" s="86"/>
      <c r="BU300" s="86"/>
      <c r="BV300" s="86"/>
      <c r="BW300" s="86"/>
      <c r="BX300" s="86"/>
    </row>
    <row r="301" spans="1:76" ht="12.75">
      <c r="A301" s="86"/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  <c r="AX301" s="86"/>
      <c r="AY301" s="86"/>
      <c r="AZ301" s="86"/>
      <c r="BA301" s="86"/>
      <c r="BB301" s="86"/>
      <c r="BC301" s="86"/>
      <c r="BD301" s="86"/>
      <c r="BE301" s="86"/>
      <c r="BF301" s="86"/>
      <c r="BG301" s="86"/>
      <c r="BH301" s="86"/>
      <c r="BI301" s="86"/>
      <c r="BJ301" s="86"/>
      <c r="BK301" s="86"/>
      <c r="BL301" s="86"/>
      <c r="BM301" s="86"/>
      <c r="BN301" s="86"/>
      <c r="BO301" s="86"/>
      <c r="BP301" s="86"/>
      <c r="BQ301" s="86"/>
      <c r="BR301" s="86"/>
      <c r="BS301" s="86"/>
      <c r="BT301" s="86"/>
      <c r="BU301" s="86"/>
      <c r="BV301" s="86"/>
      <c r="BW301" s="86"/>
      <c r="BX301" s="86"/>
    </row>
    <row r="302" spans="1:76" ht="12.75">
      <c r="A302" s="86"/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86"/>
      <c r="AY302" s="86"/>
      <c r="AZ302" s="86"/>
      <c r="BA302" s="86"/>
      <c r="BB302" s="86"/>
      <c r="BC302" s="86"/>
      <c r="BD302" s="86"/>
      <c r="BE302" s="86"/>
      <c r="BF302" s="86"/>
      <c r="BG302" s="86"/>
      <c r="BH302" s="86"/>
      <c r="BI302" s="86"/>
      <c r="BJ302" s="86"/>
      <c r="BK302" s="86"/>
      <c r="BL302" s="86"/>
      <c r="BM302" s="86"/>
      <c r="BN302" s="86"/>
      <c r="BO302" s="86"/>
      <c r="BP302" s="86"/>
      <c r="BQ302" s="86"/>
      <c r="BR302" s="86"/>
      <c r="BS302" s="86"/>
      <c r="BT302" s="86"/>
      <c r="BU302" s="86"/>
      <c r="BV302" s="86"/>
      <c r="BW302" s="86"/>
      <c r="BX302" s="86"/>
    </row>
    <row r="303" spans="1:76" ht="12.75">
      <c r="A303" s="86"/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86"/>
      <c r="AY303" s="86"/>
      <c r="AZ303" s="86"/>
      <c r="BA303" s="86"/>
      <c r="BB303" s="86"/>
      <c r="BC303" s="86"/>
      <c r="BD303" s="86"/>
      <c r="BE303" s="86"/>
      <c r="BF303" s="86"/>
      <c r="BG303" s="86"/>
      <c r="BH303" s="86"/>
      <c r="BI303" s="86"/>
      <c r="BJ303" s="86"/>
      <c r="BK303" s="86"/>
      <c r="BL303" s="86"/>
      <c r="BM303" s="86"/>
      <c r="BN303" s="86"/>
      <c r="BO303" s="86"/>
      <c r="BP303" s="86"/>
      <c r="BQ303" s="86"/>
      <c r="BR303" s="86"/>
      <c r="BS303" s="86"/>
      <c r="BT303" s="86"/>
      <c r="BU303" s="86"/>
      <c r="BV303" s="86"/>
      <c r="BW303" s="86"/>
      <c r="BX303" s="86"/>
    </row>
    <row r="304" spans="1:76" ht="12.75">
      <c r="A304" s="86"/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  <c r="AM304" s="86"/>
      <c r="AN304" s="86"/>
      <c r="AO304" s="86"/>
      <c r="AP304" s="86"/>
      <c r="AQ304" s="86"/>
      <c r="AR304" s="86"/>
      <c r="AS304" s="86"/>
      <c r="AT304" s="86"/>
      <c r="AU304" s="86"/>
      <c r="AV304" s="86"/>
      <c r="AW304" s="86"/>
      <c r="AX304" s="86"/>
      <c r="AY304" s="86"/>
      <c r="AZ304" s="86"/>
      <c r="BA304" s="86"/>
      <c r="BB304" s="86"/>
      <c r="BC304" s="86"/>
      <c r="BD304" s="86"/>
      <c r="BE304" s="86"/>
      <c r="BF304" s="86"/>
      <c r="BG304" s="86"/>
      <c r="BH304" s="86"/>
      <c r="BI304" s="86"/>
      <c r="BJ304" s="86"/>
      <c r="BK304" s="86"/>
      <c r="BL304" s="86"/>
      <c r="BM304" s="86"/>
      <c r="BN304" s="86"/>
      <c r="BO304" s="86"/>
      <c r="BP304" s="86"/>
      <c r="BQ304" s="86"/>
      <c r="BR304" s="86"/>
      <c r="BS304" s="86"/>
      <c r="BT304" s="86"/>
      <c r="BU304" s="86"/>
      <c r="BV304" s="86"/>
      <c r="BW304" s="86"/>
      <c r="BX304" s="86"/>
    </row>
    <row r="305" spans="1:76" ht="12.75">
      <c r="A305" s="86"/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86"/>
      <c r="AL305" s="86"/>
      <c r="AM305" s="86"/>
      <c r="AN305" s="86"/>
      <c r="AO305" s="86"/>
      <c r="AP305" s="86"/>
      <c r="AQ305" s="86"/>
      <c r="AR305" s="86"/>
      <c r="AS305" s="86"/>
      <c r="AT305" s="86"/>
      <c r="AU305" s="86"/>
      <c r="AV305" s="86"/>
      <c r="AW305" s="86"/>
      <c r="AX305" s="86"/>
      <c r="AY305" s="86"/>
      <c r="AZ305" s="86"/>
      <c r="BA305" s="86"/>
      <c r="BB305" s="86"/>
      <c r="BC305" s="86"/>
      <c r="BD305" s="86"/>
      <c r="BE305" s="86"/>
      <c r="BF305" s="86"/>
      <c r="BG305" s="86"/>
      <c r="BH305" s="86"/>
      <c r="BI305" s="86"/>
      <c r="BJ305" s="86"/>
      <c r="BK305" s="86"/>
      <c r="BL305" s="86"/>
      <c r="BM305" s="86"/>
      <c r="BN305" s="86"/>
      <c r="BO305" s="86"/>
      <c r="BP305" s="86"/>
      <c r="BQ305" s="86"/>
      <c r="BR305" s="86"/>
      <c r="BS305" s="86"/>
      <c r="BT305" s="86"/>
      <c r="BU305" s="86"/>
      <c r="BV305" s="86"/>
      <c r="BW305" s="86"/>
      <c r="BX305" s="86"/>
    </row>
    <row r="306" spans="1:76" ht="12.75">
      <c r="A306" s="86"/>
      <c r="B306" s="86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  <c r="AM306" s="86"/>
      <c r="AN306" s="86"/>
      <c r="AO306" s="86"/>
      <c r="AP306" s="86"/>
      <c r="AQ306" s="86"/>
      <c r="AR306" s="86"/>
      <c r="AS306" s="86"/>
      <c r="AT306" s="86"/>
      <c r="AU306" s="86"/>
      <c r="AV306" s="86"/>
      <c r="AW306" s="86"/>
      <c r="AX306" s="86"/>
      <c r="AY306" s="86"/>
      <c r="AZ306" s="86"/>
      <c r="BA306" s="86"/>
      <c r="BB306" s="86"/>
      <c r="BC306" s="86"/>
      <c r="BD306" s="86"/>
      <c r="BE306" s="86"/>
      <c r="BF306" s="86"/>
      <c r="BG306" s="86"/>
      <c r="BH306" s="86"/>
      <c r="BI306" s="86"/>
      <c r="BJ306" s="86"/>
      <c r="BK306" s="86"/>
      <c r="BL306" s="86"/>
      <c r="BM306" s="86"/>
      <c r="BN306" s="86"/>
      <c r="BO306" s="86"/>
      <c r="BP306" s="86"/>
      <c r="BQ306" s="86"/>
      <c r="BR306" s="86"/>
      <c r="BS306" s="86"/>
      <c r="BT306" s="86"/>
      <c r="BU306" s="86"/>
      <c r="BV306" s="86"/>
      <c r="BW306" s="86"/>
      <c r="BX306" s="86"/>
    </row>
    <row r="307" spans="1:76" ht="12.75">
      <c r="A307" s="86"/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  <c r="AM307" s="86"/>
      <c r="AN307" s="86"/>
      <c r="AO307" s="86"/>
      <c r="AP307" s="86"/>
      <c r="AQ307" s="86"/>
      <c r="AR307" s="86"/>
      <c r="AS307" s="86"/>
      <c r="AT307" s="86"/>
      <c r="AU307" s="86"/>
      <c r="AV307" s="86"/>
      <c r="AW307" s="86"/>
      <c r="AX307" s="86"/>
      <c r="AY307" s="86"/>
      <c r="AZ307" s="86"/>
      <c r="BA307" s="86"/>
      <c r="BB307" s="86"/>
      <c r="BC307" s="86"/>
      <c r="BD307" s="86"/>
      <c r="BE307" s="86"/>
      <c r="BF307" s="86"/>
      <c r="BG307" s="86"/>
      <c r="BH307" s="86"/>
      <c r="BI307" s="86"/>
      <c r="BJ307" s="86"/>
      <c r="BK307" s="86"/>
      <c r="BL307" s="86"/>
      <c r="BM307" s="86"/>
      <c r="BN307" s="86"/>
      <c r="BO307" s="86"/>
      <c r="BP307" s="86"/>
      <c r="BQ307" s="86"/>
      <c r="BR307" s="86"/>
      <c r="BS307" s="86"/>
      <c r="BT307" s="86"/>
      <c r="BU307" s="86"/>
      <c r="BV307" s="86"/>
      <c r="BW307" s="86"/>
      <c r="BX307" s="86"/>
    </row>
    <row r="308" spans="1:76" ht="12.75">
      <c r="A308" s="86"/>
      <c r="B308" s="86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6"/>
      <c r="AK308" s="86"/>
      <c r="AL308" s="86"/>
      <c r="AM308" s="86"/>
      <c r="AN308" s="86"/>
      <c r="AO308" s="86"/>
      <c r="AP308" s="86"/>
      <c r="AQ308" s="86"/>
      <c r="AR308" s="86"/>
      <c r="AS308" s="86"/>
      <c r="AT308" s="86"/>
      <c r="AU308" s="86"/>
      <c r="AV308" s="86"/>
      <c r="AW308" s="86"/>
      <c r="AX308" s="86"/>
      <c r="AY308" s="86"/>
      <c r="AZ308" s="86"/>
      <c r="BA308" s="86"/>
      <c r="BB308" s="86"/>
      <c r="BC308" s="86"/>
      <c r="BD308" s="86"/>
      <c r="BE308" s="86"/>
      <c r="BF308" s="86"/>
      <c r="BG308" s="86"/>
      <c r="BH308" s="86"/>
      <c r="BI308" s="86"/>
      <c r="BJ308" s="86"/>
      <c r="BK308" s="86"/>
      <c r="BL308" s="86"/>
      <c r="BM308" s="86"/>
      <c r="BN308" s="86"/>
      <c r="BO308" s="86"/>
      <c r="BP308" s="86"/>
      <c r="BQ308" s="86"/>
      <c r="BR308" s="86"/>
      <c r="BS308" s="86"/>
      <c r="BT308" s="86"/>
      <c r="BU308" s="86"/>
      <c r="BV308" s="86"/>
      <c r="BW308" s="86"/>
      <c r="BX308" s="86"/>
    </row>
    <row r="309" spans="1:76" ht="12.75">
      <c r="A309" s="86"/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  <c r="AI309" s="86"/>
      <c r="AJ309" s="86"/>
      <c r="AK309" s="86"/>
      <c r="AL309" s="86"/>
      <c r="AM309" s="86"/>
      <c r="AN309" s="86"/>
      <c r="AO309" s="86"/>
      <c r="AP309" s="86"/>
      <c r="AQ309" s="86"/>
      <c r="AR309" s="86"/>
      <c r="AS309" s="86"/>
      <c r="AT309" s="86"/>
      <c r="AU309" s="86"/>
      <c r="AV309" s="86"/>
      <c r="AW309" s="86"/>
      <c r="AX309" s="86"/>
      <c r="AY309" s="86"/>
      <c r="AZ309" s="86"/>
      <c r="BA309" s="86"/>
      <c r="BB309" s="86"/>
      <c r="BC309" s="86"/>
      <c r="BD309" s="86"/>
      <c r="BE309" s="86"/>
      <c r="BF309" s="86"/>
      <c r="BG309" s="86"/>
      <c r="BH309" s="86"/>
      <c r="BI309" s="86"/>
      <c r="BJ309" s="86"/>
      <c r="BK309" s="86"/>
      <c r="BL309" s="86"/>
      <c r="BM309" s="86"/>
      <c r="BN309" s="86"/>
      <c r="BO309" s="86"/>
      <c r="BP309" s="86"/>
      <c r="BQ309" s="86"/>
      <c r="BR309" s="86"/>
      <c r="BS309" s="86"/>
      <c r="BT309" s="86"/>
      <c r="BU309" s="86"/>
      <c r="BV309" s="86"/>
      <c r="BW309" s="86"/>
      <c r="BX309" s="86"/>
    </row>
    <row r="310" spans="1:76" ht="12.75">
      <c r="A310" s="86"/>
      <c r="B310" s="86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86"/>
      <c r="U310" s="86"/>
      <c r="V310" s="86"/>
      <c r="W310" s="86"/>
      <c r="X310" s="86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  <c r="AI310" s="86"/>
      <c r="AJ310" s="86"/>
      <c r="AK310" s="86"/>
      <c r="AL310" s="86"/>
      <c r="AM310" s="86"/>
      <c r="AN310" s="86"/>
      <c r="AO310" s="86"/>
      <c r="AP310" s="86"/>
      <c r="AQ310" s="86"/>
      <c r="AR310" s="86"/>
      <c r="AS310" s="86"/>
      <c r="AT310" s="86"/>
      <c r="AU310" s="86"/>
      <c r="AV310" s="86"/>
      <c r="AW310" s="86"/>
      <c r="AX310" s="86"/>
      <c r="AY310" s="86"/>
      <c r="AZ310" s="86"/>
      <c r="BA310" s="86"/>
      <c r="BB310" s="86"/>
      <c r="BC310" s="86"/>
      <c r="BD310" s="86"/>
      <c r="BE310" s="86"/>
      <c r="BF310" s="86"/>
      <c r="BG310" s="86"/>
      <c r="BH310" s="86"/>
      <c r="BI310" s="86"/>
      <c r="BJ310" s="86"/>
      <c r="BK310" s="86"/>
      <c r="BL310" s="86"/>
      <c r="BM310" s="86"/>
      <c r="BN310" s="86"/>
      <c r="BO310" s="86"/>
      <c r="BP310" s="86"/>
      <c r="BQ310" s="86"/>
      <c r="BR310" s="86"/>
      <c r="BS310" s="86"/>
      <c r="BT310" s="86"/>
      <c r="BU310" s="86"/>
      <c r="BV310" s="86"/>
      <c r="BW310" s="86"/>
      <c r="BX310" s="86"/>
    </row>
    <row r="311" spans="1:76" ht="12.75">
      <c r="A311" s="86"/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6"/>
      <c r="AK311" s="86"/>
      <c r="AL311" s="86"/>
      <c r="AM311" s="86"/>
      <c r="AN311" s="86"/>
      <c r="AO311" s="86"/>
      <c r="AP311" s="86"/>
      <c r="AQ311" s="86"/>
      <c r="AR311" s="86"/>
      <c r="AS311" s="86"/>
      <c r="AT311" s="86"/>
      <c r="AU311" s="86"/>
      <c r="AV311" s="86"/>
      <c r="AW311" s="86"/>
      <c r="AX311" s="86"/>
      <c r="AY311" s="86"/>
      <c r="AZ311" s="86"/>
      <c r="BA311" s="86"/>
      <c r="BB311" s="86"/>
      <c r="BC311" s="86"/>
      <c r="BD311" s="86"/>
      <c r="BE311" s="86"/>
      <c r="BF311" s="86"/>
      <c r="BG311" s="86"/>
      <c r="BH311" s="86"/>
      <c r="BI311" s="86"/>
      <c r="BJ311" s="86"/>
      <c r="BK311" s="86"/>
      <c r="BL311" s="86"/>
      <c r="BM311" s="86"/>
      <c r="BN311" s="86"/>
      <c r="BO311" s="86"/>
      <c r="BP311" s="86"/>
      <c r="BQ311" s="86"/>
      <c r="BR311" s="86"/>
      <c r="BS311" s="86"/>
      <c r="BT311" s="86"/>
      <c r="BU311" s="86"/>
      <c r="BV311" s="86"/>
      <c r="BW311" s="86"/>
      <c r="BX311" s="86"/>
    </row>
    <row r="312" spans="1:76" ht="12.75">
      <c r="A312" s="86"/>
      <c r="B312" s="86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  <c r="AI312" s="86"/>
      <c r="AJ312" s="86"/>
      <c r="AK312" s="86"/>
      <c r="AL312" s="86"/>
      <c r="AM312" s="86"/>
      <c r="AN312" s="86"/>
      <c r="AO312" s="86"/>
      <c r="AP312" s="86"/>
      <c r="AQ312" s="86"/>
      <c r="AR312" s="86"/>
      <c r="AS312" s="86"/>
      <c r="AT312" s="86"/>
      <c r="AU312" s="86"/>
      <c r="AV312" s="86"/>
      <c r="AW312" s="86"/>
      <c r="AX312" s="86"/>
      <c r="AY312" s="86"/>
      <c r="AZ312" s="86"/>
      <c r="BA312" s="86"/>
      <c r="BB312" s="86"/>
      <c r="BC312" s="86"/>
      <c r="BD312" s="86"/>
      <c r="BE312" s="86"/>
      <c r="BF312" s="86"/>
      <c r="BG312" s="86"/>
      <c r="BH312" s="86"/>
      <c r="BI312" s="86"/>
      <c r="BJ312" s="86"/>
      <c r="BK312" s="86"/>
      <c r="BL312" s="86"/>
      <c r="BM312" s="86"/>
      <c r="BN312" s="86"/>
      <c r="BO312" s="86"/>
      <c r="BP312" s="86"/>
      <c r="BQ312" s="86"/>
      <c r="BR312" s="86"/>
      <c r="BS312" s="86"/>
      <c r="BT312" s="86"/>
      <c r="BU312" s="86"/>
      <c r="BV312" s="86"/>
      <c r="BW312" s="86"/>
      <c r="BX312" s="86"/>
    </row>
    <row r="313" spans="1:76" ht="12.75">
      <c r="A313" s="86"/>
      <c r="B313" s="86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6"/>
      <c r="AK313" s="86"/>
      <c r="AL313" s="86"/>
      <c r="AM313" s="86"/>
      <c r="AN313" s="86"/>
      <c r="AO313" s="86"/>
      <c r="AP313" s="86"/>
      <c r="AQ313" s="86"/>
      <c r="AR313" s="86"/>
      <c r="AS313" s="86"/>
      <c r="AT313" s="86"/>
      <c r="AU313" s="86"/>
      <c r="AV313" s="86"/>
      <c r="AW313" s="86"/>
      <c r="AX313" s="86"/>
      <c r="AY313" s="86"/>
      <c r="AZ313" s="86"/>
      <c r="BA313" s="86"/>
      <c r="BB313" s="86"/>
      <c r="BC313" s="86"/>
      <c r="BD313" s="86"/>
      <c r="BE313" s="86"/>
      <c r="BF313" s="86"/>
      <c r="BG313" s="86"/>
      <c r="BH313" s="86"/>
      <c r="BI313" s="86"/>
      <c r="BJ313" s="86"/>
      <c r="BK313" s="86"/>
      <c r="BL313" s="86"/>
      <c r="BM313" s="86"/>
      <c r="BN313" s="86"/>
      <c r="BO313" s="86"/>
      <c r="BP313" s="86"/>
      <c r="BQ313" s="86"/>
      <c r="BR313" s="86"/>
      <c r="BS313" s="86"/>
      <c r="BT313" s="86"/>
      <c r="BU313" s="86"/>
      <c r="BV313" s="86"/>
      <c r="BW313" s="86"/>
      <c r="BX313" s="86"/>
    </row>
    <row r="314" spans="1:76" ht="12.75">
      <c r="A314" s="86"/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6"/>
      <c r="AK314" s="86"/>
      <c r="AL314" s="86"/>
      <c r="AM314" s="86"/>
      <c r="AN314" s="86"/>
      <c r="AO314" s="86"/>
      <c r="AP314" s="86"/>
      <c r="AQ314" s="86"/>
      <c r="AR314" s="86"/>
      <c r="AS314" s="86"/>
      <c r="AT314" s="86"/>
      <c r="AU314" s="86"/>
      <c r="AV314" s="86"/>
      <c r="AW314" s="86"/>
      <c r="AX314" s="86"/>
      <c r="AY314" s="86"/>
      <c r="AZ314" s="86"/>
      <c r="BA314" s="86"/>
      <c r="BB314" s="86"/>
      <c r="BC314" s="86"/>
      <c r="BD314" s="86"/>
      <c r="BE314" s="86"/>
      <c r="BF314" s="86"/>
      <c r="BG314" s="86"/>
      <c r="BH314" s="86"/>
      <c r="BI314" s="86"/>
      <c r="BJ314" s="86"/>
      <c r="BK314" s="86"/>
      <c r="BL314" s="86"/>
      <c r="BM314" s="86"/>
      <c r="BN314" s="86"/>
      <c r="BO314" s="86"/>
      <c r="BP314" s="86"/>
      <c r="BQ314" s="86"/>
      <c r="BR314" s="86"/>
      <c r="BS314" s="86"/>
      <c r="BT314" s="86"/>
      <c r="BU314" s="86"/>
      <c r="BV314" s="86"/>
      <c r="BW314" s="86"/>
      <c r="BX314" s="86"/>
    </row>
    <row r="315" spans="1:76" ht="12.75">
      <c r="A315" s="86"/>
      <c r="B315" s="86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  <c r="AM315" s="86"/>
      <c r="AN315" s="86"/>
      <c r="AO315" s="86"/>
      <c r="AP315" s="86"/>
      <c r="AQ315" s="86"/>
      <c r="AR315" s="86"/>
      <c r="AS315" s="86"/>
      <c r="AT315" s="86"/>
      <c r="AU315" s="86"/>
      <c r="AV315" s="86"/>
      <c r="AW315" s="86"/>
      <c r="AX315" s="86"/>
      <c r="AY315" s="86"/>
      <c r="AZ315" s="86"/>
      <c r="BA315" s="86"/>
      <c r="BB315" s="86"/>
      <c r="BC315" s="86"/>
      <c r="BD315" s="86"/>
      <c r="BE315" s="86"/>
      <c r="BF315" s="86"/>
      <c r="BG315" s="86"/>
      <c r="BH315" s="86"/>
      <c r="BI315" s="86"/>
      <c r="BJ315" s="86"/>
      <c r="BK315" s="86"/>
      <c r="BL315" s="86"/>
      <c r="BM315" s="86"/>
      <c r="BN315" s="86"/>
      <c r="BO315" s="86"/>
      <c r="BP315" s="86"/>
      <c r="BQ315" s="86"/>
      <c r="BR315" s="86"/>
      <c r="BS315" s="86"/>
      <c r="BT315" s="86"/>
      <c r="BU315" s="86"/>
      <c r="BV315" s="86"/>
      <c r="BW315" s="86"/>
      <c r="BX315" s="86"/>
    </row>
    <row r="316" spans="1:76" ht="12.75">
      <c r="A316" s="86"/>
      <c r="B316" s="86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  <c r="AM316" s="86"/>
      <c r="AN316" s="86"/>
      <c r="AO316" s="86"/>
      <c r="AP316" s="86"/>
      <c r="AQ316" s="86"/>
      <c r="AR316" s="86"/>
      <c r="AS316" s="86"/>
      <c r="AT316" s="86"/>
      <c r="AU316" s="86"/>
      <c r="AV316" s="86"/>
      <c r="AW316" s="86"/>
      <c r="AX316" s="86"/>
      <c r="AY316" s="86"/>
      <c r="AZ316" s="86"/>
      <c r="BA316" s="86"/>
      <c r="BB316" s="86"/>
      <c r="BC316" s="86"/>
      <c r="BD316" s="86"/>
      <c r="BE316" s="86"/>
      <c r="BF316" s="86"/>
      <c r="BG316" s="86"/>
      <c r="BH316" s="86"/>
      <c r="BI316" s="86"/>
      <c r="BJ316" s="86"/>
      <c r="BK316" s="86"/>
      <c r="BL316" s="86"/>
      <c r="BM316" s="86"/>
      <c r="BN316" s="86"/>
      <c r="BO316" s="86"/>
      <c r="BP316" s="86"/>
      <c r="BQ316" s="86"/>
      <c r="BR316" s="86"/>
      <c r="BS316" s="86"/>
      <c r="BT316" s="86"/>
      <c r="BU316" s="86"/>
      <c r="BV316" s="86"/>
      <c r="BW316" s="86"/>
      <c r="BX316" s="86"/>
    </row>
    <row r="317" spans="1:76" ht="12.75">
      <c r="A317" s="86"/>
      <c r="B317" s="86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86"/>
      <c r="AO317" s="86"/>
      <c r="AP317" s="86"/>
      <c r="AQ317" s="86"/>
      <c r="AR317" s="86"/>
      <c r="AS317" s="86"/>
      <c r="AT317" s="86"/>
      <c r="AU317" s="86"/>
      <c r="AV317" s="86"/>
      <c r="AW317" s="86"/>
      <c r="AX317" s="86"/>
      <c r="AY317" s="86"/>
      <c r="AZ317" s="86"/>
      <c r="BA317" s="86"/>
      <c r="BB317" s="86"/>
      <c r="BC317" s="86"/>
      <c r="BD317" s="86"/>
      <c r="BE317" s="86"/>
      <c r="BF317" s="86"/>
      <c r="BG317" s="86"/>
      <c r="BH317" s="86"/>
      <c r="BI317" s="86"/>
      <c r="BJ317" s="86"/>
      <c r="BK317" s="86"/>
      <c r="BL317" s="86"/>
      <c r="BM317" s="86"/>
      <c r="BN317" s="86"/>
      <c r="BO317" s="86"/>
      <c r="BP317" s="86"/>
      <c r="BQ317" s="86"/>
      <c r="BR317" s="86"/>
      <c r="BS317" s="86"/>
      <c r="BT317" s="86"/>
      <c r="BU317" s="86"/>
      <c r="BV317" s="86"/>
      <c r="BW317" s="86"/>
      <c r="BX317" s="86"/>
    </row>
    <row r="318" spans="1:76" ht="12.75">
      <c r="A318" s="86"/>
      <c r="B318" s="86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86"/>
      <c r="AI318" s="86"/>
      <c r="AJ318" s="86"/>
      <c r="AK318" s="86"/>
      <c r="AL318" s="86"/>
      <c r="AM318" s="86"/>
      <c r="AN318" s="86"/>
      <c r="AO318" s="86"/>
      <c r="AP318" s="86"/>
      <c r="AQ318" s="86"/>
      <c r="AR318" s="86"/>
      <c r="AS318" s="86"/>
      <c r="AT318" s="86"/>
      <c r="AU318" s="86"/>
      <c r="AV318" s="86"/>
      <c r="AW318" s="86"/>
      <c r="AX318" s="86"/>
      <c r="AY318" s="86"/>
      <c r="AZ318" s="86"/>
      <c r="BA318" s="86"/>
      <c r="BB318" s="86"/>
      <c r="BC318" s="86"/>
      <c r="BD318" s="86"/>
      <c r="BE318" s="86"/>
      <c r="BF318" s="86"/>
      <c r="BG318" s="86"/>
      <c r="BH318" s="86"/>
      <c r="BI318" s="86"/>
      <c r="BJ318" s="86"/>
      <c r="BK318" s="86"/>
      <c r="BL318" s="86"/>
      <c r="BM318" s="86"/>
      <c r="BN318" s="86"/>
      <c r="BO318" s="86"/>
      <c r="BP318" s="86"/>
      <c r="BQ318" s="86"/>
      <c r="BR318" s="86"/>
      <c r="BS318" s="86"/>
      <c r="BT318" s="86"/>
      <c r="BU318" s="86"/>
      <c r="BV318" s="86"/>
      <c r="BW318" s="86"/>
      <c r="BX318" s="86"/>
    </row>
    <row r="319" spans="1:76" ht="12.75">
      <c r="A319" s="86"/>
      <c r="B319" s="86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6"/>
      <c r="AK319" s="86"/>
      <c r="AL319" s="86"/>
      <c r="AM319" s="86"/>
      <c r="AN319" s="86"/>
      <c r="AO319" s="86"/>
      <c r="AP319" s="86"/>
      <c r="AQ319" s="86"/>
      <c r="AR319" s="86"/>
      <c r="AS319" s="86"/>
      <c r="AT319" s="86"/>
      <c r="AU319" s="86"/>
      <c r="AV319" s="86"/>
      <c r="AW319" s="86"/>
      <c r="AX319" s="86"/>
      <c r="AY319" s="86"/>
      <c r="AZ319" s="86"/>
      <c r="BA319" s="86"/>
      <c r="BB319" s="86"/>
      <c r="BC319" s="86"/>
      <c r="BD319" s="86"/>
      <c r="BE319" s="86"/>
      <c r="BF319" s="86"/>
      <c r="BG319" s="86"/>
      <c r="BH319" s="86"/>
      <c r="BI319" s="86"/>
      <c r="BJ319" s="86"/>
      <c r="BK319" s="86"/>
      <c r="BL319" s="86"/>
      <c r="BM319" s="86"/>
      <c r="BN319" s="86"/>
      <c r="BO319" s="86"/>
      <c r="BP319" s="86"/>
      <c r="BQ319" s="86"/>
      <c r="BR319" s="86"/>
      <c r="BS319" s="86"/>
      <c r="BT319" s="86"/>
      <c r="BU319" s="86"/>
      <c r="BV319" s="86"/>
      <c r="BW319" s="86"/>
      <c r="BX319" s="86"/>
    </row>
    <row r="320" spans="1:76" ht="12.75">
      <c r="A320" s="86"/>
      <c r="B320" s="86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6"/>
      <c r="AK320" s="86"/>
      <c r="AL320" s="86"/>
      <c r="AM320" s="86"/>
      <c r="AN320" s="86"/>
      <c r="AO320" s="86"/>
      <c r="AP320" s="86"/>
      <c r="AQ320" s="86"/>
      <c r="AR320" s="86"/>
      <c r="AS320" s="86"/>
      <c r="AT320" s="86"/>
      <c r="AU320" s="86"/>
      <c r="AV320" s="86"/>
      <c r="AW320" s="86"/>
      <c r="AX320" s="86"/>
      <c r="AY320" s="86"/>
      <c r="AZ320" s="86"/>
      <c r="BA320" s="86"/>
      <c r="BB320" s="86"/>
      <c r="BC320" s="86"/>
      <c r="BD320" s="86"/>
      <c r="BE320" s="86"/>
      <c r="BF320" s="86"/>
      <c r="BG320" s="86"/>
      <c r="BH320" s="86"/>
      <c r="BI320" s="86"/>
      <c r="BJ320" s="86"/>
      <c r="BK320" s="86"/>
      <c r="BL320" s="86"/>
      <c r="BM320" s="86"/>
      <c r="BN320" s="86"/>
      <c r="BO320" s="86"/>
      <c r="BP320" s="86"/>
      <c r="BQ320" s="86"/>
      <c r="BR320" s="86"/>
      <c r="BS320" s="86"/>
      <c r="BT320" s="86"/>
      <c r="BU320" s="86"/>
      <c r="BV320" s="86"/>
      <c r="BW320" s="86"/>
      <c r="BX320" s="86"/>
    </row>
    <row r="321" spans="1:76" ht="12.75">
      <c r="A321" s="86"/>
      <c r="B321" s="86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6"/>
      <c r="AK321" s="86"/>
      <c r="AL321" s="86"/>
      <c r="AM321" s="86"/>
      <c r="AN321" s="86"/>
      <c r="AO321" s="86"/>
      <c r="AP321" s="86"/>
      <c r="AQ321" s="86"/>
      <c r="AR321" s="86"/>
      <c r="AS321" s="86"/>
      <c r="AT321" s="86"/>
      <c r="AU321" s="86"/>
      <c r="AV321" s="86"/>
      <c r="AW321" s="86"/>
      <c r="AX321" s="86"/>
      <c r="AY321" s="86"/>
      <c r="AZ321" s="86"/>
      <c r="BA321" s="86"/>
      <c r="BB321" s="86"/>
      <c r="BC321" s="86"/>
      <c r="BD321" s="86"/>
      <c r="BE321" s="86"/>
      <c r="BF321" s="86"/>
      <c r="BG321" s="86"/>
      <c r="BH321" s="86"/>
      <c r="BI321" s="86"/>
      <c r="BJ321" s="86"/>
      <c r="BK321" s="86"/>
      <c r="BL321" s="86"/>
      <c r="BM321" s="86"/>
      <c r="BN321" s="86"/>
      <c r="BO321" s="86"/>
      <c r="BP321" s="86"/>
      <c r="BQ321" s="86"/>
      <c r="BR321" s="86"/>
      <c r="BS321" s="86"/>
      <c r="BT321" s="86"/>
      <c r="BU321" s="86"/>
      <c r="BV321" s="86"/>
      <c r="BW321" s="86"/>
      <c r="BX321" s="86"/>
    </row>
    <row r="322" spans="1:76" ht="12.75">
      <c r="A322" s="86"/>
      <c r="B322" s="86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  <c r="AI322" s="86"/>
      <c r="AJ322" s="86"/>
      <c r="AK322" s="86"/>
      <c r="AL322" s="86"/>
      <c r="AM322" s="86"/>
      <c r="AN322" s="86"/>
      <c r="AO322" s="86"/>
      <c r="AP322" s="86"/>
      <c r="AQ322" s="86"/>
      <c r="AR322" s="86"/>
      <c r="AS322" s="86"/>
      <c r="AT322" s="86"/>
      <c r="AU322" s="86"/>
      <c r="AV322" s="86"/>
      <c r="AW322" s="86"/>
      <c r="AX322" s="86"/>
      <c r="AY322" s="86"/>
      <c r="AZ322" s="86"/>
      <c r="BA322" s="86"/>
      <c r="BB322" s="86"/>
      <c r="BC322" s="86"/>
      <c r="BD322" s="86"/>
      <c r="BE322" s="86"/>
      <c r="BF322" s="86"/>
      <c r="BG322" s="86"/>
      <c r="BH322" s="86"/>
      <c r="BI322" s="86"/>
      <c r="BJ322" s="86"/>
      <c r="BK322" s="86"/>
      <c r="BL322" s="86"/>
      <c r="BM322" s="86"/>
      <c r="BN322" s="86"/>
      <c r="BO322" s="86"/>
      <c r="BP322" s="86"/>
      <c r="BQ322" s="86"/>
      <c r="BR322" s="86"/>
      <c r="BS322" s="86"/>
      <c r="BT322" s="86"/>
      <c r="BU322" s="86"/>
      <c r="BV322" s="86"/>
      <c r="BW322" s="86"/>
      <c r="BX322" s="8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G57"/>
  <sheetViews>
    <sheetView workbookViewId="0" topLeftCell="A1">
      <selection activeCell="P25" sqref="P25"/>
    </sheetView>
  </sheetViews>
  <sheetFormatPr defaultColWidth="8.796875" defaultRowHeight="12"/>
  <cols>
    <col min="1" max="1" width="1.69921875" style="0" customWidth="1"/>
    <col min="2" max="2" width="7.296875" style="0" customWidth="1"/>
    <col min="3" max="3" width="20.09765625" style="0" customWidth="1"/>
    <col min="4" max="4" width="7.09765625" style="188" customWidth="1"/>
    <col min="5" max="5" width="6.09765625" style="0" customWidth="1"/>
    <col min="6" max="6" width="7.19921875" style="0" customWidth="1"/>
    <col min="7" max="7" width="0" style="0" hidden="1" customWidth="1"/>
    <col min="8" max="8" width="6.796875" style="0" customWidth="1"/>
    <col min="9" max="9" width="6.19921875" style="0" customWidth="1"/>
    <col min="10" max="10" width="5.8984375" style="188" customWidth="1"/>
    <col min="11" max="12" width="0" style="0" hidden="1" customWidth="1"/>
    <col min="13" max="13" width="7" style="0" customWidth="1"/>
    <col min="14" max="14" width="0" style="0" hidden="1" customWidth="1"/>
    <col min="15" max="15" width="7.19921875" style="0" customWidth="1"/>
    <col min="16" max="16" width="6.796875" style="0" customWidth="1"/>
    <col min="17" max="17" width="6.69921875" style="0" customWidth="1"/>
    <col min="18" max="25" width="0" style="0" hidden="1" customWidth="1"/>
  </cols>
  <sheetData>
    <row r="1" spans="1:33" ht="11.25">
      <c r="A1" s="15"/>
      <c r="B1" s="16"/>
      <c r="C1" s="17" t="s">
        <v>153</v>
      </c>
      <c r="D1" s="182"/>
      <c r="E1" s="19"/>
      <c r="F1" s="19"/>
      <c r="G1" s="16"/>
      <c r="H1" s="19"/>
      <c r="I1" s="18"/>
      <c r="J1" s="182"/>
      <c r="K1" s="16"/>
      <c r="L1" s="16"/>
      <c r="M1" s="20"/>
      <c r="N1" s="16"/>
      <c r="O1" s="21"/>
      <c r="P1" s="21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22">
        <v>40026</v>
      </c>
      <c r="AE1" s="16"/>
      <c r="AF1" s="16"/>
      <c r="AG1" s="16"/>
    </row>
    <row r="2" spans="1:33" ht="11.25">
      <c r="A2" s="15"/>
      <c r="B2" s="16"/>
      <c r="C2" s="23" t="s">
        <v>154</v>
      </c>
      <c r="D2" s="182"/>
      <c r="E2" s="19"/>
      <c r="F2" s="19"/>
      <c r="G2" s="16"/>
      <c r="H2" s="19"/>
      <c r="I2" s="18"/>
      <c r="J2" s="182"/>
      <c r="K2" s="16"/>
      <c r="L2" s="16"/>
      <c r="M2" s="20"/>
      <c r="N2" s="16"/>
      <c r="O2" s="24">
        <v>5</v>
      </c>
      <c r="P2" s="23" t="s">
        <v>155</v>
      </c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3" ht="11.25">
      <c r="A3" s="15"/>
      <c r="B3" s="16"/>
      <c r="C3" s="25">
        <v>40390</v>
      </c>
      <c r="D3" s="182"/>
      <c r="E3" s="19"/>
      <c r="F3" s="19"/>
      <c r="G3" s="16"/>
      <c r="H3" s="19"/>
      <c r="I3" s="18"/>
      <c r="J3" s="182"/>
      <c r="K3" s="16"/>
      <c r="L3" s="16"/>
      <c r="M3" s="20"/>
      <c r="N3" s="16"/>
      <c r="O3" s="24">
        <v>7</v>
      </c>
      <c r="P3" s="23" t="s">
        <v>156</v>
      </c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 t="s">
        <v>157</v>
      </c>
      <c r="AE3" s="16" t="s">
        <v>158</v>
      </c>
      <c r="AF3" s="16"/>
      <c r="AG3" s="16"/>
    </row>
    <row r="4" spans="1:33" ht="11.25">
      <c r="A4" s="15"/>
      <c r="B4" s="16"/>
      <c r="C4" s="16"/>
      <c r="D4" s="182"/>
      <c r="E4" s="19"/>
      <c r="F4" s="19"/>
      <c r="G4" s="16"/>
      <c r="H4" s="19"/>
      <c r="I4" s="18"/>
      <c r="J4" s="182"/>
      <c r="K4" s="16"/>
      <c r="L4" s="16"/>
      <c r="M4" s="20"/>
      <c r="N4" s="16"/>
      <c r="O4" s="24">
        <v>2009</v>
      </c>
      <c r="P4" s="23" t="s">
        <v>159</v>
      </c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 t="s">
        <v>160</v>
      </c>
      <c r="AE4" s="16" t="s">
        <v>161</v>
      </c>
      <c r="AF4" s="16"/>
      <c r="AG4" s="16"/>
    </row>
    <row r="5" spans="1:33" ht="11.25">
      <c r="A5" s="15"/>
      <c r="B5" s="16"/>
      <c r="C5" s="16"/>
      <c r="D5" s="182"/>
      <c r="E5" s="19"/>
      <c r="F5" s="19"/>
      <c r="G5" s="16"/>
      <c r="H5" s="19"/>
      <c r="I5" s="18"/>
      <c r="J5" s="182"/>
      <c r="K5" s="16"/>
      <c r="L5" s="16"/>
      <c r="M5" s="20"/>
      <c r="N5" s="16"/>
      <c r="O5" s="24">
        <v>2010</v>
      </c>
      <c r="P5" s="23" t="s">
        <v>162</v>
      </c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 t="s">
        <v>163</v>
      </c>
      <c r="AE5" s="16" t="s">
        <v>164</v>
      </c>
      <c r="AF5" s="16"/>
      <c r="AG5" s="16"/>
    </row>
    <row r="6" spans="1:33" ht="11.25">
      <c r="A6" s="15"/>
      <c r="B6" s="16"/>
      <c r="C6" s="16"/>
      <c r="D6" s="182"/>
      <c r="E6" s="19"/>
      <c r="F6" s="19"/>
      <c r="G6" s="16"/>
      <c r="H6" s="19"/>
      <c r="I6" s="18"/>
      <c r="J6" s="182"/>
      <c r="K6" s="16"/>
      <c r="L6" s="16"/>
      <c r="M6" s="20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 t="s">
        <v>165</v>
      </c>
      <c r="AE6" s="16" t="s">
        <v>166</v>
      </c>
      <c r="AF6" s="16"/>
      <c r="AG6" s="16"/>
    </row>
    <row r="7" spans="1:33" ht="11.25">
      <c r="A7" s="15"/>
      <c r="B7" s="16"/>
      <c r="C7" s="16"/>
      <c r="D7" s="182"/>
      <c r="E7" s="19"/>
      <c r="F7" s="19"/>
      <c r="G7" s="16"/>
      <c r="H7" s="19"/>
      <c r="I7" s="18"/>
      <c r="J7" s="182"/>
      <c r="K7" s="16"/>
      <c r="L7" s="16"/>
      <c r="M7" s="20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 t="s">
        <v>167</v>
      </c>
      <c r="AE7" s="16" t="s">
        <v>168</v>
      </c>
      <c r="AF7" s="16"/>
      <c r="AG7" s="16"/>
    </row>
    <row r="8" spans="1:33" ht="11.25">
      <c r="A8" s="15"/>
      <c r="B8" s="21"/>
      <c r="C8" s="21"/>
      <c r="D8" s="183"/>
      <c r="E8" s="27"/>
      <c r="F8" s="27"/>
      <c r="G8" s="21"/>
      <c r="H8" s="27"/>
      <c r="I8" s="26"/>
      <c r="J8" s="183"/>
      <c r="K8" s="15"/>
      <c r="L8" s="15"/>
      <c r="M8" s="28"/>
      <c r="N8" s="16"/>
      <c r="O8" s="16"/>
      <c r="P8" s="16"/>
      <c r="Q8" s="16"/>
      <c r="R8" s="19" t="s">
        <v>169</v>
      </c>
      <c r="S8" s="16"/>
      <c r="T8" s="16"/>
      <c r="U8" s="29" t="s">
        <v>3</v>
      </c>
      <c r="V8" s="16"/>
      <c r="W8" s="19" t="s">
        <v>7</v>
      </c>
      <c r="X8" s="19" t="s">
        <v>170</v>
      </c>
      <c r="Y8" s="16"/>
      <c r="Z8" s="29" t="s">
        <v>170</v>
      </c>
      <c r="AA8" s="29" t="s">
        <v>170</v>
      </c>
      <c r="AB8" s="16"/>
      <c r="AC8" s="16"/>
      <c r="AD8" s="16"/>
      <c r="AE8" s="16"/>
      <c r="AF8" s="16"/>
      <c r="AG8" s="16"/>
    </row>
    <row r="9" spans="1:33" ht="11.25">
      <c r="A9" s="30"/>
      <c r="B9" s="31" t="s">
        <v>0</v>
      </c>
      <c r="C9" s="32" t="s">
        <v>171</v>
      </c>
      <c r="D9" s="33" t="s">
        <v>8</v>
      </c>
      <c r="E9" s="29"/>
      <c r="F9" s="34" t="s">
        <v>1</v>
      </c>
      <c r="G9" s="35"/>
      <c r="H9" s="29" t="s">
        <v>0</v>
      </c>
      <c r="I9" s="33"/>
      <c r="J9" s="33" t="s">
        <v>9</v>
      </c>
      <c r="K9" s="30" t="s">
        <v>0</v>
      </c>
      <c r="L9" s="16"/>
      <c r="M9" s="36" t="s">
        <v>0</v>
      </c>
      <c r="N9" s="19" t="s">
        <v>18</v>
      </c>
      <c r="O9" s="32" t="s">
        <v>0</v>
      </c>
      <c r="P9" s="32"/>
      <c r="Q9" s="29" t="s">
        <v>10</v>
      </c>
      <c r="R9" s="19" t="s">
        <v>9</v>
      </c>
      <c r="S9" s="29" t="s">
        <v>3</v>
      </c>
      <c r="T9" s="29" t="s">
        <v>26</v>
      </c>
      <c r="U9" s="29" t="s">
        <v>170</v>
      </c>
      <c r="V9" s="16"/>
      <c r="W9" s="19" t="s">
        <v>172</v>
      </c>
      <c r="X9" s="19" t="s">
        <v>172</v>
      </c>
      <c r="Y9" s="19" t="s">
        <v>173</v>
      </c>
      <c r="Z9" s="29" t="s">
        <v>174</v>
      </c>
      <c r="AA9" s="29" t="s">
        <v>174</v>
      </c>
      <c r="AB9" s="29" t="s">
        <v>11</v>
      </c>
      <c r="AC9" s="16"/>
      <c r="AD9" s="16"/>
      <c r="AE9" s="16"/>
      <c r="AF9" s="16"/>
      <c r="AG9" s="16"/>
    </row>
    <row r="10" spans="1:33" ht="11.25">
      <c r="A10" s="29"/>
      <c r="B10" s="31" t="s">
        <v>12</v>
      </c>
      <c r="C10" s="32"/>
      <c r="D10" s="33" t="s">
        <v>13</v>
      </c>
      <c r="E10" s="29"/>
      <c r="F10" s="34" t="s">
        <v>14</v>
      </c>
      <c r="G10" s="35"/>
      <c r="H10" s="29" t="s">
        <v>15</v>
      </c>
      <c r="I10" s="33" t="s">
        <v>16</v>
      </c>
      <c r="J10" s="33" t="s">
        <v>17</v>
      </c>
      <c r="K10" s="29" t="s">
        <v>18</v>
      </c>
      <c r="L10" s="16" t="s">
        <v>175</v>
      </c>
      <c r="M10" s="36" t="s">
        <v>18</v>
      </c>
      <c r="N10" s="19" t="s">
        <v>169</v>
      </c>
      <c r="O10" s="29" t="s">
        <v>19</v>
      </c>
      <c r="P10" s="29" t="s">
        <v>20</v>
      </c>
      <c r="Q10" s="29" t="s">
        <v>9</v>
      </c>
      <c r="R10" s="19" t="s">
        <v>176</v>
      </c>
      <c r="S10" s="29" t="s">
        <v>177</v>
      </c>
      <c r="T10" s="29" t="s">
        <v>178</v>
      </c>
      <c r="U10" s="29" t="s">
        <v>179</v>
      </c>
      <c r="V10" s="29"/>
      <c r="W10" s="29" t="s">
        <v>4</v>
      </c>
      <c r="X10" s="29" t="s">
        <v>4</v>
      </c>
      <c r="Y10" s="29" t="s">
        <v>178</v>
      </c>
      <c r="Z10" s="29" t="s">
        <v>180</v>
      </c>
      <c r="AA10" s="29" t="s">
        <v>180</v>
      </c>
      <c r="AB10" s="29" t="s">
        <v>21</v>
      </c>
      <c r="AC10" s="19" t="s">
        <v>157</v>
      </c>
      <c r="AD10" s="19" t="s">
        <v>181</v>
      </c>
      <c r="AE10" s="19" t="s">
        <v>182</v>
      </c>
      <c r="AF10" s="19" t="s">
        <v>165</v>
      </c>
      <c r="AG10" s="19" t="s">
        <v>167</v>
      </c>
    </row>
    <row r="11" spans="1:33" ht="11.25">
      <c r="A11" s="37" t="s">
        <v>22</v>
      </c>
      <c r="B11" s="38" t="s">
        <v>23</v>
      </c>
      <c r="C11" s="39" t="s">
        <v>24</v>
      </c>
      <c r="D11" s="40" t="s">
        <v>9</v>
      </c>
      <c r="E11" s="37" t="s">
        <v>25</v>
      </c>
      <c r="F11" s="41" t="s">
        <v>26</v>
      </c>
      <c r="G11" s="35" t="s">
        <v>92</v>
      </c>
      <c r="H11" s="37" t="s">
        <v>27</v>
      </c>
      <c r="I11" s="40" t="s">
        <v>28</v>
      </c>
      <c r="J11" s="40" t="s">
        <v>19</v>
      </c>
      <c r="K11" s="37" t="s">
        <v>29</v>
      </c>
      <c r="L11" s="42" t="s">
        <v>92</v>
      </c>
      <c r="M11" s="43" t="s">
        <v>29</v>
      </c>
      <c r="N11" s="42" t="s">
        <v>92</v>
      </c>
      <c r="O11" s="37" t="s">
        <v>29</v>
      </c>
      <c r="P11" s="37" t="s">
        <v>19</v>
      </c>
      <c r="Q11" s="37" t="s">
        <v>19</v>
      </c>
      <c r="R11" s="42" t="s">
        <v>92</v>
      </c>
      <c r="S11" s="29" t="s">
        <v>183</v>
      </c>
      <c r="T11" s="37" t="s">
        <v>92</v>
      </c>
      <c r="U11" s="29" t="s">
        <v>180</v>
      </c>
      <c r="V11" s="29"/>
      <c r="W11" s="44">
        <f>+AD1</f>
        <v>40026</v>
      </c>
      <c r="X11" s="45">
        <f>+C3</f>
        <v>40390</v>
      </c>
      <c r="Y11" s="29" t="s">
        <v>26</v>
      </c>
      <c r="Z11" s="46">
        <f>+W11</f>
        <v>40026</v>
      </c>
      <c r="AA11" s="46">
        <f>+C3</f>
        <v>40390</v>
      </c>
      <c r="AB11" s="29" t="s">
        <v>92</v>
      </c>
      <c r="AC11" s="16"/>
      <c r="AD11" s="16"/>
      <c r="AE11" s="16"/>
      <c r="AF11" s="16"/>
      <c r="AG11" s="16"/>
    </row>
    <row r="12" spans="1:33" ht="11.25">
      <c r="A12" s="47"/>
      <c r="B12" s="170">
        <v>28</v>
      </c>
      <c r="C12" s="49" t="s">
        <v>434</v>
      </c>
      <c r="D12" s="184">
        <v>2009</v>
      </c>
      <c r="E12" s="51">
        <v>7</v>
      </c>
      <c r="F12" s="52">
        <v>0.2</v>
      </c>
      <c r="G12" s="35"/>
      <c r="H12" s="53" t="s">
        <v>30</v>
      </c>
      <c r="I12" s="54">
        <v>7</v>
      </c>
      <c r="J12" s="189">
        <f aca="true" t="shared" si="0" ref="J12:J18">D12+I12</f>
        <v>2016</v>
      </c>
      <c r="K12" s="56"/>
      <c r="L12" s="56"/>
      <c r="M12" s="58">
        <v>250755.11</v>
      </c>
      <c r="N12" s="59">
        <v>0</v>
      </c>
      <c r="O12" s="60">
        <f aca="true" t="shared" si="1" ref="O12:O18">M12-M12*F12</f>
        <v>200604.088</v>
      </c>
      <c r="P12" s="60">
        <f aca="true" t="shared" si="2" ref="P12:P18">O12/I12/12</f>
        <v>2388.1439047619047</v>
      </c>
      <c r="Q12" s="60">
        <f aca="true" t="shared" si="3" ref="Q12:Q18">IF(N12&gt;0,0,IF(OR(AC12&gt;AD12,AE12&lt;AF12),0,IF(AND(AE12&gt;=AF12,AE12&lt;=AD12),P12*((AE12-AF12)*12),IF(AND(AF12&lt;=AC12,AD12&gt;=AC12),((AD12-AC12)*12)*P12,IF(AE12&gt;AD12,12*P12,0)))))</f>
        <v>28657.726857142858</v>
      </c>
      <c r="R12" s="35">
        <f aca="true" t="shared" si="4" ref="R12:R18">IF(N12=0,0,IF(AND(AG12&gt;=AF12,AG12&lt;=AE12),((AG12-AF12)*12)*P12,0))</f>
        <v>0</v>
      </c>
      <c r="S12" s="35">
        <f aca="true" t="shared" si="5" ref="S12:S18">IF(R12&gt;0,R12,Q12)</f>
        <v>28657.726857142858</v>
      </c>
      <c r="T12" s="35">
        <v>1</v>
      </c>
      <c r="U12" s="35">
        <f aca="true" t="shared" si="6" ref="U12:U18">T12*SUM(Q12:R12)</f>
        <v>28657.726857142858</v>
      </c>
      <c r="V12" s="35"/>
      <c r="W12" s="35">
        <f aca="true" t="shared" si="7" ref="W12:W18">IF(AC12&gt;AD12,0,IF(AE12&lt;AF12,O12,IF(AND(AE12&gt;=AF12,AE12&lt;=AD12),(O12-S12),IF(AND(AF12&lt;=AC12,AD12&gt;=AC12),0,IF(AE12&gt;AD12,((AF12-AC12)*12)*P12,0)))))</f>
        <v>2388.143904759733</v>
      </c>
      <c r="X12" s="35">
        <f aca="true" t="shared" si="8" ref="X12:X18">W12*T12</f>
        <v>2388.143904759733</v>
      </c>
      <c r="Y12" s="35">
        <v>1</v>
      </c>
      <c r="Z12" s="60">
        <f>X12*Y12-2406+18</f>
        <v>0.14390475973277717</v>
      </c>
      <c r="AA12" s="60">
        <f aca="true" t="shared" si="9" ref="AA12:AA18">IF(N12&gt;0,0,Z12+U12*Y12)*Y12</f>
        <v>28657.87076190259</v>
      </c>
      <c r="AB12" s="60">
        <f aca="true" t="shared" si="10" ref="AB12:AB18">IF(N12&gt;0,(M12-Z12)/2,IF(AC12&gt;=AF12,(((M12*T12)*Y12)-AA12)/2,((((M12*T12)*Y12)-Z12)+(((M12*T12)*Y12)-AA12))/2))</f>
        <v>236426.10266666883</v>
      </c>
      <c r="AC12" s="35">
        <f aca="true" t="shared" si="11" ref="AC12:AC30">$D12+(($E12-1)/12)</f>
        <v>2009.5</v>
      </c>
      <c r="AD12" s="35">
        <f aca="true" t="shared" si="12" ref="AD12:AD30">($O$5+1)-($O$2/12)</f>
        <v>2010.5833333333333</v>
      </c>
      <c r="AE12" s="35">
        <f aca="true" t="shared" si="13" ref="AE12:AE30">$J12+(($E12-1)/12)</f>
        <v>2016.5</v>
      </c>
      <c r="AF12" s="35">
        <f aca="true" t="shared" si="14" ref="AF12:AF30">$O$4+($O$3/12)</f>
        <v>2009.5833333333333</v>
      </c>
      <c r="AG12" s="35">
        <f aca="true" t="shared" si="15" ref="AG12:AG30">$K12+(($L12-1)/12)</f>
        <v>-0.08333333333333333</v>
      </c>
    </row>
    <row r="13" spans="1:33" ht="11.25">
      <c r="A13" s="47"/>
      <c r="B13" s="170">
        <v>29</v>
      </c>
      <c r="C13" s="49" t="s">
        <v>435</v>
      </c>
      <c r="D13" s="184">
        <v>2009</v>
      </c>
      <c r="E13" s="51">
        <v>7</v>
      </c>
      <c r="F13" s="52">
        <v>0.2</v>
      </c>
      <c r="G13" s="35"/>
      <c r="H13" s="53" t="s">
        <v>30</v>
      </c>
      <c r="I13" s="54">
        <v>7</v>
      </c>
      <c r="J13" s="189">
        <f t="shared" si="0"/>
        <v>2016</v>
      </c>
      <c r="K13" s="56"/>
      <c r="L13" s="56"/>
      <c r="M13" s="58">
        <v>249776.96</v>
      </c>
      <c r="N13" s="59">
        <v>0</v>
      </c>
      <c r="O13" s="60">
        <f t="shared" si="1"/>
        <v>199821.568</v>
      </c>
      <c r="P13" s="60">
        <f t="shared" si="2"/>
        <v>2378.8281904761902</v>
      </c>
      <c r="Q13" s="60">
        <f t="shared" si="3"/>
        <v>28545.938285714285</v>
      </c>
      <c r="R13" s="35">
        <f t="shared" si="4"/>
        <v>0</v>
      </c>
      <c r="S13" s="35">
        <f t="shared" si="5"/>
        <v>28545.938285714285</v>
      </c>
      <c r="T13" s="35">
        <v>1</v>
      </c>
      <c r="U13" s="35">
        <f t="shared" si="6"/>
        <v>28545.938285714285</v>
      </c>
      <c r="V13" s="35"/>
      <c r="W13" s="35">
        <f t="shared" si="7"/>
        <v>2378.8281904740265</v>
      </c>
      <c r="X13" s="35">
        <f t="shared" si="8"/>
        <v>2378.8281904740265</v>
      </c>
      <c r="Y13" s="35">
        <v>1</v>
      </c>
      <c r="Z13" s="60">
        <f>X13*Y13-2372-7</f>
        <v>-0.17180952597345822</v>
      </c>
      <c r="AA13" s="60">
        <f t="shared" si="9"/>
        <v>28545.76647618831</v>
      </c>
      <c r="AB13" s="60">
        <f t="shared" si="10"/>
        <v>235504.16266666882</v>
      </c>
      <c r="AC13" s="35">
        <f t="shared" si="11"/>
        <v>2009.5</v>
      </c>
      <c r="AD13" s="35">
        <f t="shared" si="12"/>
        <v>2010.5833333333333</v>
      </c>
      <c r="AE13" s="35">
        <f t="shared" si="13"/>
        <v>2016.5</v>
      </c>
      <c r="AF13" s="35">
        <f t="shared" si="14"/>
        <v>2009.5833333333333</v>
      </c>
      <c r="AG13" s="35">
        <f t="shared" si="15"/>
        <v>-0.08333333333333333</v>
      </c>
    </row>
    <row r="14" spans="1:33" ht="11.25">
      <c r="A14" s="47"/>
      <c r="B14" s="170">
        <v>27</v>
      </c>
      <c r="C14" s="49" t="s">
        <v>436</v>
      </c>
      <c r="D14" s="184">
        <v>2009</v>
      </c>
      <c r="E14" s="51">
        <v>7</v>
      </c>
      <c r="F14" s="52">
        <v>0.2</v>
      </c>
      <c r="G14" s="35"/>
      <c r="H14" s="53" t="s">
        <v>30</v>
      </c>
      <c r="I14" s="54">
        <v>7</v>
      </c>
      <c r="J14" s="189">
        <f t="shared" si="0"/>
        <v>2016</v>
      </c>
      <c r="K14" s="56"/>
      <c r="L14" s="56"/>
      <c r="M14" s="58">
        <v>235798.41</v>
      </c>
      <c r="N14" s="59">
        <v>0</v>
      </c>
      <c r="O14" s="60">
        <f t="shared" si="1"/>
        <v>188638.728</v>
      </c>
      <c r="P14" s="60">
        <f t="shared" si="2"/>
        <v>2245.6991428571428</v>
      </c>
      <c r="Q14" s="60">
        <f t="shared" si="3"/>
        <v>26948.389714285713</v>
      </c>
      <c r="R14" s="35">
        <f t="shared" si="4"/>
        <v>0</v>
      </c>
      <c r="S14" s="35">
        <f t="shared" si="5"/>
        <v>26948.389714285713</v>
      </c>
      <c r="T14" s="35">
        <v>1</v>
      </c>
      <c r="U14" s="35">
        <f t="shared" si="6"/>
        <v>26948.389714285713</v>
      </c>
      <c r="V14" s="35"/>
      <c r="W14" s="35">
        <f t="shared" si="7"/>
        <v>2245.6991428551005</v>
      </c>
      <c r="X14" s="35">
        <f t="shared" si="8"/>
        <v>2245.6991428551005</v>
      </c>
      <c r="Y14" s="35">
        <v>1</v>
      </c>
      <c r="Z14" s="60">
        <f>X14*Y14-2257+11</f>
        <v>-0.3008571448995099</v>
      </c>
      <c r="AA14" s="60">
        <f t="shared" si="9"/>
        <v>26948.088857140814</v>
      </c>
      <c r="AB14" s="60">
        <f t="shared" si="10"/>
        <v>222324.51600000204</v>
      </c>
      <c r="AC14" s="35">
        <f t="shared" si="11"/>
        <v>2009.5</v>
      </c>
      <c r="AD14" s="35">
        <f t="shared" si="12"/>
        <v>2010.5833333333333</v>
      </c>
      <c r="AE14" s="35">
        <f t="shared" si="13"/>
        <v>2016.5</v>
      </c>
      <c r="AF14" s="35">
        <f t="shared" si="14"/>
        <v>2009.5833333333333</v>
      </c>
      <c r="AG14" s="35">
        <f t="shared" si="15"/>
        <v>-0.08333333333333333</v>
      </c>
    </row>
    <row r="15" spans="1:33" ht="11.25">
      <c r="A15" s="47"/>
      <c r="B15" s="48"/>
      <c r="C15" s="49" t="s">
        <v>185</v>
      </c>
      <c r="D15" s="184">
        <v>2009</v>
      </c>
      <c r="E15" s="51">
        <v>7</v>
      </c>
      <c r="F15" s="52">
        <v>0.2</v>
      </c>
      <c r="G15" s="35"/>
      <c r="H15" s="53" t="s">
        <v>30</v>
      </c>
      <c r="I15" s="54">
        <v>7</v>
      </c>
      <c r="J15" s="189">
        <f t="shared" si="0"/>
        <v>2016</v>
      </c>
      <c r="K15" s="56"/>
      <c r="L15" s="56"/>
      <c r="M15" s="58">
        <v>21560.97</v>
      </c>
      <c r="N15" s="59">
        <v>0</v>
      </c>
      <c r="O15" s="60">
        <f t="shared" si="1"/>
        <v>17248.776</v>
      </c>
      <c r="P15" s="60">
        <f t="shared" si="2"/>
        <v>205.34257142857143</v>
      </c>
      <c r="Q15" s="60">
        <f t="shared" si="3"/>
        <v>2464.110857142857</v>
      </c>
      <c r="R15" s="35">
        <f t="shared" si="4"/>
        <v>0</v>
      </c>
      <c r="S15" s="35">
        <f t="shared" si="5"/>
        <v>2464.110857142857</v>
      </c>
      <c r="T15" s="35">
        <v>1</v>
      </c>
      <c r="U15" s="35">
        <f t="shared" si="6"/>
        <v>2464.110857142857</v>
      </c>
      <c r="V15" s="35"/>
      <c r="W15" s="35">
        <f t="shared" si="7"/>
        <v>205.34257142838467</v>
      </c>
      <c r="X15" s="35">
        <f t="shared" si="8"/>
        <v>205.34257142838467</v>
      </c>
      <c r="Y15" s="35">
        <v>1</v>
      </c>
      <c r="Z15" s="60">
        <f>X15*Y15-429+224</f>
        <v>0.342571428384673</v>
      </c>
      <c r="AA15" s="60">
        <f t="shared" si="9"/>
        <v>2464.453428571242</v>
      </c>
      <c r="AB15" s="60">
        <f t="shared" si="10"/>
        <v>20328.57200000019</v>
      </c>
      <c r="AC15" s="35">
        <f t="shared" si="11"/>
        <v>2009.5</v>
      </c>
      <c r="AD15" s="35">
        <f t="shared" si="12"/>
        <v>2010.5833333333333</v>
      </c>
      <c r="AE15" s="35">
        <f t="shared" si="13"/>
        <v>2016.5</v>
      </c>
      <c r="AF15" s="35">
        <f t="shared" si="14"/>
        <v>2009.5833333333333</v>
      </c>
      <c r="AG15" s="35">
        <f t="shared" si="15"/>
        <v>-0.08333333333333333</v>
      </c>
    </row>
    <row r="16" spans="1:33" ht="11.25">
      <c r="A16" s="47"/>
      <c r="B16" s="48"/>
      <c r="C16" s="49" t="s">
        <v>433</v>
      </c>
      <c r="D16" s="184">
        <v>2009</v>
      </c>
      <c r="E16" s="51">
        <v>7</v>
      </c>
      <c r="F16" s="52">
        <v>0.2</v>
      </c>
      <c r="G16" s="35"/>
      <c r="H16" s="53" t="s">
        <v>30</v>
      </c>
      <c r="I16" s="54">
        <v>7</v>
      </c>
      <c r="J16" s="189">
        <f>D16+I16</f>
        <v>2016</v>
      </c>
      <c r="K16" s="56"/>
      <c r="L16" s="56"/>
      <c r="M16" s="58">
        <v>6959.28</v>
      </c>
      <c r="N16" s="59">
        <v>0</v>
      </c>
      <c r="O16" s="60">
        <f>M16-M16*F16</f>
        <v>5567.424</v>
      </c>
      <c r="P16" s="60">
        <f>O16/I16/12</f>
        <v>66.27885714285715</v>
      </c>
      <c r="Q16" s="60">
        <f>IF(N16&gt;0,0,IF(OR(AC16&gt;AD16,AE16&lt;AF16),0,IF(AND(AE16&gt;=AF16,AE16&lt;=AD16),P16*((AE16-AF16)*12),IF(AND(AF16&lt;=AC16,AD16&gt;=AC16),((AD16-AC16)*12)*P16,IF(AE16&gt;AD16,12*P16,0)))))</f>
        <v>795.3462857142858</v>
      </c>
      <c r="R16" s="35">
        <f>IF(N16=0,0,IF(AND(AG16&gt;=AF16,AG16&lt;=AE16),((AG16-AF16)*12)*P16,0))</f>
        <v>0</v>
      </c>
      <c r="S16" s="35">
        <f>IF(R16&gt;0,R16,Q16)</f>
        <v>795.3462857142858</v>
      </c>
      <c r="T16" s="35">
        <v>1</v>
      </c>
      <c r="U16" s="35">
        <f>T16*SUM(Q16:R16)</f>
        <v>795.3462857142858</v>
      </c>
      <c r="V16" s="35"/>
      <c r="W16" s="35">
        <f>IF(AC16&gt;AD16,0,IF(AE16&lt;AF16,O16,IF(AND(AE16&gt;=AF16,AE16&lt;=AD16),(O16-S16),IF(AND(AF16&lt;=AC16,AD16&gt;=AC16),0,IF(AE16&gt;AD16,((AF16-AC16)*12)*P16,0)))))</f>
        <v>66.27885714279687</v>
      </c>
      <c r="X16" s="35">
        <f>W16*T16</f>
        <v>66.27885714279687</v>
      </c>
      <c r="Y16" s="35">
        <v>1</v>
      </c>
      <c r="Z16" s="60">
        <f>X16*Y16-429+363</f>
        <v>0.27885714279688045</v>
      </c>
      <c r="AA16" s="60">
        <f>IF(N16&gt;0,0,Z16+U16*Y16)*Y16</f>
        <v>795.6251428570827</v>
      </c>
      <c r="AB16" s="60">
        <f>IF(N16&gt;0,(M16-Z16)/2,IF(AC16&gt;=AF16,(((M16*T16)*Y16)-AA16)/2,((((M16*T16)*Y16)-Z16)+(((M16*T16)*Y16)-AA16))/2))</f>
        <v>6561.32800000006</v>
      </c>
      <c r="AC16" s="35">
        <f t="shared" si="11"/>
        <v>2009.5</v>
      </c>
      <c r="AD16" s="35">
        <f t="shared" si="12"/>
        <v>2010.5833333333333</v>
      </c>
      <c r="AE16" s="35">
        <f t="shared" si="13"/>
        <v>2016.5</v>
      </c>
      <c r="AF16" s="35">
        <f t="shared" si="14"/>
        <v>2009.5833333333333</v>
      </c>
      <c r="AG16" s="35">
        <f t="shared" si="15"/>
        <v>-0.08333333333333333</v>
      </c>
    </row>
    <row r="17" spans="1:33" ht="11.25">
      <c r="A17" s="47"/>
      <c r="B17" s="170">
        <v>17</v>
      </c>
      <c r="C17" s="49" t="s">
        <v>411</v>
      </c>
      <c r="D17" s="184">
        <v>2009</v>
      </c>
      <c r="E17" s="51">
        <v>7</v>
      </c>
      <c r="F17" s="52">
        <v>0.33</v>
      </c>
      <c r="G17" s="35"/>
      <c r="H17" s="53" t="s">
        <v>30</v>
      </c>
      <c r="I17" s="54">
        <v>5</v>
      </c>
      <c r="J17" s="189">
        <f t="shared" si="0"/>
        <v>2014</v>
      </c>
      <c r="K17" s="56"/>
      <c r="L17" s="56"/>
      <c r="M17" s="58">
        <v>22500</v>
      </c>
      <c r="N17" s="59">
        <v>0</v>
      </c>
      <c r="O17" s="60">
        <f t="shared" si="1"/>
        <v>15075</v>
      </c>
      <c r="P17" s="60">
        <f t="shared" si="2"/>
        <v>251.25</v>
      </c>
      <c r="Q17" s="60">
        <f t="shared" si="3"/>
        <v>3015</v>
      </c>
      <c r="R17" s="35">
        <f t="shared" si="4"/>
        <v>0</v>
      </c>
      <c r="S17" s="35">
        <f t="shared" si="5"/>
        <v>3015</v>
      </c>
      <c r="T17" s="35">
        <v>1</v>
      </c>
      <c r="U17" s="35">
        <f t="shared" si="6"/>
        <v>3015</v>
      </c>
      <c r="V17" s="35"/>
      <c r="W17" s="35">
        <f t="shared" si="7"/>
        <v>251.2499999997715</v>
      </c>
      <c r="X17" s="35">
        <f t="shared" si="8"/>
        <v>251.2499999997715</v>
      </c>
      <c r="Y17" s="35">
        <v>1</v>
      </c>
      <c r="Z17" s="60">
        <f>X17*Y17-224-27</f>
        <v>0.24999999977148946</v>
      </c>
      <c r="AA17" s="60">
        <f t="shared" si="9"/>
        <v>3015.2499999997717</v>
      </c>
      <c r="AB17" s="60">
        <f t="shared" si="10"/>
        <v>20992.25000000023</v>
      </c>
      <c r="AC17" s="35">
        <f t="shared" si="11"/>
        <v>2009.5</v>
      </c>
      <c r="AD17" s="35">
        <f t="shared" si="12"/>
        <v>2010.5833333333333</v>
      </c>
      <c r="AE17" s="35">
        <f t="shared" si="13"/>
        <v>2014.5</v>
      </c>
      <c r="AF17" s="35">
        <f t="shared" si="14"/>
        <v>2009.5833333333333</v>
      </c>
      <c r="AG17" s="35">
        <f t="shared" si="15"/>
        <v>-0.08333333333333333</v>
      </c>
    </row>
    <row r="18" spans="1:33" ht="11.25">
      <c r="A18" s="47"/>
      <c r="B18" s="170" t="s">
        <v>437</v>
      </c>
      <c r="C18" s="49" t="s">
        <v>186</v>
      </c>
      <c r="D18" s="184">
        <v>2009</v>
      </c>
      <c r="E18" s="51">
        <v>7</v>
      </c>
      <c r="F18" s="52">
        <v>0.2</v>
      </c>
      <c r="G18" s="35"/>
      <c r="H18" s="53" t="s">
        <v>30</v>
      </c>
      <c r="I18" s="54">
        <v>7</v>
      </c>
      <c r="J18" s="189">
        <f t="shared" si="0"/>
        <v>2016</v>
      </c>
      <c r="K18" s="56"/>
      <c r="L18" s="56"/>
      <c r="M18" s="58">
        <v>72932.03</v>
      </c>
      <c r="N18" s="59">
        <v>0</v>
      </c>
      <c r="O18" s="60">
        <f t="shared" si="1"/>
        <v>58345.623999999996</v>
      </c>
      <c r="P18" s="60">
        <f t="shared" si="2"/>
        <v>694.590761904762</v>
      </c>
      <c r="Q18" s="60">
        <f t="shared" si="3"/>
        <v>8335.089142857143</v>
      </c>
      <c r="R18" s="35">
        <f t="shared" si="4"/>
        <v>0</v>
      </c>
      <c r="S18" s="35">
        <f t="shared" si="5"/>
        <v>8335.089142857143</v>
      </c>
      <c r="T18" s="35">
        <v>1</v>
      </c>
      <c r="U18" s="35">
        <f t="shared" si="6"/>
        <v>8335.089142857143</v>
      </c>
      <c r="V18" s="35"/>
      <c r="W18" s="35">
        <f t="shared" si="7"/>
        <v>694.5907619041302</v>
      </c>
      <c r="X18" s="35">
        <f t="shared" si="8"/>
        <v>694.5907619041302</v>
      </c>
      <c r="Y18" s="35">
        <v>1</v>
      </c>
      <c r="Z18" s="60">
        <f>X18*Y18-781+86</f>
        <v>-0.40923809586979587</v>
      </c>
      <c r="AA18" s="60">
        <f t="shared" si="9"/>
        <v>8334.679904761273</v>
      </c>
      <c r="AB18" s="60">
        <f t="shared" si="10"/>
        <v>68764.8946666673</v>
      </c>
      <c r="AC18" s="35">
        <f t="shared" si="11"/>
        <v>2009.5</v>
      </c>
      <c r="AD18" s="35">
        <f t="shared" si="12"/>
        <v>2010.5833333333333</v>
      </c>
      <c r="AE18" s="35">
        <f t="shared" si="13"/>
        <v>2016.5</v>
      </c>
      <c r="AF18" s="35">
        <f t="shared" si="14"/>
        <v>2009.5833333333333</v>
      </c>
      <c r="AG18" s="35">
        <f t="shared" si="15"/>
        <v>-0.08333333333333333</v>
      </c>
    </row>
    <row r="19" spans="1:33" ht="11.25">
      <c r="A19" s="29"/>
      <c r="B19" s="61"/>
      <c r="C19" s="62" t="s">
        <v>187</v>
      </c>
      <c r="D19" s="185"/>
      <c r="E19" s="64"/>
      <c r="F19" s="65"/>
      <c r="G19" s="66"/>
      <c r="H19" s="36"/>
      <c r="I19" s="67"/>
      <c r="J19" s="33"/>
      <c r="K19" s="69"/>
      <c r="L19" s="69"/>
      <c r="M19" s="70">
        <f>SUM(M12:M18)</f>
        <v>860282.76</v>
      </c>
      <c r="N19" s="71"/>
      <c r="O19" s="70">
        <f aca="true" t="shared" si="16" ref="O19:AB19">SUM(O12:O18)</f>
        <v>685301.2079999999</v>
      </c>
      <c r="P19" s="70">
        <f t="shared" si="16"/>
        <v>8230.133428571427</v>
      </c>
      <c r="Q19" s="70">
        <f t="shared" si="16"/>
        <v>98761.60114285715</v>
      </c>
      <c r="R19" s="70">
        <f t="shared" si="16"/>
        <v>0</v>
      </c>
      <c r="S19" s="70">
        <f t="shared" si="16"/>
        <v>98761.60114285715</v>
      </c>
      <c r="T19" s="70">
        <f t="shared" si="16"/>
        <v>7</v>
      </c>
      <c r="U19" s="70">
        <f t="shared" si="16"/>
        <v>98761.60114285715</v>
      </c>
      <c r="V19" s="70">
        <f t="shared" si="16"/>
        <v>0</v>
      </c>
      <c r="W19" s="70">
        <f t="shared" si="16"/>
        <v>8230.133428563944</v>
      </c>
      <c r="X19" s="70">
        <f t="shared" si="16"/>
        <v>8230.133428563944</v>
      </c>
      <c r="Y19" s="70">
        <f t="shared" si="16"/>
        <v>7</v>
      </c>
      <c r="Z19" s="70">
        <f>SUM(Z12:Z18)</f>
        <v>0.13342856394305613</v>
      </c>
      <c r="AA19" s="70">
        <f t="shared" si="16"/>
        <v>98761.73457142108</v>
      </c>
      <c r="AB19" s="70">
        <f t="shared" si="16"/>
        <v>810901.8260000075</v>
      </c>
      <c r="AC19" s="66"/>
      <c r="AD19" s="66"/>
      <c r="AE19" s="66"/>
      <c r="AF19" s="66"/>
      <c r="AG19" s="66"/>
    </row>
    <row r="20" spans="1:33" ht="11.25">
      <c r="A20" s="47"/>
      <c r="B20" s="48"/>
      <c r="C20" s="49"/>
      <c r="D20" s="184"/>
      <c r="E20" s="51"/>
      <c r="F20" s="52"/>
      <c r="G20" s="35"/>
      <c r="H20" s="53"/>
      <c r="I20" s="54"/>
      <c r="J20" s="189"/>
      <c r="K20" s="56"/>
      <c r="L20" s="56"/>
      <c r="M20" s="58"/>
      <c r="N20" s="59"/>
      <c r="O20" s="60"/>
      <c r="P20" s="60"/>
      <c r="Q20" s="60"/>
      <c r="R20" s="35"/>
      <c r="S20" s="35"/>
      <c r="T20" s="35"/>
      <c r="U20" s="35"/>
      <c r="V20" s="35"/>
      <c r="W20" s="35"/>
      <c r="X20" s="35"/>
      <c r="Y20" s="35"/>
      <c r="Z20" s="60"/>
      <c r="AA20" s="60"/>
      <c r="AB20" s="60"/>
      <c r="AC20" s="35"/>
      <c r="AD20" s="35"/>
      <c r="AE20" s="35"/>
      <c r="AF20" s="35"/>
      <c r="AG20" s="35"/>
    </row>
    <row r="21" spans="1:33" ht="11.25">
      <c r="A21" s="47"/>
      <c r="B21" s="48">
        <v>10500</v>
      </c>
      <c r="C21" s="49" t="s">
        <v>188</v>
      </c>
      <c r="D21" s="184">
        <v>2009</v>
      </c>
      <c r="E21" s="51">
        <v>7</v>
      </c>
      <c r="F21" s="52"/>
      <c r="G21" s="35"/>
      <c r="H21" s="53" t="s">
        <v>30</v>
      </c>
      <c r="I21" s="54">
        <v>10</v>
      </c>
      <c r="J21" s="189">
        <f aca="true" t="shared" si="17" ref="J21:J30">D21+I21</f>
        <v>2019</v>
      </c>
      <c r="K21" s="56"/>
      <c r="L21" s="56"/>
      <c r="M21" s="58">
        <f>B21*45.4836</f>
        <v>477577.80000000005</v>
      </c>
      <c r="N21" s="59">
        <v>0</v>
      </c>
      <c r="O21" s="60">
        <f aca="true" t="shared" si="18" ref="O21:O30">M21-M21*F21</f>
        <v>477577.80000000005</v>
      </c>
      <c r="P21" s="60">
        <f aca="true" t="shared" si="19" ref="P21:P30">O21/I21/12</f>
        <v>3979.8150000000005</v>
      </c>
      <c r="Q21" s="60">
        <f aca="true" t="shared" si="20" ref="Q21:Q30">IF(N21&gt;0,0,IF(OR(AC21&gt;AD21,AE21&lt;AF21),0,IF(AND(AE21&gt;=AF21,AE21&lt;=AD21),P21*((AE21-AF21)*12),IF(AND(AF21&lt;=AC21,AD21&gt;=AC21),((AD21-AC21)*12)*P21,IF(AE21&gt;AD21,12*P21,0)))))</f>
        <v>47757.780000000006</v>
      </c>
      <c r="R21" s="35">
        <f aca="true" t="shared" si="21" ref="R21:R30">IF(N21=0,0,IF(AND(AG21&gt;=AF21,AG21&lt;=AE21),((AG21-AF21)*12)*P21,0))</f>
        <v>0</v>
      </c>
      <c r="S21" s="35">
        <f aca="true" t="shared" si="22" ref="S21:S30">IF(R21&gt;0,R21,Q21)</f>
        <v>47757.780000000006</v>
      </c>
      <c r="T21" s="35">
        <v>1</v>
      </c>
      <c r="U21" s="35">
        <f aca="true" t="shared" si="23" ref="U21:U30">T21*SUM(Q21:R21)</f>
        <v>47757.780000000006</v>
      </c>
      <c r="V21" s="35"/>
      <c r="W21" s="35">
        <f aca="true" t="shared" si="24" ref="W21:W30">IF(AC21&gt;AD21,0,IF(AE21&lt;AF21,O21,IF(AND(AE21&gt;=AF21,AE21&lt;=AD21),(O21-S21),IF(AND(AF21&lt;=AC21,AD21&gt;=AC21),0,IF(AE21&gt;AD21,((AF21-AC21)*12)*P21,0)))))</f>
        <v>3979.8149999963807</v>
      </c>
      <c r="X21" s="35">
        <f aca="true" t="shared" si="25" ref="X21:X30">W21*T21</f>
        <v>3979.8149999963807</v>
      </c>
      <c r="Y21" s="35">
        <v>1</v>
      </c>
      <c r="Z21" s="60">
        <f>X21*Y21-3980</f>
        <v>-0.1850000036192796</v>
      </c>
      <c r="AA21" s="60">
        <f aca="true" t="shared" si="26" ref="AA21:AA30">IF(N21&gt;0,0,Z21+U21*Y21)*Y21</f>
        <v>47757.594999996385</v>
      </c>
      <c r="AB21" s="60">
        <f aca="true" t="shared" si="27" ref="AB21:AB30">IF(N21&gt;0,(M21-Z21)/2,IF(AC21&gt;=AF21,(((M21*T21)*Y21)-AA21)/2,((((M21*T21)*Y21)-Z21)+(((M21*T21)*Y21)-AA21))/2))</f>
        <v>453699.0950000037</v>
      </c>
      <c r="AC21" s="35">
        <f t="shared" si="11"/>
        <v>2009.5</v>
      </c>
      <c r="AD21" s="35">
        <f t="shared" si="12"/>
        <v>2010.5833333333333</v>
      </c>
      <c r="AE21" s="35">
        <f t="shared" si="13"/>
        <v>2019.5</v>
      </c>
      <c r="AF21" s="35">
        <f t="shared" si="14"/>
        <v>2009.5833333333333</v>
      </c>
      <c r="AG21" s="35">
        <f t="shared" si="15"/>
        <v>-0.08333333333333333</v>
      </c>
    </row>
    <row r="22" spans="1:33" ht="11.25">
      <c r="A22" s="47"/>
      <c r="B22" s="48">
        <v>500</v>
      </c>
      <c r="C22" s="49" t="s">
        <v>189</v>
      </c>
      <c r="D22" s="184">
        <v>2009</v>
      </c>
      <c r="E22" s="51">
        <v>7</v>
      </c>
      <c r="F22" s="52"/>
      <c r="G22" s="35"/>
      <c r="H22" s="53" t="s">
        <v>30</v>
      </c>
      <c r="I22" s="54">
        <v>10</v>
      </c>
      <c r="J22" s="189">
        <f t="shared" si="17"/>
        <v>2019</v>
      </c>
      <c r="K22" s="56"/>
      <c r="L22" s="56"/>
      <c r="M22" s="58">
        <f>B22*45.4836</f>
        <v>22741.800000000003</v>
      </c>
      <c r="N22" s="59">
        <v>0</v>
      </c>
      <c r="O22" s="60">
        <f t="shared" si="18"/>
        <v>22741.800000000003</v>
      </c>
      <c r="P22" s="60">
        <f t="shared" si="19"/>
        <v>189.51500000000001</v>
      </c>
      <c r="Q22" s="60">
        <f t="shared" si="20"/>
        <v>2274.1800000000003</v>
      </c>
      <c r="R22" s="35">
        <f t="shared" si="21"/>
        <v>0</v>
      </c>
      <c r="S22" s="35">
        <f t="shared" si="22"/>
        <v>2274.1800000000003</v>
      </c>
      <c r="T22" s="35">
        <v>1</v>
      </c>
      <c r="U22" s="35">
        <f t="shared" si="23"/>
        <v>2274.1800000000003</v>
      </c>
      <c r="V22" s="35"/>
      <c r="W22" s="35">
        <f t="shared" si="24"/>
        <v>189.51499999982767</v>
      </c>
      <c r="X22" s="35">
        <f t="shared" si="25"/>
        <v>189.51499999982767</v>
      </c>
      <c r="Y22" s="35">
        <v>1</v>
      </c>
      <c r="Z22" s="60">
        <f>X22*Y22-190</f>
        <v>-0.48500000017233447</v>
      </c>
      <c r="AA22" s="60">
        <f t="shared" si="26"/>
        <v>2273.694999999828</v>
      </c>
      <c r="AB22" s="60">
        <f t="shared" si="27"/>
        <v>21605.195000000174</v>
      </c>
      <c r="AC22" s="35">
        <f t="shared" si="11"/>
        <v>2009.5</v>
      </c>
      <c r="AD22" s="35">
        <f t="shared" si="12"/>
        <v>2010.5833333333333</v>
      </c>
      <c r="AE22" s="35">
        <f t="shared" si="13"/>
        <v>2019.5</v>
      </c>
      <c r="AF22" s="35">
        <f t="shared" si="14"/>
        <v>2009.5833333333333</v>
      </c>
      <c r="AG22" s="35">
        <f t="shared" si="15"/>
        <v>-0.08333333333333333</v>
      </c>
    </row>
    <row r="23" spans="1:33" ht="11.25">
      <c r="A23" s="29"/>
      <c r="B23" s="61"/>
      <c r="C23" s="62" t="s">
        <v>190</v>
      </c>
      <c r="D23" s="185"/>
      <c r="E23" s="64"/>
      <c r="F23" s="65"/>
      <c r="G23" s="66"/>
      <c r="H23" s="36"/>
      <c r="I23" s="67"/>
      <c r="J23" s="33"/>
      <c r="K23" s="69"/>
      <c r="L23" s="69"/>
      <c r="M23" s="70">
        <f>SUM(M21:M22)</f>
        <v>500319.60000000003</v>
      </c>
      <c r="N23" s="71"/>
      <c r="O23" s="70">
        <f aca="true" t="shared" si="28" ref="O23:AB23">SUM(O21:O22)</f>
        <v>500319.60000000003</v>
      </c>
      <c r="P23" s="70">
        <f t="shared" si="28"/>
        <v>4169.330000000001</v>
      </c>
      <c r="Q23" s="70">
        <f t="shared" si="28"/>
        <v>50031.96000000001</v>
      </c>
      <c r="R23" s="70">
        <f t="shared" si="28"/>
        <v>0</v>
      </c>
      <c r="S23" s="70">
        <f t="shared" si="28"/>
        <v>50031.96000000001</v>
      </c>
      <c r="T23" s="70">
        <f t="shared" si="28"/>
        <v>2</v>
      </c>
      <c r="U23" s="70">
        <f t="shared" si="28"/>
        <v>50031.96000000001</v>
      </c>
      <c r="V23" s="70">
        <f t="shared" si="28"/>
        <v>0</v>
      </c>
      <c r="W23" s="70">
        <f t="shared" si="28"/>
        <v>4169.329999996208</v>
      </c>
      <c r="X23" s="70">
        <f t="shared" si="28"/>
        <v>4169.329999996208</v>
      </c>
      <c r="Y23" s="70">
        <f t="shared" si="28"/>
        <v>2</v>
      </c>
      <c r="Z23" s="70">
        <f>SUM(Z21:Z22)+1</f>
        <v>0.32999999620838594</v>
      </c>
      <c r="AA23" s="70">
        <f t="shared" si="28"/>
        <v>50031.28999999621</v>
      </c>
      <c r="AB23" s="70">
        <f t="shared" si="28"/>
        <v>475304.2900000039</v>
      </c>
      <c r="AC23" s="66"/>
      <c r="AD23" s="66"/>
      <c r="AE23" s="66"/>
      <c r="AF23" s="66"/>
      <c r="AG23" s="66"/>
    </row>
    <row r="24" spans="1:33" ht="11.25">
      <c r="A24" s="47"/>
      <c r="B24" s="48"/>
      <c r="C24" s="49"/>
      <c r="D24" s="184"/>
      <c r="E24" s="51"/>
      <c r="F24" s="52"/>
      <c r="G24" s="35"/>
      <c r="H24" s="53"/>
      <c r="I24" s="54"/>
      <c r="J24" s="189"/>
      <c r="K24" s="56"/>
      <c r="L24" s="56"/>
      <c r="M24" s="58"/>
      <c r="N24" s="59"/>
      <c r="O24" s="60"/>
      <c r="P24" s="60"/>
      <c r="Q24" s="60"/>
      <c r="R24" s="35"/>
      <c r="S24" s="35"/>
      <c r="T24" s="35"/>
      <c r="U24" s="35"/>
      <c r="V24" s="35"/>
      <c r="W24" s="35"/>
      <c r="X24" s="35"/>
      <c r="Y24" s="35"/>
      <c r="Z24" s="60"/>
      <c r="AA24" s="60"/>
      <c r="AB24" s="60"/>
      <c r="AC24" s="35"/>
      <c r="AD24" s="35"/>
      <c r="AE24" s="35"/>
      <c r="AF24" s="35"/>
      <c r="AG24" s="35"/>
    </row>
    <row r="25" spans="1:33" ht="11.25">
      <c r="A25" s="47"/>
      <c r="B25" s="48"/>
      <c r="C25" s="49" t="s">
        <v>191</v>
      </c>
      <c r="D25" s="184">
        <v>2009</v>
      </c>
      <c r="E25" s="51">
        <v>7</v>
      </c>
      <c r="F25" s="52"/>
      <c r="G25" s="35"/>
      <c r="H25" s="53" t="s">
        <v>30</v>
      </c>
      <c r="I25" s="54">
        <v>10</v>
      </c>
      <c r="J25" s="189">
        <f t="shared" si="17"/>
        <v>2019</v>
      </c>
      <c r="K25" s="56"/>
      <c r="L25" s="56"/>
      <c r="M25" s="58">
        <v>9000</v>
      </c>
      <c r="N25" s="59">
        <v>0</v>
      </c>
      <c r="O25" s="60">
        <f t="shared" si="18"/>
        <v>9000</v>
      </c>
      <c r="P25" s="60">
        <f t="shared" si="19"/>
        <v>75</v>
      </c>
      <c r="Q25" s="60">
        <f t="shared" si="20"/>
        <v>900</v>
      </c>
      <c r="R25" s="35">
        <f t="shared" si="21"/>
        <v>0</v>
      </c>
      <c r="S25" s="35">
        <f t="shared" si="22"/>
        <v>900</v>
      </c>
      <c r="T25" s="35">
        <v>1</v>
      </c>
      <c r="U25" s="35">
        <f t="shared" si="23"/>
        <v>900</v>
      </c>
      <c r="V25" s="35"/>
      <c r="W25" s="35">
        <f t="shared" si="24"/>
        <v>74.99999999993179</v>
      </c>
      <c r="X25" s="35">
        <f t="shared" si="25"/>
        <v>74.99999999993179</v>
      </c>
      <c r="Y25" s="35">
        <v>1</v>
      </c>
      <c r="Z25" s="60">
        <f>X25*Y25-75</f>
        <v>-6.821210263296962E-11</v>
      </c>
      <c r="AA25" s="60">
        <f t="shared" si="26"/>
        <v>899.9999999999318</v>
      </c>
      <c r="AB25" s="60">
        <f t="shared" si="27"/>
        <v>8550.00000000007</v>
      </c>
      <c r="AC25" s="35">
        <f t="shared" si="11"/>
        <v>2009.5</v>
      </c>
      <c r="AD25" s="35">
        <f t="shared" si="12"/>
        <v>2010.5833333333333</v>
      </c>
      <c r="AE25" s="35">
        <f t="shared" si="13"/>
        <v>2019.5</v>
      </c>
      <c r="AF25" s="35">
        <f t="shared" si="14"/>
        <v>2009.5833333333333</v>
      </c>
      <c r="AG25" s="35">
        <f t="shared" si="15"/>
        <v>-0.08333333333333333</v>
      </c>
    </row>
    <row r="26" spans="1:33" ht="11.25">
      <c r="A26" s="47"/>
      <c r="B26" s="48"/>
      <c r="C26" s="49"/>
      <c r="D26" s="184"/>
      <c r="E26" s="51"/>
      <c r="F26" s="52"/>
      <c r="G26" s="35"/>
      <c r="H26" s="53"/>
      <c r="I26" s="54"/>
      <c r="J26" s="189"/>
      <c r="K26" s="56"/>
      <c r="L26" s="56"/>
      <c r="M26" s="58"/>
      <c r="N26" s="59"/>
      <c r="O26" s="60"/>
      <c r="P26" s="60"/>
      <c r="Q26" s="60"/>
      <c r="R26" s="35"/>
      <c r="S26" s="35"/>
      <c r="T26" s="35"/>
      <c r="U26" s="35"/>
      <c r="V26" s="35"/>
      <c r="W26" s="35"/>
      <c r="X26" s="35"/>
      <c r="Y26" s="35"/>
      <c r="Z26" s="60"/>
      <c r="AA26" s="60"/>
      <c r="AB26" s="60"/>
      <c r="AC26" s="35"/>
      <c r="AD26" s="35"/>
      <c r="AE26" s="35"/>
      <c r="AF26" s="35"/>
      <c r="AG26" s="35"/>
    </row>
    <row r="27" spans="1:33" ht="11.25">
      <c r="A27" s="47"/>
      <c r="B27" s="48"/>
      <c r="C27" s="49" t="s">
        <v>152</v>
      </c>
      <c r="D27" s="184">
        <v>2009</v>
      </c>
      <c r="E27" s="51">
        <v>7</v>
      </c>
      <c r="F27" s="52"/>
      <c r="G27" s="35"/>
      <c r="H27" s="53" t="s">
        <v>30</v>
      </c>
      <c r="I27" s="54">
        <v>10</v>
      </c>
      <c r="J27" s="189">
        <f t="shared" si="17"/>
        <v>2019</v>
      </c>
      <c r="K27" s="56"/>
      <c r="L27" s="56"/>
      <c r="M27" s="58">
        <v>9686.58</v>
      </c>
      <c r="N27" s="59">
        <v>0</v>
      </c>
      <c r="O27" s="60">
        <f t="shared" si="18"/>
        <v>9686.58</v>
      </c>
      <c r="P27" s="60">
        <f t="shared" si="19"/>
        <v>80.7215</v>
      </c>
      <c r="Q27" s="60">
        <f t="shared" si="20"/>
        <v>968.6580000000001</v>
      </c>
      <c r="R27" s="35">
        <f t="shared" si="21"/>
        <v>0</v>
      </c>
      <c r="S27" s="35">
        <f t="shared" si="22"/>
        <v>968.6580000000001</v>
      </c>
      <c r="T27" s="35">
        <v>1</v>
      </c>
      <c r="U27" s="35">
        <f t="shared" si="23"/>
        <v>968.6580000000001</v>
      </c>
      <c r="V27" s="35"/>
      <c r="W27" s="35">
        <f t="shared" si="24"/>
        <v>80.72149999992659</v>
      </c>
      <c r="X27" s="35">
        <f t="shared" si="25"/>
        <v>80.72149999992659</v>
      </c>
      <c r="Y27" s="35">
        <v>1</v>
      </c>
      <c r="Z27" s="60">
        <f>X27*Y27-81</f>
        <v>-0.27850000007340725</v>
      </c>
      <c r="AA27" s="60">
        <f t="shared" si="26"/>
        <v>968.3794999999267</v>
      </c>
      <c r="AB27" s="60">
        <f t="shared" si="27"/>
        <v>9202.529500000073</v>
      </c>
      <c r="AC27" s="35">
        <f t="shared" si="11"/>
        <v>2009.5</v>
      </c>
      <c r="AD27" s="35">
        <f t="shared" si="12"/>
        <v>2010.5833333333333</v>
      </c>
      <c r="AE27" s="35">
        <f t="shared" si="13"/>
        <v>2019.5</v>
      </c>
      <c r="AF27" s="35">
        <f t="shared" si="14"/>
        <v>2009.5833333333333</v>
      </c>
      <c r="AG27" s="35">
        <f t="shared" si="15"/>
        <v>-0.08333333333333333</v>
      </c>
    </row>
    <row r="28" spans="1:33" ht="11.25">
      <c r="A28" s="47"/>
      <c r="B28" s="48"/>
      <c r="C28" s="49"/>
      <c r="D28" s="184"/>
      <c r="E28" s="51"/>
      <c r="F28" s="52"/>
      <c r="G28" s="35"/>
      <c r="H28" s="53"/>
      <c r="I28" s="54"/>
      <c r="J28" s="189"/>
      <c r="K28" s="56"/>
      <c r="L28" s="56"/>
      <c r="M28" s="58"/>
      <c r="N28" s="59"/>
      <c r="O28" s="60"/>
      <c r="P28" s="60"/>
      <c r="Q28" s="60"/>
      <c r="R28" s="35"/>
      <c r="S28" s="35"/>
      <c r="T28" s="35"/>
      <c r="U28" s="35"/>
      <c r="V28" s="35"/>
      <c r="W28" s="35"/>
      <c r="X28" s="35"/>
      <c r="Y28" s="35"/>
      <c r="Z28" s="60"/>
      <c r="AA28" s="60"/>
      <c r="AB28" s="60"/>
      <c r="AC28" s="35"/>
      <c r="AD28" s="35"/>
      <c r="AE28" s="35"/>
      <c r="AF28" s="35"/>
      <c r="AG28" s="35"/>
    </row>
    <row r="29" spans="1:33" ht="11.25">
      <c r="A29" s="47"/>
      <c r="B29" s="48"/>
      <c r="C29" s="49" t="s">
        <v>192</v>
      </c>
      <c r="D29" s="184">
        <v>2009</v>
      </c>
      <c r="E29" s="51">
        <v>7</v>
      </c>
      <c r="F29" s="52"/>
      <c r="G29" s="35"/>
      <c r="H29" s="53" t="s">
        <v>30</v>
      </c>
      <c r="I29" s="54">
        <v>7</v>
      </c>
      <c r="J29" s="189">
        <f t="shared" si="17"/>
        <v>2016</v>
      </c>
      <c r="K29" s="56"/>
      <c r="L29" s="56"/>
      <c r="M29" s="58">
        <v>1200</v>
      </c>
      <c r="N29" s="59">
        <v>0</v>
      </c>
      <c r="O29" s="60">
        <f t="shared" si="18"/>
        <v>1200</v>
      </c>
      <c r="P29" s="60">
        <f t="shared" si="19"/>
        <v>14.285714285714285</v>
      </c>
      <c r="Q29" s="60">
        <f t="shared" si="20"/>
        <v>171.42857142857142</v>
      </c>
      <c r="R29" s="35">
        <f t="shared" si="21"/>
        <v>0</v>
      </c>
      <c r="S29" s="35">
        <f t="shared" si="22"/>
        <v>171.42857142857142</v>
      </c>
      <c r="T29" s="35">
        <v>1</v>
      </c>
      <c r="U29" s="35">
        <f t="shared" si="23"/>
        <v>171.42857142857142</v>
      </c>
      <c r="V29" s="35"/>
      <c r="W29" s="35">
        <f t="shared" si="24"/>
        <v>14.285714285701292</v>
      </c>
      <c r="X29" s="35">
        <f t="shared" si="25"/>
        <v>14.285714285701292</v>
      </c>
      <c r="Y29" s="35">
        <v>1</v>
      </c>
      <c r="Z29" s="60">
        <f>X29*Y29-14</f>
        <v>0.2857142857012924</v>
      </c>
      <c r="AA29" s="60">
        <f t="shared" si="26"/>
        <v>171.7142857142727</v>
      </c>
      <c r="AB29" s="60">
        <f t="shared" si="27"/>
        <v>1114.0000000000132</v>
      </c>
      <c r="AC29" s="35">
        <f t="shared" si="11"/>
        <v>2009.5</v>
      </c>
      <c r="AD29" s="35">
        <f t="shared" si="12"/>
        <v>2010.5833333333333</v>
      </c>
      <c r="AE29" s="35">
        <f t="shared" si="13"/>
        <v>2016.5</v>
      </c>
      <c r="AF29" s="35">
        <f t="shared" si="14"/>
        <v>2009.5833333333333</v>
      </c>
      <c r="AG29" s="35">
        <f t="shared" si="15"/>
        <v>-0.08333333333333333</v>
      </c>
    </row>
    <row r="30" spans="1:33" ht="11.25">
      <c r="A30" s="73"/>
      <c r="B30" s="74"/>
      <c r="C30" s="75" t="s">
        <v>193</v>
      </c>
      <c r="D30" s="186">
        <v>2009</v>
      </c>
      <c r="E30" s="51">
        <v>7</v>
      </c>
      <c r="F30" s="77"/>
      <c r="G30" s="78"/>
      <c r="H30" s="79" t="s">
        <v>30</v>
      </c>
      <c r="I30" s="80">
        <v>5</v>
      </c>
      <c r="J30" s="190">
        <f t="shared" si="17"/>
        <v>2014</v>
      </c>
      <c r="K30" s="82"/>
      <c r="L30" s="82"/>
      <c r="M30" s="83">
        <v>1200</v>
      </c>
      <c r="N30" s="59">
        <v>0</v>
      </c>
      <c r="O30" s="84">
        <f t="shared" si="18"/>
        <v>1200</v>
      </c>
      <c r="P30" s="84">
        <f t="shared" si="19"/>
        <v>20</v>
      </c>
      <c r="Q30" s="84">
        <f t="shared" si="20"/>
        <v>240</v>
      </c>
      <c r="R30" s="78">
        <f t="shared" si="21"/>
        <v>0</v>
      </c>
      <c r="S30" s="78">
        <f t="shared" si="22"/>
        <v>240</v>
      </c>
      <c r="T30" s="78">
        <v>1</v>
      </c>
      <c r="U30" s="78">
        <f t="shared" si="23"/>
        <v>240</v>
      </c>
      <c r="V30" s="78"/>
      <c r="W30" s="78">
        <f t="shared" si="24"/>
        <v>19.99999999998181</v>
      </c>
      <c r="X30" s="78">
        <f t="shared" si="25"/>
        <v>19.99999999998181</v>
      </c>
      <c r="Y30" s="78">
        <v>1</v>
      </c>
      <c r="Z30" s="84">
        <f>X30*Y30-20</f>
        <v>-1.8189894035458565E-11</v>
      </c>
      <c r="AA30" s="84">
        <f t="shared" si="26"/>
        <v>239.9999999999818</v>
      </c>
      <c r="AB30" s="84">
        <f t="shared" si="27"/>
        <v>1080.0000000000182</v>
      </c>
      <c r="AC30" s="78">
        <f t="shared" si="11"/>
        <v>2009.5</v>
      </c>
      <c r="AD30" s="78">
        <f t="shared" si="12"/>
        <v>2010.5833333333333</v>
      </c>
      <c r="AE30" s="78">
        <f t="shared" si="13"/>
        <v>2014.5</v>
      </c>
      <c r="AF30" s="78">
        <f t="shared" si="14"/>
        <v>2009.5833333333333</v>
      </c>
      <c r="AG30" s="78">
        <f t="shared" si="15"/>
        <v>-0.08333333333333333</v>
      </c>
    </row>
    <row r="31" spans="1:33" ht="11.25">
      <c r="A31" s="8"/>
      <c r="B31" s="8"/>
      <c r="C31" s="10" t="s">
        <v>194</v>
      </c>
      <c r="D31" s="187"/>
      <c r="E31" s="8"/>
      <c r="F31" s="8"/>
      <c r="G31" s="8"/>
      <c r="H31" s="8"/>
      <c r="I31" s="8"/>
      <c r="J31" s="187"/>
      <c r="K31" s="8"/>
      <c r="L31" s="8"/>
      <c r="M31" s="9">
        <f>SUM(M29:M30)</f>
        <v>2400</v>
      </c>
      <c r="N31" s="8"/>
      <c r="O31" s="9">
        <f aca="true" t="shared" si="29" ref="O31:AB31">SUM(O29:O30)</f>
        <v>2400</v>
      </c>
      <c r="P31" s="9">
        <f t="shared" si="29"/>
        <v>34.285714285714285</v>
      </c>
      <c r="Q31" s="9">
        <f t="shared" si="29"/>
        <v>411.42857142857144</v>
      </c>
      <c r="R31" s="9">
        <f t="shared" si="29"/>
        <v>0</v>
      </c>
      <c r="S31" s="9">
        <f t="shared" si="29"/>
        <v>411.42857142857144</v>
      </c>
      <c r="T31" s="9">
        <f t="shared" si="29"/>
        <v>2</v>
      </c>
      <c r="U31" s="9">
        <f t="shared" si="29"/>
        <v>411.42857142857144</v>
      </c>
      <c r="V31" s="9">
        <f t="shared" si="29"/>
        <v>0</v>
      </c>
      <c r="W31" s="9">
        <f t="shared" si="29"/>
        <v>34.2857142856831</v>
      </c>
      <c r="X31" s="9">
        <f t="shared" si="29"/>
        <v>34.2857142856831</v>
      </c>
      <c r="Y31" s="9">
        <f t="shared" si="29"/>
        <v>2</v>
      </c>
      <c r="Z31" s="9">
        <f t="shared" si="29"/>
        <v>0.28571428568310253</v>
      </c>
      <c r="AA31" s="9">
        <f t="shared" si="29"/>
        <v>411.7142857142545</v>
      </c>
      <c r="AB31" s="9">
        <f t="shared" si="29"/>
        <v>2194.0000000000314</v>
      </c>
      <c r="AC31" s="8"/>
      <c r="AD31" s="8"/>
      <c r="AE31" s="8"/>
      <c r="AF31" s="8"/>
      <c r="AG31" s="8"/>
    </row>
    <row r="32" spans="1:33" ht="11.25">
      <c r="A32" s="8"/>
      <c r="B32" s="8"/>
      <c r="C32" s="8"/>
      <c r="D32" s="187"/>
      <c r="E32" s="8"/>
      <c r="F32" s="8"/>
      <c r="G32" s="8"/>
      <c r="H32" s="8"/>
      <c r="I32" s="8"/>
      <c r="J32" s="187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1:33" ht="11.25">
      <c r="A33" s="8"/>
      <c r="B33" s="8"/>
      <c r="C33" s="8"/>
      <c r="D33" s="187"/>
      <c r="E33" s="8"/>
      <c r="F33" s="8"/>
      <c r="G33" s="8"/>
      <c r="H33" s="8"/>
      <c r="I33" s="8"/>
      <c r="J33" s="187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</row>
    <row r="34" spans="1:33" ht="11.25">
      <c r="A34" s="47"/>
      <c r="B34" s="48"/>
      <c r="C34" s="49" t="s">
        <v>196</v>
      </c>
      <c r="D34" s="184">
        <v>2009</v>
      </c>
      <c r="E34" s="51">
        <v>7</v>
      </c>
      <c r="F34" s="52"/>
      <c r="G34" s="35"/>
      <c r="H34" s="53" t="s">
        <v>30</v>
      </c>
      <c r="I34" s="54">
        <v>5</v>
      </c>
      <c r="J34" s="189">
        <f>D34+I34</f>
        <v>2014</v>
      </c>
      <c r="K34" s="56"/>
      <c r="L34" s="56"/>
      <c r="M34" s="199">
        <f>D55</f>
        <v>53828.54</v>
      </c>
      <c r="N34" s="59">
        <v>0</v>
      </c>
      <c r="O34" s="60">
        <f>M34-M34*F34</f>
        <v>53828.54</v>
      </c>
      <c r="P34" s="60">
        <f>O34/I34/12</f>
        <v>897.1423333333333</v>
      </c>
      <c r="Q34" s="60">
        <f>IF(N34&gt;0,0,IF(OR(AC34&gt;AD34,AE34&lt;AF34),0,IF(AND(AE34&gt;=AF34,AE34&lt;=AD34),P34*((AE34-AF34)*12),IF(AND(AF34&lt;=AC34,AD34&gt;=AC34),((AD34-AC34)*12)*P34,IF(AE34&gt;AD34,12*P34,0)))))</f>
        <v>10765.708</v>
      </c>
      <c r="R34" s="35">
        <f>IF(N34=0,0,IF(AND(AG34&gt;=AF34,AG34&lt;=AE34),((AG34-AF34)*12)*P34,0))</f>
        <v>0</v>
      </c>
      <c r="S34" s="35">
        <f>IF(R34&gt;0,R34,Q34)</f>
        <v>10765.708</v>
      </c>
      <c r="T34" s="35">
        <v>1</v>
      </c>
      <c r="U34" s="35">
        <f>T34*SUM(Q34:R34)</f>
        <v>10765.708</v>
      </c>
      <c r="V34" s="35"/>
      <c r="W34" s="35">
        <f>IF(AC34&gt;AD34,0,IF(AE34&lt;AF34,O34,IF(AND(AE34&gt;=AF34,AE34&lt;=AD34),(O34-S34),IF(AND(AF34&lt;=AC34,AD34&gt;=AC34),0,IF(AE34&gt;AD34,((AF34-AC34)*12)*P34,0)))))</f>
        <v>897.1423333325174</v>
      </c>
      <c r="X34" s="35">
        <f>W34*T34</f>
        <v>897.1423333325174</v>
      </c>
      <c r="Y34" s="35">
        <v>1</v>
      </c>
      <c r="Z34" s="60">
        <f>X34*Y34-897</f>
        <v>0.14233333251740987</v>
      </c>
      <c r="AA34" s="60">
        <f>IF(N34&gt;0,0,Z34+U34*Y34)*Y34</f>
        <v>10765.850333332517</v>
      </c>
      <c r="AB34" s="60">
        <f>IF(N34&gt;0,(M34-Z34)/2,IF(AC34&gt;=AF34,(((M34*T34)*Y34)-AA34)/2,((((M34*T34)*Y34)-Z34)+(((M34*T34)*Y34)-AA34))/2))</f>
        <v>48445.54366666749</v>
      </c>
      <c r="AC34" s="35">
        <f>$D34+(($E34-1)/12)</f>
        <v>2009.5</v>
      </c>
      <c r="AD34" s="35">
        <f>($O$5+1)-($O$2/12)</f>
        <v>2010.5833333333333</v>
      </c>
      <c r="AE34" s="35">
        <f>$J34+(($E34-1)/12)</f>
        <v>2014.5</v>
      </c>
      <c r="AF34" s="35">
        <f>$O$4+($O$3/12)</f>
        <v>2009.5833333333333</v>
      </c>
      <c r="AG34" s="35">
        <f>$K34+(($L34-1)/12)</f>
        <v>-0.08333333333333333</v>
      </c>
    </row>
    <row r="35" spans="1:33" ht="11.25">
      <c r="A35" s="8"/>
      <c r="B35" s="8"/>
      <c r="C35" s="8"/>
      <c r="D35" s="187"/>
      <c r="E35" s="8"/>
      <c r="F35" s="8"/>
      <c r="G35" s="8"/>
      <c r="H35" s="8"/>
      <c r="I35" s="8"/>
      <c r="J35" s="187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  <row r="36" spans="1:33" ht="11.25">
      <c r="A36" s="8"/>
      <c r="B36" s="8"/>
      <c r="C36" s="8"/>
      <c r="D36" s="187"/>
      <c r="E36" s="8"/>
      <c r="F36" s="8"/>
      <c r="G36" s="8"/>
      <c r="H36" s="8"/>
      <c r="I36" s="8"/>
      <c r="J36" s="187"/>
      <c r="K36" s="8"/>
      <c r="L36" s="8"/>
      <c r="M36" s="8"/>
      <c r="N36" s="8"/>
      <c r="O36" s="8"/>
      <c r="P36" s="9"/>
      <c r="Q36" s="9">
        <f>Q19+Q23+Q25+Q27+Q31+Q34</f>
        <v>161839.35571428575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9">
        <f>AB19+AB23+AB25+AB27+AB31+AB34</f>
        <v>1354598.189166679</v>
      </c>
      <c r="AC36" s="8"/>
      <c r="AD36" s="8"/>
      <c r="AE36" s="8"/>
      <c r="AF36" s="8"/>
      <c r="AG36" s="8"/>
    </row>
    <row r="37" spans="1:33" ht="11.25">
      <c r="A37" s="8"/>
      <c r="B37" s="8"/>
      <c r="C37" s="8"/>
      <c r="D37" s="187"/>
      <c r="E37" s="8"/>
      <c r="F37" s="8"/>
      <c r="G37" s="8"/>
      <c r="H37" s="8"/>
      <c r="I37" s="8"/>
      <c r="J37" s="187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</row>
    <row r="38" spans="1:33" ht="11.25">
      <c r="A38" s="8"/>
      <c r="B38" s="8"/>
      <c r="C38" s="8"/>
      <c r="D38" s="187"/>
      <c r="E38" s="8"/>
      <c r="F38" s="8"/>
      <c r="G38" s="8"/>
      <c r="H38" s="8"/>
      <c r="I38" s="8"/>
      <c r="J38" s="187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1:33" ht="11.25">
      <c r="A39" s="8"/>
      <c r="B39" s="8"/>
      <c r="C39" s="8"/>
      <c r="D39" s="187"/>
      <c r="E39" s="8"/>
      <c r="F39" s="8"/>
      <c r="G39" s="8"/>
      <c r="H39" s="8"/>
      <c r="I39" s="8"/>
      <c r="J39" s="187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4" ht="11.25">
      <c r="C44" t="s">
        <v>467</v>
      </c>
    </row>
    <row r="45" spans="3:5" ht="12">
      <c r="C45" s="1" t="s">
        <v>466</v>
      </c>
      <c r="D45" s="11">
        <v>28425.48</v>
      </c>
      <c r="E45" s="176"/>
    </row>
    <row r="46" spans="3:5" ht="12">
      <c r="C46" s="1" t="s">
        <v>469</v>
      </c>
      <c r="D46" s="11">
        <v>3180</v>
      </c>
      <c r="E46" s="176"/>
    </row>
    <row r="47" spans="3:5" ht="12">
      <c r="C47" s="1" t="s">
        <v>468</v>
      </c>
      <c r="D47" s="11">
        <v>600</v>
      </c>
      <c r="E47" s="176"/>
    </row>
    <row r="48" spans="3:5" ht="12">
      <c r="C48" s="14" t="s">
        <v>475</v>
      </c>
      <c r="D48" s="12">
        <f>SUM(D45:D47)</f>
        <v>32205.48</v>
      </c>
      <c r="E48" s="176"/>
    </row>
    <row r="49" spans="3:5" ht="12">
      <c r="C49" s="1" t="s">
        <v>476</v>
      </c>
      <c r="D49" s="11">
        <v>6216</v>
      </c>
      <c r="E49" s="176"/>
    </row>
    <row r="50" spans="3:5" ht="12">
      <c r="C50" s="1" t="s">
        <v>471</v>
      </c>
      <c r="D50" s="11">
        <v>1588.06</v>
      </c>
      <c r="E50" s="176"/>
    </row>
    <row r="51" spans="3:5" ht="12">
      <c r="C51" s="1" t="s">
        <v>472</v>
      </c>
      <c r="D51" s="11">
        <v>821.67</v>
      </c>
      <c r="E51" s="176"/>
    </row>
    <row r="52" spans="3:5" ht="12">
      <c r="C52" s="1" t="s">
        <v>473</v>
      </c>
      <c r="D52" s="11">
        <v>600</v>
      </c>
      <c r="E52" s="176"/>
    </row>
    <row r="53" spans="3:5" ht="12">
      <c r="C53" s="14" t="s">
        <v>474</v>
      </c>
      <c r="D53" s="12">
        <f>SUM(D49:D52)</f>
        <v>9225.73</v>
      </c>
      <c r="E53" s="192"/>
    </row>
    <row r="54" spans="3:4" ht="11.25">
      <c r="C54" t="s">
        <v>470</v>
      </c>
      <c r="D54" s="198">
        <v>12397.33</v>
      </c>
    </row>
    <row r="55" spans="3:4" ht="11.25">
      <c r="C55" t="s">
        <v>477</v>
      </c>
      <c r="D55" s="197">
        <f>D48+D53+D54</f>
        <v>53828.54</v>
      </c>
    </row>
    <row r="56" ht="11.25">
      <c r="D56" s="196"/>
    </row>
    <row r="57" ht="11.25">
      <c r="D57" s="196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21">
      <selection activeCell="E53" sqref="E53"/>
    </sheetView>
  </sheetViews>
  <sheetFormatPr defaultColWidth="8.796875" defaultRowHeight="12"/>
  <cols>
    <col min="1" max="1" width="5.59765625" style="1" customWidth="1"/>
    <col min="2" max="2" width="23.296875" style="1" customWidth="1"/>
    <col min="3" max="3" width="13.296875" style="1" customWidth="1"/>
    <col min="4" max="4" width="10.59765625" style="11" customWidth="1"/>
    <col min="5" max="5" width="7.09765625" style="1" customWidth="1"/>
    <col min="6" max="6" width="6.796875" style="1" customWidth="1"/>
    <col min="7" max="7" width="10.19921875" style="1" customWidth="1"/>
    <col min="8" max="8" width="9.796875" style="1" customWidth="1"/>
    <col min="9" max="9" width="10" style="1" customWidth="1"/>
    <col min="10" max="16384" width="8.8984375" style="1" customWidth="1"/>
  </cols>
  <sheetData>
    <row r="1" spans="1:9" ht="12.75">
      <c r="A1" s="4" t="s">
        <v>202</v>
      </c>
      <c r="B1" s="2"/>
      <c r="C1" s="4" t="s">
        <v>6</v>
      </c>
      <c r="D1" s="6"/>
      <c r="E1" s="2"/>
      <c r="F1" s="2"/>
      <c r="G1" s="2"/>
      <c r="H1" s="2"/>
      <c r="I1" s="2"/>
    </row>
    <row r="2" spans="1:9" ht="12.75">
      <c r="A2" s="2"/>
      <c r="B2" s="2"/>
      <c r="C2" s="2"/>
      <c r="D2" s="6"/>
      <c r="E2" s="2"/>
      <c r="F2" s="2"/>
      <c r="G2" s="2"/>
      <c r="H2" s="2"/>
      <c r="I2" s="2"/>
    </row>
    <row r="3" spans="1:9" ht="12.75">
      <c r="A3" s="2"/>
      <c r="B3" s="2"/>
      <c r="C3" s="2"/>
      <c r="D3" s="6"/>
      <c r="E3" s="2"/>
      <c r="F3" s="2"/>
      <c r="G3" s="2"/>
      <c r="H3" s="2"/>
      <c r="I3" s="2"/>
    </row>
    <row r="4" spans="1:9" ht="12.75">
      <c r="A4" s="2" t="s">
        <v>427</v>
      </c>
      <c r="B4" s="2"/>
      <c r="C4" s="2"/>
      <c r="D4" s="6"/>
      <c r="E4" s="2"/>
      <c r="F4" s="2"/>
      <c r="G4" s="2"/>
      <c r="H4" s="2"/>
      <c r="I4" s="2"/>
    </row>
    <row r="5" spans="1:9" ht="12.75">
      <c r="A5" s="2" t="s">
        <v>419</v>
      </c>
      <c r="B5" s="2"/>
      <c r="C5" s="2"/>
      <c r="D5" s="6"/>
      <c r="E5" s="2"/>
      <c r="F5" s="2"/>
      <c r="G5" s="2"/>
      <c r="H5" s="2"/>
      <c r="I5" s="2"/>
    </row>
    <row r="6" spans="1:9" ht="12.75">
      <c r="A6" s="2"/>
      <c r="B6" s="2"/>
      <c r="C6" s="2"/>
      <c r="D6" s="6"/>
      <c r="E6" s="2"/>
      <c r="F6" s="2"/>
      <c r="G6" s="2"/>
      <c r="H6" s="2"/>
      <c r="I6" s="2"/>
    </row>
    <row r="7" spans="1:9" ht="12.75">
      <c r="A7" s="2"/>
      <c r="B7" s="2"/>
      <c r="C7" s="3" t="s">
        <v>197</v>
      </c>
      <c r="D7" s="169"/>
      <c r="E7" s="3"/>
      <c r="F7" s="3"/>
      <c r="G7" s="3"/>
      <c r="H7" s="3"/>
      <c r="I7" s="3"/>
    </row>
    <row r="8" spans="1:9" ht="12.75">
      <c r="A8" s="4" t="s">
        <v>48</v>
      </c>
      <c r="B8" s="2"/>
      <c r="C8" s="3" t="s">
        <v>198</v>
      </c>
      <c r="D8" s="169"/>
      <c r="E8" s="3"/>
      <c r="F8" s="3"/>
      <c r="G8" s="3"/>
      <c r="H8" s="3"/>
      <c r="I8" s="3"/>
    </row>
    <row r="9" spans="1:9" ht="12.75">
      <c r="A9" s="3" t="s">
        <v>49</v>
      </c>
      <c r="B9" s="4" t="s">
        <v>33</v>
      </c>
      <c r="C9" s="85">
        <v>40026</v>
      </c>
      <c r="D9" s="169"/>
      <c r="E9" s="3"/>
      <c r="F9" s="3"/>
      <c r="G9" s="3"/>
      <c r="H9" s="3"/>
      <c r="I9" s="3"/>
    </row>
    <row r="10" spans="1:9" ht="12.75">
      <c r="A10" s="2"/>
      <c r="B10" s="2"/>
      <c r="C10" s="2"/>
      <c r="D10" s="6"/>
      <c r="E10" s="2"/>
      <c r="F10" s="2"/>
      <c r="G10" s="2"/>
      <c r="H10" s="2"/>
      <c r="I10" s="2"/>
    </row>
    <row r="11" spans="1:9" ht="12.75">
      <c r="A11" s="5">
        <v>31100</v>
      </c>
      <c r="B11" s="2" t="s">
        <v>50</v>
      </c>
      <c r="C11" s="6">
        <v>1010176</v>
      </c>
      <c r="D11" s="172">
        <v>8.18</v>
      </c>
      <c r="E11" s="172"/>
      <c r="F11" s="165"/>
      <c r="G11" s="6"/>
      <c r="H11" s="6"/>
      <c r="I11" s="6"/>
    </row>
    <row r="12" spans="1:9" ht="12.75">
      <c r="A12" s="5"/>
      <c r="B12" s="2" t="s">
        <v>0</v>
      </c>
      <c r="C12" s="6" t="s">
        <v>0</v>
      </c>
      <c r="D12" s="6"/>
      <c r="E12" s="6"/>
      <c r="F12" s="6"/>
      <c r="G12" s="6"/>
      <c r="H12" s="6"/>
      <c r="I12" s="6"/>
    </row>
    <row r="13" spans="1:9" ht="12.75">
      <c r="A13" s="5"/>
      <c r="B13" s="4" t="s">
        <v>5</v>
      </c>
      <c r="C13" s="7">
        <f>SUM(C11:C12)</f>
        <v>1010176</v>
      </c>
      <c r="D13" s="7"/>
      <c r="E13" s="175"/>
      <c r="F13" s="7"/>
      <c r="G13" s="7"/>
      <c r="H13" s="7"/>
      <c r="I13" s="7"/>
    </row>
    <row r="14" spans="1:9" ht="12.75">
      <c r="A14" s="5"/>
      <c r="B14" s="2"/>
      <c r="C14" s="2"/>
      <c r="D14" s="6"/>
      <c r="E14" s="2"/>
      <c r="F14" s="2"/>
      <c r="G14" s="2"/>
      <c r="H14" s="2"/>
      <c r="I14" s="2"/>
    </row>
    <row r="15" spans="1:9" ht="12.75">
      <c r="A15" s="5">
        <v>41800</v>
      </c>
      <c r="B15" s="2" t="s">
        <v>395</v>
      </c>
      <c r="C15" s="6">
        <f>Calculations!D55</f>
        <v>99071.86398819249</v>
      </c>
      <c r="D15" s="6"/>
      <c r="E15" s="2"/>
      <c r="F15" s="2"/>
      <c r="G15" s="2"/>
      <c r="H15" s="2"/>
      <c r="I15" s="2"/>
    </row>
    <row r="16" spans="1:9" ht="12.75">
      <c r="A16" s="5">
        <v>42300</v>
      </c>
      <c r="B16" s="2" t="s">
        <v>421</v>
      </c>
      <c r="C16" s="6">
        <f>Calculations!D97</f>
        <v>0</v>
      </c>
      <c r="D16" s="6"/>
      <c r="E16" s="2"/>
      <c r="F16" s="2"/>
      <c r="G16" s="2"/>
      <c r="H16" s="2"/>
      <c r="I16" s="2"/>
    </row>
    <row r="17" spans="1:9" ht="12.75">
      <c r="A17" s="5">
        <v>42310</v>
      </c>
      <c r="B17" s="2" t="s">
        <v>34</v>
      </c>
      <c r="C17" s="6">
        <f>Calculations!D17</f>
        <v>165947.25</v>
      </c>
      <c r="D17" s="6"/>
      <c r="E17" s="2"/>
      <c r="F17" s="2"/>
      <c r="G17" s="2"/>
      <c r="H17" s="2"/>
      <c r="I17" s="2"/>
    </row>
    <row r="18" spans="1:9" ht="12.75">
      <c r="A18" s="5">
        <v>42400</v>
      </c>
      <c r="B18" s="2" t="s">
        <v>148</v>
      </c>
      <c r="C18" s="6">
        <f>Calculations!D41</f>
        <v>78396.40430884303</v>
      </c>
      <c r="D18" s="6"/>
      <c r="E18" s="2"/>
      <c r="F18" s="2"/>
      <c r="G18" s="2"/>
      <c r="H18" s="2"/>
      <c r="I18" s="2"/>
    </row>
    <row r="19" spans="1:9" ht="12.75">
      <c r="A19" s="5">
        <v>42800</v>
      </c>
      <c r="B19" s="2" t="s">
        <v>405</v>
      </c>
      <c r="C19" s="6">
        <f>Calculations!D83</f>
        <v>2627.0588235294117</v>
      </c>
      <c r="D19" s="6"/>
      <c r="E19" s="2"/>
      <c r="F19" s="2"/>
      <c r="G19" s="2"/>
      <c r="H19" s="2"/>
      <c r="I19" s="2"/>
    </row>
    <row r="20" spans="1:9" ht="12.75">
      <c r="A20" s="5">
        <v>42810</v>
      </c>
      <c r="B20" s="2" t="s">
        <v>396</v>
      </c>
      <c r="C20" s="6">
        <f>Calculations!D160</f>
        <v>134278.7520942</v>
      </c>
      <c r="D20" s="6"/>
      <c r="E20" s="2"/>
      <c r="F20" s="2"/>
      <c r="G20" s="2"/>
      <c r="H20" s="2"/>
      <c r="I20" s="2"/>
    </row>
    <row r="21" spans="1:9" ht="12.75">
      <c r="A21" s="5">
        <v>44300</v>
      </c>
      <c r="B21" s="2" t="s">
        <v>35</v>
      </c>
      <c r="C21" s="6">
        <f>C11*0.004</f>
        <v>4040.704</v>
      </c>
      <c r="D21" s="6"/>
      <c r="E21" s="2"/>
      <c r="F21" s="2"/>
      <c r="G21" s="2"/>
      <c r="H21" s="2"/>
      <c r="I21" s="2"/>
    </row>
    <row r="22" spans="1:9" ht="12.75">
      <c r="A22" s="5">
        <v>45300</v>
      </c>
      <c r="B22" s="2" t="s">
        <v>36</v>
      </c>
      <c r="C22" s="6">
        <f>Calculations!D71</f>
        <v>10000</v>
      </c>
      <c r="D22" s="6"/>
      <c r="E22" s="2"/>
      <c r="F22" s="2"/>
      <c r="G22" s="2"/>
      <c r="H22" s="2"/>
      <c r="I22" s="2"/>
    </row>
    <row r="23" spans="1:9" ht="12.75">
      <c r="A23" s="5">
        <v>45400</v>
      </c>
      <c r="B23" s="2" t="s">
        <v>37</v>
      </c>
      <c r="C23" s="6">
        <f>Calculations!D77</f>
        <v>2907</v>
      </c>
      <c r="D23" s="6"/>
      <c r="E23" s="2"/>
      <c r="F23" s="2"/>
      <c r="G23" s="2"/>
      <c r="H23" s="2"/>
      <c r="I23" s="2"/>
    </row>
    <row r="24" spans="1:9" ht="12.75">
      <c r="A24" s="5">
        <v>46130</v>
      </c>
      <c r="B24" s="2" t="s">
        <v>38</v>
      </c>
      <c r="C24" s="6">
        <f>Calculations!D106</f>
        <v>13769.399999999998</v>
      </c>
      <c r="D24" s="6"/>
      <c r="E24" s="2"/>
      <c r="F24" s="2"/>
      <c r="G24" s="2"/>
      <c r="H24" s="2"/>
      <c r="I24" s="2"/>
    </row>
    <row r="25" spans="1:9" ht="12.75">
      <c r="A25" s="5">
        <v>46200</v>
      </c>
      <c r="B25" s="2" t="s">
        <v>39</v>
      </c>
      <c r="C25" s="6">
        <f>Calculations!D130</f>
        <v>1800</v>
      </c>
      <c r="D25" s="6"/>
      <c r="E25" s="2"/>
      <c r="F25" s="2"/>
      <c r="G25" s="2"/>
      <c r="H25" s="2"/>
      <c r="I25" s="2"/>
    </row>
    <row r="26" spans="1:9" ht="12.75">
      <c r="A26" s="5">
        <v>46500</v>
      </c>
      <c r="B26" s="2" t="s">
        <v>40</v>
      </c>
      <c r="C26" s="6">
        <f>Calculations!C118*12</f>
        <v>12906</v>
      </c>
      <c r="D26" s="6"/>
      <c r="E26" s="2"/>
      <c r="F26" s="2"/>
      <c r="G26" s="2"/>
      <c r="H26" s="2"/>
      <c r="I26" s="2"/>
    </row>
    <row r="27" spans="1:9" ht="12.75">
      <c r="A27" s="5">
        <v>46510</v>
      </c>
      <c r="B27" s="2" t="s">
        <v>32</v>
      </c>
      <c r="C27" s="6">
        <f>Calculations!C120*12</f>
        <v>2210.514795</v>
      </c>
      <c r="D27" s="6"/>
      <c r="E27" s="2"/>
      <c r="F27" s="2"/>
      <c r="G27" s="2"/>
      <c r="H27" s="2"/>
      <c r="I27" s="2"/>
    </row>
    <row r="28" spans="1:9" ht="12.75">
      <c r="A28" s="5">
        <v>46700</v>
      </c>
      <c r="B28" s="2" t="s">
        <v>41</v>
      </c>
      <c r="C28" s="6">
        <f>C13*0.004</f>
        <v>4040.704</v>
      </c>
      <c r="D28" s="6"/>
      <c r="E28" s="2"/>
      <c r="F28" s="2"/>
      <c r="G28" s="2"/>
      <c r="H28" s="2"/>
      <c r="I28" s="2"/>
    </row>
    <row r="29" spans="1:9" ht="12.75">
      <c r="A29" s="5">
        <v>46910</v>
      </c>
      <c r="B29" s="2" t="s">
        <v>149</v>
      </c>
      <c r="C29" s="6">
        <f>C11*0.035</f>
        <v>35356.16</v>
      </c>
      <c r="D29" s="6"/>
      <c r="E29" s="165"/>
      <c r="F29" s="2"/>
      <c r="G29" s="2"/>
      <c r="H29" s="2"/>
      <c r="I29" s="2"/>
    </row>
    <row r="30" spans="1:9" ht="12.75">
      <c r="A30" s="5">
        <v>50200</v>
      </c>
      <c r="B30" s="2" t="s">
        <v>42</v>
      </c>
      <c r="C30" s="6">
        <f>Depr!Q19+Depr!Q23</f>
        <v>152443.95</v>
      </c>
      <c r="D30" s="6"/>
      <c r="E30" s="2"/>
      <c r="F30" s="2"/>
      <c r="G30" s="2"/>
      <c r="H30" s="2"/>
      <c r="I30" s="2"/>
    </row>
    <row r="31" spans="1:9" ht="12.75">
      <c r="A31" s="5">
        <v>50300</v>
      </c>
      <c r="B31" s="2" t="s">
        <v>195</v>
      </c>
      <c r="C31" s="6">
        <f>Depr!Q25+Depr!Q27</f>
        <v>1750</v>
      </c>
      <c r="D31" s="6"/>
      <c r="E31" s="2"/>
      <c r="F31" s="2"/>
      <c r="G31" s="2"/>
      <c r="H31" s="2"/>
      <c r="I31" s="2"/>
    </row>
    <row r="32" spans="1:9" ht="12.75">
      <c r="A32" s="5">
        <v>50500</v>
      </c>
      <c r="B32" s="2" t="s">
        <v>43</v>
      </c>
      <c r="C32" s="6">
        <f>Depr!Q31</f>
        <v>411.42857142857144</v>
      </c>
      <c r="D32" s="6"/>
      <c r="E32" s="2"/>
      <c r="F32" s="2"/>
      <c r="G32" s="2"/>
      <c r="H32" s="2"/>
      <c r="I32" s="2"/>
    </row>
    <row r="33" spans="1:9" ht="12.75">
      <c r="A33" s="5">
        <v>51500</v>
      </c>
      <c r="B33" s="2" t="s">
        <v>394</v>
      </c>
      <c r="C33" s="6">
        <f>Depr!Q34</f>
        <v>7156.5</v>
      </c>
      <c r="D33" s="6"/>
      <c r="E33" s="2"/>
      <c r="F33" s="2"/>
      <c r="G33" s="2"/>
      <c r="H33" s="2"/>
      <c r="I33" s="2"/>
    </row>
    <row r="34" spans="1:9" ht="12.75">
      <c r="A34" s="5">
        <v>52030</v>
      </c>
      <c r="B34" s="2" t="s">
        <v>44</v>
      </c>
      <c r="C34" s="6">
        <f>(C11*0.015)+(Calculations!D176*0.7*0.00483)</f>
        <v>15838.435258052099</v>
      </c>
      <c r="D34" s="6"/>
      <c r="E34" s="2"/>
      <c r="F34" s="2"/>
      <c r="G34" s="2"/>
      <c r="H34" s="2"/>
      <c r="I34" s="2"/>
    </row>
    <row r="35" spans="1:9" ht="12.75">
      <c r="A35" s="5">
        <v>52200</v>
      </c>
      <c r="B35" s="2" t="s">
        <v>45</v>
      </c>
      <c r="C35" s="6">
        <f>Calculations!D66</f>
        <v>5332</v>
      </c>
      <c r="D35" s="6"/>
      <c r="E35" s="2"/>
      <c r="F35" s="2"/>
      <c r="G35" s="2"/>
      <c r="H35" s="2"/>
      <c r="I35" s="2"/>
    </row>
    <row r="36" spans="1:9" ht="12.75">
      <c r="A36" s="5">
        <v>52300</v>
      </c>
      <c r="B36" s="2" t="s">
        <v>2</v>
      </c>
      <c r="C36" s="6">
        <f>(Depr!M23+Depr!M31)*0.0115</f>
        <v>5781.2754</v>
      </c>
      <c r="D36" s="6"/>
      <c r="E36" s="2"/>
      <c r="F36" s="2"/>
      <c r="G36" s="2"/>
      <c r="H36" s="2"/>
      <c r="I36" s="2"/>
    </row>
    <row r="37" spans="1:9" ht="12.75">
      <c r="A37" s="5">
        <v>52400</v>
      </c>
      <c r="B37" s="2" t="s">
        <v>150</v>
      </c>
      <c r="C37" s="6">
        <f>Calculations!D113</f>
        <v>14623.287445</v>
      </c>
      <c r="D37" s="6"/>
      <c r="E37" s="2"/>
      <c r="F37" s="2"/>
      <c r="G37" s="2"/>
      <c r="H37" s="2"/>
      <c r="I37" s="2"/>
    </row>
    <row r="38" spans="1:9" ht="12.75">
      <c r="A38" s="5">
        <v>52410</v>
      </c>
      <c r="B38" s="2" t="s">
        <v>151</v>
      </c>
      <c r="C38" s="6">
        <f>Calculations!D90</f>
        <v>36000</v>
      </c>
      <c r="D38" s="6"/>
      <c r="E38" s="2"/>
      <c r="F38" s="2"/>
      <c r="G38" s="2"/>
      <c r="H38" s="2"/>
      <c r="I38" s="2"/>
    </row>
    <row r="39" spans="1:9" ht="12.75">
      <c r="A39" s="5"/>
      <c r="B39" s="4" t="s">
        <v>46</v>
      </c>
      <c r="C39" s="7">
        <f>SUM(C15:C38)</f>
        <v>806688.6886842457</v>
      </c>
      <c r="D39" s="7"/>
      <c r="E39" s="2"/>
      <c r="F39" s="4"/>
      <c r="G39" s="4"/>
      <c r="H39" s="4"/>
      <c r="I39" s="4"/>
    </row>
    <row r="40" spans="1:9" ht="12.75">
      <c r="A40" s="5"/>
      <c r="B40" s="2"/>
      <c r="C40" s="6"/>
      <c r="D40" s="6"/>
      <c r="E40" s="2"/>
      <c r="F40" s="2"/>
      <c r="G40" s="2"/>
      <c r="H40" s="2"/>
      <c r="I40" s="2"/>
    </row>
    <row r="41" spans="1:9" ht="12.75">
      <c r="A41" s="5"/>
      <c r="B41" s="4" t="s">
        <v>47</v>
      </c>
      <c r="C41" s="7">
        <f>(C11-C39)</f>
        <v>203487.3113157543</v>
      </c>
      <c r="D41" s="7"/>
      <c r="E41" s="2"/>
      <c r="F41" s="2"/>
      <c r="G41" s="4"/>
      <c r="H41" s="4"/>
      <c r="I41" s="2"/>
    </row>
    <row r="42" spans="1:9" ht="12.75">
      <c r="A42" s="5"/>
      <c r="B42" s="2"/>
      <c r="C42" s="2"/>
      <c r="D42" s="6"/>
      <c r="E42" s="2"/>
      <c r="F42" s="2"/>
      <c r="G42" s="2"/>
      <c r="H42" s="2"/>
      <c r="I42" s="2"/>
    </row>
    <row r="43" spans="2:5" ht="12.75">
      <c r="B43" s="1" t="s">
        <v>270</v>
      </c>
      <c r="C43" s="1">
        <f>LG!H15</f>
        <v>79.7355886645012</v>
      </c>
      <c r="E43" s="2"/>
    </row>
    <row r="44" ht="12.75">
      <c r="E44" s="2"/>
    </row>
    <row r="45" spans="3:5" ht="12.75">
      <c r="C45" s="109"/>
      <c r="D45" s="108"/>
      <c r="E45" s="2"/>
    </row>
  </sheetData>
  <printOptions/>
  <pageMargins left="0.75" right="0.75" top="1" bottom="1" header="0.5" footer="0.5"/>
  <pageSetup horizontalDpi="300" verticalDpi="300" orientation="portrait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Q339"/>
  <sheetViews>
    <sheetView workbookViewId="0" topLeftCell="A1">
      <selection activeCell="A1" sqref="A1:BX322"/>
    </sheetView>
  </sheetViews>
  <sheetFormatPr defaultColWidth="8.796875" defaultRowHeight="12"/>
  <cols>
    <col min="1" max="1" width="3" style="57" customWidth="1"/>
    <col min="2" max="16384" width="8.8984375" style="57" customWidth="1"/>
  </cols>
  <sheetData>
    <row r="1" spans="1:147" ht="12.7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</row>
    <row r="2" spans="1:147" ht="12.75">
      <c r="A2" s="86"/>
      <c r="B2" s="86" t="s">
        <v>0</v>
      </c>
      <c r="C2" s="86"/>
      <c r="D2" s="86"/>
      <c r="E2" s="86"/>
      <c r="F2" s="86"/>
      <c r="G2" s="86"/>
      <c r="H2" s="86"/>
      <c r="I2" s="86"/>
      <c r="J2" s="86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 t="s">
        <v>52</v>
      </c>
      <c r="AF2" s="88" t="s">
        <v>53</v>
      </c>
      <c r="AG2" s="87"/>
      <c r="AH2" s="87"/>
      <c r="AI2" s="87" t="s">
        <v>54</v>
      </c>
      <c r="AJ2" s="87"/>
      <c r="AK2" s="87"/>
      <c r="AL2" s="87"/>
      <c r="AM2" s="87"/>
      <c r="AN2" s="87"/>
      <c r="AO2" s="87"/>
      <c r="AP2" s="87"/>
      <c r="AQ2" s="87"/>
      <c r="AR2" s="87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</row>
    <row r="3" spans="1:147" ht="12.75">
      <c r="A3" s="86"/>
      <c r="B3" s="87" t="s">
        <v>201</v>
      </c>
      <c r="C3" s="86"/>
      <c r="D3" s="86"/>
      <c r="E3" s="86"/>
      <c r="F3" s="86"/>
      <c r="G3" s="86"/>
      <c r="H3" s="86"/>
      <c r="I3" s="86"/>
      <c r="J3" s="86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8"/>
      <c r="AF3" s="88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</row>
    <row r="4" spans="1:147" ht="12.75">
      <c r="A4" s="86"/>
      <c r="B4" s="89"/>
      <c r="C4" s="87"/>
      <c r="D4" s="87"/>
      <c r="E4" s="90"/>
      <c r="F4" s="87"/>
      <c r="G4" s="87"/>
      <c r="H4" s="87"/>
      <c r="I4" s="106"/>
      <c r="J4" s="87"/>
      <c r="K4" s="87"/>
      <c r="L4" s="87"/>
      <c r="M4" s="87"/>
      <c r="N4" s="87" t="s">
        <v>55</v>
      </c>
      <c r="O4" s="87"/>
      <c r="P4" s="87"/>
      <c r="Q4" s="87"/>
      <c r="R4" s="87"/>
      <c r="S4" s="87"/>
      <c r="T4" s="87"/>
      <c r="U4" s="88" t="s">
        <v>56</v>
      </c>
      <c r="V4" s="88" t="s">
        <v>57</v>
      </c>
      <c r="W4" s="88" t="s">
        <v>27</v>
      </c>
      <c r="X4" s="88" t="s">
        <v>58</v>
      </c>
      <c r="Y4" s="88" t="s">
        <v>59</v>
      </c>
      <c r="Z4" s="87"/>
      <c r="AA4" s="88" t="s">
        <v>60</v>
      </c>
      <c r="AB4" s="87" t="s">
        <v>61</v>
      </c>
      <c r="AC4" s="88" t="s">
        <v>62</v>
      </c>
      <c r="AD4" s="88" t="s">
        <v>63</v>
      </c>
      <c r="AE4" s="88" t="s">
        <v>64</v>
      </c>
      <c r="AF4" s="87"/>
      <c r="AG4" s="87"/>
      <c r="AH4" s="87"/>
      <c r="AI4" s="87" t="s">
        <v>65</v>
      </c>
      <c r="AJ4" s="87"/>
      <c r="AK4" s="87"/>
      <c r="AL4" s="87"/>
      <c r="AM4" s="87"/>
      <c r="AN4" s="87"/>
      <c r="AO4" s="87"/>
      <c r="AP4" s="87"/>
      <c r="AQ4" s="87"/>
      <c r="AR4" s="87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</row>
    <row r="5" spans="1:147" ht="12.75">
      <c r="A5" s="86"/>
      <c r="B5" s="91" t="s">
        <v>66</v>
      </c>
      <c r="C5" s="91" t="s">
        <v>67</v>
      </c>
      <c r="D5" s="87"/>
      <c r="E5" s="90">
        <f>E7+E6</f>
        <v>1011750.0934598112</v>
      </c>
      <c r="F5" s="91" t="s">
        <v>68</v>
      </c>
      <c r="G5" s="87"/>
      <c r="H5" s="87"/>
      <c r="I5" s="87"/>
      <c r="J5" s="91"/>
      <c r="K5" s="87"/>
      <c r="L5" s="92"/>
      <c r="M5" s="87"/>
      <c r="N5" s="91" t="s">
        <v>69</v>
      </c>
      <c r="O5" s="87"/>
      <c r="P5" s="87"/>
      <c r="Q5" s="91" t="s">
        <v>70</v>
      </c>
      <c r="R5" s="87"/>
      <c r="S5" s="87"/>
      <c r="T5" s="87"/>
      <c r="U5" s="93">
        <f>$E$8*1.25</f>
        <v>1008360.8608553071</v>
      </c>
      <c r="V5" s="94">
        <f>100*(+U5/$E$9)</f>
        <v>73.68294983392562</v>
      </c>
      <c r="W5" s="95">
        <f>EXP(5.7226-(0.68367*LN(+V5)))</f>
        <v>16.16705077991594</v>
      </c>
      <c r="X5" s="95">
        <f>(+W5*V5)/100</f>
        <v>11.912359915790741</v>
      </c>
      <c r="Y5" s="94">
        <f>100*((((X5/100)-((X5/100)-0.03574)*$E$21)-0.03574-0.00619)/0.344)</f>
        <v>14.198597512854331</v>
      </c>
      <c r="Z5" s="87">
        <f>$E$20</f>
        <v>0.25</v>
      </c>
      <c r="AA5" s="94">
        <f>Y5+Z5</f>
        <v>14.448597512854331</v>
      </c>
      <c r="AB5" s="94">
        <f>100*($E$17*$E$19+($E$18*(AA5/100))/(1-$E$21))</f>
        <v>15.255088648049393</v>
      </c>
      <c r="AC5" s="95">
        <f>AB5/V5</f>
        <v>0.2070368882140701</v>
      </c>
      <c r="AD5" s="93">
        <f>$E$8/(1-AC5)</f>
        <v>1017309.2249744162</v>
      </c>
      <c r="AE5" s="87" t="str">
        <f>IF(AD5=$U$5,"yes","not yet")</f>
        <v>not yet</v>
      </c>
      <c r="AF5" s="94">
        <f>100*(1-AC5)</f>
        <v>79.29631117859299</v>
      </c>
      <c r="AG5" s="87"/>
      <c r="AH5" s="87"/>
      <c r="AI5" s="87">
        <v>0</v>
      </c>
      <c r="AJ5" s="87">
        <v>1</v>
      </c>
      <c r="AK5" s="87"/>
      <c r="AL5" s="87"/>
      <c r="AM5" s="87"/>
      <c r="AN5" s="87"/>
      <c r="AO5" s="87"/>
      <c r="AP5" s="87"/>
      <c r="AQ5" s="87"/>
      <c r="AR5" s="87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</row>
    <row r="6" spans="1:147" ht="12.75">
      <c r="A6" s="86"/>
      <c r="B6" s="91" t="s">
        <v>66</v>
      </c>
      <c r="C6" s="91" t="s">
        <v>71</v>
      </c>
      <c r="D6" s="87"/>
      <c r="E6" s="90">
        <f>(+E8-((H15/100)*E7))/H25</f>
        <v>1574.093459811148</v>
      </c>
      <c r="F6" s="96" t="s">
        <v>68</v>
      </c>
      <c r="G6" s="87"/>
      <c r="H6" s="87"/>
      <c r="I6" s="87"/>
      <c r="J6" s="91"/>
      <c r="K6" s="87"/>
      <c r="L6" s="92"/>
      <c r="M6" s="87"/>
      <c r="N6" s="91" t="s">
        <v>72</v>
      </c>
      <c r="O6" s="87"/>
      <c r="P6" s="87"/>
      <c r="Q6" s="91" t="s">
        <v>73</v>
      </c>
      <c r="R6" s="87"/>
      <c r="S6" s="87"/>
      <c r="T6" s="87"/>
      <c r="U6" s="93">
        <f>$E$8*1.25</f>
        <v>1008360.8608553071</v>
      </c>
      <c r="V6" s="94">
        <f>100*(+U6/$E$9)</f>
        <v>73.68294983392562</v>
      </c>
      <c r="W6" s="95">
        <f>EXP(5.70827-(0.68367*LN(+V6)))</f>
        <v>15.937028984616477</v>
      </c>
      <c r="X6" s="95">
        <f>(+W6*V6)/100</f>
        <v>11.742873071753145</v>
      </c>
      <c r="Y6" s="94">
        <f>100*((((X6/100)-((X6/100)-0.03574)*$E$21)-0.03574-0.00619)/0.344)</f>
        <v>13.873419265572895</v>
      </c>
      <c r="Z6" s="87">
        <f>$E$20</f>
        <v>0.25</v>
      </c>
      <c r="AA6" s="94">
        <f>Y6+Z6</f>
        <v>14.123419265572895</v>
      </c>
      <c r="AB6" s="94">
        <f>100*($E$17*$E$19+($E$18*(AA6/100))/(1-$E$21))</f>
        <v>14.959472059611725</v>
      </c>
      <c r="AC6" s="95">
        <f>AB6/V6</f>
        <v>0.20302488015652137</v>
      </c>
      <c r="AD6" s="93">
        <f>$E$8/(1-AC6)</f>
        <v>1012188.0452713188</v>
      </c>
      <c r="AE6" s="87" t="str">
        <f>IF(AD6=$U$6,"yes","not yet")</f>
        <v>not yet</v>
      </c>
      <c r="AF6" s="94">
        <f>100*(1-AC6)</f>
        <v>79.69751198434787</v>
      </c>
      <c r="AG6" s="87"/>
      <c r="AH6" s="87"/>
      <c r="AI6" s="87">
        <v>50</v>
      </c>
      <c r="AJ6" s="87">
        <v>2</v>
      </c>
      <c r="AK6" s="87"/>
      <c r="AL6" s="87"/>
      <c r="AM6" s="87"/>
      <c r="AN6" s="87"/>
      <c r="AO6" s="87"/>
      <c r="AP6" s="87"/>
      <c r="AQ6" s="87"/>
      <c r="AR6" s="87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</row>
    <row r="7" spans="1:147" ht="12.75">
      <c r="A7" s="86"/>
      <c r="B7" s="97" t="s">
        <v>74</v>
      </c>
      <c r="C7" s="91" t="s">
        <v>75</v>
      </c>
      <c r="D7" s="97" t="s">
        <v>92</v>
      </c>
      <c r="E7" s="90">
        <f>Proforma!C13</f>
        <v>1010176</v>
      </c>
      <c r="F7" s="91" t="s">
        <v>76</v>
      </c>
      <c r="G7" s="87"/>
      <c r="H7" s="87"/>
      <c r="I7" s="87"/>
      <c r="J7" s="91"/>
      <c r="K7" s="87"/>
      <c r="L7" s="92"/>
      <c r="M7" s="87"/>
      <c r="N7" s="91" t="s">
        <v>77</v>
      </c>
      <c r="O7" s="87"/>
      <c r="P7" s="87"/>
      <c r="Q7" s="91" t="s">
        <v>78</v>
      </c>
      <c r="R7" s="87"/>
      <c r="S7" s="87"/>
      <c r="T7" s="87"/>
      <c r="U7" s="93">
        <f>$E$8*1.25</f>
        <v>1008360.8608553071</v>
      </c>
      <c r="V7" s="94">
        <f>100*(+U7/$E$9)</f>
        <v>73.68294983392562</v>
      </c>
      <c r="W7" s="95">
        <f>EXP(5.6985-(0.68367*LN(V7)))</f>
        <v>15.782082358213534</v>
      </c>
      <c r="X7" s="95">
        <f>(+W7*V7)/100</f>
        <v>11.628703826751305</v>
      </c>
      <c r="Y7" s="94">
        <f>100*((((X7/100)-((X7/100)-0.03574)*$E$21)-0.03574-0.00619)/0.344)</f>
        <v>13.654373621092619</v>
      </c>
      <c r="Z7" s="87">
        <f>$E$20</f>
        <v>0.25</v>
      </c>
      <c r="AA7" s="94">
        <f>Y7+Z7</f>
        <v>13.904373621092619</v>
      </c>
      <c r="AB7" s="94">
        <f>100*($E$17*$E$19+($E$18*(AA7/100))/(1-$E$21))</f>
        <v>14.760339655538745</v>
      </c>
      <c r="AC7" s="95">
        <f>AB7/V7</f>
        <v>0.2003223227192607</v>
      </c>
      <c r="AD7" s="93">
        <f>$E$8/(1-AC7)</f>
        <v>1008767.2966279952</v>
      </c>
      <c r="AE7" s="87" t="str">
        <f>IF(AD7=$U$7,"yes","not yet")</f>
        <v>not yet</v>
      </c>
      <c r="AF7" s="94">
        <f>100*(1-AC7)</f>
        <v>79.96776772807392</v>
      </c>
      <c r="AG7" s="87"/>
      <c r="AH7" s="87"/>
      <c r="AI7" s="87">
        <v>125</v>
      </c>
      <c r="AJ7" s="87">
        <v>3</v>
      </c>
      <c r="AK7" s="87"/>
      <c r="AL7" s="87"/>
      <c r="AM7" s="87"/>
      <c r="AN7" s="87"/>
      <c r="AO7" s="87"/>
      <c r="AP7" s="87"/>
      <c r="AQ7" s="87"/>
      <c r="AR7" s="87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</row>
    <row r="8" spans="1:147" ht="12.75">
      <c r="A8" s="86"/>
      <c r="B8" s="97" t="s">
        <v>74</v>
      </c>
      <c r="C8" s="91" t="s">
        <v>79</v>
      </c>
      <c r="D8" s="97" t="s">
        <v>92</v>
      </c>
      <c r="E8" s="90">
        <f>Proforma!C39</f>
        <v>806688.6886842457</v>
      </c>
      <c r="F8" s="91" t="s">
        <v>76</v>
      </c>
      <c r="G8" s="87"/>
      <c r="H8" s="87"/>
      <c r="I8" s="87"/>
      <c r="J8" s="91"/>
      <c r="K8" s="87"/>
      <c r="L8" s="92"/>
      <c r="M8" s="87"/>
      <c r="N8" s="91" t="s">
        <v>80</v>
      </c>
      <c r="O8" s="87"/>
      <c r="P8" s="87"/>
      <c r="Q8" s="91" t="s">
        <v>81</v>
      </c>
      <c r="R8" s="87"/>
      <c r="S8" s="87"/>
      <c r="T8" s="87"/>
      <c r="U8" s="93">
        <f>$E$8*1.25</f>
        <v>1008360.8608553071</v>
      </c>
      <c r="V8" s="94">
        <f>100*(+U8/$E$9)</f>
        <v>73.68294983392562</v>
      </c>
      <c r="W8" s="95">
        <f>EXP(5.6922-(0.68367*LN(V8)))</f>
        <v>15.68296777810538</v>
      </c>
      <c r="X8" s="95">
        <f>(+W8*V8)/100</f>
        <v>11.555673280412107</v>
      </c>
      <c r="Y8" s="94">
        <f>100*((((X8/100)-((X8/100)-0.03574)*$E$21)-0.03574-0.00619)/0.344)</f>
        <v>13.514256875209274</v>
      </c>
      <c r="Z8" s="87">
        <f>$E$20</f>
        <v>0.25</v>
      </c>
      <c r="AA8" s="94">
        <f>Y8+Z8</f>
        <v>13.764256875209274</v>
      </c>
      <c r="AB8" s="94">
        <f>100*($E$17*$E$19+($E$18*(AA8/100))/(1-$E$21))</f>
        <v>14.632960795644795</v>
      </c>
      <c r="AC8" s="95">
        <f>AB8/V8</f>
        <v>0.1985935800429557</v>
      </c>
      <c r="AD8" s="93">
        <f>$E$8/(1-AC8)</f>
        <v>1006591.2483300102</v>
      </c>
      <c r="AE8" s="87" t="str">
        <f>IF(AD8=$U$8,"yes","not yet")</f>
        <v>not yet</v>
      </c>
      <c r="AF8" s="94">
        <f>100*(1-AC8)</f>
        <v>80.14064199570443</v>
      </c>
      <c r="AG8" s="87"/>
      <c r="AH8" s="87"/>
      <c r="AI8" s="87">
        <v>401</v>
      </c>
      <c r="AJ8" s="87">
        <v>4</v>
      </c>
      <c r="AK8" s="87"/>
      <c r="AL8" s="87"/>
      <c r="AM8" s="87"/>
      <c r="AN8" s="87"/>
      <c r="AO8" s="87"/>
      <c r="AP8" s="87"/>
      <c r="AQ8" s="87"/>
      <c r="AR8" s="87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</row>
    <row r="9" spans="1:147" ht="12.75">
      <c r="A9" s="86"/>
      <c r="B9" s="97" t="s">
        <v>74</v>
      </c>
      <c r="C9" s="91" t="s">
        <v>82</v>
      </c>
      <c r="D9" s="87"/>
      <c r="E9" s="90">
        <f>Depr!AB36</f>
        <v>1368513.154166679</v>
      </c>
      <c r="F9" s="91" t="s">
        <v>76</v>
      </c>
      <c r="G9" s="87"/>
      <c r="H9" s="87"/>
      <c r="I9" s="87"/>
      <c r="J9" s="91"/>
      <c r="K9" s="87"/>
      <c r="L9" s="92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94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</row>
    <row r="10" spans="1:147" ht="12.75">
      <c r="A10" s="86"/>
      <c r="B10" s="89"/>
      <c r="C10" s="91" t="s">
        <v>83</v>
      </c>
      <c r="D10" s="87"/>
      <c r="E10" s="94">
        <f>V5</f>
        <v>73.68294983392562</v>
      </c>
      <c r="F10" s="91" t="s">
        <v>84</v>
      </c>
      <c r="G10" s="87"/>
      <c r="H10" s="94"/>
      <c r="I10" s="94"/>
      <c r="J10" s="89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98" t="s">
        <v>85</v>
      </c>
      <c r="W10" s="98" t="s">
        <v>27</v>
      </c>
      <c r="X10" s="98" t="s">
        <v>58</v>
      </c>
      <c r="Y10" s="98" t="s">
        <v>59</v>
      </c>
      <c r="Z10" s="87"/>
      <c r="AA10" s="94"/>
      <c r="AB10" s="87"/>
      <c r="AC10" s="87"/>
      <c r="AD10" s="87"/>
      <c r="AE10" s="87"/>
      <c r="AF10" s="87"/>
      <c r="AG10" s="87"/>
      <c r="AH10" s="87"/>
      <c r="AI10" s="87" t="s">
        <v>86</v>
      </c>
      <c r="AJ10" s="87"/>
      <c r="AK10" s="87"/>
      <c r="AL10" s="87"/>
      <c r="AM10" s="87"/>
      <c r="AN10" s="87"/>
      <c r="AO10" s="87"/>
      <c r="AP10" s="87"/>
      <c r="AQ10" s="87"/>
      <c r="AR10" s="87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</row>
    <row r="11" spans="1:147" ht="12.75">
      <c r="A11" s="86"/>
      <c r="B11" s="89"/>
      <c r="C11" s="91" t="s">
        <v>87</v>
      </c>
      <c r="D11" s="87"/>
      <c r="E11" s="94">
        <f>HLOOKUP($AJ$34,$AJ$28:$AR$32,($E$12)+1)</f>
        <v>73.9273127861202</v>
      </c>
      <c r="F11" s="91" t="s">
        <v>84</v>
      </c>
      <c r="G11" s="87"/>
      <c r="H11" s="87"/>
      <c r="I11" s="87"/>
      <c r="J11" s="89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94">
        <f>100*(+AD5/$E$9)</f>
        <v>74.33682474129236</v>
      </c>
      <c r="W11" s="99">
        <f>EXP(5.7226-(0.68367*LN(+V11)))</f>
        <v>16.069692225300127</v>
      </c>
      <c r="X11" s="95">
        <f>(+W11*V11)/100</f>
        <v>11.94569894598644</v>
      </c>
      <c r="Y11" s="94">
        <f>100*((((X11/100)-((X11/100)-0.03574)*$E$21)-0.03574-0.00619)/0.344)</f>
        <v>14.262561931253053</v>
      </c>
      <c r="Z11" s="87">
        <f>$E$20</f>
        <v>0.25</v>
      </c>
      <c r="AA11" s="94">
        <f>Y11+Z11</f>
        <v>14.512561931253053</v>
      </c>
      <c r="AB11" s="94">
        <f>100*($E$17*$E$19+($E$18*(AA11/100))/(1-$E$21))</f>
        <v>15.31323811932096</v>
      </c>
      <c r="AC11" s="95">
        <f>AB11/V11</f>
        <v>0.20599801205679985</v>
      </c>
      <c r="AD11" s="93">
        <f>$E$8/(1-AC11)</f>
        <v>1015978.1725155493</v>
      </c>
      <c r="AE11" s="87" t="str">
        <f>IF(AD11=AD5,"yes","not yet")</f>
        <v>not yet</v>
      </c>
      <c r="AF11" s="94">
        <f>100*(1-AC11)</f>
        <v>79.40019879432</v>
      </c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</row>
    <row r="12" spans="1:147" ht="12.75">
      <c r="A12" s="86"/>
      <c r="B12" s="89"/>
      <c r="C12" s="91" t="s">
        <v>88</v>
      </c>
      <c r="D12" s="87"/>
      <c r="E12" s="87">
        <f>VLOOKUP(E10,AI5:AJ8,2)</f>
        <v>2</v>
      </c>
      <c r="F12" s="91" t="s">
        <v>84</v>
      </c>
      <c r="G12" s="87"/>
      <c r="H12" s="87"/>
      <c r="I12" s="87"/>
      <c r="J12" s="89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94">
        <f>100*(+AD6/$E$9)</f>
        <v>73.96260987258574</v>
      </c>
      <c r="W12" s="99">
        <f>EXP(5.70827-(0.68367*LN(+V12)))</f>
        <v>15.895806691226504</v>
      </c>
      <c r="X12" s="95">
        <f>(+W12*V12)/100</f>
        <v>11.75695348913224</v>
      </c>
      <c r="Y12" s="94">
        <f>100*((((X12/100)-((X12/100)-0.03574)*$E$21)-0.03574-0.00619)/0.344)</f>
        <v>13.900434019846742</v>
      </c>
      <c r="Z12" s="87">
        <f>$E$20</f>
        <v>0.25</v>
      </c>
      <c r="AA12" s="94">
        <f>Y12+Z12</f>
        <v>14.150434019846742</v>
      </c>
      <c r="AB12" s="94">
        <f>100*($E$17*$E$19+($E$18*(AA12/100))/(1-$E$21))</f>
        <v>14.984030927133402</v>
      </c>
      <c r="AC12" s="95">
        <f>AB12/V12</f>
        <v>0.20258926710328587</v>
      </c>
      <c r="AD12" s="93">
        <f>$E$8/(1-AC12)</f>
        <v>1011635.1027203107</v>
      </c>
      <c r="AE12" s="87" t="str">
        <f>IF(AD12=AD6,"yes","not yet")</f>
        <v>not yet</v>
      </c>
      <c r="AF12" s="94">
        <f>100*(1-AC12)</f>
        <v>79.74107328967142</v>
      </c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</row>
    <row r="13" spans="1:147" ht="12.75">
      <c r="A13" s="86"/>
      <c r="B13" s="89"/>
      <c r="C13" s="87"/>
      <c r="D13" s="87"/>
      <c r="E13" s="87"/>
      <c r="F13" s="87"/>
      <c r="G13" s="87"/>
      <c r="H13" s="87"/>
      <c r="I13" s="87"/>
      <c r="J13" s="89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94">
        <f>100*(+AD7/$E$9)</f>
        <v>73.71264891072664</v>
      </c>
      <c r="W13" s="99">
        <f>EXP(5.6985-(0.68367*LN(V13)))</f>
        <v>15.777734859728348</v>
      </c>
      <c r="X13" s="95">
        <f>(+W13*V13)/100</f>
        <v>11.630186303216885</v>
      </c>
      <c r="Y13" s="94">
        <f>100*((((X13/100)-((X13/100)-0.03574)*$E$21)-0.03574-0.00619)/0.344)</f>
        <v>13.65721790733472</v>
      </c>
      <c r="Z13" s="87">
        <f>$E$20</f>
        <v>0.25</v>
      </c>
      <c r="AA13" s="94">
        <f>Y13+Z13</f>
        <v>13.90721790733472</v>
      </c>
      <c r="AB13" s="94">
        <f>100*($E$17*$E$19+($E$18*(AA13/100))/(1-$E$21))</f>
        <v>14.762925370304291</v>
      </c>
      <c r="AC13" s="95">
        <f>AB13/V13</f>
        <v>0.20027669047931873</v>
      </c>
      <c r="AD13" s="93">
        <f>$E$8/(1-AC13)</f>
        <v>1008709.7363308556</v>
      </c>
      <c r="AE13" s="87" t="str">
        <f>IF(AD13=AD7,"yes","not yet")</f>
        <v>not yet</v>
      </c>
      <c r="AF13" s="94">
        <f>100*(1-AC13)</f>
        <v>79.97233095206812</v>
      </c>
      <c r="AG13" s="87"/>
      <c r="AH13" s="87"/>
      <c r="AI13" s="87"/>
      <c r="AJ13" s="87">
        <v>1</v>
      </c>
      <c r="AK13" s="87">
        <v>2</v>
      </c>
      <c r="AL13" s="87">
        <v>3</v>
      </c>
      <c r="AM13" s="87">
        <v>4</v>
      </c>
      <c r="AN13" s="87">
        <v>5</v>
      </c>
      <c r="AO13" s="87">
        <v>6</v>
      </c>
      <c r="AP13" s="87">
        <v>7</v>
      </c>
      <c r="AQ13" s="87">
        <v>8</v>
      </c>
      <c r="AR13" s="87">
        <v>9</v>
      </c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</row>
    <row r="14" spans="1:147" ht="12.75">
      <c r="A14" s="86"/>
      <c r="B14" s="89"/>
      <c r="C14" s="91" t="s">
        <v>89</v>
      </c>
      <c r="D14" s="87"/>
      <c r="E14" s="87"/>
      <c r="F14" s="87"/>
      <c r="G14" s="87"/>
      <c r="H14" s="87"/>
      <c r="I14" s="87"/>
      <c r="J14" s="89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94">
        <f>100*(+AD8/$E$9)</f>
        <v>73.55364069868574</v>
      </c>
      <c r="W14" s="99">
        <f>EXP(5.6922-(0.68367*LN(V14)))</f>
        <v>15.70181203967685</v>
      </c>
      <c r="X14" s="95">
        <f>(+W14*V14)/100</f>
        <v>11.54925441084689</v>
      </c>
      <c r="Y14" s="94">
        <f>100*((((X14/100)-((X14/100)-0.03574)*$E$21)-0.03574-0.00619)/0.344)</f>
        <v>13.501941602206244</v>
      </c>
      <c r="Z14" s="87">
        <f>$E$20</f>
        <v>0.25</v>
      </c>
      <c r="AA14" s="94">
        <f>Y14+Z14</f>
        <v>13.751941602206244</v>
      </c>
      <c r="AB14" s="94">
        <f>100*($E$17*$E$19+($E$18*(AA14/100))/(1-$E$21))</f>
        <v>14.621765092914767</v>
      </c>
      <c r="AC14" s="95">
        <f>AB14/V14</f>
        <v>0.19879050110943086</v>
      </c>
      <c r="AD14" s="93">
        <f>$E$8/(1-AC14)</f>
        <v>1006838.6480705278</v>
      </c>
      <c r="AE14" s="87" t="str">
        <f>IF(AD14=AD8,"yes","not yet")</f>
        <v>not yet</v>
      </c>
      <c r="AF14" s="94">
        <f>100*(1-AC14)</f>
        <v>80.12094988905692</v>
      </c>
      <c r="AG14" s="87"/>
      <c r="AH14" s="87"/>
      <c r="AI14" s="87"/>
      <c r="AJ14" s="87" t="str">
        <f>AE5</f>
        <v>not yet</v>
      </c>
      <c r="AK14" s="87" t="str">
        <f>AE11</f>
        <v>not yet</v>
      </c>
      <c r="AL14" s="87" t="str">
        <f>AE17</f>
        <v>not yet</v>
      </c>
      <c r="AM14" s="87" t="str">
        <f>AE23</f>
        <v>not yet</v>
      </c>
      <c r="AN14" s="87" t="str">
        <f>AE29</f>
        <v>not yet</v>
      </c>
      <c r="AO14" s="87" t="str">
        <f>AE35</f>
        <v>not yet</v>
      </c>
      <c r="AP14" s="87" t="str">
        <f>AE41</f>
        <v>yes</v>
      </c>
      <c r="AQ14" s="87" t="str">
        <f>AE47</f>
        <v>not yet</v>
      </c>
      <c r="AR14" s="87" t="str">
        <f>AE53</f>
        <v>yes</v>
      </c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</row>
    <row r="15" spans="1:147" ht="12.75">
      <c r="A15" s="86"/>
      <c r="B15" s="89"/>
      <c r="C15" s="91" t="s">
        <v>90</v>
      </c>
      <c r="D15" s="87"/>
      <c r="E15" s="97" t="s">
        <v>66</v>
      </c>
      <c r="F15" s="91" t="s">
        <v>91</v>
      </c>
      <c r="G15" s="87"/>
      <c r="H15" s="94">
        <f>HLOOKUP($AJ$25,$AJ$19:$AR$23,($E$12)+1)</f>
        <v>79.7355886645012</v>
      </c>
      <c r="I15" s="91" t="s">
        <v>68</v>
      </c>
      <c r="J15" s="86"/>
      <c r="K15" s="100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94"/>
      <c r="AB15" s="87"/>
      <c r="AC15" s="87"/>
      <c r="AD15" s="87"/>
      <c r="AE15" s="87"/>
      <c r="AF15" s="87"/>
      <c r="AG15" s="87"/>
      <c r="AH15" s="87"/>
      <c r="AI15" s="87"/>
      <c r="AJ15" s="87" t="str">
        <f>AE6</f>
        <v>not yet</v>
      </c>
      <c r="AK15" s="87" t="str">
        <f>AE12</f>
        <v>not yet</v>
      </c>
      <c r="AL15" s="87" t="str">
        <f>AE18</f>
        <v>not yet</v>
      </c>
      <c r="AM15" s="87" t="str">
        <f>AE24</f>
        <v>not yet</v>
      </c>
      <c r="AN15" s="87" t="str">
        <f>AE30</f>
        <v>not yet</v>
      </c>
      <c r="AO15" s="87" t="str">
        <f>AE36</f>
        <v>not yet</v>
      </c>
      <c r="AP15" s="87" t="str">
        <f>AE42</f>
        <v>yes</v>
      </c>
      <c r="AQ15" s="87" t="str">
        <f>AE48</f>
        <v>yes</v>
      </c>
      <c r="AR15" s="87" t="str">
        <f>AE54</f>
        <v>yes</v>
      </c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</row>
    <row r="16" spans="1:147" ht="12.75">
      <c r="A16" s="86"/>
      <c r="B16" s="89"/>
      <c r="C16" s="101"/>
      <c r="D16" s="101"/>
      <c r="E16" s="102"/>
      <c r="F16" s="87"/>
      <c r="G16" s="87"/>
      <c r="H16" s="101"/>
      <c r="I16" s="89"/>
      <c r="J16" s="86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91" t="s">
        <v>93</v>
      </c>
      <c r="W16" s="98" t="s">
        <v>27</v>
      </c>
      <c r="X16" s="98" t="s">
        <v>58</v>
      </c>
      <c r="Y16" s="98" t="s">
        <v>59</v>
      </c>
      <c r="Z16" s="87"/>
      <c r="AA16" s="94"/>
      <c r="AB16" s="87"/>
      <c r="AC16" s="87"/>
      <c r="AD16" s="87"/>
      <c r="AE16" s="87"/>
      <c r="AF16" s="87"/>
      <c r="AG16" s="87"/>
      <c r="AH16" s="87"/>
      <c r="AI16" s="87"/>
      <c r="AJ16" s="87" t="str">
        <f>AE7</f>
        <v>not yet</v>
      </c>
      <c r="AK16" s="87" t="str">
        <f>AE13</f>
        <v>not yet</v>
      </c>
      <c r="AL16" s="87" t="str">
        <f>AE19</f>
        <v>not yet</v>
      </c>
      <c r="AM16" s="87" t="str">
        <f>AE25</f>
        <v>not yet</v>
      </c>
      <c r="AN16" s="87" t="str">
        <f>AE31</f>
        <v>not yet</v>
      </c>
      <c r="AO16" s="87" t="str">
        <f>AE37</f>
        <v>not yet</v>
      </c>
      <c r="AP16" s="87" t="str">
        <f>AE43</f>
        <v>yes</v>
      </c>
      <c r="AQ16" s="87" t="str">
        <f>AE49</f>
        <v>yes</v>
      </c>
      <c r="AR16" s="87" t="str">
        <f>AE55</f>
        <v>yes</v>
      </c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</row>
    <row r="17" spans="1:147" ht="12.75">
      <c r="A17" s="86"/>
      <c r="B17" s="97" t="s">
        <v>74</v>
      </c>
      <c r="C17" s="91" t="s">
        <v>94</v>
      </c>
      <c r="D17" s="87"/>
      <c r="E17" s="92">
        <v>0.4</v>
      </c>
      <c r="F17" s="91" t="s">
        <v>95</v>
      </c>
      <c r="G17" s="87"/>
      <c r="H17" s="87"/>
      <c r="I17" s="89"/>
      <c r="J17" s="86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94">
        <f>100*(+AD11/$E$9)</f>
        <v>74.23956206940541</v>
      </c>
      <c r="W17" s="99">
        <f>EXP(5.7226-(0.68367*LN(+V17)))</f>
        <v>16.084082693583984</v>
      </c>
      <c r="X17" s="95">
        <f>(+W17*V17)/100</f>
        <v>11.940752554597776</v>
      </c>
      <c r="Y17" s="94">
        <f>100*((((X17/100)-((X17/100)-0.03574)*$E$21)-0.03574-0.00619)/0.344)</f>
        <v>14.25307176172829</v>
      </c>
      <c r="Z17" s="87">
        <f>$E$20</f>
        <v>0.25</v>
      </c>
      <c r="AA17" s="94">
        <f>Y17+Z17</f>
        <v>14.50307176172829</v>
      </c>
      <c r="AB17" s="94">
        <f>100*($E$17*$E$19+($E$18*(AA17/100))/(1-$E$21))</f>
        <v>15.304610692480264</v>
      </c>
      <c r="AC17" s="95">
        <f>AB17/V17</f>
        <v>0.2061516833595034</v>
      </c>
      <c r="AD17" s="93">
        <f>$E$8/(1-AC17)</f>
        <v>1016174.8431968573</v>
      </c>
      <c r="AE17" s="87" t="str">
        <f>IF(AD17=AD11,"yes","not yet")</f>
        <v>not yet</v>
      </c>
      <c r="AF17" s="94">
        <f>100*(1-AC17)</f>
        <v>79.38483166404966</v>
      </c>
      <c r="AG17" s="87"/>
      <c r="AH17" s="87"/>
      <c r="AI17" s="87"/>
      <c r="AJ17" s="87" t="str">
        <f>AE8</f>
        <v>not yet</v>
      </c>
      <c r="AK17" s="87" t="str">
        <f>AE14</f>
        <v>not yet</v>
      </c>
      <c r="AL17" s="87" t="str">
        <f>AE20</f>
        <v>not yet</v>
      </c>
      <c r="AM17" s="87" t="str">
        <f>AE26</f>
        <v>not yet</v>
      </c>
      <c r="AN17" s="87" t="str">
        <f>AE32</f>
        <v>not yet</v>
      </c>
      <c r="AO17" s="87" t="str">
        <f>AE38</f>
        <v>not yet</v>
      </c>
      <c r="AP17" s="87" t="str">
        <f>AE44</f>
        <v>yes</v>
      </c>
      <c r="AQ17" s="87" t="str">
        <f>AE50</f>
        <v>yes</v>
      </c>
      <c r="AR17" s="87" t="str">
        <f>AE56</f>
        <v>yes</v>
      </c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</row>
    <row r="18" spans="1:147" ht="12.75">
      <c r="A18" s="86"/>
      <c r="B18" s="97" t="s">
        <v>74</v>
      </c>
      <c r="C18" s="91" t="s">
        <v>96</v>
      </c>
      <c r="D18" s="87"/>
      <c r="E18" s="92">
        <v>0.6</v>
      </c>
      <c r="F18" s="91" t="s">
        <v>97</v>
      </c>
      <c r="G18" s="87"/>
      <c r="H18" s="103">
        <v>0.015</v>
      </c>
      <c r="I18" s="91" t="s">
        <v>74</v>
      </c>
      <c r="J18" s="86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94">
        <f>100*(+AD12/$E$9)</f>
        <v>73.92220525175149</v>
      </c>
      <c r="W18" s="99">
        <f>EXP(5.70827-(0.68367*LN(+V18)))</f>
        <v>15.901746161042205</v>
      </c>
      <c r="X18" s="95">
        <f>(+W18*V18)/100</f>
        <v>11.754921435778133</v>
      </c>
      <c r="Y18" s="94">
        <f>100*((((X18/100)-((X18/100)-0.03574)*$E$21)-0.03574-0.00619)/0.344)</f>
        <v>13.89653531283014</v>
      </c>
      <c r="Z18" s="87">
        <f>$E$20</f>
        <v>0.25</v>
      </c>
      <c r="AA18" s="94">
        <f>Y18+Z18</f>
        <v>14.14653531283014</v>
      </c>
      <c r="AB18" s="94">
        <f>100*($E$17*$E$19+($E$18*(AA18/100))/(1-$E$21))</f>
        <v>14.980486648027401</v>
      </c>
      <c r="AC18" s="95">
        <f>AB18/V18</f>
        <v>0.20265205288464333</v>
      </c>
      <c r="AD18" s="93">
        <f>$E$8/(1-AC18)</f>
        <v>1011714.7621721257</v>
      </c>
      <c r="AE18" s="87" t="str">
        <f>IF(AD18=AD12,"yes","not yet")</f>
        <v>not yet</v>
      </c>
      <c r="AF18" s="94">
        <f>100*(1-AC18)</f>
        <v>79.73479471153566</v>
      </c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</row>
    <row r="19" spans="1:147" ht="12.75">
      <c r="A19" s="86"/>
      <c r="B19" s="97" t="s">
        <v>74</v>
      </c>
      <c r="C19" s="91" t="s">
        <v>98</v>
      </c>
      <c r="D19" s="87"/>
      <c r="E19" s="92">
        <v>0.053</v>
      </c>
      <c r="F19" s="91" t="s">
        <v>99</v>
      </c>
      <c r="G19" s="87"/>
      <c r="H19" s="103">
        <v>0.004</v>
      </c>
      <c r="I19" s="91" t="s">
        <v>74</v>
      </c>
      <c r="J19" s="86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94">
        <f>100*(+AD13/$E$9)</f>
        <v>73.7084428644081</v>
      </c>
      <c r="W19" s="99">
        <f>EXP(5.6985-(0.68367*LN(V19)))</f>
        <v>15.778350382424843</v>
      </c>
      <c r="X19" s="95">
        <f>(+W19*V19)/100</f>
        <v>11.629976376575733</v>
      </c>
      <c r="Y19" s="94">
        <f>100*((((X19/100)-((X19/100)-0.03574)*$E$21)-0.03574-0.00619)/0.344)</f>
        <v>13.656815141104605</v>
      </c>
      <c r="Z19" s="87">
        <f>$E$20</f>
        <v>0.25</v>
      </c>
      <c r="AA19" s="94">
        <f>Y19+Z19</f>
        <v>13.906815141104605</v>
      </c>
      <c r="AB19" s="94">
        <f>100*($E$17*$E$19+($E$18*(AA19/100))/(1-$E$21))</f>
        <v>14.762559219186006</v>
      </c>
      <c r="AC19" s="95">
        <f>AB19/V19</f>
        <v>0.200283151366293</v>
      </c>
      <c r="AD19" s="93">
        <f>$E$8/(1-AC19)</f>
        <v>1008717.8856647199</v>
      </c>
      <c r="AE19" s="87" t="str">
        <f>IF(AD19=AD13,"yes","not yet")</f>
        <v>not yet</v>
      </c>
      <c r="AF19" s="94">
        <f>100*(1-AC19)</f>
        <v>79.9716848633707</v>
      </c>
      <c r="AG19" s="87"/>
      <c r="AH19" s="87"/>
      <c r="AI19" s="87"/>
      <c r="AJ19" s="87" t="str">
        <f>HLOOKUP(1,$AJ$13:$AR$17,($E$12)+1)</f>
        <v>not yet</v>
      </c>
      <c r="AK19" s="87" t="str">
        <f>HLOOKUP(2,$AJ$13:$AR$17,($E$12)+1)</f>
        <v>not yet</v>
      </c>
      <c r="AL19" s="87" t="str">
        <f>HLOOKUP(3,$AJ$13:$AR$17,($E$12)+1)</f>
        <v>not yet</v>
      </c>
      <c r="AM19" s="87" t="str">
        <f>HLOOKUP(4,$AJ$13:$AR$17,($E$12)+1)</f>
        <v>not yet</v>
      </c>
      <c r="AN19" s="87" t="str">
        <f>HLOOKUP(5,$AJ$13:$AR$17,($E$12)+1)</f>
        <v>not yet</v>
      </c>
      <c r="AO19" s="87" t="str">
        <f>HLOOKUP(6,$AJ$13:$AR$17,($E$12)+1)</f>
        <v>not yet</v>
      </c>
      <c r="AP19" s="87" t="str">
        <f>HLOOKUP(7,$AJ$13:$AR$17,($E$12)+1)</f>
        <v>yes</v>
      </c>
      <c r="AQ19" s="87" t="str">
        <f>HLOOKUP(8,$AJ$13:$AR$17,($E$12)+1)</f>
        <v>yes</v>
      </c>
      <c r="AR19" s="87" t="str">
        <f>HLOOKUP(9,$AJ$13:$AR$17,($E$12)+1)</f>
        <v>yes</v>
      </c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</row>
    <row r="20" spans="1:147" ht="12.75">
      <c r="A20" s="86"/>
      <c r="B20" s="97" t="s">
        <v>74</v>
      </c>
      <c r="C20" s="91" t="s">
        <v>199</v>
      </c>
      <c r="D20" s="87"/>
      <c r="E20" s="104">
        <v>0.25</v>
      </c>
      <c r="F20" s="91" t="s">
        <v>200</v>
      </c>
      <c r="G20" s="87"/>
      <c r="H20" s="92">
        <v>0</v>
      </c>
      <c r="I20" s="91" t="s">
        <v>74</v>
      </c>
      <c r="J20" s="86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94">
        <f>100*(+AD14/$E$9)</f>
        <v>73.57171869375392</v>
      </c>
      <c r="W20" s="99">
        <f>EXP(5.6922-(0.68367*LN(V20)))</f>
        <v>15.69917417483603</v>
      </c>
      <c r="X20" s="95">
        <f>(+W20*V20)/100</f>
        <v>11.550152261152828</v>
      </c>
      <c r="Y20" s="94">
        <f>100*((((X20/100)-((X20/100)-0.03574)*$E$21)-0.03574-0.00619)/0.344)</f>
        <v>13.503664221979264</v>
      </c>
      <c r="Z20" s="87">
        <f>$E$20</f>
        <v>0.25</v>
      </c>
      <c r="AA20" s="94">
        <f>Y20+Z20</f>
        <v>13.753664221979264</v>
      </c>
      <c r="AB20" s="94">
        <f>100*($E$17*$E$19+($E$18*(AA20/100))/(1-$E$21))</f>
        <v>14.623331110890241</v>
      </c>
      <c r="AC20" s="95">
        <f>AB20/V20</f>
        <v>0.19876294003352854</v>
      </c>
      <c r="AD20" s="93">
        <f>$E$8/(1-AC20)</f>
        <v>1006804.0146795037</v>
      </c>
      <c r="AE20" s="87" t="str">
        <f>IF(AD20=AD14,"yes","not yet")</f>
        <v>not yet</v>
      </c>
      <c r="AF20" s="94">
        <f>100*(1-AC20)</f>
        <v>80.12370599664715</v>
      </c>
      <c r="AG20" s="87"/>
      <c r="AH20" s="87"/>
      <c r="AI20" s="87">
        <v>1</v>
      </c>
      <c r="AJ20" s="94">
        <f>AF5</f>
        <v>79.29631117859299</v>
      </c>
      <c r="AK20" s="94">
        <f>AF11</f>
        <v>79.40019879432</v>
      </c>
      <c r="AL20" s="94">
        <f>AF17</f>
        <v>79.38483166404966</v>
      </c>
      <c r="AM20" s="94">
        <f>AF23</f>
        <v>79.38710412595134</v>
      </c>
      <c r="AN20" s="94">
        <f>AF29</f>
        <v>79.38676806430087</v>
      </c>
      <c r="AO20" s="94">
        <f>AF35</f>
        <v>79.3868177622611</v>
      </c>
      <c r="AP20" s="94">
        <f>AF41</f>
        <v>79.38680555395413</v>
      </c>
      <c r="AQ20" s="94">
        <f>AF47</f>
        <v>79.38681710737814</v>
      </c>
      <c r="AR20" s="94">
        <f>AF53</f>
        <v>79.38680555395413</v>
      </c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</row>
    <row r="21" spans="1:147" ht="12.75">
      <c r="A21" s="86"/>
      <c r="B21" s="97" t="s">
        <v>74</v>
      </c>
      <c r="C21" s="91" t="s">
        <v>100</v>
      </c>
      <c r="D21" s="87"/>
      <c r="E21" s="104">
        <v>0.34</v>
      </c>
      <c r="F21" s="91" t="s">
        <v>101</v>
      </c>
      <c r="G21" s="87"/>
      <c r="H21" s="105">
        <v>0.004</v>
      </c>
      <c r="I21" s="91" t="s">
        <v>74</v>
      </c>
      <c r="J21" s="86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94"/>
      <c r="AB21" s="87"/>
      <c r="AC21" s="87"/>
      <c r="AD21" s="87"/>
      <c r="AE21" s="87"/>
      <c r="AF21" s="87"/>
      <c r="AG21" s="87"/>
      <c r="AH21" s="87"/>
      <c r="AI21" s="87">
        <v>2</v>
      </c>
      <c r="AJ21" s="94">
        <f>AF6</f>
        <v>79.69751198434787</v>
      </c>
      <c r="AK21" s="94">
        <f>AF12</f>
        <v>79.74107328967142</v>
      </c>
      <c r="AL21" s="94">
        <f>AF18</f>
        <v>79.73479471153566</v>
      </c>
      <c r="AM21" s="94">
        <f>AF24</f>
        <v>79.73569954513262</v>
      </c>
      <c r="AN21" s="94">
        <f>AF30</f>
        <v>79.7355691432772</v>
      </c>
      <c r="AO21" s="94">
        <f>AF36</f>
        <v>79.73558793634685</v>
      </c>
      <c r="AP21" s="94">
        <f>AF42</f>
        <v>79.7355886645012</v>
      </c>
      <c r="AQ21" s="94">
        <f>AF48</f>
        <v>79.7355886645012</v>
      </c>
      <c r="AR21" s="94">
        <f>AF54</f>
        <v>79.7355886645012</v>
      </c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</row>
    <row r="22" spans="1:147" ht="12.75">
      <c r="A22" s="86"/>
      <c r="B22" s="89"/>
      <c r="C22" s="87"/>
      <c r="D22" s="87"/>
      <c r="E22" s="87"/>
      <c r="F22" s="87"/>
      <c r="G22" s="87"/>
      <c r="H22" s="101"/>
      <c r="I22" s="101"/>
      <c r="J22" s="89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91" t="s">
        <v>102</v>
      </c>
      <c r="W22" s="98" t="s">
        <v>27</v>
      </c>
      <c r="X22" s="98" t="s">
        <v>58</v>
      </c>
      <c r="Y22" s="98" t="s">
        <v>59</v>
      </c>
      <c r="Z22" s="87"/>
      <c r="AA22" s="94"/>
      <c r="AB22" s="87"/>
      <c r="AC22" s="87"/>
      <c r="AD22" s="87"/>
      <c r="AE22" s="87"/>
      <c r="AF22" s="87"/>
      <c r="AG22" s="87"/>
      <c r="AH22" s="87"/>
      <c r="AI22" s="87">
        <v>3</v>
      </c>
      <c r="AJ22" s="94">
        <f>AF7</f>
        <v>79.96776772807392</v>
      </c>
      <c r="AK22" s="94">
        <f>AF13</f>
        <v>79.97233095206812</v>
      </c>
      <c r="AL22" s="94">
        <f>AF19</f>
        <v>79.9716848633707</v>
      </c>
      <c r="AM22" s="94">
        <f>AF25</f>
        <v>79.9717763393166</v>
      </c>
      <c r="AN22" s="94">
        <f>AF31</f>
        <v>79.97176338774514</v>
      </c>
      <c r="AO22" s="94">
        <f>AF37</f>
        <v>79.9717652214858</v>
      </c>
      <c r="AP22" s="94">
        <f>AF43</f>
        <v>79.9717663978184</v>
      </c>
      <c r="AQ22" s="94">
        <f>AF49</f>
        <v>79.9717663978184</v>
      </c>
      <c r="AR22" s="94">
        <f>AF55</f>
        <v>79.9717663978184</v>
      </c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</row>
    <row r="23" spans="1:147" ht="12.75">
      <c r="A23" s="86"/>
      <c r="B23" s="89"/>
      <c r="C23" s="87"/>
      <c r="D23" s="87"/>
      <c r="E23" s="87"/>
      <c r="F23" s="91" t="s">
        <v>103</v>
      </c>
      <c r="G23" s="87"/>
      <c r="H23" s="92">
        <f>SUM(H18:H21)</f>
        <v>0.023</v>
      </c>
      <c r="I23" s="92"/>
      <c r="J23" s="89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94">
        <f>100*(+AD17/$E$9)</f>
        <v>74.253933190407</v>
      </c>
      <c r="W23" s="99">
        <f>EXP(5.7226-(0.68367*LN(+V23)))</f>
        <v>16.081954420763804</v>
      </c>
      <c r="X23" s="95">
        <f>(+W23*V23)/100</f>
        <v>11.94148369130566</v>
      </c>
      <c r="Y23" s="94">
        <f>100*((((X23/100)-((X23/100)-0.03574)*$E$21)-0.03574-0.00619)/0.344)</f>
        <v>14.254474524016675</v>
      </c>
      <c r="Z23" s="87">
        <f>$E$20</f>
        <v>0.25</v>
      </c>
      <c r="AA23" s="94">
        <f>Y23+Z23</f>
        <v>14.504474524016675</v>
      </c>
      <c r="AB23" s="94">
        <f>100*($E$17*$E$19+($E$18*(AA23/100))/(1-$E$21))</f>
        <v>15.305885930924251</v>
      </c>
      <c r="AC23" s="95">
        <f>AB23/V23</f>
        <v>0.2061289587404866</v>
      </c>
      <c r="AD23" s="93">
        <f>$E$8/(1-AC23)</f>
        <v>1016145.7551145795</v>
      </c>
      <c r="AE23" s="87" t="str">
        <f>IF(AD23=AD17,"yes","not yet")</f>
        <v>not yet</v>
      </c>
      <c r="AF23" s="94">
        <f>100*(1-AC23)</f>
        <v>79.38710412595134</v>
      </c>
      <c r="AG23" s="87"/>
      <c r="AH23" s="87"/>
      <c r="AI23" s="87">
        <v>4</v>
      </c>
      <c r="AJ23" s="94">
        <f>AF8</f>
        <v>80.14064199570443</v>
      </c>
      <c r="AK23" s="94">
        <f>AF14</f>
        <v>80.12094988905692</v>
      </c>
      <c r="AL23" s="94">
        <f>AF20</f>
        <v>80.12370599664715</v>
      </c>
      <c r="AM23" s="94">
        <f>AF26</f>
        <v>80.12332023025348</v>
      </c>
      <c r="AN23" s="94">
        <f>AF32</f>
        <v>80.12337422471603</v>
      </c>
      <c r="AO23" s="94">
        <f>AF38</f>
        <v>80.12336666727916</v>
      </c>
      <c r="AP23" s="94">
        <f>AF44</f>
        <v>80.12336462201279</v>
      </c>
      <c r="AQ23" s="94">
        <f>AF50</f>
        <v>80.12336462201279</v>
      </c>
      <c r="AR23" s="94">
        <f>AF56</f>
        <v>80.12336462201279</v>
      </c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</row>
    <row r="24" spans="1:147" ht="12.75">
      <c r="A24" s="86"/>
      <c r="B24" s="89"/>
      <c r="C24" s="87"/>
      <c r="D24" s="87"/>
      <c r="E24" s="87"/>
      <c r="F24" s="87"/>
      <c r="G24" s="87"/>
      <c r="H24" s="87"/>
      <c r="I24" s="87"/>
      <c r="J24" s="89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94">
        <f>100*(+AD18/$E$9)</f>
        <v>73.92802612761027</v>
      </c>
      <c r="W24" s="99">
        <f>EXP(5.70827-(0.68367*LN(+V24)))</f>
        <v>15.900890156686033</v>
      </c>
      <c r="X24" s="95">
        <f>(+W24*V24)/100</f>
        <v>11.75521422955746</v>
      </c>
      <c r="Y24" s="94">
        <f>100*((((X24/100)-((X24/100)-0.03574)*$E$21)-0.03574-0.00619)/0.344)</f>
        <v>13.897097068336983</v>
      </c>
      <c r="Z24" s="87">
        <f>$E$20</f>
        <v>0.25</v>
      </c>
      <c r="AA24" s="94">
        <f>Y24+Z24</f>
        <v>14.147097068336983</v>
      </c>
      <c r="AB24" s="94">
        <f>100*($E$17*$E$19+($E$18*(AA24/100))/(1-$E$21))</f>
        <v>14.980997334851805</v>
      </c>
      <c r="AC24" s="95">
        <f>AB24/V24</f>
        <v>0.20264300454867384</v>
      </c>
      <c r="AD24" s="93">
        <f>$E$8/(1-AC24)</f>
        <v>1011703.2813233645</v>
      </c>
      <c r="AE24" s="87" t="str">
        <f>IF(AD24=AD18,"yes","not yet")</f>
        <v>not yet</v>
      </c>
      <c r="AF24" s="94">
        <f>100*(1-AC24)</f>
        <v>79.73569954513262</v>
      </c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</row>
    <row r="25" spans="1:147" ht="12.75">
      <c r="A25" s="86"/>
      <c r="B25" s="89"/>
      <c r="C25" s="87"/>
      <c r="D25" s="87"/>
      <c r="E25" s="87"/>
      <c r="F25" s="91" t="s">
        <v>104</v>
      </c>
      <c r="G25" s="87"/>
      <c r="H25" s="95">
        <f>((+H15/100)-H23)</f>
        <v>0.7743558866450119</v>
      </c>
      <c r="I25" s="95"/>
      <c r="J25" s="89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94">
        <f>100*(+AD19/$E$9)</f>
        <v>73.7090383525727</v>
      </c>
      <c r="W25" s="99">
        <f>EXP(5.6985-(0.68367*LN(V25)))</f>
        <v>15.778263233694735</v>
      </c>
      <c r="X25" s="95">
        <f>(+W25*V25)/100</f>
        <v>11.630006098293931</v>
      </c>
      <c r="Y25" s="94">
        <f>100*((((X25/100)-((X25/100)-0.03574)*$E$21)-0.03574-0.00619)/0.344)</f>
        <v>13.656872165331379</v>
      </c>
      <c r="Z25" s="87">
        <f>$E$20</f>
        <v>0.25</v>
      </c>
      <c r="AA25" s="94">
        <f>Y25+Z25</f>
        <v>13.906872165331379</v>
      </c>
      <c r="AB25" s="94">
        <f>100*($E$17*$E$19+($E$18*(AA25/100))/(1-$E$21))</f>
        <v>14.762611059392164</v>
      </c>
      <c r="AC25" s="95">
        <f>AB25/V25</f>
        <v>0.20028223660683395</v>
      </c>
      <c r="AD25" s="93">
        <f>$E$8/(1-AC25)</f>
        <v>1008716.731839871</v>
      </c>
      <c r="AE25" s="87" t="str">
        <f>IF(AD25=AD19,"yes","not yet")</f>
        <v>not yet</v>
      </c>
      <c r="AF25" s="94">
        <f>100*(1-AC25)</f>
        <v>79.9717763393166</v>
      </c>
      <c r="AG25" s="87"/>
      <c r="AH25" s="87"/>
      <c r="AI25" s="87"/>
      <c r="AJ25" s="87" t="s">
        <v>105</v>
      </c>
      <c r="AK25" s="87"/>
      <c r="AL25" s="87"/>
      <c r="AM25" s="87"/>
      <c r="AN25" s="87"/>
      <c r="AO25" s="87"/>
      <c r="AP25" s="87"/>
      <c r="AQ25" s="87"/>
      <c r="AR25" s="87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</row>
    <row r="26" spans="1:147" ht="12.75">
      <c r="A26" s="86"/>
      <c r="B26" s="89"/>
      <c r="C26" s="87"/>
      <c r="D26" s="87"/>
      <c r="E26" s="87"/>
      <c r="F26" s="87"/>
      <c r="G26" s="87"/>
      <c r="H26" s="87"/>
      <c r="I26" s="87"/>
      <c r="J26" s="89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94">
        <f>100*(+AD20/$E$9)</f>
        <v>73.56918796243295</v>
      </c>
      <c r="W26" s="99">
        <f>EXP(5.6922-(0.68367*LN(V26)))</f>
        <v>15.699543382787478</v>
      </c>
      <c r="X26" s="95">
        <f>(+W26*V26)/100</f>
        <v>11.550026580526623</v>
      </c>
      <c r="Y26" s="94">
        <f>100*((((X26/100)-((X26/100)-0.03574)*$E$21)-0.03574-0.00619)/0.344)</f>
        <v>13.503423090545267</v>
      </c>
      <c r="Z26" s="87">
        <f>$E$20</f>
        <v>0.25</v>
      </c>
      <c r="AA26" s="94">
        <f>Y26+Z26</f>
        <v>13.753423090545267</v>
      </c>
      <c r="AB26" s="94">
        <f>100*($E$17*$E$19+($E$18*(AA26/100))/(1-$E$21))</f>
        <v>14.623111900495697</v>
      </c>
      <c r="AC26" s="95">
        <f>AB26/V26</f>
        <v>0.19876679769746514</v>
      </c>
      <c r="AD26" s="93">
        <f>$E$8/(1-AC26)</f>
        <v>1006808.8620966196</v>
      </c>
      <c r="AE26" s="87" t="str">
        <f>IF(AD26=AD20,"yes","not yet")</f>
        <v>not yet</v>
      </c>
      <c r="AF26" s="94">
        <f>100*(1-AC26)</f>
        <v>80.12332023025348</v>
      </c>
      <c r="AG26" s="87"/>
      <c r="AH26" s="87"/>
      <c r="AI26" s="87"/>
      <c r="AJ26" s="94">
        <f>HLOOKUP($AJ$25,$AJ$19:$AR$23,($E$12)+1)</f>
        <v>79.7355886645012</v>
      </c>
      <c r="AK26" s="87"/>
      <c r="AL26" s="87"/>
      <c r="AM26" s="87"/>
      <c r="AN26" s="87"/>
      <c r="AO26" s="87"/>
      <c r="AP26" s="87"/>
      <c r="AQ26" s="87"/>
      <c r="AR26" s="87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</row>
    <row r="27" spans="1:147" ht="12.75">
      <c r="A27" s="86"/>
      <c r="B27" s="89"/>
      <c r="C27" s="87"/>
      <c r="D27" s="87"/>
      <c r="E27" s="93"/>
      <c r="F27" s="87"/>
      <c r="G27" s="87"/>
      <c r="H27" s="87"/>
      <c r="I27" s="87"/>
      <c r="J27" s="89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94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</row>
    <row r="28" spans="1:147" ht="12.75">
      <c r="A28" s="86"/>
      <c r="B28" s="89"/>
      <c r="C28" s="89"/>
      <c r="D28" s="89" t="s">
        <v>0</v>
      </c>
      <c r="E28" s="90" t="s">
        <v>0</v>
      </c>
      <c r="F28" s="89"/>
      <c r="G28" s="89" t="s">
        <v>0</v>
      </c>
      <c r="H28" s="89"/>
      <c r="I28" s="89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91" t="s">
        <v>106</v>
      </c>
      <c r="W28" s="98" t="s">
        <v>27</v>
      </c>
      <c r="X28" s="98" t="s">
        <v>58</v>
      </c>
      <c r="Y28" s="98" t="s">
        <v>59</v>
      </c>
      <c r="Z28" s="87"/>
      <c r="AA28" s="94"/>
      <c r="AB28" s="87"/>
      <c r="AC28" s="87"/>
      <c r="AD28" s="87"/>
      <c r="AE28" s="87"/>
      <c r="AF28" s="87"/>
      <c r="AG28" s="87"/>
      <c r="AH28" s="87"/>
      <c r="AI28" s="87"/>
      <c r="AJ28" s="87" t="str">
        <f>HLOOKUP(1,$AJ$13:$AR$17,($E$12)+1)</f>
        <v>not yet</v>
      </c>
      <c r="AK28" s="87" t="str">
        <f>HLOOKUP(2,$AJ$13:$AR$17,($E$12)+1)</f>
        <v>not yet</v>
      </c>
      <c r="AL28" s="87" t="str">
        <f>HLOOKUP(3,$AJ$13:$AR$17,($E$12)+1)</f>
        <v>not yet</v>
      </c>
      <c r="AM28" s="87" t="str">
        <f>HLOOKUP(4,$AJ$13:$AR$17,($E$12)+1)</f>
        <v>not yet</v>
      </c>
      <c r="AN28" s="87" t="str">
        <f>HLOOKUP(5,$AJ$13:$AR$17,($E$12)+1)</f>
        <v>not yet</v>
      </c>
      <c r="AO28" s="87" t="str">
        <f>HLOOKUP(6,$AJ$13:$AR$17,($E$12)+1)</f>
        <v>not yet</v>
      </c>
      <c r="AP28" s="87" t="str">
        <f>HLOOKUP(7,$AJ$13:$AR$17,($E$12)+1)</f>
        <v>yes</v>
      </c>
      <c r="AQ28" s="87" t="str">
        <f>HLOOKUP(8,$AJ$13:$AR$17,($E$12)+1)</f>
        <v>yes</v>
      </c>
      <c r="AR28" s="87" t="str">
        <f>HLOOKUP(9,$AJ$13:$AR$17,($E$12)+1)</f>
        <v>yes</v>
      </c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</row>
    <row r="29" spans="1:147" ht="12.75">
      <c r="A29" s="86"/>
      <c r="B29" s="87"/>
      <c r="C29" s="87"/>
      <c r="D29" s="87" t="s">
        <v>0</v>
      </c>
      <c r="E29" s="93" t="s">
        <v>0</v>
      </c>
      <c r="F29" s="87"/>
      <c r="G29" s="87" t="s">
        <v>0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94">
        <f>100*(+AD23/$E$9)</f>
        <v>74.25180766591428</v>
      </c>
      <c r="W29" s="99">
        <f>EXP(5.7226-(0.68367*LN(+V29)))</f>
        <v>16.082269153897894</v>
      </c>
      <c r="X29" s="95">
        <f>(+W29*V29)/100</f>
        <v>11.941375560466925</v>
      </c>
      <c r="Y29" s="94">
        <f>100*((((X29/100)-((X29/100)-0.03574)*$E$21)-0.03574-0.00619)/0.344)</f>
        <v>14.254267063686543</v>
      </c>
      <c r="Z29" s="87">
        <f>$E$20</f>
        <v>0.25</v>
      </c>
      <c r="AA29" s="94">
        <f>Y29+Z29</f>
        <v>14.504267063686543</v>
      </c>
      <c r="AB29" s="94">
        <f>100*($E$17*$E$19+($E$18*(AA29/100))/(1-$E$21))</f>
        <v>15.305697330624133</v>
      </c>
      <c r="AC29" s="95">
        <f>AB29/V29</f>
        <v>0.20613231935699122</v>
      </c>
      <c r="AD29" s="93">
        <f>$E$8/(1-AC29)</f>
        <v>1016150.0566830637</v>
      </c>
      <c r="AE29" s="87" t="str">
        <f>IF(AD29=AD23,"yes","not yet")</f>
        <v>not yet</v>
      </c>
      <c r="AF29" s="94">
        <f>100*(1-AC29)</f>
        <v>79.38676806430087</v>
      </c>
      <c r="AG29" s="87"/>
      <c r="AH29" s="87"/>
      <c r="AI29" s="87">
        <v>1</v>
      </c>
      <c r="AJ29" s="94">
        <f>V5</f>
        <v>73.68294983392562</v>
      </c>
      <c r="AK29" s="94">
        <f>V11</f>
        <v>74.33682474129236</v>
      </c>
      <c r="AL29" s="94">
        <f>V17</f>
        <v>74.23956206940541</v>
      </c>
      <c r="AM29" s="94">
        <f>V23</f>
        <v>74.253933190407</v>
      </c>
      <c r="AN29" s="94">
        <f>V29</f>
        <v>74.25180766591428</v>
      </c>
      <c r="AO29" s="94">
        <f>V35</f>
        <v>74.25212199014794</v>
      </c>
      <c r="AP29" s="94">
        <f>V41</f>
        <v>74.25204477619786</v>
      </c>
      <c r="AQ29" s="94">
        <f>V47</f>
        <v>74.25211784820283</v>
      </c>
      <c r="AR29" s="94">
        <f>V53</f>
        <v>74.25204477619786</v>
      </c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</row>
    <row r="30" spans="1:147" ht="12.75">
      <c r="A30" s="86"/>
      <c r="B30" s="87"/>
      <c r="C30" s="87"/>
      <c r="D30" s="87" t="s">
        <v>0</v>
      </c>
      <c r="E30" s="93" t="s">
        <v>0</v>
      </c>
      <c r="F30" s="87"/>
      <c r="G30" s="87" t="s">
        <v>0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94">
        <f>100*(+AD24/$E$9)</f>
        <v>73.92718719897255</v>
      </c>
      <c r="W30" s="99">
        <f>EXP(5.70827-(0.68367*LN(+V30)))</f>
        <v>15.901013520565549</v>
      </c>
      <c r="X30" s="95">
        <f>(+W30*V30)/100</f>
        <v>11.755172031882427</v>
      </c>
      <c r="Y30" s="94">
        <f>100*((((X30/100)-((X30/100)-0.03574)*$E$21)-0.03574-0.00619)/0.344)</f>
        <v>13.897016107681399</v>
      </c>
      <c r="Z30" s="87">
        <f>$E$20</f>
        <v>0.25</v>
      </c>
      <c r="AA30" s="94">
        <f>Y30+Z30</f>
        <v>14.147016107681399</v>
      </c>
      <c r="AB30" s="94">
        <f>100*($E$17*$E$19+($E$18*(AA30/100))/(1-$E$21))</f>
        <v>14.980923734255816</v>
      </c>
      <c r="AC30" s="95">
        <f>AB30/V30</f>
        <v>0.20264430856722793</v>
      </c>
      <c r="AD30" s="93">
        <f>$E$8/(1-AC30)</f>
        <v>1011704.9358921652</v>
      </c>
      <c r="AE30" s="87" t="str">
        <f>IF(AD30=AD24,"yes","not yet")</f>
        <v>not yet</v>
      </c>
      <c r="AF30" s="94">
        <f>100*(1-AC30)</f>
        <v>79.7355691432772</v>
      </c>
      <c r="AG30" s="87"/>
      <c r="AH30" s="87"/>
      <c r="AI30" s="87">
        <v>2</v>
      </c>
      <c r="AJ30" s="94">
        <f>V6</f>
        <v>73.68294983392562</v>
      </c>
      <c r="AK30" s="94">
        <f>V12</f>
        <v>73.96260987258574</v>
      </c>
      <c r="AL30" s="94">
        <f>V18</f>
        <v>73.92220525175149</v>
      </c>
      <c r="AM30" s="94">
        <f>V24</f>
        <v>73.92802612761027</v>
      </c>
      <c r="AN30" s="94">
        <f>V30</f>
        <v>73.92718719897255</v>
      </c>
      <c r="AO30" s="94">
        <f>V36</f>
        <v>73.92730810163218</v>
      </c>
      <c r="AP30" s="94">
        <f>V42</f>
        <v>73.9273127861202</v>
      </c>
      <c r="AQ30" s="94">
        <f>V48</f>
        <v>73.9273127861202</v>
      </c>
      <c r="AR30" s="94">
        <f>V54</f>
        <v>73.9273127861202</v>
      </c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</row>
    <row r="31" spans="1:147" ht="12.75">
      <c r="A31" s="86"/>
      <c r="B31" s="87"/>
      <c r="C31" s="87"/>
      <c r="D31" s="87" t="s">
        <v>0</v>
      </c>
      <c r="E31" s="93" t="s">
        <v>0</v>
      </c>
      <c r="F31" s="87"/>
      <c r="G31" s="87" t="s">
        <v>0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94">
        <f>100*(+AD25/$E$9)</f>
        <v>73.70895404027763</v>
      </c>
      <c r="W31" s="99">
        <f>EXP(5.6985-(0.68367*LN(V31)))</f>
        <v>15.778275572590774</v>
      </c>
      <c r="X31" s="95">
        <f>(+W31*V31)/100</f>
        <v>11.630001890149286</v>
      </c>
      <c r="Y31" s="94">
        <f>100*((((X31/100)-((X31/100)-0.03574)*$E$21)-0.03574-0.00619)/0.344)</f>
        <v>13.65686409156549</v>
      </c>
      <c r="Z31" s="87">
        <f>$E$20</f>
        <v>0.25</v>
      </c>
      <c r="AA31" s="94">
        <f>Y31+Z31</f>
        <v>13.90686409156549</v>
      </c>
      <c r="AB31" s="94">
        <f>100*($E$17*$E$19+($E$18*(AA31/100))/(1-$E$21))</f>
        <v>14.762603719604991</v>
      </c>
      <c r="AC31" s="95">
        <f>AB31/V31</f>
        <v>0.20028236612254857</v>
      </c>
      <c r="AD31" s="93">
        <f>$E$8/(1-AC31)</f>
        <v>1008716.8952033669</v>
      </c>
      <c r="AE31" s="87" t="str">
        <f>IF(AD31=AD25,"yes","not yet")</f>
        <v>not yet</v>
      </c>
      <c r="AF31" s="94">
        <f>100*(1-AC31)</f>
        <v>79.97176338774514</v>
      </c>
      <c r="AG31" s="87"/>
      <c r="AH31" s="87"/>
      <c r="AI31" s="87">
        <v>3</v>
      </c>
      <c r="AJ31" s="94">
        <f>V7</f>
        <v>73.68294983392562</v>
      </c>
      <c r="AK31" s="94">
        <f>V13</f>
        <v>73.71264891072664</v>
      </c>
      <c r="AL31" s="94">
        <f>V19</f>
        <v>73.7084428644081</v>
      </c>
      <c r="AM31" s="94">
        <f>V25</f>
        <v>73.7090383525727</v>
      </c>
      <c r="AN31" s="94">
        <f>V31</f>
        <v>73.70895404027763</v>
      </c>
      <c r="AO31" s="94">
        <f>V37</f>
        <v>73.7089659775758</v>
      </c>
      <c r="AP31" s="94">
        <f>V43</f>
        <v>73.7089736352759</v>
      </c>
      <c r="AQ31" s="94">
        <f>V49</f>
        <v>73.7089736352759</v>
      </c>
      <c r="AR31" s="94">
        <f>V55</f>
        <v>73.7089736352759</v>
      </c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</row>
    <row r="32" spans="1:147" ht="12.75">
      <c r="A32" s="86"/>
      <c r="B32" s="87"/>
      <c r="C32" s="87"/>
      <c r="D32" s="87"/>
      <c r="E32" s="93" t="s">
        <v>0</v>
      </c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94">
        <f>100*(+AD26/$E$9)</f>
        <v>73.5695421729205</v>
      </c>
      <c r="W32" s="99">
        <f>EXP(5.6922-(0.68367*LN(V32)))</f>
        <v>15.699491705794172</v>
      </c>
      <c r="X32" s="95">
        <f>(+W32*V32)/100</f>
        <v>11.550044171428402</v>
      </c>
      <c r="Y32" s="94">
        <f>100*((((X32/100)-((X32/100)-0.03574)*$E$21)-0.03574-0.00619)/0.344)</f>
        <v>13.503456840531236</v>
      </c>
      <c r="Z32" s="87">
        <f>$E$20</f>
        <v>0.25</v>
      </c>
      <c r="AA32" s="94">
        <f>Y32+Z32</f>
        <v>13.753456840531236</v>
      </c>
      <c r="AB32" s="94">
        <f>100*($E$17*$E$19+($E$18*(AA32/100))/(1-$E$21))</f>
        <v>14.623142582301126</v>
      </c>
      <c r="AC32" s="95">
        <f>AB32/V32</f>
        <v>0.19876625775283968</v>
      </c>
      <c r="AD32" s="93">
        <f>$E$8/(1-AC32)</f>
        <v>1006808.1836166639</v>
      </c>
      <c r="AE32" s="87" t="str">
        <f>IF(AD32=AD26,"yes","not yet")</f>
        <v>not yet</v>
      </c>
      <c r="AF32" s="94">
        <f>100*(1-AC32)</f>
        <v>80.12337422471603</v>
      </c>
      <c r="AG32" s="87"/>
      <c r="AH32" s="87"/>
      <c r="AI32" s="87">
        <v>4</v>
      </c>
      <c r="AJ32" s="94">
        <f>V8</f>
        <v>73.68294983392562</v>
      </c>
      <c r="AK32" s="94">
        <f>V14</f>
        <v>73.55364069868574</v>
      </c>
      <c r="AL32" s="94">
        <f>V20</f>
        <v>73.57171869375392</v>
      </c>
      <c r="AM32" s="94">
        <f>V26</f>
        <v>73.56918796243295</v>
      </c>
      <c r="AN32" s="94">
        <f>V32</f>
        <v>73.5695421729205</v>
      </c>
      <c r="AO32" s="94">
        <f>V38</f>
        <v>73.56949259502983</v>
      </c>
      <c r="AP32" s="94">
        <f>V44</f>
        <v>73.56947917779205</v>
      </c>
      <c r="AQ32" s="94">
        <f>V50</f>
        <v>73.56947917779205</v>
      </c>
      <c r="AR32" s="94">
        <f>V56</f>
        <v>73.56947917779205</v>
      </c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</row>
    <row r="33" spans="1:147" ht="12.75">
      <c r="A33" s="86"/>
      <c r="B33" s="87"/>
      <c r="C33" s="87"/>
      <c r="D33" s="87"/>
      <c r="E33" s="93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94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</row>
    <row r="34" spans="1:147" ht="12.75">
      <c r="A34" s="86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91" t="s">
        <v>107</v>
      </c>
      <c r="W34" s="98" t="s">
        <v>27</v>
      </c>
      <c r="X34" s="98" t="s">
        <v>58</v>
      </c>
      <c r="Y34" s="98" t="s">
        <v>59</v>
      </c>
      <c r="Z34" s="87"/>
      <c r="AA34" s="94"/>
      <c r="AB34" s="87"/>
      <c r="AC34" s="87"/>
      <c r="AD34" s="87"/>
      <c r="AE34" s="87"/>
      <c r="AF34" s="87"/>
      <c r="AG34" s="87"/>
      <c r="AH34" s="87"/>
      <c r="AI34" s="87"/>
      <c r="AJ34" s="87" t="s">
        <v>105</v>
      </c>
      <c r="AK34" s="87"/>
      <c r="AL34" s="87"/>
      <c r="AM34" s="87"/>
      <c r="AN34" s="87"/>
      <c r="AO34" s="87"/>
      <c r="AP34" s="87"/>
      <c r="AQ34" s="87"/>
      <c r="AR34" s="87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</row>
    <row r="35" spans="1:147" ht="12.75">
      <c r="A35" s="86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94">
        <f>100*(+AD29/$E$9)</f>
        <v>74.25212199014794</v>
      </c>
      <c r="W35" s="99">
        <f>EXP(5.7226-(0.68367*LN(+V35)))</f>
        <v>16.08222260995876</v>
      </c>
      <c r="X35" s="95">
        <f>(+W35*V35)/100</f>
        <v>11.941391551073732</v>
      </c>
      <c r="Y35" s="94">
        <f>100*((((X35/100)-((X35/100)-0.03574)*$E$21)-0.03574-0.00619)/0.344)</f>
        <v>14.254297743339134</v>
      </c>
      <c r="Z35" s="87">
        <f>$E$20</f>
        <v>0.25</v>
      </c>
      <c r="AA35" s="94">
        <f>Y35+Z35</f>
        <v>14.504297743339134</v>
      </c>
      <c r="AB35" s="94">
        <f>100*($E$17*$E$19+($E$18*(AA35/100))/(1-$E$21))</f>
        <v>15.305725221217395</v>
      </c>
      <c r="AC35" s="95">
        <f>AB35/V35</f>
        <v>0.206131822377389</v>
      </c>
      <c r="AD35" s="93">
        <f>ROUND($E$8/(1-AC35),0)</f>
        <v>1016149</v>
      </c>
      <c r="AE35" s="87" t="str">
        <f>IF(AD35=AD29,"yes","not yet")</f>
        <v>not yet</v>
      </c>
      <c r="AF35" s="94">
        <f>100*(1-AC35)</f>
        <v>79.3868177622611</v>
      </c>
      <c r="AG35" s="87"/>
      <c r="AH35" s="87"/>
      <c r="AI35" s="87"/>
      <c r="AJ35" s="94">
        <f>HLOOKUP($AJ$34,$AJ$28:$AR$32,($E$12)+1)</f>
        <v>73.9273127861202</v>
      </c>
      <c r="AK35" s="87"/>
      <c r="AL35" s="87"/>
      <c r="AM35" s="87"/>
      <c r="AN35" s="87"/>
      <c r="AO35" s="87"/>
      <c r="AP35" s="87"/>
      <c r="AQ35" s="87"/>
      <c r="AR35" s="87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</row>
    <row r="36" spans="1:147" ht="12.75">
      <c r="A36" s="86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94">
        <f>100*(+AD30/$E$9)</f>
        <v>73.92730810163218</v>
      </c>
      <c r="W36" s="99">
        <f>EXP(5.70827-(0.68367*LN(+V36)))</f>
        <v>15.900995741767186</v>
      </c>
      <c r="X36" s="95">
        <f>(+W36*V36)/100</f>
        <v>11.755178113243641</v>
      </c>
      <c r="Y36" s="94">
        <f>100*((((X36/100)-((X36/100)-0.03574)*$E$21)-0.03574-0.00619)/0.344)</f>
        <v>13.89702777540931</v>
      </c>
      <c r="Z36" s="87">
        <f>$E$20</f>
        <v>0.25</v>
      </c>
      <c r="AA36" s="94">
        <f>Y36+Z36</f>
        <v>14.14702777540931</v>
      </c>
      <c r="AB36" s="94">
        <f>100*($E$17*$E$19+($E$18*(AA36/100))/(1-$E$21))</f>
        <v>14.980934341281193</v>
      </c>
      <c r="AC36" s="95">
        <f>AB36/V36</f>
        <v>0.20264412063653162</v>
      </c>
      <c r="AD36" s="93">
        <f>ROUND($E$8/(1-AC36),0)</f>
        <v>1011705</v>
      </c>
      <c r="AE36" s="87" t="str">
        <f>IF(AD36=AD30,"yes","not yet")</f>
        <v>not yet</v>
      </c>
      <c r="AF36" s="94">
        <f>100*(1-AC36)</f>
        <v>79.73558793634685</v>
      </c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</row>
    <row r="37" spans="1:147" ht="12.75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94">
        <f>100*(+AD31/$E$9)</f>
        <v>73.7089659775758</v>
      </c>
      <c r="W37" s="99">
        <f>EXP(5.6985-(0.68367*LN(V37)))</f>
        <v>15.778273825595235</v>
      </c>
      <c r="X37" s="95">
        <f>(+W37*V37)/100</f>
        <v>11.63000248595674</v>
      </c>
      <c r="Y37" s="94">
        <f>100*((((X37/100)-((X37/100)-0.03574)*$E$21)-0.03574-0.00619)/0.344)</f>
        <v>13.656865234684442</v>
      </c>
      <c r="Z37" s="87">
        <f>$E$20</f>
        <v>0.25</v>
      </c>
      <c r="AA37" s="94">
        <f>Y37+Z37</f>
        <v>13.906865234684442</v>
      </c>
      <c r="AB37" s="94">
        <f>100*($E$17*$E$19+($E$18*(AA37/100))/(1-$E$21))</f>
        <v>14.76260475880404</v>
      </c>
      <c r="AC37" s="95">
        <f>AB37/V37</f>
        <v>0.20028234778514206</v>
      </c>
      <c r="AD37" s="93">
        <f>ROUND($E$8/(1-AC37),0)</f>
        <v>1008717</v>
      </c>
      <c r="AE37" s="87" t="str">
        <f>IF(AD37=AD31,"yes","not yet")</f>
        <v>not yet</v>
      </c>
      <c r="AF37" s="94">
        <f>100*(1-AC37)</f>
        <v>79.9717652214858</v>
      </c>
      <c r="AG37" s="87"/>
      <c r="AH37" s="87"/>
      <c r="AI37" s="87"/>
      <c r="AJ37" s="87" t="str">
        <f>HLOOKUP(1,$AJ$13:$AR$17,($E$12)+1)</f>
        <v>not yet</v>
      </c>
      <c r="AK37" s="87" t="str">
        <f>HLOOKUP(2,$AJ$13:$AR$17,($E$12)+1)</f>
        <v>not yet</v>
      </c>
      <c r="AL37" s="87" t="str">
        <f>HLOOKUP(3,$AJ$13:$AR$17,($E$12)+1)</f>
        <v>not yet</v>
      </c>
      <c r="AM37" s="87" t="str">
        <f>HLOOKUP(4,$AJ$13:$AR$17,($E$12)+1)</f>
        <v>not yet</v>
      </c>
      <c r="AN37" s="87" t="str">
        <f>HLOOKUP(5,$AJ$13:$AR$17,($E$12)+1)</f>
        <v>not yet</v>
      </c>
      <c r="AO37" s="87" t="str">
        <f>HLOOKUP(6,$AJ$13:$AR$17,($E$12)+1)</f>
        <v>not yet</v>
      </c>
      <c r="AP37" s="87" t="str">
        <f>HLOOKUP(7,$AJ$13:$AR$17,($E$12)+1)</f>
        <v>yes</v>
      </c>
      <c r="AQ37" s="87" t="str">
        <f>HLOOKUP(8,$AJ$13:$AR$17,($E$12)+1)</f>
        <v>yes</v>
      </c>
      <c r="AR37" s="87" t="str">
        <f>HLOOKUP(9,$AJ$13:$AR$17,($E$12)+1)</f>
        <v>yes</v>
      </c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</row>
    <row r="38" spans="1:147" ht="12.75">
      <c r="A38" s="86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94">
        <f>100*(+AD32/$E$9)</f>
        <v>73.56949259502983</v>
      </c>
      <c r="W38" s="99">
        <f>EXP(5.6922-(0.68367*LN(V38)))</f>
        <v>15.699498938858927</v>
      </c>
      <c r="X38" s="95">
        <f>(+W38*V38)/100</f>
        <v>11.550041709280604</v>
      </c>
      <c r="Y38" s="94">
        <f>100*((((X38/100)-((X38/100)-0.03574)*$E$21)-0.03574-0.00619)/0.344)</f>
        <v>13.503452116643022</v>
      </c>
      <c r="Z38" s="87">
        <f>$E$20</f>
        <v>0.25</v>
      </c>
      <c r="AA38" s="94">
        <f>Y38+Z38</f>
        <v>13.753452116643022</v>
      </c>
      <c r="AB38" s="94">
        <f>100*($E$17*$E$19+($E$18*(AA38/100))/(1-$E$21))</f>
        <v>14.623138287857293</v>
      </c>
      <c r="AC38" s="95">
        <f>AB38/V38</f>
        <v>0.19876633332720844</v>
      </c>
      <c r="AD38" s="93">
        <f>ROUND($E$8/(1-AC38),0)</f>
        <v>1006808</v>
      </c>
      <c r="AE38" s="87" t="str">
        <f>IF(AD38=AD32,"yes","not yet")</f>
        <v>not yet</v>
      </c>
      <c r="AF38" s="94">
        <f>100*(1-AC38)</f>
        <v>80.12336666727916</v>
      </c>
      <c r="AG38" s="87"/>
      <c r="AH38" s="87"/>
      <c r="AI38" s="87">
        <v>1</v>
      </c>
      <c r="AJ38" s="93">
        <f>AD5</f>
        <v>1017309.2249744162</v>
      </c>
      <c r="AK38" s="93">
        <f>AD11</f>
        <v>1015978.1725155493</v>
      </c>
      <c r="AL38" s="93">
        <f>AD17</f>
        <v>1016174.8431968573</v>
      </c>
      <c r="AM38" s="93">
        <f>AD23</f>
        <v>1016145.7551145795</v>
      </c>
      <c r="AN38" s="93">
        <f>AD29</f>
        <v>1016150.0566830637</v>
      </c>
      <c r="AO38" s="93">
        <f>AD35</f>
        <v>1016149</v>
      </c>
      <c r="AP38" s="93">
        <f>AD41</f>
        <v>1016150</v>
      </c>
      <c r="AQ38" s="93">
        <f>AD47</f>
        <v>1016149</v>
      </c>
      <c r="AR38" s="93">
        <f>AD53</f>
        <v>1016150</v>
      </c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</row>
    <row r="39" spans="1:147" ht="12.75">
      <c r="A39" s="86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94"/>
      <c r="AB39" s="87"/>
      <c r="AC39" s="87"/>
      <c r="AD39" s="87"/>
      <c r="AE39" s="87"/>
      <c r="AF39" s="87"/>
      <c r="AG39" s="87"/>
      <c r="AH39" s="87"/>
      <c r="AI39" s="87">
        <v>2</v>
      </c>
      <c r="AJ39" s="93">
        <f>AD6</f>
        <v>1012188.0452713188</v>
      </c>
      <c r="AK39" s="93">
        <f>AD12</f>
        <v>1011635.1027203107</v>
      </c>
      <c r="AL39" s="93">
        <f>AD18</f>
        <v>1011714.7621721257</v>
      </c>
      <c r="AM39" s="93">
        <f>AD24</f>
        <v>1011703.2813233645</v>
      </c>
      <c r="AN39" s="93">
        <f>AD30</f>
        <v>1011704.9358921652</v>
      </c>
      <c r="AO39" s="93">
        <f>AD36</f>
        <v>1011705</v>
      </c>
      <c r="AP39" s="93">
        <f>AD42</f>
        <v>1011705</v>
      </c>
      <c r="AQ39" s="93">
        <f>AD48</f>
        <v>1011705</v>
      </c>
      <c r="AR39" s="93">
        <f>AD54</f>
        <v>1011705</v>
      </c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</row>
    <row r="40" spans="1:147" ht="12.75">
      <c r="A40" s="86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91" t="s">
        <v>108</v>
      </c>
      <c r="W40" s="98" t="s">
        <v>27</v>
      </c>
      <c r="X40" s="98" t="s">
        <v>58</v>
      </c>
      <c r="Y40" s="98" t="s">
        <v>59</v>
      </c>
      <c r="Z40" s="87"/>
      <c r="AA40" s="94"/>
      <c r="AB40" s="87"/>
      <c r="AC40" s="87"/>
      <c r="AD40" s="87"/>
      <c r="AE40" s="87"/>
      <c r="AF40" s="87"/>
      <c r="AG40" s="87"/>
      <c r="AH40" s="87"/>
      <c r="AI40" s="87">
        <v>3</v>
      </c>
      <c r="AJ40" s="93">
        <f>AD7</f>
        <v>1008767.2966279952</v>
      </c>
      <c r="AK40" s="93">
        <f>AD13</f>
        <v>1008709.7363308556</v>
      </c>
      <c r="AL40" s="93">
        <f>AD19</f>
        <v>1008717.8856647199</v>
      </c>
      <c r="AM40" s="93">
        <f>AD25</f>
        <v>1008716.731839871</v>
      </c>
      <c r="AN40" s="93">
        <f>AD31</f>
        <v>1008716.8952033669</v>
      </c>
      <c r="AO40" s="93">
        <f>AD37</f>
        <v>1008717</v>
      </c>
      <c r="AP40" s="93">
        <f>AD43</f>
        <v>1008717</v>
      </c>
      <c r="AQ40" s="93">
        <f>AD49</f>
        <v>1008717</v>
      </c>
      <c r="AR40" s="93">
        <f>AD55</f>
        <v>1008717</v>
      </c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</row>
    <row r="41" spans="1:147" ht="12.75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94">
        <f>100*(+AD35/$E$9)</f>
        <v>74.25204477619786</v>
      </c>
      <c r="W41" s="99">
        <f>EXP(5.7226-(0.68367*LN(+V41)))</f>
        <v>16.082234043476596</v>
      </c>
      <c r="X41" s="95">
        <f>(+W41*V41)/100</f>
        <v>11.941387622975178</v>
      </c>
      <c r="Y41" s="94">
        <f>100*((((X41/100)-((X41/100)-0.03574)*$E$21)-0.03574-0.00619)/0.344)</f>
        <v>14.254290206870978</v>
      </c>
      <c r="Z41" s="87">
        <f>$E$20</f>
        <v>0.25</v>
      </c>
      <c r="AA41" s="94">
        <f>Y41+Z41</f>
        <v>14.504290206870978</v>
      </c>
      <c r="AB41" s="94">
        <f>100*($E$17*$E$19+($E$18*(AA41/100))/(1-$E$21))</f>
        <v>15.30571836988271</v>
      </c>
      <c r="AC41" s="95">
        <f>AB41/V41</f>
        <v>0.20613194446045868</v>
      </c>
      <c r="AD41" s="93">
        <f>ROUND($E$8/(1-AC41),0)</f>
        <v>1016150</v>
      </c>
      <c r="AE41" s="87" t="str">
        <f>IF(OR(OR(AD41=AD35,AD41=(AD35+1)),AD41=(AD27-1)),"yes","not yet")</f>
        <v>yes</v>
      </c>
      <c r="AF41" s="94">
        <f>100*(1-AC41)</f>
        <v>79.38680555395413</v>
      </c>
      <c r="AG41" s="87"/>
      <c r="AH41" s="87"/>
      <c r="AI41" s="87">
        <v>4</v>
      </c>
      <c r="AJ41" s="93">
        <f>AD8</f>
        <v>1006591.2483300102</v>
      </c>
      <c r="AK41" s="93">
        <f>AD14</f>
        <v>1006838.6480705278</v>
      </c>
      <c r="AL41" s="93">
        <f>AD20</f>
        <v>1006804.0146795037</v>
      </c>
      <c r="AM41" s="93">
        <f>AD26</f>
        <v>1006808.8620966196</v>
      </c>
      <c r="AN41" s="93">
        <f>AD32</f>
        <v>1006808.1836166639</v>
      </c>
      <c r="AO41" s="93">
        <f>AD38</f>
        <v>1006808</v>
      </c>
      <c r="AP41" s="93">
        <f>AD44</f>
        <v>1006808</v>
      </c>
      <c r="AQ41" s="93">
        <f>AD50</f>
        <v>1006808</v>
      </c>
      <c r="AR41" s="93">
        <f>AD56</f>
        <v>1006808</v>
      </c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</row>
    <row r="42" spans="1:147" ht="12.75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94">
        <f>100*(+AD36/$E$9)</f>
        <v>73.9273127861202</v>
      </c>
      <c r="W42" s="99">
        <f>EXP(5.70827-(0.68367*LN(+V42)))</f>
        <v>15.900995052911796</v>
      </c>
      <c r="X42" s="95">
        <f>(+W42*V42)/100</f>
        <v>11.755178348871603</v>
      </c>
      <c r="Y42" s="94">
        <f>100*((((X42/100)-((X42/100)-0.03574)*$E$21)-0.03574-0.00619)/0.344)</f>
        <v>13.897028227486215</v>
      </c>
      <c r="Z42" s="87">
        <f>$E$20</f>
        <v>0.25</v>
      </c>
      <c r="AA42" s="94">
        <f>Y42+Z42</f>
        <v>14.147028227486215</v>
      </c>
      <c r="AB42" s="94">
        <f>100*($E$17*$E$19+($E$18*(AA42/100))/(1-$E$21))</f>
        <v>14.980934752260197</v>
      </c>
      <c r="AC42" s="95">
        <f>AB42/V42</f>
        <v>0.20264411335498803</v>
      </c>
      <c r="AD42" s="93">
        <f>ROUND($E$8/(1-AC42),0)</f>
        <v>1011705</v>
      </c>
      <c r="AE42" s="87" t="str">
        <f>IF(OR(OR(AD42=AD36,AD42=(AD36+5)),AD42=(AD28-5)),"yes","not yet")</f>
        <v>yes</v>
      </c>
      <c r="AF42" s="94">
        <f>100*(1-AC42)</f>
        <v>79.7355886645012</v>
      </c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</row>
    <row r="43" spans="1:147" ht="12.75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94">
        <f>100*(+AD37/$E$9)</f>
        <v>73.7089736352759</v>
      </c>
      <c r="W43" s="99">
        <f>EXP(5.6985-(0.68367*LN(V43)))</f>
        <v>15.778272704909076</v>
      </c>
      <c r="X43" s="95">
        <f>(+W43*V43)/100</f>
        <v>11.630002868163364</v>
      </c>
      <c r="Y43" s="94">
        <f>100*((((X43/100)-((X43/100)-0.03574)*$E$21)-0.03574-0.00619)/0.344)</f>
        <v>13.65686596798785</v>
      </c>
      <c r="Z43" s="87">
        <f>$E$20</f>
        <v>0.25</v>
      </c>
      <c r="AA43" s="94">
        <f>Y43+Z43</f>
        <v>13.90686596798785</v>
      </c>
      <c r="AB43" s="94">
        <f>100*($E$17*$E$19+($E$18*(AA43/100))/(1-$E$21))</f>
        <v>14.762605425443502</v>
      </c>
      <c r="AC43" s="95">
        <f>AB43/V43</f>
        <v>0.20028233602181597</v>
      </c>
      <c r="AD43" s="93">
        <f>ROUND($E$8/(1-AC43),0)</f>
        <v>1008717</v>
      </c>
      <c r="AE43" s="87" t="str">
        <f>IF(OR(OR(AD43=AD37,AD43=(AD37+5)),AD43=(AD29-5)),"yes","not yet")</f>
        <v>yes</v>
      </c>
      <c r="AF43" s="94">
        <f>100*(1-AC43)</f>
        <v>79.9717663978184</v>
      </c>
      <c r="AG43" s="87"/>
      <c r="AH43" s="87"/>
      <c r="AI43" s="87"/>
      <c r="AJ43" s="87" t="s">
        <v>105</v>
      </c>
      <c r="AK43" s="87"/>
      <c r="AL43" s="87"/>
      <c r="AM43" s="87"/>
      <c r="AN43" s="87"/>
      <c r="AO43" s="87"/>
      <c r="AP43" s="87"/>
      <c r="AQ43" s="87"/>
      <c r="AR43" s="87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</row>
    <row r="44" spans="1:147" ht="12.75">
      <c r="A44" s="86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94">
        <f>100*(+AD38/$E$9)</f>
        <v>73.56947917779205</v>
      </c>
      <c r="W44" s="99">
        <f>EXP(5.6922-(0.68367*LN(V44)))</f>
        <v>15.69950089634075</v>
      </c>
      <c r="X44" s="95">
        <f>(+W44*V44)/100</f>
        <v>11.550041042950683</v>
      </c>
      <c r="Y44" s="94">
        <f>100*((((X44/100)-((X44/100)-0.03574)*$E$21)-0.03574-0.00619)/0.344)</f>
        <v>13.503450838219337</v>
      </c>
      <c r="Z44" s="87">
        <f>$E$20</f>
        <v>0.25</v>
      </c>
      <c r="AA44" s="94">
        <f>Y44+Z44</f>
        <v>13.753450838219337</v>
      </c>
      <c r="AB44" s="94">
        <f>100*($E$17*$E$19+($E$18*(AA44/100))/(1-$E$21))</f>
        <v>14.623137125653942</v>
      </c>
      <c r="AC44" s="95">
        <f>AB44/V44</f>
        <v>0.198766353779872</v>
      </c>
      <c r="AD44" s="93">
        <f>ROUND($E$8/(1-AC44),0)</f>
        <v>1006808</v>
      </c>
      <c r="AE44" s="87" t="str">
        <f>IF(OR(OR(AD44=AD38,AD44=(AD38+5)),AD44=(AD30-5)),"yes","not yet")</f>
        <v>yes</v>
      </c>
      <c r="AF44" s="94">
        <f>100*(1-AC44)</f>
        <v>80.12336462201279</v>
      </c>
      <c r="AG44" s="87"/>
      <c r="AH44" s="87"/>
      <c r="AI44" s="87"/>
      <c r="AJ44" s="93">
        <f>HLOOKUP($AJ$34,$AJ$37:$AR$41,($E$12)+1)</f>
        <v>1011705</v>
      </c>
      <c r="AK44" s="87"/>
      <c r="AL44" s="87"/>
      <c r="AM44" s="87"/>
      <c r="AN44" s="87"/>
      <c r="AO44" s="87"/>
      <c r="AP44" s="87"/>
      <c r="AQ44" s="87"/>
      <c r="AR44" s="87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</row>
    <row r="45" spans="1:147" ht="12.75">
      <c r="A45" s="86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94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</row>
    <row r="46" spans="1:147" ht="12.75">
      <c r="A46" s="86"/>
      <c r="B46" s="87"/>
      <c r="C46" s="87"/>
      <c r="D46" s="93"/>
      <c r="E46" s="93"/>
      <c r="F46" s="93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91" t="s">
        <v>109</v>
      </c>
      <c r="W46" s="98" t="s">
        <v>27</v>
      </c>
      <c r="X46" s="98" t="s">
        <v>58</v>
      </c>
      <c r="Y46" s="98" t="s">
        <v>59</v>
      </c>
      <c r="Z46" s="87"/>
      <c r="AA46" s="94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</row>
    <row r="47" spans="1:147" ht="12.75">
      <c r="A47" s="86"/>
      <c r="B47" s="87"/>
      <c r="C47" s="87"/>
      <c r="D47" s="93"/>
      <c r="E47" s="93"/>
      <c r="F47" s="93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94">
        <f>100*(+AD41/$E$9)</f>
        <v>74.25211784820283</v>
      </c>
      <c r="W47" s="99">
        <f>EXP(5.7226-(0.68367*LN(+V47)))</f>
        <v>16.082223223280106</v>
      </c>
      <c r="X47" s="95">
        <f>(+W47*V47)/100</f>
        <v>11.941391340360987</v>
      </c>
      <c r="Y47" s="94">
        <f>100*((((X47/100)-((X47/100)-0.03574)*$E$21)-0.03574-0.00619)/0.344)</f>
        <v>14.254297339064683</v>
      </c>
      <c r="Z47" s="87">
        <f>$E$20</f>
        <v>0.25</v>
      </c>
      <c r="AA47" s="94">
        <f>Y47+Z47</f>
        <v>14.504297339064683</v>
      </c>
      <c r="AB47" s="94">
        <f>100*($E$17*$E$19+($E$18*(AA47/100))/(1-$E$21))</f>
        <v>15.305724853695168</v>
      </c>
      <c r="AC47" s="95">
        <f>AB47/V47</f>
        <v>0.2061318289262186</v>
      </c>
      <c r="AD47" s="93">
        <f>ROUND($E$8/(1-AC47),0)</f>
        <v>1016149</v>
      </c>
      <c r="AE47" s="87" t="str">
        <f>IF(OR(OR(AD47=AD41,AD47=(AD41+1)),AD47=(AD33-1)),"yes","not yet")</f>
        <v>not yet</v>
      </c>
      <c r="AF47" s="94">
        <f>100*(1-AC47)</f>
        <v>79.38681710737814</v>
      </c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</row>
    <row r="48" spans="1:147" ht="12.75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94">
        <f>100*(+AD42/$E$9)</f>
        <v>73.9273127861202</v>
      </c>
      <c r="W48" s="99">
        <f>EXP(5.70827-(0.68367*LN(+V48)))</f>
        <v>15.900995052911796</v>
      </c>
      <c r="X48" s="95">
        <f>(+W48*V48)/100</f>
        <v>11.755178348871603</v>
      </c>
      <c r="Y48" s="94">
        <f>100*((((X48/100)-((X48/100)-0.03574)*$E$21)-0.03574-0.00619)/0.344)</f>
        <v>13.897028227486215</v>
      </c>
      <c r="Z48" s="87">
        <f>$E$20</f>
        <v>0.25</v>
      </c>
      <c r="AA48" s="94">
        <f>Y48+Z48</f>
        <v>14.147028227486215</v>
      </c>
      <c r="AB48" s="94">
        <f>100*($E$17*$E$19+($E$18*(AA48/100))/(1-$E$21))</f>
        <v>14.980934752260197</v>
      </c>
      <c r="AC48" s="95">
        <f>AB48/V48</f>
        <v>0.20264411335498803</v>
      </c>
      <c r="AD48" s="93">
        <f>ROUND($E$8/(1-AC48),0)</f>
        <v>1011705</v>
      </c>
      <c r="AE48" s="87" t="str">
        <f>IF(OR(OR(AD48=AD42,AD48=(AD42+1)),AD48=(AD42-1)),"yes","not yet")</f>
        <v>yes</v>
      </c>
      <c r="AF48" s="94">
        <f>100*(1-AC48)</f>
        <v>79.7355886645012</v>
      </c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</row>
    <row r="49" spans="1:147" ht="12.75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94">
        <f>100*(+AD43/$E$9)</f>
        <v>73.7089736352759</v>
      </c>
      <c r="W49" s="99">
        <f>EXP(5.6985-(0.68367*LN(V49)))</f>
        <v>15.778272704909076</v>
      </c>
      <c r="X49" s="95">
        <f>(+W49*V49)/100</f>
        <v>11.630002868163364</v>
      </c>
      <c r="Y49" s="94">
        <f>100*((((X49/100)-((X49/100)-0.03574)*$E$21)-0.03574-0.00619)/0.344)</f>
        <v>13.65686596798785</v>
      </c>
      <c r="Z49" s="87">
        <f>$E$20</f>
        <v>0.25</v>
      </c>
      <c r="AA49" s="94">
        <f>Y49+Z49</f>
        <v>13.90686596798785</v>
      </c>
      <c r="AB49" s="94">
        <f>100*($E$17*$E$19+($E$18*(AA49/100))/(1-$E$21))</f>
        <v>14.762605425443502</v>
      </c>
      <c r="AC49" s="95">
        <f>AB49/V49</f>
        <v>0.20028233602181597</v>
      </c>
      <c r="AD49" s="93">
        <f>ROUND($E$8/(1-AC49),0)</f>
        <v>1008717</v>
      </c>
      <c r="AE49" s="87" t="str">
        <f>IF(OR(OR(AD49=AD43,AD49=(AD43+1)),AD49=(AD43-1)),"yes","not yet")</f>
        <v>yes</v>
      </c>
      <c r="AF49" s="94">
        <f>100*(1-AC49)</f>
        <v>79.9717663978184</v>
      </c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</row>
    <row r="50" spans="1:147" ht="12.75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94">
        <f>100*(+AD44/$E$9)</f>
        <v>73.56947917779205</v>
      </c>
      <c r="W50" s="99">
        <f>EXP(5.6922-(0.68367*LN(V50)))</f>
        <v>15.69950089634075</v>
      </c>
      <c r="X50" s="95">
        <f>(+W50*V50)/100</f>
        <v>11.550041042950683</v>
      </c>
      <c r="Y50" s="94">
        <f>100*((((X50/100)-((X50/100)-0.03574)*$E$21)-0.03574-0.00619)/0.344)</f>
        <v>13.503450838219337</v>
      </c>
      <c r="Z50" s="87">
        <f>$E$20</f>
        <v>0.25</v>
      </c>
      <c r="AA50" s="94">
        <f>Y50+Z50</f>
        <v>13.753450838219337</v>
      </c>
      <c r="AB50" s="94">
        <f>100*($E$17*$E$19+($E$18*(AA50/100))/(1-$E$21))</f>
        <v>14.623137125653942</v>
      </c>
      <c r="AC50" s="95">
        <f>AB50/V50</f>
        <v>0.198766353779872</v>
      </c>
      <c r="AD50" s="93">
        <f>ROUND($E$8/(1-AC50),0)</f>
        <v>1006808</v>
      </c>
      <c r="AE50" s="87" t="str">
        <f>IF(OR(OR(AD50=AD44,AD50=(AD44+1)),AD50=(AD44-1)),"yes","not yet")</f>
        <v>yes</v>
      </c>
      <c r="AF50" s="94">
        <f>100*(1-AC50)</f>
        <v>80.12336462201279</v>
      </c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</row>
    <row r="51" spans="1:147" ht="12.75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94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</row>
    <row r="52" spans="1:147" ht="12.75">
      <c r="A52" s="86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91" t="s">
        <v>110</v>
      </c>
      <c r="W52" s="98" t="s">
        <v>27</v>
      </c>
      <c r="X52" s="98" t="s">
        <v>58</v>
      </c>
      <c r="Y52" s="98" t="s">
        <v>59</v>
      </c>
      <c r="Z52" s="87"/>
      <c r="AA52" s="94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</row>
    <row r="53" spans="1:147" ht="12.75">
      <c r="A53" s="86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94">
        <f>100*(+AD47/$E$9)</f>
        <v>74.25204477619786</v>
      </c>
      <c r="W53" s="99">
        <f>EXP(5.7226-(0.68367*LN(+V53)))</f>
        <v>16.082234043476596</v>
      </c>
      <c r="X53" s="95">
        <f>(+W53*V53)/100</f>
        <v>11.941387622975178</v>
      </c>
      <c r="Y53" s="94">
        <f>100*((((X53/100)-((X53/100)-0.03574)*$E$21)-0.03574-0.00619)/0.344)</f>
        <v>14.254290206870978</v>
      </c>
      <c r="Z53" s="87">
        <f>$E$20</f>
        <v>0.25</v>
      </c>
      <c r="AA53" s="94">
        <f>Y53+Z53</f>
        <v>14.504290206870978</v>
      </c>
      <c r="AB53" s="94">
        <f>100*($E$17*$E$19+($E$18*(AA53/100))/(1-$E$21))</f>
        <v>15.30571836988271</v>
      </c>
      <c r="AC53" s="95">
        <f>AB53/V53</f>
        <v>0.20613194446045868</v>
      </c>
      <c r="AD53" s="93">
        <f>ROUND($E$8/(1-AC53),0)</f>
        <v>1016150</v>
      </c>
      <c r="AE53" s="87" t="str">
        <f>IF(OR(OR(AD53=AD47,AD53=(AD47+1)),AD53=(AD39-1)),"yes","not yet")</f>
        <v>yes</v>
      </c>
      <c r="AF53" s="94">
        <f>100*(1-AC53)</f>
        <v>79.38680555395413</v>
      </c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</row>
    <row r="54" spans="1:147" ht="12.75">
      <c r="A54" s="86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94">
        <f>100*(+AD48/$E$9)</f>
        <v>73.9273127861202</v>
      </c>
      <c r="W54" s="99">
        <f>EXP(5.70827-(0.68367*LN(+V54)))</f>
        <v>15.900995052911796</v>
      </c>
      <c r="X54" s="95">
        <f>(+W54*V54)/100</f>
        <v>11.755178348871603</v>
      </c>
      <c r="Y54" s="94">
        <f>100*((((X54/100)-((X54/100)-0.03574)*$E$21)-0.03574-0.00619)/0.344)</f>
        <v>13.897028227486215</v>
      </c>
      <c r="Z54" s="87">
        <f>$E$20</f>
        <v>0.25</v>
      </c>
      <c r="AA54" s="94">
        <f>Y54+Z54</f>
        <v>14.147028227486215</v>
      </c>
      <c r="AB54" s="94">
        <f>100*($E$17*$E$19+($E$18*(AA54/100))/(1-$E$21))</f>
        <v>14.980934752260197</v>
      </c>
      <c r="AC54" s="95">
        <f>AB54/V54</f>
        <v>0.20264411335498803</v>
      </c>
      <c r="AD54" s="93">
        <f>ROUND($E$8/(1-AC54),0)</f>
        <v>1011705</v>
      </c>
      <c r="AE54" s="87" t="str">
        <f>IF(OR(OR(AD54=AD48,AD54=(AD48+1)),AD54=(AD48-1)),"yes","not yet")</f>
        <v>yes</v>
      </c>
      <c r="AF54" s="94">
        <f>100*(1-AC54)</f>
        <v>79.7355886645012</v>
      </c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</row>
    <row r="55" spans="1:147" ht="12.75">
      <c r="A55" s="86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94">
        <f>100*(+AD49/$E$9)</f>
        <v>73.7089736352759</v>
      </c>
      <c r="W55" s="99">
        <f>EXP(5.6985-(0.68367*LN(V55)))</f>
        <v>15.778272704909076</v>
      </c>
      <c r="X55" s="95">
        <f>(+W55*V55)/100</f>
        <v>11.630002868163364</v>
      </c>
      <c r="Y55" s="94">
        <f>100*((((X55/100)-((X55/100)-0.03574)*$E$21)-0.03574-0.00619)/0.344)</f>
        <v>13.65686596798785</v>
      </c>
      <c r="Z55" s="87">
        <f>$E$20</f>
        <v>0.25</v>
      </c>
      <c r="AA55" s="94">
        <f>Y55+Z55</f>
        <v>13.90686596798785</v>
      </c>
      <c r="AB55" s="94">
        <f>100*($E$17*$E$19+($E$18*(AA55/100))/(1-$E$21))</f>
        <v>14.762605425443502</v>
      </c>
      <c r="AC55" s="95">
        <f>AB55/V55</f>
        <v>0.20028233602181597</v>
      </c>
      <c r="AD55" s="93">
        <f>ROUND($E$8/(1-AC55),0)</f>
        <v>1008717</v>
      </c>
      <c r="AE55" s="87" t="str">
        <f>IF(OR(OR(AD55=AD49,AD55=(AD49+1)),AD55=(AD49-1)),"yes","not yet")</f>
        <v>yes</v>
      </c>
      <c r="AF55" s="94">
        <f>100*(1-AC55)</f>
        <v>79.9717663978184</v>
      </c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</row>
    <row r="56" spans="1:147" ht="12.75">
      <c r="A56" s="86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94">
        <f>100*(+AD50/$E$9)</f>
        <v>73.56947917779205</v>
      </c>
      <c r="W56" s="99">
        <f>EXP(5.6922-(0.68367*LN(V56)))</f>
        <v>15.69950089634075</v>
      </c>
      <c r="X56" s="95">
        <f>(+W56*V56)/100</f>
        <v>11.550041042950683</v>
      </c>
      <c r="Y56" s="94">
        <f>100*((((X56/100)-((X56/100)-0.03574)*$E$21)-0.03574-0.00619)/0.344)</f>
        <v>13.503450838219337</v>
      </c>
      <c r="Z56" s="87">
        <f>$E$20</f>
        <v>0.25</v>
      </c>
      <c r="AA56" s="94">
        <f>Y56+Z56</f>
        <v>13.753450838219337</v>
      </c>
      <c r="AB56" s="94">
        <f>100*($E$17*$E$19+($E$18*(AA56/100))/(1-$E$21))</f>
        <v>14.623137125653942</v>
      </c>
      <c r="AC56" s="95">
        <f>AB56/V56</f>
        <v>0.198766353779872</v>
      </c>
      <c r="AD56" s="93">
        <f>ROUND($E$8/(1-AC56),0)</f>
        <v>1006808</v>
      </c>
      <c r="AE56" s="87" t="str">
        <f>IF(OR(OR(AD56=AD50,AD56=(AD50+1)),AD56=(AD50-1)),"yes","not yet")</f>
        <v>yes</v>
      </c>
      <c r="AF56" s="94">
        <f>100*(1-AC56)</f>
        <v>80.12336462201279</v>
      </c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</row>
    <row r="57" spans="1:147" ht="12.75">
      <c r="A57" s="86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94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</row>
    <row r="58" spans="1:147" ht="12.7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</row>
    <row r="59" spans="1:147" ht="12.7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</row>
    <row r="60" spans="1:147" ht="12.75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</row>
    <row r="61" spans="1:147" ht="12.75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</row>
    <row r="62" spans="1:147" ht="12.75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</row>
    <row r="63" spans="1:147" ht="12.7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</row>
    <row r="64" spans="1:147" ht="12.7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</row>
    <row r="65" spans="1:147" ht="12.7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</row>
    <row r="66" spans="1:147" ht="12.75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</row>
    <row r="67" spans="1:147" ht="12.75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</row>
    <row r="68" spans="1:147" ht="12.75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</row>
    <row r="69" spans="1:147" ht="12.75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</row>
    <row r="70" spans="1:147" ht="12.75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</row>
    <row r="71" spans="1:147" ht="12.75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</row>
    <row r="72" spans="1:147" ht="12.75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</row>
    <row r="73" spans="1:147" ht="12.75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</row>
    <row r="74" spans="1:147" ht="12.75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</row>
    <row r="75" spans="1:147" ht="12.75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</row>
    <row r="76" spans="1:147" ht="12.75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</row>
    <row r="77" spans="1:147" ht="12.75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</row>
    <row r="78" spans="1:147" ht="12.75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</row>
    <row r="79" spans="1:147" ht="12.75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</row>
    <row r="80" spans="1:147" ht="12.75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  <c r="DX80" s="86"/>
      <c r="DY80" s="86"/>
      <c r="DZ80" s="86"/>
      <c r="EA80" s="86"/>
      <c r="EB80" s="86"/>
      <c r="EC80" s="86"/>
      <c r="ED80" s="86"/>
      <c r="EE80" s="86"/>
      <c r="EF80" s="86"/>
      <c r="EG80" s="86"/>
      <c r="EH80" s="86"/>
      <c r="EI80" s="86"/>
      <c r="EJ80" s="86"/>
      <c r="EK80" s="86"/>
      <c r="EL80" s="86"/>
      <c r="EM80" s="86"/>
      <c r="EN80" s="86"/>
      <c r="EO80" s="86"/>
      <c r="EP80" s="86"/>
      <c r="EQ80" s="86"/>
    </row>
    <row r="81" spans="1:147" ht="12.75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6"/>
      <c r="DO81" s="86"/>
      <c r="DP81" s="86"/>
      <c r="DQ81" s="86"/>
      <c r="DR81" s="86"/>
      <c r="DS81" s="86"/>
      <c r="DT81" s="86"/>
      <c r="DU81" s="86"/>
      <c r="DV81" s="86"/>
      <c r="DW81" s="86"/>
      <c r="DX81" s="86"/>
      <c r="DY81" s="86"/>
      <c r="DZ81" s="86"/>
      <c r="EA81" s="86"/>
      <c r="EB81" s="86"/>
      <c r="EC81" s="86"/>
      <c r="ED81" s="86"/>
      <c r="EE81" s="86"/>
      <c r="EF81" s="86"/>
      <c r="EG81" s="86"/>
      <c r="EH81" s="86"/>
      <c r="EI81" s="86"/>
      <c r="EJ81" s="86"/>
      <c r="EK81" s="86"/>
      <c r="EL81" s="86"/>
      <c r="EM81" s="86"/>
      <c r="EN81" s="86"/>
      <c r="EO81" s="86"/>
      <c r="EP81" s="86"/>
      <c r="EQ81" s="86"/>
    </row>
    <row r="82" spans="1:147" ht="12.75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6"/>
      <c r="EA82" s="86"/>
      <c r="EB82" s="86"/>
      <c r="EC82" s="86"/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6"/>
      <c r="EP82" s="86"/>
      <c r="EQ82" s="86"/>
    </row>
    <row r="83" spans="1:147" ht="12.75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</row>
    <row r="84" spans="1:147" ht="12.75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6"/>
      <c r="EP84" s="86"/>
      <c r="EQ84" s="86"/>
    </row>
    <row r="85" spans="1:147" ht="12.75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</row>
    <row r="86" spans="1:147" ht="12.75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86"/>
      <c r="DS86" s="86"/>
      <c r="DT86" s="86"/>
      <c r="DU86" s="86"/>
      <c r="DV86" s="86"/>
      <c r="DW86" s="86"/>
      <c r="DX86" s="86"/>
      <c r="DY86" s="86"/>
      <c r="DZ86" s="86"/>
      <c r="EA86" s="86"/>
      <c r="EB86" s="86"/>
      <c r="EC86" s="86"/>
      <c r="ED86" s="86"/>
      <c r="EE86" s="86"/>
      <c r="EF86" s="86"/>
      <c r="EG86" s="86"/>
      <c r="EH86" s="86"/>
      <c r="EI86" s="86"/>
      <c r="EJ86" s="86"/>
      <c r="EK86" s="86"/>
      <c r="EL86" s="86"/>
      <c r="EM86" s="86"/>
      <c r="EN86" s="86"/>
      <c r="EO86" s="86"/>
      <c r="EP86" s="86"/>
      <c r="EQ86" s="86"/>
    </row>
    <row r="87" spans="1:147" ht="12.75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/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86"/>
      <c r="EF87" s="86"/>
      <c r="EG87" s="86"/>
      <c r="EH87" s="86"/>
      <c r="EI87" s="86"/>
      <c r="EJ87" s="86"/>
      <c r="EK87" s="86"/>
      <c r="EL87" s="86"/>
      <c r="EM87" s="86"/>
      <c r="EN87" s="86"/>
      <c r="EO87" s="86"/>
      <c r="EP87" s="86"/>
      <c r="EQ87" s="86"/>
    </row>
    <row r="88" spans="1:147" ht="12.75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</row>
    <row r="89" spans="1:147" ht="12.75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</row>
    <row r="90" spans="1:147" ht="12.75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</row>
    <row r="91" spans="1:147" ht="12.75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  <c r="DK91" s="86"/>
      <c r="DL91" s="86"/>
      <c r="DM91" s="86"/>
      <c r="DN91" s="86"/>
      <c r="DO91" s="86"/>
      <c r="DP91" s="86"/>
      <c r="DQ91" s="86"/>
      <c r="DR91" s="86"/>
      <c r="DS91" s="86"/>
      <c r="DT91" s="86"/>
      <c r="DU91" s="86"/>
      <c r="DV91" s="86"/>
      <c r="DW91" s="86"/>
      <c r="DX91" s="86"/>
      <c r="DY91" s="86"/>
      <c r="DZ91" s="86"/>
      <c r="EA91" s="86"/>
      <c r="EB91" s="86"/>
      <c r="EC91" s="86"/>
      <c r="ED91" s="86"/>
      <c r="EE91" s="86"/>
      <c r="EF91" s="86"/>
      <c r="EG91" s="86"/>
      <c r="EH91" s="86"/>
      <c r="EI91" s="86"/>
      <c r="EJ91" s="86"/>
      <c r="EK91" s="86"/>
      <c r="EL91" s="86"/>
      <c r="EM91" s="86"/>
      <c r="EN91" s="86"/>
      <c r="EO91" s="86"/>
      <c r="EP91" s="86"/>
      <c r="EQ91" s="86"/>
    </row>
    <row r="92" spans="1:147" ht="12.75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6"/>
      <c r="DQ92" s="86"/>
      <c r="DR92" s="86"/>
      <c r="DS92" s="86"/>
      <c r="DT92" s="86"/>
      <c r="DU92" s="86"/>
      <c r="DV92" s="86"/>
      <c r="DW92" s="86"/>
      <c r="DX92" s="86"/>
      <c r="DY92" s="86"/>
      <c r="DZ92" s="86"/>
      <c r="EA92" s="86"/>
      <c r="EB92" s="86"/>
      <c r="EC92" s="86"/>
      <c r="ED92" s="86"/>
      <c r="EE92" s="86"/>
      <c r="EF92" s="86"/>
      <c r="EG92" s="86"/>
      <c r="EH92" s="86"/>
      <c r="EI92" s="86"/>
      <c r="EJ92" s="86"/>
      <c r="EK92" s="86"/>
      <c r="EL92" s="86"/>
      <c r="EM92" s="86"/>
      <c r="EN92" s="86"/>
      <c r="EO92" s="86"/>
      <c r="EP92" s="86"/>
      <c r="EQ92" s="86"/>
    </row>
    <row r="93" spans="1:147" ht="12.75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6"/>
      <c r="DT93" s="86"/>
      <c r="DU93" s="86"/>
      <c r="DV93" s="86"/>
      <c r="DW93" s="86"/>
      <c r="DX93" s="86"/>
      <c r="DY93" s="86"/>
      <c r="DZ93" s="86"/>
      <c r="EA93" s="86"/>
      <c r="EB93" s="86"/>
      <c r="EC93" s="86"/>
      <c r="ED93" s="86"/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6"/>
      <c r="EP93" s="86"/>
      <c r="EQ93" s="86"/>
    </row>
    <row r="94" spans="1:147" ht="12.75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  <c r="EK94" s="86"/>
      <c r="EL94" s="86"/>
      <c r="EM94" s="86"/>
      <c r="EN94" s="86"/>
      <c r="EO94" s="86"/>
      <c r="EP94" s="86"/>
      <c r="EQ94" s="86"/>
    </row>
    <row r="95" spans="1:147" ht="12.75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 s="86"/>
      <c r="DU95" s="86"/>
      <c r="DV95" s="86"/>
      <c r="DW95" s="86"/>
      <c r="DX95" s="86"/>
      <c r="DY95" s="86"/>
      <c r="DZ95" s="86"/>
      <c r="EA95" s="86"/>
      <c r="EB95" s="86"/>
      <c r="EC95" s="86"/>
      <c r="ED95" s="86"/>
      <c r="EE95" s="86"/>
      <c r="EF95" s="86"/>
      <c r="EG95" s="86"/>
      <c r="EH95" s="86"/>
      <c r="EI95" s="86"/>
      <c r="EJ95" s="86"/>
      <c r="EK95" s="86"/>
      <c r="EL95" s="86"/>
      <c r="EM95" s="86"/>
      <c r="EN95" s="86"/>
      <c r="EO95" s="86"/>
      <c r="EP95" s="86"/>
      <c r="EQ95" s="86"/>
    </row>
    <row r="96" spans="1:147" ht="12.75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6"/>
      <c r="EI96" s="86"/>
      <c r="EJ96" s="86"/>
      <c r="EK96" s="86"/>
      <c r="EL96" s="86"/>
      <c r="EM96" s="86"/>
      <c r="EN96" s="86"/>
      <c r="EO96" s="86"/>
      <c r="EP96" s="86"/>
      <c r="EQ96" s="86"/>
    </row>
    <row r="97" spans="1:147" ht="12.75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6"/>
      <c r="DT97" s="86"/>
      <c r="DU97" s="86"/>
      <c r="DV97" s="86"/>
      <c r="DW97" s="86"/>
      <c r="DX97" s="86"/>
      <c r="DY97" s="86"/>
      <c r="DZ97" s="86"/>
      <c r="EA97" s="86"/>
      <c r="EB97" s="86"/>
      <c r="EC97" s="86"/>
      <c r="ED97" s="86"/>
      <c r="EE97" s="86"/>
      <c r="EF97" s="86"/>
      <c r="EG97" s="86"/>
      <c r="EH97" s="86"/>
      <c r="EI97" s="86"/>
      <c r="EJ97" s="86"/>
      <c r="EK97" s="86"/>
      <c r="EL97" s="86"/>
      <c r="EM97" s="86"/>
      <c r="EN97" s="86"/>
      <c r="EO97" s="86"/>
      <c r="EP97" s="86"/>
      <c r="EQ97" s="86"/>
    </row>
    <row r="98" spans="1:147" ht="12.75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  <c r="CG98" s="86"/>
      <c r="CH98" s="8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6"/>
      <c r="DR98" s="86"/>
      <c r="DS98" s="86"/>
      <c r="DT98" s="86"/>
      <c r="DU98" s="86"/>
      <c r="DV98" s="86"/>
      <c r="DW98" s="86"/>
      <c r="DX98" s="86"/>
      <c r="DY98" s="86"/>
      <c r="DZ98" s="86"/>
      <c r="EA98" s="86"/>
      <c r="EB98" s="86"/>
      <c r="EC98" s="86"/>
      <c r="ED98" s="86"/>
      <c r="EE98" s="86"/>
      <c r="EF98" s="86"/>
      <c r="EG98" s="86"/>
      <c r="EH98" s="86"/>
      <c r="EI98" s="86"/>
      <c r="EJ98" s="86"/>
      <c r="EK98" s="86"/>
      <c r="EL98" s="86"/>
      <c r="EM98" s="86"/>
      <c r="EN98" s="86"/>
      <c r="EO98" s="86"/>
      <c r="EP98" s="86"/>
      <c r="EQ98" s="86"/>
    </row>
    <row r="99" spans="1:147" ht="12.75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6"/>
      <c r="DF99" s="86"/>
      <c r="DG99" s="86"/>
      <c r="DH99" s="86"/>
      <c r="DI99" s="86"/>
      <c r="DJ99" s="86"/>
      <c r="DK99" s="86"/>
      <c r="DL99" s="86"/>
      <c r="DM99" s="86"/>
      <c r="DN99" s="86"/>
      <c r="DO99" s="86"/>
      <c r="DP99" s="86"/>
      <c r="DQ99" s="86"/>
      <c r="DR99" s="86"/>
      <c r="DS99" s="86"/>
      <c r="DT99" s="86"/>
      <c r="DU99" s="86"/>
      <c r="DV99" s="86"/>
      <c r="DW99" s="86"/>
      <c r="DX99" s="86"/>
      <c r="DY99" s="86"/>
      <c r="DZ99" s="86"/>
      <c r="EA99" s="86"/>
      <c r="EB99" s="86"/>
      <c r="EC99" s="86"/>
      <c r="ED99" s="86"/>
      <c r="EE99" s="86"/>
      <c r="EF99" s="86"/>
      <c r="EG99" s="86"/>
      <c r="EH99" s="86"/>
      <c r="EI99" s="86"/>
      <c r="EJ99" s="86"/>
      <c r="EK99" s="86"/>
      <c r="EL99" s="86"/>
      <c r="EM99" s="86"/>
      <c r="EN99" s="86"/>
      <c r="EO99" s="86"/>
      <c r="EP99" s="86"/>
      <c r="EQ99" s="86"/>
    </row>
    <row r="100" spans="1:147" ht="12.75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86"/>
      <c r="EF100" s="86"/>
      <c r="EG100" s="86"/>
      <c r="EH100" s="86"/>
      <c r="EI100" s="86"/>
      <c r="EJ100" s="86"/>
      <c r="EK100" s="86"/>
      <c r="EL100" s="86"/>
      <c r="EM100" s="86"/>
      <c r="EN100" s="86"/>
      <c r="EO100" s="86"/>
      <c r="EP100" s="86"/>
      <c r="EQ100" s="86"/>
    </row>
    <row r="101" spans="1:147" ht="12.75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6"/>
      <c r="EB101" s="86"/>
      <c r="EC101" s="86"/>
      <c r="ED101" s="86"/>
      <c r="EE101" s="86"/>
      <c r="EF101" s="86"/>
      <c r="EG101" s="86"/>
      <c r="EH101" s="86"/>
      <c r="EI101" s="86"/>
      <c r="EJ101" s="86"/>
      <c r="EK101" s="86"/>
      <c r="EL101" s="86"/>
      <c r="EM101" s="86"/>
      <c r="EN101" s="86"/>
      <c r="EO101" s="86"/>
      <c r="EP101" s="86"/>
      <c r="EQ101" s="86"/>
    </row>
    <row r="102" spans="1:147" ht="12.75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/>
      <c r="DY102" s="86"/>
      <c r="DZ102" s="86"/>
      <c r="EA102" s="86"/>
      <c r="EB102" s="86"/>
      <c r="EC102" s="86"/>
      <c r="ED102" s="86"/>
      <c r="EE102" s="86"/>
      <c r="EF102" s="86"/>
      <c r="EG102" s="86"/>
      <c r="EH102" s="86"/>
      <c r="EI102" s="86"/>
      <c r="EJ102" s="86"/>
      <c r="EK102" s="86"/>
      <c r="EL102" s="86"/>
      <c r="EM102" s="86"/>
      <c r="EN102" s="86"/>
      <c r="EO102" s="86"/>
      <c r="EP102" s="86"/>
      <c r="EQ102" s="86"/>
    </row>
    <row r="103" spans="1:147" ht="12.75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6"/>
      <c r="DT103" s="86"/>
      <c r="DU103" s="86"/>
      <c r="DV103" s="86"/>
      <c r="DW103" s="86"/>
      <c r="DX103" s="86"/>
      <c r="DY103" s="86"/>
      <c r="DZ103" s="86"/>
      <c r="EA103" s="86"/>
      <c r="EB103" s="86"/>
      <c r="EC103" s="86"/>
      <c r="ED103" s="86"/>
      <c r="EE103" s="86"/>
      <c r="EF103" s="86"/>
      <c r="EG103" s="86"/>
      <c r="EH103" s="86"/>
      <c r="EI103" s="86"/>
      <c r="EJ103" s="86"/>
      <c r="EK103" s="86"/>
      <c r="EL103" s="86"/>
      <c r="EM103" s="86"/>
      <c r="EN103" s="86"/>
      <c r="EO103" s="86"/>
      <c r="EP103" s="86"/>
      <c r="EQ103" s="86"/>
    </row>
    <row r="104" spans="1:147" ht="12.75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/>
      <c r="EL104" s="86"/>
      <c r="EM104" s="86"/>
      <c r="EN104" s="86"/>
      <c r="EO104" s="86"/>
      <c r="EP104" s="86"/>
      <c r="EQ104" s="86"/>
    </row>
    <row r="105" spans="1:147" ht="12.75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6"/>
      <c r="EI105" s="86"/>
      <c r="EJ105" s="86"/>
      <c r="EK105" s="86"/>
      <c r="EL105" s="86"/>
      <c r="EM105" s="86"/>
      <c r="EN105" s="86"/>
      <c r="EO105" s="86"/>
      <c r="EP105" s="86"/>
      <c r="EQ105" s="86"/>
    </row>
    <row r="106" spans="1:147" ht="12.75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  <c r="DX106" s="86"/>
      <c r="DY106" s="86"/>
      <c r="DZ106" s="86"/>
      <c r="EA106" s="86"/>
      <c r="EB106" s="86"/>
      <c r="EC106" s="86"/>
      <c r="ED106" s="86"/>
      <c r="EE106" s="86"/>
      <c r="EF106" s="86"/>
      <c r="EG106" s="86"/>
      <c r="EH106" s="86"/>
      <c r="EI106" s="86"/>
      <c r="EJ106" s="86"/>
      <c r="EK106" s="86"/>
      <c r="EL106" s="86"/>
      <c r="EM106" s="86"/>
      <c r="EN106" s="86"/>
      <c r="EO106" s="86"/>
      <c r="EP106" s="86"/>
      <c r="EQ106" s="86"/>
    </row>
    <row r="107" spans="1:147" ht="12.75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86"/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6"/>
      <c r="DT107" s="86"/>
      <c r="DU107" s="86"/>
      <c r="DV107" s="86"/>
      <c r="DW107" s="86"/>
      <c r="DX107" s="86"/>
      <c r="DY107" s="86"/>
      <c r="DZ107" s="86"/>
      <c r="EA107" s="86"/>
      <c r="EB107" s="86"/>
      <c r="EC107" s="86"/>
      <c r="ED107" s="86"/>
      <c r="EE107" s="86"/>
      <c r="EF107" s="86"/>
      <c r="EG107" s="86"/>
      <c r="EH107" s="86"/>
      <c r="EI107" s="86"/>
      <c r="EJ107" s="86"/>
      <c r="EK107" s="86"/>
      <c r="EL107" s="86"/>
      <c r="EM107" s="86"/>
      <c r="EN107" s="86"/>
      <c r="EO107" s="86"/>
      <c r="EP107" s="86"/>
      <c r="EQ107" s="86"/>
    </row>
    <row r="108" spans="1:147" ht="12.75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6"/>
      <c r="CJ108" s="86"/>
      <c r="CK108" s="86"/>
      <c r="CL108" s="86"/>
      <c r="CM108" s="86"/>
      <c r="CN108" s="86"/>
      <c r="CO108" s="86"/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6"/>
      <c r="DF108" s="86"/>
      <c r="DG108" s="86"/>
      <c r="DH108" s="86"/>
      <c r="DI108" s="86"/>
      <c r="DJ108" s="86"/>
      <c r="DK108" s="86"/>
      <c r="DL108" s="86"/>
      <c r="DM108" s="86"/>
      <c r="DN108" s="86"/>
      <c r="DO108" s="86"/>
      <c r="DP108" s="86"/>
      <c r="DQ108" s="86"/>
      <c r="DR108" s="86"/>
      <c r="DS108" s="86"/>
      <c r="DT108" s="86"/>
      <c r="DU108" s="86"/>
      <c r="DV108" s="86"/>
      <c r="DW108" s="86"/>
      <c r="DX108" s="86"/>
      <c r="DY108" s="86"/>
      <c r="DZ108" s="86"/>
      <c r="EA108" s="86"/>
      <c r="EB108" s="86"/>
      <c r="EC108" s="86"/>
      <c r="ED108" s="86"/>
      <c r="EE108" s="86"/>
      <c r="EF108" s="86"/>
      <c r="EG108" s="86"/>
      <c r="EH108" s="86"/>
      <c r="EI108" s="86"/>
      <c r="EJ108" s="86"/>
      <c r="EK108" s="86"/>
      <c r="EL108" s="86"/>
      <c r="EM108" s="86"/>
      <c r="EN108" s="86"/>
      <c r="EO108" s="86"/>
      <c r="EP108" s="86"/>
      <c r="EQ108" s="86"/>
    </row>
    <row r="109" spans="1:147" ht="12.75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86"/>
      <c r="DJ109" s="86"/>
      <c r="DK109" s="86"/>
      <c r="DL109" s="86"/>
      <c r="DM109" s="86"/>
      <c r="DN109" s="86"/>
      <c r="DO109" s="86"/>
      <c r="DP109" s="86"/>
      <c r="DQ109" s="86"/>
      <c r="DR109" s="86"/>
      <c r="DS109" s="86"/>
      <c r="DT109" s="86"/>
      <c r="DU109" s="86"/>
      <c r="DV109" s="86"/>
      <c r="DW109" s="86"/>
      <c r="DX109" s="86"/>
      <c r="DY109" s="86"/>
      <c r="DZ109" s="86"/>
      <c r="EA109" s="86"/>
      <c r="EB109" s="86"/>
      <c r="EC109" s="86"/>
      <c r="ED109" s="86"/>
      <c r="EE109" s="86"/>
      <c r="EF109" s="86"/>
      <c r="EG109" s="86"/>
      <c r="EH109" s="86"/>
      <c r="EI109" s="86"/>
      <c r="EJ109" s="86"/>
      <c r="EK109" s="86"/>
      <c r="EL109" s="86"/>
      <c r="EM109" s="86"/>
      <c r="EN109" s="86"/>
      <c r="EO109" s="86"/>
      <c r="EP109" s="86"/>
      <c r="EQ109" s="86"/>
    </row>
    <row r="110" spans="1:147" ht="12.75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  <c r="DH110" s="86"/>
      <c r="DI110" s="86"/>
      <c r="DJ110" s="86"/>
      <c r="DK110" s="86"/>
      <c r="DL110" s="86"/>
      <c r="DM110" s="86"/>
      <c r="DN110" s="86"/>
      <c r="DO110" s="86"/>
      <c r="DP110" s="86"/>
      <c r="DQ110" s="86"/>
      <c r="DR110" s="86"/>
      <c r="DS110" s="86"/>
      <c r="DT110" s="86"/>
      <c r="DU110" s="86"/>
      <c r="DV110" s="86"/>
      <c r="DW110" s="86"/>
      <c r="DX110" s="86"/>
      <c r="DY110" s="86"/>
      <c r="DZ110" s="86"/>
      <c r="EA110" s="86"/>
      <c r="EB110" s="86"/>
      <c r="EC110" s="86"/>
      <c r="ED110" s="86"/>
      <c r="EE110" s="86"/>
      <c r="EF110" s="86"/>
      <c r="EG110" s="86"/>
      <c r="EH110" s="86"/>
      <c r="EI110" s="86"/>
      <c r="EJ110" s="86"/>
      <c r="EK110" s="86"/>
      <c r="EL110" s="86"/>
      <c r="EM110" s="86"/>
      <c r="EN110" s="86"/>
      <c r="EO110" s="86"/>
      <c r="EP110" s="86"/>
      <c r="EQ110" s="86"/>
    </row>
    <row r="111" spans="1:147" ht="12.75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  <c r="DT111" s="86"/>
      <c r="DU111" s="86"/>
      <c r="DV111" s="86"/>
      <c r="DW111" s="86"/>
      <c r="DX111" s="86"/>
      <c r="DY111" s="86"/>
      <c r="DZ111" s="86"/>
      <c r="EA111" s="86"/>
      <c r="EB111" s="86"/>
      <c r="EC111" s="86"/>
      <c r="ED111" s="86"/>
      <c r="EE111" s="86"/>
      <c r="EF111" s="86"/>
      <c r="EG111" s="86"/>
      <c r="EH111" s="86"/>
      <c r="EI111" s="86"/>
      <c r="EJ111" s="86"/>
      <c r="EK111" s="86"/>
      <c r="EL111" s="86"/>
      <c r="EM111" s="86"/>
      <c r="EN111" s="86"/>
      <c r="EO111" s="86"/>
      <c r="EP111" s="86"/>
      <c r="EQ111" s="86"/>
    </row>
    <row r="112" spans="1:147" ht="12.75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6"/>
      <c r="DE112" s="86"/>
      <c r="DF112" s="86"/>
      <c r="DG112" s="86"/>
      <c r="DH112" s="86"/>
      <c r="DI112" s="86"/>
      <c r="DJ112" s="86"/>
      <c r="DK112" s="86"/>
      <c r="DL112" s="86"/>
      <c r="DM112" s="86"/>
      <c r="DN112" s="86"/>
      <c r="DO112" s="86"/>
      <c r="DP112" s="86"/>
      <c r="DQ112" s="86"/>
      <c r="DR112" s="86"/>
      <c r="DS112" s="86"/>
      <c r="DT112" s="86"/>
      <c r="DU112" s="86"/>
      <c r="DV112" s="86"/>
      <c r="DW112" s="86"/>
      <c r="DX112" s="86"/>
      <c r="DY112" s="86"/>
      <c r="DZ112" s="86"/>
      <c r="EA112" s="86"/>
      <c r="EB112" s="86"/>
      <c r="EC112" s="86"/>
      <c r="ED112" s="86"/>
      <c r="EE112" s="86"/>
      <c r="EF112" s="86"/>
      <c r="EG112" s="86"/>
      <c r="EH112" s="86"/>
      <c r="EI112" s="86"/>
      <c r="EJ112" s="86"/>
      <c r="EK112" s="86"/>
      <c r="EL112" s="86"/>
      <c r="EM112" s="86"/>
      <c r="EN112" s="86"/>
      <c r="EO112" s="86"/>
      <c r="EP112" s="86"/>
      <c r="EQ112" s="86"/>
    </row>
    <row r="113" spans="1:147" ht="12.75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86"/>
      <c r="CE113" s="86"/>
      <c r="CF113" s="86"/>
      <c r="CG113" s="86"/>
      <c r="CH113" s="86"/>
      <c r="CI113" s="86"/>
      <c r="CJ113" s="86"/>
      <c r="CK113" s="86"/>
      <c r="CL113" s="86"/>
      <c r="CM113" s="86"/>
      <c r="CN113" s="86"/>
      <c r="CO113" s="86"/>
      <c r="CP113" s="86"/>
      <c r="CQ113" s="86"/>
      <c r="CR113" s="86"/>
      <c r="CS113" s="86"/>
      <c r="CT113" s="86"/>
      <c r="CU113" s="86"/>
      <c r="CV113" s="86"/>
      <c r="CW113" s="86"/>
      <c r="CX113" s="86"/>
      <c r="CY113" s="86"/>
      <c r="CZ113" s="86"/>
      <c r="DA113" s="86"/>
      <c r="DB113" s="86"/>
      <c r="DC113" s="86"/>
      <c r="DD113" s="86"/>
      <c r="DE113" s="86"/>
      <c r="DF113" s="86"/>
      <c r="DG113" s="86"/>
      <c r="DH113" s="86"/>
      <c r="DI113" s="86"/>
      <c r="DJ113" s="86"/>
      <c r="DK113" s="86"/>
      <c r="DL113" s="86"/>
      <c r="DM113" s="86"/>
      <c r="DN113" s="86"/>
      <c r="DO113" s="86"/>
      <c r="DP113" s="86"/>
      <c r="DQ113" s="86"/>
      <c r="DR113" s="86"/>
      <c r="DS113" s="86"/>
      <c r="DT113" s="86"/>
      <c r="DU113" s="86"/>
      <c r="DV113" s="86"/>
      <c r="DW113" s="86"/>
      <c r="DX113" s="86"/>
      <c r="DY113" s="86"/>
      <c r="DZ113" s="86"/>
      <c r="EA113" s="86"/>
      <c r="EB113" s="86"/>
      <c r="EC113" s="86"/>
      <c r="ED113" s="86"/>
      <c r="EE113" s="86"/>
      <c r="EF113" s="86"/>
      <c r="EG113" s="86"/>
      <c r="EH113" s="86"/>
      <c r="EI113" s="86"/>
      <c r="EJ113" s="86"/>
      <c r="EK113" s="86"/>
      <c r="EL113" s="86"/>
      <c r="EM113" s="86"/>
      <c r="EN113" s="86"/>
      <c r="EO113" s="86"/>
      <c r="EP113" s="86"/>
      <c r="EQ113" s="86"/>
    </row>
    <row r="114" spans="1:147" ht="12.75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86"/>
      <c r="CC114" s="86"/>
      <c r="CD114" s="86"/>
      <c r="CE114" s="86"/>
      <c r="CF114" s="86"/>
      <c r="CG114" s="86"/>
      <c r="CH114" s="86"/>
      <c r="CI114" s="86"/>
      <c r="CJ114" s="86"/>
      <c r="CK114" s="86"/>
      <c r="CL114" s="86"/>
      <c r="CM114" s="86"/>
      <c r="CN114" s="86"/>
      <c r="CO114" s="86"/>
      <c r="CP114" s="86"/>
      <c r="CQ114" s="86"/>
      <c r="CR114" s="86"/>
      <c r="CS114" s="86"/>
      <c r="CT114" s="86"/>
      <c r="CU114" s="86"/>
      <c r="CV114" s="86"/>
      <c r="CW114" s="86"/>
      <c r="CX114" s="86"/>
      <c r="CY114" s="86"/>
      <c r="CZ114" s="86"/>
      <c r="DA114" s="86"/>
      <c r="DB114" s="86"/>
      <c r="DC114" s="86"/>
      <c r="DD114" s="86"/>
      <c r="DE114" s="86"/>
      <c r="DF114" s="86"/>
      <c r="DG114" s="86"/>
      <c r="DH114" s="86"/>
      <c r="DI114" s="86"/>
      <c r="DJ114" s="86"/>
      <c r="DK114" s="86"/>
      <c r="DL114" s="86"/>
      <c r="DM114" s="86"/>
      <c r="DN114" s="86"/>
      <c r="DO114" s="86"/>
      <c r="DP114" s="86"/>
      <c r="DQ114" s="86"/>
      <c r="DR114" s="86"/>
      <c r="DS114" s="86"/>
      <c r="DT114" s="86"/>
      <c r="DU114" s="86"/>
      <c r="DV114" s="86"/>
      <c r="DW114" s="86"/>
      <c r="DX114" s="86"/>
      <c r="DY114" s="86"/>
      <c r="DZ114" s="86"/>
      <c r="EA114" s="86"/>
      <c r="EB114" s="86"/>
      <c r="EC114" s="86"/>
      <c r="ED114" s="86"/>
      <c r="EE114" s="86"/>
      <c r="EF114" s="86"/>
      <c r="EG114" s="86"/>
      <c r="EH114" s="86"/>
      <c r="EI114" s="86"/>
      <c r="EJ114" s="86"/>
      <c r="EK114" s="86"/>
      <c r="EL114" s="86"/>
      <c r="EM114" s="86"/>
      <c r="EN114" s="86"/>
      <c r="EO114" s="86"/>
      <c r="EP114" s="86"/>
      <c r="EQ114" s="86"/>
    </row>
    <row r="115" spans="1:147" ht="12.75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/>
      <c r="CA115" s="86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86"/>
      <c r="CM115" s="86"/>
      <c r="CN115" s="86"/>
      <c r="CO115" s="86"/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6"/>
      <c r="DD115" s="86"/>
      <c r="DE115" s="86"/>
      <c r="DF115" s="86"/>
      <c r="DG115" s="86"/>
      <c r="DH115" s="86"/>
      <c r="DI115" s="86"/>
      <c r="DJ115" s="86"/>
      <c r="DK115" s="86"/>
      <c r="DL115" s="86"/>
      <c r="DM115" s="86"/>
      <c r="DN115" s="86"/>
      <c r="DO115" s="86"/>
      <c r="DP115" s="86"/>
      <c r="DQ115" s="86"/>
      <c r="DR115" s="86"/>
      <c r="DS115" s="86"/>
      <c r="DT115" s="86"/>
      <c r="DU115" s="86"/>
      <c r="DV115" s="86"/>
      <c r="DW115" s="86"/>
      <c r="DX115" s="86"/>
      <c r="DY115" s="86"/>
      <c r="DZ115" s="86"/>
      <c r="EA115" s="86"/>
      <c r="EB115" s="86"/>
      <c r="EC115" s="86"/>
      <c r="ED115" s="86"/>
      <c r="EE115" s="86"/>
      <c r="EF115" s="86"/>
      <c r="EG115" s="86"/>
      <c r="EH115" s="86"/>
      <c r="EI115" s="86"/>
      <c r="EJ115" s="86"/>
      <c r="EK115" s="86"/>
      <c r="EL115" s="86"/>
      <c r="EM115" s="86"/>
      <c r="EN115" s="86"/>
      <c r="EO115" s="86"/>
      <c r="EP115" s="86"/>
      <c r="EQ115" s="86"/>
    </row>
    <row r="116" spans="1:147" ht="12.75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  <c r="BX116" s="86"/>
      <c r="BY116" s="86"/>
      <c r="BZ116" s="86"/>
      <c r="CA116" s="86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86"/>
      <c r="CM116" s="86"/>
      <c r="CN116" s="86"/>
      <c r="CO116" s="86"/>
      <c r="CP116" s="86"/>
      <c r="CQ116" s="86"/>
      <c r="CR116" s="86"/>
      <c r="CS116" s="86"/>
      <c r="CT116" s="86"/>
      <c r="CU116" s="86"/>
      <c r="CV116" s="86"/>
      <c r="CW116" s="86"/>
      <c r="CX116" s="86"/>
      <c r="CY116" s="86"/>
      <c r="CZ116" s="86"/>
      <c r="DA116" s="86"/>
      <c r="DB116" s="86"/>
      <c r="DC116" s="86"/>
      <c r="DD116" s="86"/>
      <c r="DE116" s="86"/>
      <c r="DF116" s="86"/>
      <c r="DG116" s="86"/>
      <c r="DH116" s="86"/>
      <c r="DI116" s="86"/>
      <c r="DJ116" s="86"/>
      <c r="DK116" s="86"/>
      <c r="DL116" s="86"/>
      <c r="DM116" s="86"/>
      <c r="DN116" s="86"/>
      <c r="DO116" s="86"/>
      <c r="DP116" s="86"/>
      <c r="DQ116" s="86"/>
      <c r="DR116" s="86"/>
      <c r="DS116" s="86"/>
      <c r="DT116" s="86"/>
      <c r="DU116" s="86"/>
      <c r="DV116" s="86"/>
      <c r="DW116" s="86"/>
      <c r="DX116" s="86"/>
      <c r="DY116" s="86"/>
      <c r="DZ116" s="86"/>
      <c r="EA116" s="86"/>
      <c r="EB116" s="86"/>
      <c r="EC116" s="86"/>
      <c r="ED116" s="86"/>
      <c r="EE116" s="86"/>
      <c r="EF116" s="86"/>
      <c r="EG116" s="86"/>
      <c r="EH116" s="86"/>
      <c r="EI116" s="86"/>
      <c r="EJ116" s="86"/>
      <c r="EK116" s="86"/>
      <c r="EL116" s="86"/>
      <c r="EM116" s="86"/>
      <c r="EN116" s="86"/>
      <c r="EO116" s="86"/>
      <c r="EP116" s="86"/>
      <c r="EQ116" s="86"/>
    </row>
    <row r="117" spans="1:147" ht="12.75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6"/>
      <c r="CE117" s="86"/>
      <c r="CF117" s="86"/>
      <c r="CG117" s="86"/>
      <c r="CH117" s="86"/>
      <c r="CI117" s="86"/>
      <c r="CJ117" s="86"/>
      <c r="CK117" s="86"/>
      <c r="CL117" s="86"/>
      <c r="CM117" s="86"/>
      <c r="CN117" s="86"/>
      <c r="CO117" s="86"/>
      <c r="CP117" s="86"/>
      <c r="CQ117" s="86"/>
      <c r="CR117" s="86"/>
      <c r="CS117" s="86"/>
      <c r="CT117" s="86"/>
      <c r="CU117" s="86"/>
      <c r="CV117" s="86"/>
      <c r="CW117" s="86"/>
      <c r="CX117" s="86"/>
      <c r="CY117" s="86"/>
      <c r="CZ117" s="86"/>
      <c r="DA117" s="86"/>
      <c r="DB117" s="86"/>
      <c r="DC117" s="86"/>
      <c r="DD117" s="86"/>
      <c r="DE117" s="86"/>
      <c r="DF117" s="86"/>
      <c r="DG117" s="86"/>
      <c r="DH117" s="86"/>
      <c r="DI117" s="86"/>
      <c r="DJ117" s="86"/>
      <c r="DK117" s="86"/>
      <c r="DL117" s="86"/>
      <c r="DM117" s="86"/>
      <c r="DN117" s="86"/>
      <c r="DO117" s="86"/>
      <c r="DP117" s="86"/>
      <c r="DQ117" s="86"/>
      <c r="DR117" s="86"/>
      <c r="DS117" s="86"/>
      <c r="DT117" s="86"/>
      <c r="DU117" s="86"/>
      <c r="DV117" s="86"/>
      <c r="DW117" s="86"/>
      <c r="DX117" s="86"/>
      <c r="DY117" s="86"/>
      <c r="DZ117" s="86"/>
      <c r="EA117" s="86"/>
      <c r="EB117" s="86"/>
      <c r="EC117" s="86"/>
      <c r="ED117" s="86"/>
      <c r="EE117" s="86"/>
      <c r="EF117" s="86"/>
      <c r="EG117" s="86"/>
      <c r="EH117" s="86"/>
      <c r="EI117" s="86"/>
      <c r="EJ117" s="86"/>
      <c r="EK117" s="86"/>
      <c r="EL117" s="86"/>
      <c r="EM117" s="86"/>
      <c r="EN117" s="86"/>
      <c r="EO117" s="86"/>
      <c r="EP117" s="86"/>
      <c r="EQ117" s="86"/>
    </row>
    <row r="118" spans="1:147" ht="12.75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6"/>
      <c r="CC118" s="86"/>
      <c r="CD118" s="86"/>
      <c r="CE118" s="86"/>
      <c r="CF118" s="86"/>
      <c r="CG118" s="86"/>
      <c r="CH118" s="86"/>
      <c r="CI118" s="86"/>
      <c r="CJ118" s="86"/>
      <c r="CK118" s="86"/>
      <c r="CL118" s="86"/>
      <c r="CM118" s="86"/>
      <c r="CN118" s="86"/>
      <c r="CO118" s="86"/>
      <c r="CP118" s="86"/>
      <c r="CQ118" s="86"/>
      <c r="CR118" s="86"/>
      <c r="CS118" s="86"/>
      <c r="CT118" s="86"/>
      <c r="CU118" s="86"/>
      <c r="CV118" s="86"/>
      <c r="CW118" s="86"/>
      <c r="CX118" s="86"/>
      <c r="CY118" s="86"/>
      <c r="CZ118" s="86"/>
      <c r="DA118" s="86"/>
      <c r="DB118" s="86"/>
      <c r="DC118" s="86"/>
      <c r="DD118" s="86"/>
      <c r="DE118" s="86"/>
      <c r="DF118" s="86"/>
      <c r="DG118" s="86"/>
      <c r="DH118" s="86"/>
      <c r="DI118" s="86"/>
      <c r="DJ118" s="86"/>
      <c r="DK118" s="86"/>
      <c r="DL118" s="86"/>
      <c r="DM118" s="86"/>
      <c r="DN118" s="86"/>
      <c r="DO118" s="86"/>
      <c r="DP118" s="86"/>
      <c r="DQ118" s="86"/>
      <c r="DR118" s="86"/>
      <c r="DS118" s="86"/>
      <c r="DT118" s="86"/>
      <c r="DU118" s="86"/>
      <c r="DV118" s="86"/>
      <c r="DW118" s="86"/>
      <c r="DX118" s="86"/>
      <c r="DY118" s="86"/>
      <c r="DZ118" s="86"/>
      <c r="EA118" s="86"/>
      <c r="EB118" s="86"/>
      <c r="EC118" s="86"/>
      <c r="ED118" s="86"/>
      <c r="EE118" s="86"/>
      <c r="EF118" s="86"/>
      <c r="EG118" s="86"/>
      <c r="EH118" s="86"/>
      <c r="EI118" s="86"/>
      <c r="EJ118" s="86"/>
      <c r="EK118" s="86"/>
      <c r="EL118" s="86"/>
      <c r="EM118" s="86"/>
      <c r="EN118" s="86"/>
      <c r="EO118" s="86"/>
      <c r="EP118" s="86"/>
      <c r="EQ118" s="86"/>
    </row>
    <row r="119" spans="1:147" ht="12.75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/>
      <c r="CA119" s="86"/>
      <c r="CB119" s="86"/>
      <c r="CC119" s="86"/>
      <c r="CD119" s="86"/>
      <c r="CE119" s="86"/>
      <c r="CF119" s="86"/>
      <c r="CG119" s="86"/>
      <c r="CH119" s="86"/>
      <c r="CI119" s="86"/>
      <c r="CJ119" s="86"/>
      <c r="CK119" s="86"/>
      <c r="CL119" s="86"/>
      <c r="CM119" s="86"/>
      <c r="CN119" s="86"/>
      <c r="CO119" s="86"/>
      <c r="CP119" s="86"/>
      <c r="CQ119" s="86"/>
      <c r="CR119" s="86"/>
      <c r="CS119" s="86"/>
      <c r="CT119" s="86"/>
      <c r="CU119" s="86"/>
      <c r="CV119" s="86"/>
      <c r="CW119" s="86"/>
      <c r="CX119" s="86"/>
      <c r="CY119" s="86"/>
      <c r="CZ119" s="86"/>
      <c r="DA119" s="86"/>
      <c r="DB119" s="86"/>
      <c r="DC119" s="86"/>
      <c r="DD119" s="86"/>
      <c r="DE119" s="86"/>
      <c r="DF119" s="86"/>
      <c r="DG119" s="86"/>
      <c r="DH119" s="86"/>
      <c r="DI119" s="86"/>
      <c r="DJ119" s="86"/>
      <c r="DK119" s="86"/>
      <c r="DL119" s="86"/>
      <c r="DM119" s="86"/>
      <c r="DN119" s="86"/>
      <c r="DO119" s="86"/>
      <c r="DP119" s="86"/>
      <c r="DQ119" s="86"/>
      <c r="DR119" s="86"/>
      <c r="DS119" s="86"/>
      <c r="DT119" s="86"/>
      <c r="DU119" s="86"/>
      <c r="DV119" s="86"/>
      <c r="DW119" s="86"/>
      <c r="DX119" s="86"/>
      <c r="DY119" s="86"/>
      <c r="DZ119" s="86"/>
      <c r="EA119" s="86"/>
      <c r="EB119" s="86"/>
      <c r="EC119" s="86"/>
      <c r="ED119" s="86"/>
      <c r="EE119" s="86"/>
      <c r="EF119" s="86"/>
      <c r="EG119" s="86"/>
      <c r="EH119" s="86"/>
      <c r="EI119" s="86"/>
      <c r="EJ119" s="86"/>
      <c r="EK119" s="86"/>
      <c r="EL119" s="86"/>
      <c r="EM119" s="86"/>
      <c r="EN119" s="86"/>
      <c r="EO119" s="86"/>
      <c r="EP119" s="86"/>
      <c r="EQ119" s="86"/>
    </row>
    <row r="120" spans="1:147" ht="12.75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86"/>
      <c r="CC120" s="86"/>
      <c r="CD120" s="86"/>
      <c r="CE120" s="86"/>
      <c r="CF120" s="86"/>
      <c r="CG120" s="86"/>
      <c r="CH120" s="86"/>
      <c r="CI120" s="86"/>
      <c r="CJ120" s="86"/>
      <c r="CK120" s="86"/>
      <c r="CL120" s="86"/>
      <c r="CM120" s="86"/>
      <c r="CN120" s="86"/>
      <c r="CO120" s="86"/>
      <c r="CP120" s="86"/>
      <c r="CQ120" s="86"/>
      <c r="CR120" s="86"/>
      <c r="CS120" s="86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6"/>
      <c r="DE120" s="86"/>
      <c r="DF120" s="86"/>
      <c r="DG120" s="86"/>
      <c r="DH120" s="86"/>
      <c r="DI120" s="86"/>
      <c r="DJ120" s="86"/>
      <c r="DK120" s="86"/>
      <c r="DL120" s="86"/>
      <c r="DM120" s="86"/>
      <c r="DN120" s="86"/>
      <c r="DO120" s="86"/>
      <c r="DP120" s="86"/>
      <c r="DQ120" s="86"/>
      <c r="DR120" s="86"/>
      <c r="DS120" s="86"/>
      <c r="DT120" s="86"/>
      <c r="DU120" s="86"/>
      <c r="DV120" s="86"/>
      <c r="DW120" s="86"/>
      <c r="DX120" s="86"/>
      <c r="DY120" s="86"/>
      <c r="DZ120" s="86"/>
      <c r="EA120" s="86"/>
      <c r="EB120" s="86"/>
      <c r="EC120" s="86"/>
      <c r="ED120" s="86"/>
      <c r="EE120" s="86"/>
      <c r="EF120" s="86"/>
      <c r="EG120" s="86"/>
      <c r="EH120" s="86"/>
      <c r="EI120" s="86"/>
      <c r="EJ120" s="86"/>
      <c r="EK120" s="86"/>
      <c r="EL120" s="86"/>
      <c r="EM120" s="86"/>
      <c r="EN120" s="86"/>
      <c r="EO120" s="86"/>
      <c r="EP120" s="86"/>
      <c r="EQ120" s="86"/>
    </row>
    <row r="121" spans="1:147" ht="12.75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86"/>
      <c r="CM121" s="86"/>
      <c r="CN121" s="86"/>
      <c r="CO121" s="86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6"/>
      <c r="DE121" s="86"/>
      <c r="DF121" s="86"/>
      <c r="DG121" s="86"/>
      <c r="DH121" s="86"/>
      <c r="DI121" s="86"/>
      <c r="DJ121" s="86"/>
      <c r="DK121" s="86"/>
      <c r="DL121" s="86"/>
      <c r="DM121" s="86"/>
      <c r="DN121" s="86"/>
      <c r="DO121" s="86"/>
      <c r="DP121" s="86"/>
      <c r="DQ121" s="86"/>
      <c r="DR121" s="86"/>
      <c r="DS121" s="86"/>
      <c r="DT121" s="86"/>
      <c r="DU121" s="86"/>
      <c r="DV121" s="86"/>
      <c r="DW121" s="86"/>
      <c r="DX121" s="86"/>
      <c r="DY121" s="86"/>
      <c r="DZ121" s="86"/>
      <c r="EA121" s="86"/>
      <c r="EB121" s="86"/>
      <c r="EC121" s="86"/>
      <c r="ED121" s="86"/>
      <c r="EE121" s="86"/>
      <c r="EF121" s="86"/>
      <c r="EG121" s="86"/>
      <c r="EH121" s="86"/>
      <c r="EI121" s="86"/>
      <c r="EJ121" s="86"/>
      <c r="EK121" s="86"/>
      <c r="EL121" s="86"/>
      <c r="EM121" s="86"/>
      <c r="EN121" s="86"/>
      <c r="EO121" s="86"/>
      <c r="EP121" s="86"/>
      <c r="EQ121" s="86"/>
    </row>
    <row r="122" spans="1:147" ht="12.75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A122" s="86"/>
      <c r="CB122" s="86"/>
      <c r="CC122" s="86"/>
      <c r="CD122" s="86"/>
      <c r="CE122" s="86"/>
      <c r="CF122" s="86"/>
      <c r="CG122" s="86"/>
      <c r="CH122" s="86"/>
      <c r="CI122" s="86"/>
      <c r="CJ122" s="86"/>
      <c r="CK122" s="86"/>
      <c r="CL122" s="86"/>
      <c r="CM122" s="86"/>
      <c r="CN122" s="86"/>
      <c r="CO122" s="86"/>
      <c r="CP122" s="86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6"/>
      <c r="DE122" s="86"/>
      <c r="DF122" s="86"/>
      <c r="DG122" s="86"/>
      <c r="DH122" s="86"/>
      <c r="DI122" s="86"/>
      <c r="DJ122" s="86"/>
      <c r="DK122" s="86"/>
      <c r="DL122" s="86"/>
      <c r="DM122" s="86"/>
      <c r="DN122" s="86"/>
      <c r="DO122" s="86"/>
      <c r="DP122" s="86"/>
      <c r="DQ122" s="86"/>
      <c r="DR122" s="86"/>
      <c r="DS122" s="86"/>
      <c r="DT122" s="86"/>
      <c r="DU122" s="86"/>
      <c r="DV122" s="86"/>
      <c r="DW122" s="86"/>
      <c r="DX122" s="86"/>
      <c r="DY122" s="86"/>
      <c r="DZ122" s="86"/>
      <c r="EA122" s="86"/>
      <c r="EB122" s="86"/>
      <c r="EC122" s="86"/>
      <c r="ED122" s="86"/>
      <c r="EE122" s="86"/>
      <c r="EF122" s="86"/>
      <c r="EG122" s="86"/>
      <c r="EH122" s="86"/>
      <c r="EI122" s="86"/>
      <c r="EJ122" s="86"/>
      <c r="EK122" s="86"/>
      <c r="EL122" s="86"/>
      <c r="EM122" s="86"/>
      <c r="EN122" s="86"/>
      <c r="EO122" s="86"/>
      <c r="EP122" s="86"/>
      <c r="EQ122" s="86"/>
    </row>
    <row r="123" spans="1:147" ht="12.75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6"/>
      <c r="CC123" s="86"/>
      <c r="CD123" s="86"/>
      <c r="CE123" s="86"/>
      <c r="CF123" s="86"/>
      <c r="CG123" s="86"/>
      <c r="CH123" s="86"/>
      <c r="CI123" s="86"/>
      <c r="CJ123" s="86"/>
      <c r="CK123" s="86"/>
      <c r="CL123" s="86"/>
      <c r="CM123" s="86"/>
      <c r="CN123" s="86"/>
      <c r="CO123" s="86"/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6"/>
      <c r="DE123" s="86"/>
      <c r="DF123" s="86"/>
      <c r="DG123" s="86"/>
      <c r="DH123" s="86"/>
      <c r="DI123" s="86"/>
      <c r="DJ123" s="86"/>
      <c r="DK123" s="86"/>
      <c r="DL123" s="86"/>
      <c r="DM123" s="86"/>
      <c r="DN123" s="86"/>
      <c r="DO123" s="86"/>
      <c r="DP123" s="86"/>
      <c r="DQ123" s="86"/>
      <c r="DR123" s="86"/>
      <c r="DS123" s="86"/>
      <c r="DT123" s="86"/>
      <c r="DU123" s="86"/>
      <c r="DV123" s="86"/>
      <c r="DW123" s="86"/>
      <c r="DX123" s="86"/>
      <c r="DY123" s="86"/>
      <c r="DZ123" s="86"/>
      <c r="EA123" s="86"/>
      <c r="EB123" s="86"/>
      <c r="EC123" s="86"/>
      <c r="ED123" s="86"/>
      <c r="EE123" s="86"/>
      <c r="EF123" s="86"/>
      <c r="EG123" s="86"/>
      <c r="EH123" s="86"/>
      <c r="EI123" s="86"/>
      <c r="EJ123" s="86"/>
      <c r="EK123" s="86"/>
      <c r="EL123" s="86"/>
      <c r="EM123" s="86"/>
      <c r="EN123" s="86"/>
      <c r="EO123" s="86"/>
      <c r="EP123" s="86"/>
      <c r="EQ123" s="86"/>
    </row>
    <row r="124" spans="1:147" ht="12.75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6"/>
      <c r="CC124" s="86"/>
      <c r="CD124" s="86"/>
      <c r="CE124" s="86"/>
      <c r="CF124" s="86"/>
      <c r="CG124" s="86"/>
      <c r="CH124" s="86"/>
      <c r="CI124" s="86"/>
      <c r="CJ124" s="86"/>
      <c r="CK124" s="86"/>
      <c r="CL124" s="86"/>
      <c r="CM124" s="86"/>
      <c r="CN124" s="86"/>
      <c r="CO124" s="86"/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6"/>
      <c r="DE124" s="86"/>
      <c r="DF124" s="86"/>
      <c r="DG124" s="86"/>
      <c r="DH124" s="86"/>
      <c r="DI124" s="86"/>
      <c r="DJ124" s="86"/>
      <c r="DK124" s="86"/>
      <c r="DL124" s="86"/>
      <c r="DM124" s="86"/>
      <c r="DN124" s="86"/>
      <c r="DO124" s="86"/>
      <c r="DP124" s="86"/>
      <c r="DQ124" s="86"/>
      <c r="DR124" s="86"/>
      <c r="DS124" s="86"/>
      <c r="DT124" s="86"/>
      <c r="DU124" s="86"/>
      <c r="DV124" s="86"/>
      <c r="DW124" s="86"/>
      <c r="DX124" s="86"/>
      <c r="DY124" s="86"/>
      <c r="DZ124" s="86"/>
      <c r="EA124" s="86"/>
      <c r="EB124" s="86"/>
      <c r="EC124" s="86"/>
      <c r="ED124" s="86"/>
      <c r="EE124" s="86"/>
      <c r="EF124" s="86"/>
      <c r="EG124" s="86"/>
      <c r="EH124" s="86"/>
      <c r="EI124" s="86"/>
      <c r="EJ124" s="86"/>
      <c r="EK124" s="86"/>
      <c r="EL124" s="86"/>
      <c r="EM124" s="86"/>
      <c r="EN124" s="86"/>
      <c r="EO124" s="86"/>
      <c r="EP124" s="86"/>
      <c r="EQ124" s="86"/>
    </row>
    <row r="125" spans="1:147" ht="12.75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6"/>
      <c r="CC125" s="86"/>
      <c r="CD125" s="86"/>
      <c r="CE125" s="86"/>
      <c r="CF125" s="86"/>
      <c r="CG125" s="86"/>
      <c r="CH125" s="86"/>
      <c r="CI125" s="86"/>
      <c r="CJ125" s="86"/>
      <c r="CK125" s="86"/>
      <c r="CL125" s="86"/>
      <c r="CM125" s="86"/>
      <c r="CN125" s="86"/>
      <c r="CO125" s="86"/>
      <c r="CP125" s="86"/>
      <c r="CQ125" s="86"/>
      <c r="CR125" s="86"/>
      <c r="CS125" s="86"/>
      <c r="CT125" s="86"/>
      <c r="CU125" s="86"/>
      <c r="CV125" s="86"/>
      <c r="CW125" s="86"/>
      <c r="CX125" s="86"/>
      <c r="CY125" s="86"/>
      <c r="CZ125" s="86"/>
      <c r="DA125" s="86"/>
      <c r="DB125" s="86"/>
      <c r="DC125" s="86"/>
      <c r="DD125" s="86"/>
      <c r="DE125" s="86"/>
      <c r="DF125" s="86"/>
      <c r="DG125" s="86"/>
      <c r="DH125" s="86"/>
      <c r="DI125" s="86"/>
      <c r="DJ125" s="86"/>
      <c r="DK125" s="86"/>
      <c r="DL125" s="86"/>
      <c r="DM125" s="86"/>
      <c r="DN125" s="86"/>
      <c r="DO125" s="86"/>
      <c r="DP125" s="86"/>
      <c r="DQ125" s="86"/>
      <c r="DR125" s="86"/>
      <c r="DS125" s="86"/>
      <c r="DT125" s="86"/>
      <c r="DU125" s="86"/>
      <c r="DV125" s="86"/>
      <c r="DW125" s="86"/>
      <c r="DX125" s="86"/>
      <c r="DY125" s="86"/>
      <c r="DZ125" s="86"/>
      <c r="EA125" s="86"/>
      <c r="EB125" s="86"/>
      <c r="EC125" s="86"/>
      <c r="ED125" s="86"/>
      <c r="EE125" s="86"/>
      <c r="EF125" s="86"/>
      <c r="EG125" s="86"/>
      <c r="EH125" s="86"/>
      <c r="EI125" s="86"/>
      <c r="EJ125" s="86"/>
      <c r="EK125" s="86"/>
      <c r="EL125" s="86"/>
      <c r="EM125" s="86"/>
      <c r="EN125" s="86"/>
      <c r="EO125" s="86"/>
      <c r="EP125" s="86"/>
      <c r="EQ125" s="86"/>
    </row>
    <row r="126" spans="1:147" ht="12.75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6"/>
      <c r="CC126" s="86"/>
      <c r="CD126" s="86"/>
      <c r="CE126" s="86"/>
      <c r="CF126" s="86"/>
      <c r="CG126" s="86"/>
      <c r="CH126" s="86"/>
      <c r="CI126" s="86"/>
      <c r="CJ126" s="86"/>
      <c r="CK126" s="86"/>
      <c r="CL126" s="86"/>
      <c r="CM126" s="86"/>
      <c r="CN126" s="86"/>
      <c r="CO126" s="86"/>
      <c r="CP126" s="86"/>
      <c r="CQ126" s="86"/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6"/>
      <c r="DE126" s="86"/>
      <c r="DF126" s="86"/>
      <c r="DG126" s="86"/>
      <c r="DH126" s="86"/>
      <c r="DI126" s="86"/>
      <c r="DJ126" s="86"/>
      <c r="DK126" s="86"/>
      <c r="DL126" s="86"/>
      <c r="DM126" s="86"/>
      <c r="DN126" s="86"/>
      <c r="DO126" s="86"/>
      <c r="DP126" s="86"/>
      <c r="DQ126" s="86"/>
      <c r="DR126" s="86"/>
      <c r="DS126" s="86"/>
      <c r="DT126" s="86"/>
      <c r="DU126" s="86"/>
      <c r="DV126" s="86"/>
      <c r="DW126" s="86"/>
      <c r="DX126" s="86"/>
      <c r="DY126" s="86"/>
      <c r="DZ126" s="86"/>
      <c r="EA126" s="86"/>
      <c r="EB126" s="86"/>
      <c r="EC126" s="86"/>
      <c r="ED126" s="86"/>
      <c r="EE126" s="86"/>
      <c r="EF126" s="86"/>
      <c r="EG126" s="86"/>
      <c r="EH126" s="86"/>
      <c r="EI126" s="86"/>
      <c r="EJ126" s="86"/>
      <c r="EK126" s="86"/>
      <c r="EL126" s="86"/>
      <c r="EM126" s="86"/>
      <c r="EN126" s="86"/>
      <c r="EO126" s="86"/>
      <c r="EP126" s="86"/>
      <c r="EQ126" s="86"/>
    </row>
    <row r="127" spans="1:147" ht="12.75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6"/>
      <c r="DE127" s="86"/>
      <c r="DF127" s="86"/>
      <c r="DG127" s="86"/>
      <c r="DH127" s="86"/>
      <c r="DI127" s="86"/>
      <c r="DJ127" s="86"/>
      <c r="DK127" s="86"/>
      <c r="DL127" s="86"/>
      <c r="DM127" s="86"/>
      <c r="DN127" s="86"/>
      <c r="DO127" s="86"/>
      <c r="DP127" s="86"/>
      <c r="DQ127" s="86"/>
      <c r="DR127" s="86"/>
      <c r="DS127" s="86"/>
      <c r="DT127" s="86"/>
      <c r="DU127" s="86"/>
      <c r="DV127" s="86"/>
      <c r="DW127" s="86"/>
      <c r="DX127" s="86"/>
      <c r="DY127" s="86"/>
      <c r="DZ127" s="86"/>
      <c r="EA127" s="86"/>
      <c r="EB127" s="86"/>
      <c r="EC127" s="86"/>
      <c r="ED127" s="86"/>
      <c r="EE127" s="86"/>
      <c r="EF127" s="86"/>
      <c r="EG127" s="86"/>
      <c r="EH127" s="86"/>
      <c r="EI127" s="86"/>
      <c r="EJ127" s="86"/>
      <c r="EK127" s="86"/>
      <c r="EL127" s="86"/>
      <c r="EM127" s="86"/>
      <c r="EN127" s="86"/>
      <c r="EO127" s="86"/>
      <c r="EP127" s="86"/>
      <c r="EQ127" s="86"/>
    </row>
    <row r="128" spans="1:147" ht="12.75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6"/>
      <c r="CC128" s="86"/>
      <c r="CD128" s="86"/>
      <c r="CE128" s="86"/>
      <c r="CF128" s="86"/>
      <c r="CG128" s="86"/>
      <c r="CH128" s="86"/>
      <c r="CI128" s="86"/>
      <c r="CJ128" s="86"/>
      <c r="CK128" s="86"/>
      <c r="CL128" s="86"/>
      <c r="CM128" s="86"/>
      <c r="CN128" s="86"/>
      <c r="CO128" s="86"/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6"/>
      <c r="DE128" s="86"/>
      <c r="DF128" s="86"/>
      <c r="DG128" s="86"/>
      <c r="DH128" s="86"/>
      <c r="DI128" s="86"/>
      <c r="DJ128" s="86"/>
      <c r="DK128" s="86"/>
      <c r="DL128" s="86"/>
      <c r="DM128" s="86"/>
      <c r="DN128" s="86"/>
      <c r="DO128" s="86"/>
      <c r="DP128" s="86"/>
      <c r="DQ128" s="86"/>
      <c r="DR128" s="86"/>
      <c r="DS128" s="86"/>
      <c r="DT128" s="86"/>
      <c r="DU128" s="86"/>
      <c r="DV128" s="86"/>
      <c r="DW128" s="86"/>
      <c r="DX128" s="86"/>
      <c r="DY128" s="86"/>
      <c r="DZ128" s="86"/>
      <c r="EA128" s="86"/>
      <c r="EB128" s="86"/>
      <c r="EC128" s="86"/>
      <c r="ED128" s="86"/>
      <c r="EE128" s="86"/>
      <c r="EF128" s="86"/>
      <c r="EG128" s="86"/>
      <c r="EH128" s="86"/>
      <c r="EI128" s="86"/>
      <c r="EJ128" s="86"/>
      <c r="EK128" s="86"/>
      <c r="EL128" s="86"/>
      <c r="EM128" s="86"/>
      <c r="EN128" s="86"/>
      <c r="EO128" s="86"/>
      <c r="EP128" s="86"/>
      <c r="EQ128" s="86"/>
    </row>
    <row r="129" spans="1:147" ht="12.75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/>
      <c r="CA129" s="86"/>
      <c r="CB129" s="86"/>
      <c r="CC129" s="86"/>
      <c r="CD129" s="86"/>
      <c r="CE129" s="86"/>
      <c r="CF129" s="86"/>
      <c r="CG129" s="86"/>
      <c r="CH129" s="86"/>
      <c r="CI129" s="86"/>
      <c r="CJ129" s="86"/>
      <c r="CK129" s="86"/>
      <c r="CL129" s="86"/>
      <c r="CM129" s="86"/>
      <c r="CN129" s="86"/>
      <c r="CO129" s="86"/>
      <c r="CP129" s="86"/>
      <c r="CQ129" s="86"/>
      <c r="CR129" s="86"/>
      <c r="CS129" s="86"/>
      <c r="CT129" s="86"/>
      <c r="CU129" s="86"/>
      <c r="CV129" s="86"/>
      <c r="CW129" s="86"/>
      <c r="CX129" s="86"/>
      <c r="CY129" s="86"/>
      <c r="CZ129" s="86"/>
      <c r="DA129" s="86"/>
      <c r="DB129" s="86"/>
      <c r="DC129" s="86"/>
      <c r="DD129" s="86"/>
      <c r="DE129" s="86"/>
      <c r="DF129" s="86"/>
      <c r="DG129" s="86"/>
      <c r="DH129" s="86"/>
      <c r="DI129" s="86"/>
      <c r="DJ129" s="86"/>
      <c r="DK129" s="86"/>
      <c r="DL129" s="86"/>
      <c r="DM129" s="86"/>
      <c r="DN129" s="86"/>
      <c r="DO129" s="86"/>
      <c r="DP129" s="86"/>
      <c r="DQ129" s="86"/>
      <c r="DR129" s="86"/>
      <c r="DS129" s="86"/>
      <c r="DT129" s="86"/>
      <c r="DU129" s="86"/>
      <c r="DV129" s="86"/>
      <c r="DW129" s="86"/>
      <c r="DX129" s="86"/>
      <c r="DY129" s="86"/>
      <c r="DZ129" s="86"/>
      <c r="EA129" s="86"/>
      <c r="EB129" s="86"/>
      <c r="EC129" s="86"/>
      <c r="ED129" s="86"/>
      <c r="EE129" s="86"/>
      <c r="EF129" s="86"/>
      <c r="EG129" s="86"/>
      <c r="EH129" s="86"/>
      <c r="EI129" s="86"/>
      <c r="EJ129" s="86"/>
      <c r="EK129" s="86"/>
      <c r="EL129" s="86"/>
      <c r="EM129" s="86"/>
      <c r="EN129" s="86"/>
      <c r="EO129" s="86"/>
      <c r="EP129" s="86"/>
      <c r="EQ129" s="86"/>
    </row>
    <row r="130" spans="1:147" ht="12.75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  <c r="CK130" s="86"/>
      <c r="CL130" s="86"/>
      <c r="CM130" s="86"/>
      <c r="CN130" s="86"/>
      <c r="CO130" s="86"/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6"/>
      <c r="DE130" s="86"/>
      <c r="DF130" s="86"/>
      <c r="DG130" s="86"/>
      <c r="DH130" s="86"/>
      <c r="DI130" s="86"/>
      <c r="DJ130" s="86"/>
      <c r="DK130" s="86"/>
      <c r="DL130" s="86"/>
      <c r="DM130" s="86"/>
      <c r="DN130" s="86"/>
      <c r="DO130" s="86"/>
      <c r="DP130" s="86"/>
      <c r="DQ130" s="86"/>
      <c r="DR130" s="86"/>
      <c r="DS130" s="86"/>
      <c r="DT130" s="86"/>
      <c r="DU130" s="86"/>
      <c r="DV130" s="86"/>
      <c r="DW130" s="86"/>
      <c r="DX130" s="86"/>
      <c r="DY130" s="86"/>
      <c r="DZ130" s="86"/>
      <c r="EA130" s="86"/>
      <c r="EB130" s="86"/>
      <c r="EC130" s="86"/>
      <c r="ED130" s="86"/>
      <c r="EE130" s="86"/>
      <c r="EF130" s="86"/>
      <c r="EG130" s="86"/>
      <c r="EH130" s="86"/>
      <c r="EI130" s="86"/>
      <c r="EJ130" s="86"/>
      <c r="EK130" s="86"/>
      <c r="EL130" s="86"/>
      <c r="EM130" s="86"/>
      <c r="EN130" s="86"/>
      <c r="EO130" s="86"/>
      <c r="EP130" s="86"/>
      <c r="EQ130" s="86"/>
    </row>
    <row r="131" spans="1:147" ht="12.75">
      <c r="A131" s="86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/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6"/>
      <c r="DE131" s="86"/>
      <c r="DF131" s="86"/>
      <c r="DG131" s="86"/>
      <c r="DH131" s="86"/>
      <c r="DI131" s="86"/>
      <c r="DJ131" s="86"/>
      <c r="DK131" s="86"/>
      <c r="DL131" s="86"/>
      <c r="DM131" s="86"/>
      <c r="DN131" s="86"/>
      <c r="DO131" s="86"/>
      <c r="DP131" s="86"/>
      <c r="DQ131" s="86"/>
      <c r="DR131" s="86"/>
      <c r="DS131" s="86"/>
      <c r="DT131" s="86"/>
      <c r="DU131" s="86"/>
      <c r="DV131" s="86"/>
      <c r="DW131" s="86"/>
      <c r="DX131" s="86"/>
      <c r="DY131" s="86"/>
      <c r="DZ131" s="86"/>
      <c r="EA131" s="86"/>
      <c r="EB131" s="86"/>
      <c r="EC131" s="86"/>
      <c r="ED131" s="86"/>
      <c r="EE131" s="86"/>
      <c r="EF131" s="86"/>
      <c r="EG131" s="86"/>
      <c r="EH131" s="86"/>
      <c r="EI131" s="86"/>
      <c r="EJ131" s="86"/>
      <c r="EK131" s="86"/>
      <c r="EL131" s="86"/>
      <c r="EM131" s="86"/>
      <c r="EN131" s="86"/>
      <c r="EO131" s="86"/>
      <c r="EP131" s="86"/>
      <c r="EQ131" s="86"/>
    </row>
    <row r="132" spans="1:147" ht="12.75">
      <c r="A132" s="86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  <c r="CB132" s="86"/>
      <c r="CC132" s="86"/>
      <c r="CD132" s="86"/>
      <c r="CE132" s="86"/>
      <c r="CF132" s="86"/>
      <c r="CG132" s="86"/>
      <c r="CH132" s="86"/>
      <c r="CI132" s="86"/>
      <c r="CJ132" s="86"/>
      <c r="CK132" s="86"/>
      <c r="CL132" s="86"/>
      <c r="CM132" s="86"/>
      <c r="CN132" s="86"/>
      <c r="CO132" s="86"/>
      <c r="CP132" s="86"/>
      <c r="CQ132" s="86"/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  <c r="DB132" s="86"/>
      <c r="DC132" s="86"/>
      <c r="DD132" s="86"/>
      <c r="DE132" s="86"/>
      <c r="DF132" s="86"/>
      <c r="DG132" s="86"/>
      <c r="DH132" s="86"/>
      <c r="DI132" s="86"/>
      <c r="DJ132" s="86"/>
      <c r="DK132" s="86"/>
      <c r="DL132" s="86"/>
      <c r="DM132" s="86"/>
      <c r="DN132" s="86"/>
      <c r="DO132" s="86"/>
      <c r="DP132" s="86"/>
      <c r="DQ132" s="86"/>
      <c r="DR132" s="86"/>
      <c r="DS132" s="86"/>
      <c r="DT132" s="86"/>
      <c r="DU132" s="86"/>
      <c r="DV132" s="86"/>
      <c r="DW132" s="86"/>
      <c r="DX132" s="86"/>
      <c r="DY132" s="86"/>
      <c r="DZ132" s="86"/>
      <c r="EA132" s="86"/>
      <c r="EB132" s="86"/>
      <c r="EC132" s="86"/>
      <c r="ED132" s="86"/>
      <c r="EE132" s="86"/>
      <c r="EF132" s="86"/>
      <c r="EG132" s="86"/>
      <c r="EH132" s="86"/>
      <c r="EI132" s="86"/>
      <c r="EJ132" s="86"/>
      <c r="EK132" s="86"/>
      <c r="EL132" s="86"/>
      <c r="EM132" s="86"/>
      <c r="EN132" s="86"/>
      <c r="EO132" s="86"/>
      <c r="EP132" s="86"/>
      <c r="EQ132" s="86"/>
    </row>
    <row r="133" spans="1:147" ht="12.75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  <c r="CB133" s="86"/>
      <c r="CC133" s="86"/>
      <c r="CD133" s="86"/>
      <c r="CE133" s="86"/>
      <c r="CF133" s="86"/>
      <c r="CG133" s="86"/>
      <c r="CH133" s="86"/>
      <c r="CI133" s="86"/>
      <c r="CJ133" s="86"/>
      <c r="CK133" s="86"/>
      <c r="CL133" s="86"/>
      <c r="CM133" s="86"/>
      <c r="CN133" s="86"/>
      <c r="CO133" s="86"/>
      <c r="CP133" s="86"/>
      <c r="CQ133" s="86"/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6"/>
      <c r="DE133" s="86"/>
      <c r="DF133" s="86"/>
      <c r="DG133" s="86"/>
      <c r="DH133" s="86"/>
      <c r="DI133" s="86"/>
      <c r="DJ133" s="86"/>
      <c r="DK133" s="86"/>
      <c r="DL133" s="86"/>
      <c r="DM133" s="86"/>
      <c r="DN133" s="86"/>
      <c r="DO133" s="86"/>
      <c r="DP133" s="86"/>
      <c r="DQ133" s="86"/>
      <c r="DR133" s="86"/>
      <c r="DS133" s="86"/>
      <c r="DT133" s="86"/>
      <c r="DU133" s="86"/>
      <c r="DV133" s="86"/>
      <c r="DW133" s="86"/>
      <c r="DX133" s="86"/>
      <c r="DY133" s="86"/>
      <c r="DZ133" s="86"/>
      <c r="EA133" s="86"/>
      <c r="EB133" s="86"/>
      <c r="EC133" s="86"/>
      <c r="ED133" s="86"/>
      <c r="EE133" s="86"/>
      <c r="EF133" s="86"/>
      <c r="EG133" s="86"/>
      <c r="EH133" s="86"/>
      <c r="EI133" s="86"/>
      <c r="EJ133" s="86"/>
      <c r="EK133" s="86"/>
      <c r="EL133" s="86"/>
      <c r="EM133" s="86"/>
      <c r="EN133" s="86"/>
      <c r="EO133" s="86"/>
      <c r="EP133" s="86"/>
      <c r="EQ133" s="86"/>
    </row>
    <row r="134" spans="1:147" ht="12.75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86"/>
      <c r="CI134" s="86"/>
      <c r="CJ134" s="86"/>
      <c r="CK134" s="86"/>
      <c r="CL134" s="86"/>
      <c r="CM134" s="86"/>
      <c r="CN134" s="86"/>
      <c r="CO134" s="86"/>
      <c r="CP134" s="86"/>
      <c r="CQ134" s="86"/>
      <c r="CR134" s="86"/>
      <c r="CS134" s="86"/>
      <c r="CT134" s="86"/>
      <c r="CU134" s="86"/>
      <c r="CV134" s="86"/>
      <c r="CW134" s="86"/>
      <c r="CX134" s="86"/>
      <c r="CY134" s="86"/>
      <c r="CZ134" s="86"/>
      <c r="DA134" s="86"/>
      <c r="DB134" s="86"/>
      <c r="DC134" s="86"/>
      <c r="DD134" s="86"/>
      <c r="DE134" s="86"/>
      <c r="DF134" s="86"/>
      <c r="DG134" s="86"/>
      <c r="DH134" s="86"/>
      <c r="DI134" s="86"/>
      <c r="DJ134" s="86"/>
      <c r="DK134" s="86"/>
      <c r="DL134" s="86"/>
      <c r="DM134" s="86"/>
      <c r="DN134" s="86"/>
      <c r="DO134" s="86"/>
      <c r="DP134" s="86"/>
      <c r="DQ134" s="86"/>
      <c r="DR134" s="86"/>
      <c r="DS134" s="86"/>
      <c r="DT134" s="86"/>
      <c r="DU134" s="86"/>
      <c r="DV134" s="86"/>
      <c r="DW134" s="86"/>
      <c r="DX134" s="86"/>
      <c r="DY134" s="86"/>
      <c r="DZ134" s="86"/>
      <c r="EA134" s="86"/>
      <c r="EB134" s="86"/>
      <c r="EC134" s="86"/>
      <c r="ED134" s="86"/>
      <c r="EE134" s="86"/>
      <c r="EF134" s="86"/>
      <c r="EG134" s="86"/>
      <c r="EH134" s="86"/>
      <c r="EI134" s="86"/>
      <c r="EJ134" s="86"/>
      <c r="EK134" s="86"/>
      <c r="EL134" s="86"/>
      <c r="EM134" s="86"/>
      <c r="EN134" s="86"/>
      <c r="EO134" s="86"/>
      <c r="EP134" s="86"/>
      <c r="EQ134" s="86"/>
    </row>
    <row r="135" spans="1:147" ht="12.75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  <c r="BX135" s="86"/>
      <c r="BY135" s="86"/>
      <c r="BZ135" s="86"/>
      <c r="CA135" s="86"/>
      <c r="CB135" s="86"/>
      <c r="CC135" s="86"/>
      <c r="CD135" s="86"/>
      <c r="CE135" s="86"/>
      <c r="CF135" s="86"/>
      <c r="CG135" s="86"/>
      <c r="CH135" s="86"/>
      <c r="CI135" s="86"/>
      <c r="CJ135" s="86"/>
      <c r="CK135" s="86"/>
      <c r="CL135" s="86"/>
      <c r="CM135" s="86"/>
      <c r="CN135" s="86"/>
      <c r="CO135" s="86"/>
      <c r="CP135" s="86"/>
      <c r="CQ135" s="86"/>
      <c r="CR135" s="86"/>
      <c r="CS135" s="86"/>
      <c r="CT135" s="86"/>
      <c r="CU135" s="86"/>
      <c r="CV135" s="86"/>
      <c r="CW135" s="86"/>
      <c r="CX135" s="86"/>
      <c r="CY135" s="86"/>
      <c r="CZ135" s="86"/>
      <c r="DA135" s="86"/>
      <c r="DB135" s="86"/>
      <c r="DC135" s="86"/>
      <c r="DD135" s="86"/>
      <c r="DE135" s="86"/>
      <c r="DF135" s="86"/>
      <c r="DG135" s="86"/>
      <c r="DH135" s="86"/>
      <c r="DI135" s="86"/>
      <c r="DJ135" s="86"/>
      <c r="DK135" s="86"/>
      <c r="DL135" s="86"/>
      <c r="DM135" s="86"/>
      <c r="DN135" s="86"/>
      <c r="DO135" s="86"/>
      <c r="DP135" s="86"/>
      <c r="DQ135" s="86"/>
      <c r="DR135" s="86"/>
      <c r="DS135" s="86"/>
      <c r="DT135" s="86"/>
      <c r="DU135" s="86"/>
      <c r="DV135" s="86"/>
      <c r="DW135" s="86"/>
      <c r="DX135" s="86"/>
      <c r="DY135" s="86"/>
      <c r="DZ135" s="86"/>
      <c r="EA135" s="86"/>
      <c r="EB135" s="86"/>
      <c r="EC135" s="86"/>
      <c r="ED135" s="86"/>
      <c r="EE135" s="86"/>
      <c r="EF135" s="86"/>
      <c r="EG135" s="86"/>
      <c r="EH135" s="86"/>
      <c r="EI135" s="86"/>
      <c r="EJ135" s="86"/>
      <c r="EK135" s="86"/>
      <c r="EL135" s="86"/>
      <c r="EM135" s="86"/>
      <c r="EN135" s="86"/>
      <c r="EO135" s="86"/>
      <c r="EP135" s="86"/>
      <c r="EQ135" s="86"/>
    </row>
    <row r="136" spans="1:147" ht="12.75">
      <c r="A136" s="86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6"/>
      <c r="BW136" s="86"/>
      <c r="BX136" s="86"/>
      <c r="BY136" s="86"/>
      <c r="BZ136" s="86"/>
      <c r="CA136" s="86"/>
      <c r="CB136" s="86"/>
      <c r="CC136" s="86"/>
      <c r="CD136" s="86"/>
      <c r="CE136" s="86"/>
      <c r="CF136" s="86"/>
      <c r="CG136" s="86"/>
      <c r="CH136" s="86"/>
      <c r="CI136" s="86"/>
      <c r="CJ136" s="86"/>
      <c r="CK136" s="86"/>
      <c r="CL136" s="86"/>
      <c r="CM136" s="86"/>
      <c r="CN136" s="86"/>
      <c r="CO136" s="86"/>
      <c r="CP136" s="86"/>
      <c r="CQ136" s="86"/>
      <c r="CR136" s="86"/>
      <c r="CS136" s="86"/>
      <c r="CT136" s="86"/>
      <c r="CU136" s="86"/>
      <c r="CV136" s="86"/>
      <c r="CW136" s="86"/>
      <c r="CX136" s="86"/>
      <c r="CY136" s="86"/>
      <c r="CZ136" s="86"/>
      <c r="DA136" s="86"/>
      <c r="DB136" s="86"/>
      <c r="DC136" s="86"/>
      <c r="DD136" s="86"/>
      <c r="DE136" s="86"/>
      <c r="DF136" s="86"/>
      <c r="DG136" s="86"/>
      <c r="DH136" s="86"/>
      <c r="DI136" s="86"/>
      <c r="DJ136" s="86"/>
      <c r="DK136" s="86"/>
      <c r="DL136" s="86"/>
      <c r="DM136" s="86"/>
      <c r="DN136" s="86"/>
      <c r="DO136" s="86"/>
      <c r="DP136" s="86"/>
      <c r="DQ136" s="86"/>
      <c r="DR136" s="86"/>
      <c r="DS136" s="86"/>
      <c r="DT136" s="86"/>
      <c r="DU136" s="86"/>
      <c r="DV136" s="86"/>
      <c r="DW136" s="86"/>
      <c r="DX136" s="86"/>
      <c r="DY136" s="86"/>
      <c r="DZ136" s="86"/>
      <c r="EA136" s="86"/>
      <c r="EB136" s="86"/>
      <c r="EC136" s="86"/>
      <c r="ED136" s="86"/>
      <c r="EE136" s="86"/>
      <c r="EF136" s="86"/>
      <c r="EG136" s="86"/>
      <c r="EH136" s="86"/>
      <c r="EI136" s="86"/>
      <c r="EJ136" s="86"/>
      <c r="EK136" s="86"/>
      <c r="EL136" s="86"/>
      <c r="EM136" s="86"/>
      <c r="EN136" s="86"/>
      <c r="EO136" s="86"/>
      <c r="EP136" s="86"/>
      <c r="EQ136" s="86"/>
    </row>
    <row r="137" spans="1:147" ht="12.75">
      <c r="A137" s="86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  <c r="CB137" s="86"/>
      <c r="CC137" s="86"/>
      <c r="CD137" s="86"/>
      <c r="CE137" s="86"/>
      <c r="CF137" s="86"/>
      <c r="CG137" s="86"/>
      <c r="CH137" s="86"/>
      <c r="CI137" s="86"/>
      <c r="CJ137" s="86"/>
      <c r="CK137" s="86"/>
      <c r="CL137" s="86"/>
      <c r="CM137" s="86"/>
      <c r="CN137" s="86"/>
      <c r="CO137" s="86"/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6"/>
      <c r="DE137" s="86"/>
      <c r="DF137" s="86"/>
      <c r="DG137" s="86"/>
      <c r="DH137" s="86"/>
      <c r="DI137" s="86"/>
      <c r="DJ137" s="86"/>
      <c r="DK137" s="86"/>
      <c r="DL137" s="86"/>
      <c r="DM137" s="86"/>
      <c r="DN137" s="86"/>
      <c r="DO137" s="86"/>
      <c r="DP137" s="86"/>
      <c r="DQ137" s="86"/>
      <c r="DR137" s="86"/>
      <c r="DS137" s="86"/>
      <c r="DT137" s="86"/>
      <c r="DU137" s="86"/>
      <c r="DV137" s="86"/>
      <c r="DW137" s="86"/>
      <c r="DX137" s="86"/>
      <c r="DY137" s="86"/>
      <c r="DZ137" s="86"/>
      <c r="EA137" s="86"/>
      <c r="EB137" s="86"/>
      <c r="EC137" s="86"/>
      <c r="ED137" s="86"/>
      <c r="EE137" s="86"/>
      <c r="EF137" s="86"/>
      <c r="EG137" s="86"/>
      <c r="EH137" s="86"/>
      <c r="EI137" s="86"/>
      <c r="EJ137" s="86"/>
      <c r="EK137" s="86"/>
      <c r="EL137" s="86"/>
      <c r="EM137" s="86"/>
      <c r="EN137" s="86"/>
      <c r="EO137" s="86"/>
      <c r="EP137" s="86"/>
      <c r="EQ137" s="86"/>
    </row>
    <row r="138" spans="1:147" ht="12.75">
      <c r="A138" s="86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  <c r="CB138" s="86"/>
      <c r="CC138" s="86"/>
      <c r="CD138" s="86"/>
      <c r="CE138" s="86"/>
      <c r="CF138" s="86"/>
      <c r="CG138" s="86"/>
      <c r="CH138" s="86"/>
      <c r="CI138" s="86"/>
      <c r="CJ138" s="86"/>
      <c r="CK138" s="86"/>
      <c r="CL138" s="86"/>
      <c r="CM138" s="86"/>
      <c r="CN138" s="86"/>
      <c r="CO138" s="86"/>
      <c r="CP138" s="86"/>
      <c r="CQ138" s="86"/>
      <c r="CR138" s="86"/>
      <c r="CS138" s="86"/>
      <c r="CT138" s="86"/>
      <c r="CU138" s="86"/>
      <c r="CV138" s="86"/>
      <c r="CW138" s="86"/>
      <c r="CX138" s="86"/>
      <c r="CY138" s="86"/>
      <c r="CZ138" s="86"/>
      <c r="DA138" s="86"/>
      <c r="DB138" s="86"/>
      <c r="DC138" s="86"/>
      <c r="DD138" s="86"/>
      <c r="DE138" s="86"/>
      <c r="DF138" s="86"/>
      <c r="DG138" s="86"/>
      <c r="DH138" s="86"/>
      <c r="DI138" s="86"/>
      <c r="DJ138" s="86"/>
      <c r="DK138" s="86"/>
      <c r="DL138" s="86"/>
      <c r="DM138" s="86"/>
      <c r="DN138" s="86"/>
      <c r="DO138" s="86"/>
      <c r="DP138" s="86"/>
      <c r="DQ138" s="86"/>
      <c r="DR138" s="86"/>
      <c r="DS138" s="86"/>
      <c r="DT138" s="86"/>
      <c r="DU138" s="86"/>
      <c r="DV138" s="86"/>
      <c r="DW138" s="86"/>
      <c r="DX138" s="86"/>
      <c r="DY138" s="86"/>
      <c r="DZ138" s="86"/>
      <c r="EA138" s="86"/>
      <c r="EB138" s="86"/>
      <c r="EC138" s="86"/>
      <c r="ED138" s="86"/>
      <c r="EE138" s="86"/>
      <c r="EF138" s="86"/>
      <c r="EG138" s="86"/>
      <c r="EH138" s="86"/>
      <c r="EI138" s="86"/>
      <c r="EJ138" s="86"/>
      <c r="EK138" s="86"/>
      <c r="EL138" s="86"/>
      <c r="EM138" s="86"/>
      <c r="EN138" s="86"/>
      <c r="EO138" s="86"/>
      <c r="EP138" s="86"/>
      <c r="EQ138" s="86"/>
    </row>
    <row r="139" spans="1:147" ht="12.75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/>
      <c r="CA139" s="86"/>
      <c r="CB139" s="86"/>
      <c r="CC139" s="86"/>
      <c r="CD139" s="86"/>
      <c r="CE139" s="86"/>
      <c r="CF139" s="86"/>
      <c r="CG139" s="86"/>
      <c r="CH139" s="86"/>
      <c r="CI139" s="86"/>
      <c r="CJ139" s="86"/>
      <c r="CK139" s="86"/>
      <c r="CL139" s="86"/>
      <c r="CM139" s="86"/>
      <c r="CN139" s="86"/>
      <c r="CO139" s="86"/>
      <c r="CP139" s="86"/>
      <c r="CQ139" s="86"/>
      <c r="CR139" s="86"/>
      <c r="CS139" s="86"/>
      <c r="CT139" s="86"/>
      <c r="CU139" s="86"/>
      <c r="CV139" s="86"/>
      <c r="CW139" s="86"/>
      <c r="CX139" s="86"/>
      <c r="CY139" s="86"/>
      <c r="CZ139" s="86"/>
      <c r="DA139" s="86"/>
      <c r="DB139" s="86"/>
      <c r="DC139" s="86"/>
      <c r="DD139" s="86"/>
      <c r="DE139" s="86"/>
      <c r="DF139" s="86"/>
      <c r="DG139" s="86"/>
      <c r="DH139" s="86"/>
      <c r="DI139" s="86"/>
      <c r="DJ139" s="86"/>
      <c r="DK139" s="86"/>
      <c r="DL139" s="86"/>
      <c r="DM139" s="86"/>
      <c r="DN139" s="86"/>
      <c r="DO139" s="86"/>
      <c r="DP139" s="86"/>
      <c r="DQ139" s="86"/>
      <c r="DR139" s="86"/>
      <c r="DS139" s="86"/>
      <c r="DT139" s="86"/>
      <c r="DU139" s="86"/>
      <c r="DV139" s="86"/>
      <c r="DW139" s="86"/>
      <c r="DX139" s="86"/>
      <c r="DY139" s="86"/>
      <c r="DZ139" s="86"/>
      <c r="EA139" s="86"/>
      <c r="EB139" s="86"/>
      <c r="EC139" s="86"/>
      <c r="ED139" s="86"/>
      <c r="EE139" s="86"/>
      <c r="EF139" s="86"/>
      <c r="EG139" s="86"/>
      <c r="EH139" s="86"/>
      <c r="EI139" s="86"/>
      <c r="EJ139" s="86"/>
      <c r="EK139" s="86"/>
      <c r="EL139" s="86"/>
      <c r="EM139" s="86"/>
      <c r="EN139" s="86"/>
      <c r="EO139" s="86"/>
      <c r="EP139" s="86"/>
      <c r="EQ139" s="86"/>
    </row>
    <row r="140" spans="1:147" ht="12.75">
      <c r="A140" s="86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  <c r="CL140" s="86"/>
      <c r="CM140" s="86"/>
      <c r="CN140" s="86"/>
      <c r="CO140" s="86"/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  <c r="DB140" s="86"/>
      <c r="DC140" s="86"/>
      <c r="DD140" s="86"/>
      <c r="DE140" s="86"/>
      <c r="DF140" s="86"/>
      <c r="DG140" s="86"/>
      <c r="DH140" s="86"/>
      <c r="DI140" s="86"/>
      <c r="DJ140" s="86"/>
      <c r="DK140" s="86"/>
      <c r="DL140" s="86"/>
      <c r="DM140" s="86"/>
      <c r="DN140" s="86"/>
      <c r="DO140" s="86"/>
      <c r="DP140" s="86"/>
      <c r="DQ140" s="86"/>
      <c r="DR140" s="86"/>
      <c r="DS140" s="86"/>
      <c r="DT140" s="86"/>
      <c r="DU140" s="86"/>
      <c r="DV140" s="86"/>
      <c r="DW140" s="86"/>
      <c r="DX140" s="86"/>
      <c r="DY140" s="86"/>
      <c r="DZ140" s="86"/>
      <c r="EA140" s="86"/>
      <c r="EB140" s="86"/>
      <c r="EC140" s="86"/>
      <c r="ED140" s="86"/>
      <c r="EE140" s="86"/>
      <c r="EF140" s="86"/>
      <c r="EG140" s="86"/>
      <c r="EH140" s="86"/>
      <c r="EI140" s="86"/>
      <c r="EJ140" s="86"/>
      <c r="EK140" s="86"/>
      <c r="EL140" s="86"/>
      <c r="EM140" s="86"/>
      <c r="EN140" s="86"/>
      <c r="EO140" s="86"/>
      <c r="EP140" s="86"/>
      <c r="EQ140" s="86"/>
    </row>
    <row r="141" spans="1:147" ht="12.75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  <c r="BY141" s="86"/>
      <c r="BZ141" s="86"/>
      <c r="CA141" s="86"/>
      <c r="CB141" s="86"/>
      <c r="CC141" s="86"/>
      <c r="CD141" s="86"/>
      <c r="CE141" s="86"/>
      <c r="CF141" s="86"/>
      <c r="CG141" s="86"/>
      <c r="CH141" s="86"/>
      <c r="CI141" s="86"/>
      <c r="CJ141" s="86"/>
      <c r="CK141" s="86"/>
      <c r="CL141" s="86"/>
      <c r="CM141" s="86"/>
      <c r="CN141" s="86"/>
      <c r="CO141" s="86"/>
      <c r="CP141" s="86"/>
      <c r="CQ141" s="86"/>
      <c r="CR141" s="86"/>
      <c r="CS141" s="86"/>
      <c r="CT141" s="86"/>
      <c r="CU141" s="86"/>
      <c r="CV141" s="86"/>
      <c r="CW141" s="86"/>
      <c r="CX141" s="86"/>
      <c r="CY141" s="86"/>
      <c r="CZ141" s="86"/>
      <c r="DA141" s="86"/>
      <c r="DB141" s="86"/>
      <c r="DC141" s="86"/>
      <c r="DD141" s="86"/>
      <c r="DE141" s="86"/>
      <c r="DF141" s="86"/>
      <c r="DG141" s="86"/>
      <c r="DH141" s="86"/>
      <c r="DI141" s="86"/>
      <c r="DJ141" s="86"/>
      <c r="DK141" s="86"/>
      <c r="DL141" s="86"/>
      <c r="DM141" s="86"/>
      <c r="DN141" s="86"/>
      <c r="DO141" s="86"/>
      <c r="DP141" s="86"/>
      <c r="DQ141" s="86"/>
      <c r="DR141" s="86"/>
      <c r="DS141" s="86"/>
      <c r="DT141" s="86"/>
      <c r="DU141" s="86"/>
      <c r="DV141" s="86"/>
      <c r="DW141" s="86"/>
      <c r="DX141" s="86"/>
      <c r="DY141" s="86"/>
      <c r="DZ141" s="86"/>
      <c r="EA141" s="86"/>
      <c r="EB141" s="86"/>
      <c r="EC141" s="86"/>
      <c r="ED141" s="86"/>
      <c r="EE141" s="86"/>
      <c r="EF141" s="86"/>
      <c r="EG141" s="86"/>
      <c r="EH141" s="86"/>
      <c r="EI141" s="86"/>
      <c r="EJ141" s="86"/>
      <c r="EK141" s="86"/>
      <c r="EL141" s="86"/>
      <c r="EM141" s="86"/>
      <c r="EN141" s="86"/>
      <c r="EO141" s="86"/>
      <c r="EP141" s="86"/>
      <c r="EQ141" s="86"/>
    </row>
    <row r="142" spans="1:147" ht="12.75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/>
      <c r="CA142" s="86"/>
      <c r="CB142" s="86"/>
      <c r="CC142" s="86"/>
      <c r="CD142" s="86"/>
      <c r="CE142" s="86"/>
      <c r="CF142" s="86"/>
      <c r="CG142" s="86"/>
      <c r="CH142" s="86"/>
      <c r="CI142" s="86"/>
      <c r="CJ142" s="86"/>
      <c r="CK142" s="86"/>
      <c r="CL142" s="86"/>
      <c r="CM142" s="86"/>
      <c r="CN142" s="86"/>
      <c r="CO142" s="86"/>
      <c r="CP142" s="86"/>
      <c r="CQ142" s="86"/>
      <c r="CR142" s="86"/>
      <c r="CS142" s="86"/>
      <c r="CT142" s="86"/>
      <c r="CU142" s="86"/>
      <c r="CV142" s="86"/>
      <c r="CW142" s="86"/>
      <c r="CX142" s="86"/>
      <c r="CY142" s="86"/>
      <c r="CZ142" s="86"/>
      <c r="DA142" s="86"/>
      <c r="DB142" s="86"/>
      <c r="DC142" s="86"/>
      <c r="DD142" s="86"/>
      <c r="DE142" s="86"/>
      <c r="DF142" s="86"/>
      <c r="DG142" s="86"/>
      <c r="DH142" s="86"/>
      <c r="DI142" s="86"/>
      <c r="DJ142" s="86"/>
      <c r="DK142" s="86"/>
      <c r="DL142" s="86"/>
      <c r="DM142" s="86"/>
      <c r="DN142" s="86"/>
      <c r="DO142" s="86"/>
      <c r="DP142" s="86"/>
      <c r="DQ142" s="86"/>
      <c r="DR142" s="86"/>
      <c r="DS142" s="86"/>
      <c r="DT142" s="86"/>
      <c r="DU142" s="86"/>
      <c r="DV142" s="86"/>
      <c r="DW142" s="86"/>
      <c r="DX142" s="86"/>
      <c r="DY142" s="86"/>
      <c r="DZ142" s="86"/>
      <c r="EA142" s="86"/>
      <c r="EB142" s="86"/>
      <c r="EC142" s="86"/>
      <c r="ED142" s="86"/>
      <c r="EE142" s="86"/>
      <c r="EF142" s="86"/>
      <c r="EG142" s="86"/>
      <c r="EH142" s="86"/>
      <c r="EI142" s="86"/>
      <c r="EJ142" s="86"/>
      <c r="EK142" s="86"/>
      <c r="EL142" s="86"/>
      <c r="EM142" s="86"/>
      <c r="EN142" s="86"/>
      <c r="EO142" s="86"/>
      <c r="EP142" s="86"/>
      <c r="EQ142" s="86"/>
    </row>
    <row r="143" spans="1:147" ht="12.75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6"/>
      <c r="CF143" s="86"/>
      <c r="CG143" s="86"/>
      <c r="CH143" s="86"/>
      <c r="CI143" s="86"/>
      <c r="CJ143" s="86"/>
      <c r="CK143" s="86"/>
      <c r="CL143" s="86"/>
      <c r="CM143" s="86"/>
      <c r="CN143" s="86"/>
      <c r="CO143" s="86"/>
      <c r="CP143" s="86"/>
      <c r="CQ143" s="86"/>
      <c r="CR143" s="86"/>
      <c r="CS143" s="86"/>
      <c r="CT143" s="86"/>
      <c r="CU143" s="86"/>
      <c r="CV143" s="86"/>
      <c r="CW143" s="86"/>
      <c r="CX143" s="86"/>
      <c r="CY143" s="86"/>
      <c r="CZ143" s="86"/>
      <c r="DA143" s="86"/>
      <c r="DB143" s="86"/>
      <c r="DC143" s="86"/>
      <c r="DD143" s="86"/>
      <c r="DE143" s="86"/>
      <c r="DF143" s="86"/>
      <c r="DG143" s="86"/>
      <c r="DH143" s="86"/>
      <c r="DI143" s="86"/>
      <c r="DJ143" s="86"/>
      <c r="DK143" s="86"/>
      <c r="DL143" s="86"/>
      <c r="DM143" s="86"/>
      <c r="DN143" s="86"/>
      <c r="DO143" s="86"/>
      <c r="DP143" s="86"/>
      <c r="DQ143" s="86"/>
      <c r="DR143" s="86"/>
      <c r="DS143" s="86"/>
      <c r="DT143" s="86"/>
      <c r="DU143" s="86"/>
      <c r="DV143" s="86"/>
      <c r="DW143" s="86"/>
      <c r="DX143" s="86"/>
      <c r="DY143" s="86"/>
      <c r="DZ143" s="86"/>
      <c r="EA143" s="86"/>
      <c r="EB143" s="86"/>
      <c r="EC143" s="86"/>
      <c r="ED143" s="86"/>
      <c r="EE143" s="86"/>
      <c r="EF143" s="86"/>
      <c r="EG143" s="86"/>
      <c r="EH143" s="86"/>
      <c r="EI143" s="86"/>
      <c r="EJ143" s="86"/>
      <c r="EK143" s="86"/>
      <c r="EL143" s="86"/>
      <c r="EM143" s="86"/>
      <c r="EN143" s="86"/>
      <c r="EO143" s="86"/>
      <c r="EP143" s="86"/>
      <c r="EQ143" s="86"/>
    </row>
    <row r="144" spans="1:147" ht="12.75">
      <c r="A144" s="86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  <c r="CB144" s="86"/>
      <c r="CC144" s="86"/>
      <c r="CD144" s="86"/>
      <c r="CE144" s="86"/>
      <c r="CF144" s="86"/>
      <c r="CG144" s="86"/>
      <c r="CH144" s="86"/>
      <c r="CI144" s="86"/>
      <c r="CJ144" s="86"/>
      <c r="CK144" s="86"/>
      <c r="CL144" s="86"/>
      <c r="CM144" s="86"/>
      <c r="CN144" s="86"/>
      <c r="CO144" s="86"/>
      <c r="CP144" s="86"/>
      <c r="CQ144" s="86"/>
      <c r="CR144" s="86"/>
      <c r="CS144" s="86"/>
      <c r="CT144" s="86"/>
      <c r="CU144" s="86"/>
      <c r="CV144" s="86"/>
      <c r="CW144" s="86"/>
      <c r="CX144" s="86"/>
      <c r="CY144" s="86"/>
      <c r="CZ144" s="86"/>
      <c r="DA144" s="86"/>
      <c r="DB144" s="86"/>
      <c r="DC144" s="86"/>
      <c r="DD144" s="86"/>
      <c r="DE144" s="86"/>
      <c r="DF144" s="86"/>
      <c r="DG144" s="86"/>
      <c r="DH144" s="86"/>
      <c r="DI144" s="86"/>
      <c r="DJ144" s="86"/>
      <c r="DK144" s="86"/>
      <c r="DL144" s="86"/>
      <c r="DM144" s="86"/>
      <c r="DN144" s="86"/>
      <c r="DO144" s="86"/>
      <c r="DP144" s="86"/>
      <c r="DQ144" s="86"/>
      <c r="DR144" s="86"/>
      <c r="DS144" s="86"/>
      <c r="DT144" s="86"/>
      <c r="DU144" s="86"/>
      <c r="DV144" s="86"/>
      <c r="DW144" s="86"/>
      <c r="DX144" s="86"/>
      <c r="DY144" s="86"/>
      <c r="DZ144" s="86"/>
      <c r="EA144" s="86"/>
      <c r="EB144" s="86"/>
      <c r="EC144" s="86"/>
      <c r="ED144" s="86"/>
      <c r="EE144" s="86"/>
      <c r="EF144" s="86"/>
      <c r="EG144" s="86"/>
      <c r="EH144" s="86"/>
      <c r="EI144" s="86"/>
      <c r="EJ144" s="86"/>
      <c r="EK144" s="86"/>
      <c r="EL144" s="86"/>
      <c r="EM144" s="86"/>
      <c r="EN144" s="86"/>
      <c r="EO144" s="86"/>
      <c r="EP144" s="86"/>
      <c r="EQ144" s="86"/>
    </row>
    <row r="145" spans="1:147" ht="12.75">
      <c r="A145" s="86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  <c r="CE145" s="86"/>
      <c r="CF145" s="86"/>
      <c r="CG145" s="86"/>
      <c r="CH145" s="86"/>
      <c r="CI145" s="86"/>
      <c r="CJ145" s="86"/>
      <c r="CK145" s="86"/>
      <c r="CL145" s="86"/>
      <c r="CM145" s="86"/>
      <c r="CN145" s="86"/>
      <c r="CO145" s="86"/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6"/>
      <c r="DE145" s="86"/>
      <c r="DF145" s="86"/>
      <c r="DG145" s="86"/>
      <c r="DH145" s="86"/>
      <c r="DI145" s="86"/>
      <c r="DJ145" s="86"/>
      <c r="DK145" s="86"/>
      <c r="DL145" s="86"/>
      <c r="DM145" s="86"/>
      <c r="DN145" s="86"/>
      <c r="DO145" s="86"/>
      <c r="DP145" s="86"/>
      <c r="DQ145" s="86"/>
      <c r="DR145" s="86"/>
      <c r="DS145" s="86"/>
      <c r="DT145" s="86"/>
      <c r="DU145" s="86"/>
      <c r="DV145" s="86"/>
      <c r="DW145" s="86"/>
      <c r="DX145" s="86"/>
      <c r="DY145" s="86"/>
      <c r="DZ145" s="86"/>
      <c r="EA145" s="86"/>
      <c r="EB145" s="86"/>
      <c r="EC145" s="86"/>
      <c r="ED145" s="86"/>
      <c r="EE145" s="86"/>
      <c r="EF145" s="86"/>
      <c r="EG145" s="86"/>
      <c r="EH145" s="86"/>
      <c r="EI145" s="86"/>
      <c r="EJ145" s="86"/>
      <c r="EK145" s="86"/>
      <c r="EL145" s="86"/>
      <c r="EM145" s="86"/>
      <c r="EN145" s="86"/>
      <c r="EO145" s="86"/>
      <c r="EP145" s="86"/>
      <c r="EQ145" s="86"/>
    </row>
    <row r="146" spans="1:147" ht="12.75">
      <c r="A146" s="86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86"/>
      <c r="CG146" s="86"/>
      <c r="CH146" s="86"/>
      <c r="CI146" s="86"/>
      <c r="CJ146" s="86"/>
      <c r="CK146" s="86"/>
      <c r="CL146" s="86"/>
      <c r="CM146" s="86"/>
      <c r="CN146" s="86"/>
      <c r="CO146" s="86"/>
      <c r="CP146" s="86"/>
      <c r="CQ146" s="86"/>
      <c r="CR146" s="86"/>
      <c r="CS146" s="86"/>
      <c r="CT146" s="86"/>
      <c r="CU146" s="86"/>
      <c r="CV146" s="86"/>
      <c r="CW146" s="86"/>
      <c r="CX146" s="86"/>
      <c r="CY146" s="86"/>
      <c r="CZ146" s="86"/>
      <c r="DA146" s="86"/>
      <c r="DB146" s="86"/>
      <c r="DC146" s="86"/>
      <c r="DD146" s="86"/>
      <c r="DE146" s="86"/>
      <c r="DF146" s="86"/>
      <c r="DG146" s="86"/>
      <c r="DH146" s="86"/>
      <c r="DI146" s="86"/>
      <c r="DJ146" s="86"/>
      <c r="DK146" s="86"/>
      <c r="DL146" s="86"/>
      <c r="DM146" s="86"/>
      <c r="DN146" s="86"/>
      <c r="DO146" s="86"/>
      <c r="DP146" s="86"/>
      <c r="DQ146" s="86"/>
      <c r="DR146" s="86"/>
      <c r="DS146" s="86"/>
      <c r="DT146" s="86"/>
      <c r="DU146" s="86"/>
      <c r="DV146" s="86"/>
      <c r="DW146" s="86"/>
      <c r="DX146" s="86"/>
      <c r="DY146" s="86"/>
      <c r="DZ146" s="86"/>
      <c r="EA146" s="86"/>
      <c r="EB146" s="86"/>
      <c r="EC146" s="86"/>
      <c r="ED146" s="86"/>
      <c r="EE146" s="86"/>
      <c r="EF146" s="86"/>
      <c r="EG146" s="86"/>
      <c r="EH146" s="86"/>
      <c r="EI146" s="86"/>
      <c r="EJ146" s="86"/>
      <c r="EK146" s="86"/>
      <c r="EL146" s="86"/>
      <c r="EM146" s="86"/>
      <c r="EN146" s="86"/>
      <c r="EO146" s="86"/>
      <c r="EP146" s="86"/>
      <c r="EQ146" s="86"/>
    </row>
    <row r="147" spans="1:147" ht="12.75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  <c r="CB147" s="86"/>
      <c r="CC147" s="86"/>
      <c r="CD147" s="86"/>
      <c r="CE147" s="86"/>
      <c r="CF147" s="86"/>
      <c r="CG147" s="86"/>
      <c r="CH147" s="86"/>
      <c r="CI147" s="86"/>
      <c r="CJ147" s="86"/>
      <c r="CK147" s="86"/>
      <c r="CL147" s="86"/>
      <c r="CM147" s="86"/>
      <c r="CN147" s="86"/>
      <c r="CO147" s="86"/>
      <c r="CP147" s="86"/>
      <c r="CQ147" s="86"/>
      <c r="CR147" s="86"/>
      <c r="CS147" s="86"/>
      <c r="CT147" s="86"/>
      <c r="CU147" s="86"/>
      <c r="CV147" s="86"/>
      <c r="CW147" s="86"/>
      <c r="CX147" s="86"/>
      <c r="CY147" s="86"/>
      <c r="CZ147" s="86"/>
      <c r="DA147" s="86"/>
      <c r="DB147" s="86"/>
      <c r="DC147" s="86"/>
      <c r="DD147" s="86"/>
      <c r="DE147" s="86"/>
      <c r="DF147" s="86"/>
      <c r="DG147" s="86"/>
      <c r="DH147" s="86"/>
      <c r="DI147" s="86"/>
      <c r="DJ147" s="86"/>
      <c r="DK147" s="86"/>
      <c r="DL147" s="86"/>
      <c r="DM147" s="86"/>
      <c r="DN147" s="86"/>
      <c r="DO147" s="86"/>
      <c r="DP147" s="86"/>
      <c r="DQ147" s="86"/>
      <c r="DR147" s="86"/>
      <c r="DS147" s="86"/>
      <c r="DT147" s="86"/>
      <c r="DU147" s="86"/>
      <c r="DV147" s="86"/>
      <c r="DW147" s="86"/>
      <c r="DX147" s="86"/>
      <c r="DY147" s="86"/>
      <c r="DZ147" s="86"/>
      <c r="EA147" s="86"/>
      <c r="EB147" s="86"/>
      <c r="EC147" s="86"/>
      <c r="ED147" s="86"/>
      <c r="EE147" s="86"/>
      <c r="EF147" s="86"/>
      <c r="EG147" s="86"/>
      <c r="EH147" s="86"/>
      <c r="EI147" s="86"/>
      <c r="EJ147" s="86"/>
      <c r="EK147" s="86"/>
      <c r="EL147" s="86"/>
      <c r="EM147" s="86"/>
      <c r="EN147" s="86"/>
      <c r="EO147" s="86"/>
      <c r="EP147" s="86"/>
      <c r="EQ147" s="86"/>
    </row>
    <row r="148" spans="1:147" ht="12.75">
      <c r="A148" s="86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  <c r="BZ148" s="86"/>
      <c r="CA148" s="86"/>
      <c r="CB148" s="86"/>
      <c r="CC148" s="86"/>
      <c r="CD148" s="86"/>
      <c r="CE148" s="86"/>
      <c r="CF148" s="86"/>
      <c r="CG148" s="86"/>
      <c r="CH148" s="86"/>
      <c r="CI148" s="86"/>
      <c r="CJ148" s="86"/>
      <c r="CK148" s="86"/>
      <c r="CL148" s="86"/>
      <c r="CM148" s="86"/>
      <c r="CN148" s="86"/>
      <c r="CO148" s="86"/>
      <c r="CP148" s="86"/>
      <c r="CQ148" s="86"/>
      <c r="CR148" s="86"/>
      <c r="CS148" s="86"/>
      <c r="CT148" s="86"/>
      <c r="CU148" s="86"/>
      <c r="CV148" s="86"/>
      <c r="CW148" s="86"/>
      <c r="CX148" s="86"/>
      <c r="CY148" s="86"/>
      <c r="CZ148" s="86"/>
      <c r="DA148" s="86"/>
      <c r="DB148" s="86"/>
      <c r="DC148" s="86"/>
      <c r="DD148" s="86"/>
      <c r="DE148" s="86"/>
      <c r="DF148" s="86"/>
      <c r="DG148" s="86"/>
      <c r="DH148" s="86"/>
      <c r="DI148" s="86"/>
      <c r="DJ148" s="86"/>
      <c r="DK148" s="86"/>
      <c r="DL148" s="86"/>
      <c r="DM148" s="86"/>
      <c r="DN148" s="86"/>
      <c r="DO148" s="86"/>
      <c r="DP148" s="86"/>
      <c r="DQ148" s="86"/>
      <c r="DR148" s="86"/>
      <c r="DS148" s="86"/>
      <c r="DT148" s="86"/>
      <c r="DU148" s="86"/>
      <c r="DV148" s="86"/>
      <c r="DW148" s="86"/>
      <c r="DX148" s="86"/>
      <c r="DY148" s="86"/>
      <c r="DZ148" s="86"/>
      <c r="EA148" s="86"/>
      <c r="EB148" s="86"/>
      <c r="EC148" s="86"/>
      <c r="ED148" s="86"/>
      <c r="EE148" s="86"/>
      <c r="EF148" s="86"/>
      <c r="EG148" s="86"/>
      <c r="EH148" s="86"/>
      <c r="EI148" s="86"/>
      <c r="EJ148" s="86"/>
      <c r="EK148" s="86"/>
      <c r="EL148" s="86"/>
      <c r="EM148" s="86"/>
      <c r="EN148" s="86"/>
      <c r="EO148" s="86"/>
      <c r="EP148" s="86"/>
      <c r="EQ148" s="86"/>
    </row>
    <row r="149" spans="1:147" ht="12.75">
      <c r="A149" s="86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  <c r="CB149" s="86"/>
      <c r="CC149" s="86"/>
      <c r="CD149" s="86"/>
      <c r="CE149" s="86"/>
      <c r="CF149" s="86"/>
      <c r="CG149" s="86"/>
      <c r="CH149" s="86"/>
      <c r="CI149" s="86"/>
      <c r="CJ149" s="86"/>
      <c r="CK149" s="86"/>
      <c r="CL149" s="86"/>
      <c r="CM149" s="86"/>
      <c r="CN149" s="86"/>
      <c r="CO149" s="86"/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6"/>
      <c r="DE149" s="86"/>
      <c r="DF149" s="86"/>
      <c r="DG149" s="86"/>
      <c r="DH149" s="86"/>
      <c r="DI149" s="86"/>
      <c r="DJ149" s="86"/>
      <c r="DK149" s="86"/>
      <c r="DL149" s="86"/>
      <c r="DM149" s="86"/>
      <c r="DN149" s="86"/>
      <c r="DO149" s="86"/>
      <c r="DP149" s="86"/>
      <c r="DQ149" s="86"/>
      <c r="DR149" s="86"/>
      <c r="DS149" s="86"/>
      <c r="DT149" s="86"/>
      <c r="DU149" s="86"/>
      <c r="DV149" s="86"/>
      <c r="DW149" s="86"/>
      <c r="DX149" s="86"/>
      <c r="DY149" s="86"/>
      <c r="DZ149" s="86"/>
      <c r="EA149" s="86"/>
      <c r="EB149" s="86"/>
      <c r="EC149" s="86"/>
      <c r="ED149" s="86"/>
      <c r="EE149" s="86"/>
      <c r="EF149" s="86"/>
      <c r="EG149" s="86"/>
      <c r="EH149" s="86"/>
      <c r="EI149" s="86"/>
      <c r="EJ149" s="86"/>
      <c r="EK149" s="86"/>
      <c r="EL149" s="86"/>
      <c r="EM149" s="86"/>
      <c r="EN149" s="86"/>
      <c r="EO149" s="86"/>
      <c r="EP149" s="86"/>
      <c r="EQ149" s="86"/>
    </row>
    <row r="150" spans="1:147" ht="12.75">
      <c r="A150" s="86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  <c r="BY150" s="86"/>
      <c r="BZ150" s="86"/>
      <c r="CA150" s="86"/>
      <c r="CB150" s="86"/>
      <c r="CC150" s="86"/>
      <c r="CD150" s="86"/>
      <c r="CE150" s="86"/>
      <c r="CF150" s="86"/>
      <c r="CG150" s="86"/>
      <c r="CH150" s="86"/>
      <c r="CI150" s="86"/>
      <c r="CJ150" s="86"/>
      <c r="CK150" s="86"/>
      <c r="CL150" s="86"/>
      <c r="CM150" s="86"/>
      <c r="CN150" s="86"/>
      <c r="CO150" s="86"/>
      <c r="CP150" s="86"/>
      <c r="CQ150" s="86"/>
      <c r="CR150" s="86"/>
      <c r="CS150" s="86"/>
      <c r="CT150" s="86"/>
      <c r="CU150" s="86"/>
      <c r="CV150" s="86"/>
      <c r="CW150" s="86"/>
      <c r="CX150" s="86"/>
      <c r="CY150" s="86"/>
      <c r="CZ150" s="86"/>
      <c r="DA150" s="86"/>
      <c r="DB150" s="86"/>
      <c r="DC150" s="86"/>
      <c r="DD150" s="86"/>
      <c r="DE150" s="86"/>
      <c r="DF150" s="86"/>
      <c r="DG150" s="86"/>
      <c r="DH150" s="86"/>
      <c r="DI150" s="86"/>
      <c r="DJ150" s="86"/>
      <c r="DK150" s="86"/>
      <c r="DL150" s="86"/>
      <c r="DM150" s="86"/>
      <c r="DN150" s="86"/>
      <c r="DO150" s="86"/>
      <c r="DP150" s="86"/>
      <c r="DQ150" s="86"/>
      <c r="DR150" s="86"/>
      <c r="DS150" s="86"/>
      <c r="DT150" s="86"/>
      <c r="DU150" s="86"/>
      <c r="DV150" s="86"/>
      <c r="DW150" s="86"/>
      <c r="DX150" s="86"/>
      <c r="DY150" s="86"/>
      <c r="DZ150" s="86"/>
      <c r="EA150" s="86"/>
      <c r="EB150" s="86"/>
      <c r="EC150" s="86"/>
      <c r="ED150" s="86"/>
      <c r="EE150" s="86"/>
      <c r="EF150" s="86"/>
      <c r="EG150" s="86"/>
      <c r="EH150" s="86"/>
      <c r="EI150" s="86"/>
      <c r="EJ150" s="86"/>
      <c r="EK150" s="86"/>
      <c r="EL150" s="86"/>
      <c r="EM150" s="86"/>
      <c r="EN150" s="86"/>
      <c r="EO150" s="86"/>
      <c r="EP150" s="86"/>
      <c r="EQ150" s="86"/>
    </row>
    <row r="151" spans="1:147" ht="12.75">
      <c r="A151" s="86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  <c r="BY151" s="86"/>
      <c r="BZ151" s="86"/>
      <c r="CA151" s="86"/>
      <c r="CB151" s="86"/>
      <c r="CC151" s="86"/>
      <c r="CD151" s="86"/>
      <c r="CE151" s="86"/>
      <c r="CF151" s="86"/>
      <c r="CG151" s="86"/>
      <c r="CH151" s="86"/>
      <c r="CI151" s="86"/>
      <c r="CJ151" s="86"/>
      <c r="CK151" s="86"/>
      <c r="CL151" s="86"/>
      <c r="CM151" s="86"/>
      <c r="CN151" s="86"/>
      <c r="CO151" s="86"/>
      <c r="CP151" s="86"/>
      <c r="CQ151" s="86"/>
      <c r="CR151" s="86"/>
      <c r="CS151" s="86"/>
      <c r="CT151" s="86"/>
      <c r="CU151" s="86"/>
      <c r="CV151" s="86"/>
      <c r="CW151" s="86"/>
      <c r="CX151" s="86"/>
      <c r="CY151" s="86"/>
      <c r="CZ151" s="86"/>
      <c r="DA151" s="86"/>
      <c r="DB151" s="86"/>
      <c r="DC151" s="86"/>
      <c r="DD151" s="86"/>
      <c r="DE151" s="86"/>
      <c r="DF151" s="86"/>
      <c r="DG151" s="86"/>
      <c r="DH151" s="86"/>
      <c r="DI151" s="86"/>
      <c r="DJ151" s="86"/>
      <c r="DK151" s="86"/>
      <c r="DL151" s="86"/>
      <c r="DM151" s="86"/>
      <c r="DN151" s="86"/>
      <c r="DO151" s="86"/>
      <c r="DP151" s="86"/>
      <c r="DQ151" s="86"/>
      <c r="DR151" s="86"/>
      <c r="DS151" s="86"/>
      <c r="DT151" s="86"/>
      <c r="DU151" s="86"/>
      <c r="DV151" s="86"/>
      <c r="DW151" s="86"/>
      <c r="DX151" s="86"/>
      <c r="DY151" s="86"/>
      <c r="DZ151" s="86"/>
      <c r="EA151" s="86"/>
      <c r="EB151" s="86"/>
      <c r="EC151" s="86"/>
      <c r="ED151" s="86"/>
      <c r="EE151" s="86"/>
      <c r="EF151" s="86"/>
      <c r="EG151" s="86"/>
      <c r="EH151" s="86"/>
      <c r="EI151" s="86"/>
      <c r="EJ151" s="86"/>
      <c r="EK151" s="86"/>
      <c r="EL151" s="86"/>
      <c r="EM151" s="86"/>
      <c r="EN151" s="86"/>
      <c r="EO151" s="86"/>
      <c r="EP151" s="86"/>
      <c r="EQ151" s="86"/>
    </row>
    <row r="152" spans="1:147" ht="12.75">
      <c r="A152" s="86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6"/>
      <c r="BY152" s="86"/>
      <c r="BZ152" s="86"/>
      <c r="CA152" s="86"/>
      <c r="CB152" s="86"/>
      <c r="CC152" s="86"/>
      <c r="CD152" s="86"/>
      <c r="CE152" s="86"/>
      <c r="CF152" s="86"/>
      <c r="CG152" s="86"/>
      <c r="CH152" s="86"/>
      <c r="CI152" s="86"/>
      <c r="CJ152" s="86"/>
      <c r="CK152" s="86"/>
      <c r="CL152" s="86"/>
      <c r="CM152" s="86"/>
      <c r="CN152" s="86"/>
      <c r="CO152" s="86"/>
      <c r="CP152" s="86"/>
      <c r="CQ152" s="86"/>
      <c r="CR152" s="86"/>
      <c r="CS152" s="86"/>
      <c r="CT152" s="86"/>
      <c r="CU152" s="86"/>
      <c r="CV152" s="86"/>
      <c r="CW152" s="86"/>
      <c r="CX152" s="86"/>
      <c r="CY152" s="86"/>
      <c r="CZ152" s="86"/>
      <c r="DA152" s="86"/>
      <c r="DB152" s="86"/>
      <c r="DC152" s="86"/>
      <c r="DD152" s="86"/>
      <c r="DE152" s="86"/>
      <c r="DF152" s="86"/>
      <c r="DG152" s="86"/>
      <c r="DH152" s="86"/>
      <c r="DI152" s="86"/>
      <c r="DJ152" s="86"/>
      <c r="DK152" s="86"/>
      <c r="DL152" s="86"/>
      <c r="DM152" s="86"/>
      <c r="DN152" s="86"/>
      <c r="DO152" s="86"/>
      <c r="DP152" s="86"/>
      <c r="DQ152" s="86"/>
      <c r="DR152" s="86"/>
      <c r="DS152" s="86"/>
      <c r="DT152" s="86"/>
      <c r="DU152" s="86"/>
      <c r="DV152" s="86"/>
      <c r="DW152" s="86"/>
      <c r="DX152" s="86"/>
      <c r="DY152" s="86"/>
      <c r="DZ152" s="86"/>
      <c r="EA152" s="86"/>
      <c r="EB152" s="86"/>
      <c r="EC152" s="86"/>
      <c r="ED152" s="86"/>
      <c r="EE152" s="86"/>
      <c r="EF152" s="86"/>
      <c r="EG152" s="86"/>
      <c r="EH152" s="86"/>
      <c r="EI152" s="86"/>
      <c r="EJ152" s="86"/>
      <c r="EK152" s="86"/>
      <c r="EL152" s="86"/>
      <c r="EM152" s="86"/>
      <c r="EN152" s="86"/>
      <c r="EO152" s="86"/>
      <c r="EP152" s="86"/>
      <c r="EQ152" s="86"/>
    </row>
    <row r="153" spans="1:147" ht="12.75">
      <c r="A153" s="86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  <c r="BY153" s="86"/>
      <c r="BZ153" s="86"/>
      <c r="CA153" s="86"/>
      <c r="CB153" s="86"/>
      <c r="CC153" s="86"/>
      <c r="CD153" s="86"/>
      <c r="CE153" s="86"/>
      <c r="CF153" s="86"/>
      <c r="CG153" s="86"/>
      <c r="CH153" s="86"/>
      <c r="CI153" s="86"/>
      <c r="CJ153" s="86"/>
      <c r="CK153" s="86"/>
      <c r="CL153" s="86"/>
      <c r="CM153" s="86"/>
      <c r="CN153" s="86"/>
      <c r="CO153" s="86"/>
      <c r="CP153" s="86"/>
      <c r="CQ153" s="86"/>
      <c r="CR153" s="86"/>
      <c r="CS153" s="86"/>
      <c r="CT153" s="86"/>
      <c r="CU153" s="86"/>
      <c r="CV153" s="86"/>
      <c r="CW153" s="86"/>
      <c r="CX153" s="86"/>
      <c r="CY153" s="86"/>
      <c r="CZ153" s="86"/>
      <c r="DA153" s="86"/>
      <c r="DB153" s="86"/>
      <c r="DC153" s="86"/>
      <c r="DD153" s="86"/>
      <c r="DE153" s="86"/>
      <c r="DF153" s="86"/>
      <c r="DG153" s="86"/>
      <c r="DH153" s="86"/>
      <c r="DI153" s="86"/>
      <c r="DJ153" s="86"/>
      <c r="DK153" s="86"/>
      <c r="DL153" s="86"/>
      <c r="DM153" s="86"/>
      <c r="DN153" s="86"/>
      <c r="DO153" s="86"/>
      <c r="DP153" s="86"/>
      <c r="DQ153" s="86"/>
      <c r="DR153" s="86"/>
      <c r="DS153" s="86"/>
      <c r="DT153" s="86"/>
      <c r="DU153" s="86"/>
      <c r="DV153" s="86"/>
      <c r="DW153" s="86"/>
      <c r="DX153" s="86"/>
      <c r="DY153" s="86"/>
      <c r="DZ153" s="86"/>
      <c r="EA153" s="86"/>
      <c r="EB153" s="86"/>
      <c r="EC153" s="86"/>
      <c r="ED153" s="86"/>
      <c r="EE153" s="86"/>
      <c r="EF153" s="86"/>
      <c r="EG153" s="86"/>
      <c r="EH153" s="86"/>
      <c r="EI153" s="86"/>
      <c r="EJ153" s="86"/>
      <c r="EK153" s="86"/>
      <c r="EL153" s="86"/>
      <c r="EM153" s="86"/>
      <c r="EN153" s="86"/>
      <c r="EO153" s="86"/>
      <c r="EP153" s="86"/>
      <c r="EQ153" s="86"/>
    </row>
    <row r="154" spans="1:147" ht="12.75">
      <c r="A154" s="86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  <c r="BY154" s="86"/>
      <c r="BZ154" s="86"/>
      <c r="CA154" s="86"/>
      <c r="CB154" s="86"/>
      <c r="CC154" s="86"/>
      <c r="CD154" s="86"/>
      <c r="CE154" s="86"/>
      <c r="CF154" s="86"/>
      <c r="CG154" s="86"/>
      <c r="CH154" s="86"/>
      <c r="CI154" s="86"/>
      <c r="CJ154" s="86"/>
      <c r="CK154" s="86"/>
      <c r="CL154" s="86"/>
      <c r="CM154" s="86"/>
      <c r="CN154" s="86"/>
      <c r="CO154" s="86"/>
      <c r="CP154" s="86"/>
      <c r="CQ154" s="86"/>
      <c r="CR154" s="86"/>
      <c r="CS154" s="86"/>
      <c r="CT154" s="86"/>
      <c r="CU154" s="86"/>
      <c r="CV154" s="86"/>
      <c r="CW154" s="86"/>
      <c r="CX154" s="86"/>
      <c r="CY154" s="86"/>
      <c r="CZ154" s="86"/>
      <c r="DA154" s="86"/>
      <c r="DB154" s="86"/>
      <c r="DC154" s="86"/>
      <c r="DD154" s="86"/>
      <c r="DE154" s="86"/>
      <c r="DF154" s="86"/>
      <c r="DG154" s="86"/>
      <c r="DH154" s="86"/>
      <c r="DI154" s="86"/>
      <c r="DJ154" s="86"/>
      <c r="DK154" s="86"/>
      <c r="DL154" s="86"/>
      <c r="DM154" s="86"/>
      <c r="DN154" s="86"/>
      <c r="DO154" s="86"/>
      <c r="DP154" s="86"/>
      <c r="DQ154" s="86"/>
      <c r="DR154" s="86"/>
      <c r="DS154" s="86"/>
      <c r="DT154" s="86"/>
      <c r="DU154" s="86"/>
      <c r="DV154" s="86"/>
      <c r="DW154" s="86"/>
      <c r="DX154" s="86"/>
      <c r="DY154" s="86"/>
      <c r="DZ154" s="86"/>
      <c r="EA154" s="86"/>
      <c r="EB154" s="86"/>
      <c r="EC154" s="86"/>
      <c r="ED154" s="86"/>
      <c r="EE154" s="86"/>
      <c r="EF154" s="86"/>
      <c r="EG154" s="86"/>
      <c r="EH154" s="86"/>
      <c r="EI154" s="86"/>
      <c r="EJ154" s="86"/>
      <c r="EK154" s="86"/>
      <c r="EL154" s="86"/>
      <c r="EM154" s="86"/>
      <c r="EN154" s="86"/>
      <c r="EO154" s="86"/>
      <c r="EP154" s="86"/>
      <c r="EQ154" s="86"/>
    </row>
    <row r="155" spans="1:147" ht="12.75">
      <c r="A155" s="86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  <c r="BY155" s="86"/>
      <c r="BZ155" s="86"/>
      <c r="CA155" s="86"/>
      <c r="CB155" s="86"/>
      <c r="CC155" s="86"/>
      <c r="CD155" s="86"/>
      <c r="CE155" s="86"/>
      <c r="CF155" s="86"/>
      <c r="CG155" s="86"/>
      <c r="CH155" s="86"/>
      <c r="CI155" s="86"/>
      <c r="CJ155" s="86"/>
      <c r="CK155" s="86"/>
      <c r="CL155" s="86"/>
      <c r="CM155" s="86"/>
      <c r="CN155" s="86"/>
      <c r="CO155" s="86"/>
      <c r="CP155" s="86"/>
      <c r="CQ155" s="86"/>
      <c r="CR155" s="86"/>
      <c r="CS155" s="86"/>
      <c r="CT155" s="86"/>
      <c r="CU155" s="86"/>
      <c r="CV155" s="86"/>
      <c r="CW155" s="86"/>
      <c r="CX155" s="86"/>
      <c r="CY155" s="86"/>
      <c r="CZ155" s="86"/>
      <c r="DA155" s="86"/>
      <c r="DB155" s="86"/>
      <c r="DC155" s="86"/>
      <c r="DD155" s="86"/>
      <c r="DE155" s="86"/>
      <c r="DF155" s="86"/>
      <c r="DG155" s="86"/>
      <c r="DH155" s="86"/>
      <c r="DI155" s="86"/>
      <c r="DJ155" s="86"/>
      <c r="DK155" s="86"/>
      <c r="DL155" s="86"/>
      <c r="DM155" s="86"/>
      <c r="DN155" s="86"/>
      <c r="DO155" s="86"/>
      <c r="DP155" s="86"/>
      <c r="DQ155" s="86"/>
      <c r="DR155" s="86"/>
      <c r="DS155" s="86"/>
      <c r="DT155" s="86"/>
      <c r="DU155" s="86"/>
      <c r="DV155" s="86"/>
      <c r="DW155" s="86"/>
      <c r="DX155" s="86"/>
      <c r="DY155" s="86"/>
      <c r="DZ155" s="86"/>
      <c r="EA155" s="86"/>
      <c r="EB155" s="86"/>
      <c r="EC155" s="86"/>
      <c r="ED155" s="86"/>
      <c r="EE155" s="86"/>
      <c r="EF155" s="86"/>
      <c r="EG155" s="86"/>
      <c r="EH155" s="86"/>
      <c r="EI155" s="86"/>
      <c r="EJ155" s="86"/>
      <c r="EK155" s="86"/>
      <c r="EL155" s="86"/>
      <c r="EM155" s="86"/>
      <c r="EN155" s="86"/>
      <c r="EO155" s="86"/>
      <c r="EP155" s="86"/>
      <c r="EQ155" s="86"/>
    </row>
    <row r="156" spans="1:147" ht="12.75">
      <c r="A156" s="86"/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A156" s="86"/>
      <c r="CB156" s="86"/>
      <c r="CC156" s="86"/>
      <c r="CD156" s="86"/>
      <c r="CE156" s="86"/>
      <c r="CF156" s="86"/>
      <c r="CG156" s="86"/>
      <c r="CH156" s="86"/>
      <c r="CI156" s="86"/>
      <c r="CJ156" s="86"/>
      <c r="CK156" s="86"/>
      <c r="CL156" s="86"/>
      <c r="CM156" s="86"/>
      <c r="CN156" s="86"/>
      <c r="CO156" s="86"/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6"/>
      <c r="DC156" s="86"/>
      <c r="DD156" s="86"/>
      <c r="DE156" s="86"/>
      <c r="DF156" s="86"/>
      <c r="DG156" s="86"/>
      <c r="DH156" s="86"/>
      <c r="DI156" s="86"/>
      <c r="DJ156" s="86"/>
      <c r="DK156" s="86"/>
      <c r="DL156" s="86"/>
      <c r="DM156" s="86"/>
      <c r="DN156" s="86"/>
      <c r="DO156" s="86"/>
      <c r="DP156" s="86"/>
      <c r="DQ156" s="86"/>
      <c r="DR156" s="86"/>
      <c r="DS156" s="86"/>
      <c r="DT156" s="86"/>
      <c r="DU156" s="86"/>
      <c r="DV156" s="86"/>
      <c r="DW156" s="86"/>
      <c r="DX156" s="86"/>
      <c r="DY156" s="86"/>
      <c r="DZ156" s="86"/>
      <c r="EA156" s="86"/>
      <c r="EB156" s="86"/>
      <c r="EC156" s="86"/>
      <c r="ED156" s="86"/>
      <c r="EE156" s="86"/>
      <c r="EF156" s="86"/>
      <c r="EG156" s="86"/>
      <c r="EH156" s="86"/>
      <c r="EI156" s="86"/>
      <c r="EJ156" s="86"/>
      <c r="EK156" s="86"/>
      <c r="EL156" s="86"/>
      <c r="EM156" s="86"/>
      <c r="EN156" s="86"/>
      <c r="EO156" s="86"/>
      <c r="EP156" s="86"/>
      <c r="EQ156" s="86"/>
    </row>
    <row r="157" spans="1:147" ht="12.75">
      <c r="A157" s="86"/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  <c r="BY157" s="86"/>
      <c r="BZ157" s="86"/>
      <c r="CA157" s="86"/>
      <c r="CB157" s="86"/>
      <c r="CC157" s="86"/>
      <c r="CD157" s="86"/>
      <c r="CE157" s="86"/>
      <c r="CF157" s="86"/>
      <c r="CG157" s="86"/>
      <c r="CH157" s="86"/>
      <c r="CI157" s="86"/>
      <c r="CJ157" s="86"/>
      <c r="CK157" s="86"/>
      <c r="CL157" s="86"/>
      <c r="CM157" s="86"/>
      <c r="CN157" s="86"/>
      <c r="CO157" s="86"/>
      <c r="CP157" s="86"/>
      <c r="CQ157" s="86"/>
      <c r="CR157" s="86"/>
      <c r="CS157" s="86"/>
      <c r="CT157" s="86"/>
      <c r="CU157" s="86"/>
      <c r="CV157" s="86"/>
      <c r="CW157" s="86"/>
      <c r="CX157" s="86"/>
      <c r="CY157" s="86"/>
      <c r="CZ157" s="86"/>
      <c r="DA157" s="86"/>
      <c r="DB157" s="86"/>
      <c r="DC157" s="86"/>
      <c r="DD157" s="86"/>
      <c r="DE157" s="86"/>
      <c r="DF157" s="86"/>
      <c r="DG157" s="86"/>
      <c r="DH157" s="86"/>
      <c r="DI157" s="86"/>
      <c r="DJ157" s="86"/>
      <c r="DK157" s="86"/>
      <c r="DL157" s="86"/>
      <c r="DM157" s="86"/>
      <c r="DN157" s="86"/>
      <c r="DO157" s="86"/>
      <c r="DP157" s="86"/>
      <c r="DQ157" s="86"/>
      <c r="DR157" s="86"/>
      <c r="DS157" s="86"/>
      <c r="DT157" s="86"/>
      <c r="DU157" s="86"/>
      <c r="DV157" s="86"/>
      <c r="DW157" s="86"/>
      <c r="DX157" s="86"/>
      <c r="DY157" s="86"/>
      <c r="DZ157" s="86"/>
      <c r="EA157" s="86"/>
      <c r="EB157" s="86"/>
      <c r="EC157" s="86"/>
      <c r="ED157" s="86"/>
      <c r="EE157" s="86"/>
      <c r="EF157" s="86"/>
      <c r="EG157" s="86"/>
      <c r="EH157" s="86"/>
      <c r="EI157" s="86"/>
      <c r="EJ157" s="86"/>
      <c r="EK157" s="86"/>
      <c r="EL157" s="86"/>
      <c r="EM157" s="86"/>
      <c r="EN157" s="86"/>
      <c r="EO157" s="86"/>
      <c r="EP157" s="86"/>
      <c r="EQ157" s="86"/>
    </row>
    <row r="158" spans="1:147" ht="12.75">
      <c r="A158" s="86"/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6"/>
      <c r="BY158" s="86"/>
      <c r="BZ158" s="86"/>
      <c r="CA158" s="86"/>
      <c r="CB158" s="86"/>
      <c r="CC158" s="86"/>
      <c r="CD158" s="86"/>
      <c r="CE158" s="86"/>
      <c r="CF158" s="86"/>
      <c r="CG158" s="86"/>
      <c r="CH158" s="86"/>
      <c r="CI158" s="86"/>
      <c r="CJ158" s="86"/>
      <c r="CK158" s="86"/>
      <c r="CL158" s="86"/>
      <c r="CM158" s="86"/>
      <c r="CN158" s="86"/>
      <c r="CO158" s="86"/>
      <c r="CP158" s="86"/>
      <c r="CQ158" s="86"/>
      <c r="CR158" s="86"/>
      <c r="CS158" s="86"/>
      <c r="CT158" s="86"/>
      <c r="CU158" s="86"/>
      <c r="CV158" s="86"/>
      <c r="CW158" s="86"/>
      <c r="CX158" s="86"/>
      <c r="CY158" s="86"/>
      <c r="CZ158" s="86"/>
      <c r="DA158" s="86"/>
      <c r="DB158" s="86"/>
      <c r="DC158" s="86"/>
      <c r="DD158" s="86"/>
      <c r="DE158" s="86"/>
      <c r="DF158" s="86"/>
      <c r="DG158" s="86"/>
      <c r="DH158" s="86"/>
      <c r="DI158" s="86"/>
      <c r="DJ158" s="86"/>
      <c r="DK158" s="86"/>
      <c r="DL158" s="86"/>
      <c r="DM158" s="86"/>
      <c r="DN158" s="86"/>
      <c r="DO158" s="86"/>
      <c r="DP158" s="86"/>
      <c r="DQ158" s="86"/>
      <c r="DR158" s="86"/>
      <c r="DS158" s="86"/>
      <c r="DT158" s="86"/>
      <c r="DU158" s="86"/>
      <c r="DV158" s="86"/>
      <c r="DW158" s="86"/>
      <c r="DX158" s="86"/>
      <c r="DY158" s="86"/>
      <c r="DZ158" s="86"/>
      <c r="EA158" s="86"/>
      <c r="EB158" s="86"/>
      <c r="EC158" s="86"/>
      <c r="ED158" s="86"/>
      <c r="EE158" s="86"/>
      <c r="EF158" s="86"/>
      <c r="EG158" s="86"/>
      <c r="EH158" s="86"/>
      <c r="EI158" s="86"/>
      <c r="EJ158" s="86"/>
      <c r="EK158" s="86"/>
      <c r="EL158" s="86"/>
      <c r="EM158" s="86"/>
      <c r="EN158" s="86"/>
      <c r="EO158" s="86"/>
      <c r="EP158" s="86"/>
      <c r="EQ158" s="86"/>
    </row>
    <row r="159" spans="1:147" ht="12.75">
      <c r="A159" s="86"/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6"/>
      <c r="BY159" s="86"/>
      <c r="BZ159" s="86"/>
      <c r="CA159" s="86"/>
      <c r="CB159" s="86"/>
      <c r="CC159" s="86"/>
      <c r="CD159" s="86"/>
      <c r="CE159" s="86"/>
      <c r="CF159" s="86"/>
      <c r="CG159" s="86"/>
      <c r="CH159" s="86"/>
      <c r="CI159" s="86"/>
      <c r="CJ159" s="86"/>
      <c r="CK159" s="86"/>
      <c r="CL159" s="86"/>
      <c r="CM159" s="86"/>
      <c r="CN159" s="86"/>
      <c r="CO159" s="86"/>
      <c r="CP159" s="86"/>
      <c r="CQ159" s="86"/>
      <c r="CR159" s="86"/>
      <c r="CS159" s="86"/>
      <c r="CT159" s="86"/>
      <c r="CU159" s="86"/>
      <c r="CV159" s="86"/>
      <c r="CW159" s="86"/>
      <c r="CX159" s="86"/>
      <c r="CY159" s="86"/>
      <c r="CZ159" s="86"/>
      <c r="DA159" s="86"/>
      <c r="DB159" s="86"/>
      <c r="DC159" s="86"/>
      <c r="DD159" s="86"/>
      <c r="DE159" s="86"/>
      <c r="DF159" s="86"/>
      <c r="DG159" s="86"/>
      <c r="DH159" s="86"/>
      <c r="DI159" s="86"/>
      <c r="DJ159" s="86"/>
      <c r="DK159" s="86"/>
      <c r="DL159" s="86"/>
      <c r="DM159" s="86"/>
      <c r="DN159" s="86"/>
      <c r="DO159" s="86"/>
      <c r="DP159" s="86"/>
      <c r="DQ159" s="86"/>
      <c r="DR159" s="86"/>
      <c r="DS159" s="86"/>
      <c r="DT159" s="86"/>
      <c r="DU159" s="86"/>
      <c r="DV159" s="86"/>
      <c r="DW159" s="86"/>
      <c r="DX159" s="86"/>
      <c r="DY159" s="86"/>
      <c r="DZ159" s="86"/>
      <c r="EA159" s="86"/>
      <c r="EB159" s="86"/>
      <c r="EC159" s="86"/>
      <c r="ED159" s="86"/>
      <c r="EE159" s="86"/>
      <c r="EF159" s="86"/>
      <c r="EG159" s="86"/>
      <c r="EH159" s="86"/>
      <c r="EI159" s="86"/>
      <c r="EJ159" s="86"/>
      <c r="EK159" s="86"/>
      <c r="EL159" s="86"/>
      <c r="EM159" s="86"/>
      <c r="EN159" s="86"/>
      <c r="EO159" s="86"/>
      <c r="EP159" s="86"/>
      <c r="EQ159" s="86"/>
    </row>
    <row r="160" spans="1:147" ht="12.75">
      <c r="A160" s="86"/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  <c r="BY160" s="86"/>
      <c r="BZ160" s="86"/>
      <c r="CA160" s="86"/>
      <c r="CB160" s="86"/>
      <c r="CC160" s="86"/>
      <c r="CD160" s="86"/>
      <c r="CE160" s="86"/>
      <c r="CF160" s="86"/>
      <c r="CG160" s="86"/>
      <c r="CH160" s="86"/>
      <c r="CI160" s="86"/>
      <c r="CJ160" s="86"/>
      <c r="CK160" s="86"/>
      <c r="CL160" s="86"/>
      <c r="CM160" s="86"/>
      <c r="CN160" s="86"/>
      <c r="CO160" s="86"/>
      <c r="CP160" s="86"/>
      <c r="CQ160" s="86"/>
      <c r="CR160" s="86"/>
      <c r="CS160" s="86"/>
      <c r="CT160" s="86"/>
      <c r="CU160" s="86"/>
      <c r="CV160" s="86"/>
      <c r="CW160" s="86"/>
      <c r="CX160" s="86"/>
      <c r="CY160" s="86"/>
      <c r="CZ160" s="86"/>
      <c r="DA160" s="86"/>
      <c r="DB160" s="86"/>
      <c r="DC160" s="86"/>
      <c r="DD160" s="86"/>
      <c r="DE160" s="86"/>
      <c r="DF160" s="86"/>
      <c r="DG160" s="86"/>
      <c r="DH160" s="86"/>
      <c r="DI160" s="86"/>
      <c r="DJ160" s="86"/>
      <c r="DK160" s="86"/>
      <c r="DL160" s="86"/>
      <c r="DM160" s="86"/>
      <c r="DN160" s="86"/>
      <c r="DO160" s="86"/>
      <c r="DP160" s="86"/>
      <c r="DQ160" s="86"/>
      <c r="DR160" s="86"/>
      <c r="DS160" s="86"/>
      <c r="DT160" s="86"/>
      <c r="DU160" s="86"/>
      <c r="DV160" s="86"/>
      <c r="DW160" s="86"/>
      <c r="DX160" s="86"/>
      <c r="DY160" s="86"/>
      <c r="DZ160" s="86"/>
      <c r="EA160" s="86"/>
      <c r="EB160" s="86"/>
      <c r="EC160" s="86"/>
      <c r="ED160" s="86"/>
      <c r="EE160" s="86"/>
      <c r="EF160" s="86"/>
      <c r="EG160" s="86"/>
      <c r="EH160" s="86"/>
      <c r="EI160" s="86"/>
      <c r="EJ160" s="86"/>
      <c r="EK160" s="86"/>
      <c r="EL160" s="86"/>
      <c r="EM160" s="86"/>
      <c r="EN160" s="86"/>
      <c r="EO160" s="86"/>
      <c r="EP160" s="86"/>
      <c r="EQ160" s="86"/>
    </row>
    <row r="161" spans="1:147" ht="12.75">
      <c r="A161" s="86"/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6"/>
      <c r="BZ161" s="86"/>
      <c r="CA161" s="86"/>
      <c r="CB161" s="86"/>
      <c r="CC161" s="86"/>
      <c r="CD161" s="86"/>
      <c r="CE161" s="86"/>
      <c r="CF161" s="86"/>
      <c r="CG161" s="86"/>
      <c r="CH161" s="86"/>
      <c r="CI161" s="86"/>
      <c r="CJ161" s="86"/>
      <c r="CK161" s="86"/>
      <c r="CL161" s="86"/>
      <c r="CM161" s="86"/>
      <c r="CN161" s="86"/>
      <c r="CO161" s="86"/>
      <c r="CP161" s="86"/>
      <c r="CQ161" s="86"/>
      <c r="CR161" s="86"/>
      <c r="CS161" s="86"/>
      <c r="CT161" s="86"/>
      <c r="CU161" s="86"/>
      <c r="CV161" s="86"/>
      <c r="CW161" s="86"/>
      <c r="CX161" s="86"/>
      <c r="CY161" s="86"/>
      <c r="CZ161" s="86"/>
      <c r="DA161" s="86"/>
      <c r="DB161" s="86"/>
      <c r="DC161" s="86"/>
      <c r="DD161" s="86"/>
      <c r="DE161" s="86"/>
      <c r="DF161" s="86"/>
      <c r="DG161" s="86"/>
      <c r="DH161" s="86"/>
      <c r="DI161" s="86"/>
      <c r="DJ161" s="86"/>
      <c r="DK161" s="86"/>
      <c r="DL161" s="86"/>
      <c r="DM161" s="86"/>
      <c r="DN161" s="86"/>
      <c r="DO161" s="86"/>
      <c r="DP161" s="86"/>
      <c r="DQ161" s="86"/>
      <c r="DR161" s="86"/>
      <c r="DS161" s="86"/>
      <c r="DT161" s="86"/>
      <c r="DU161" s="86"/>
      <c r="DV161" s="86"/>
      <c r="DW161" s="86"/>
      <c r="DX161" s="86"/>
      <c r="DY161" s="86"/>
      <c r="DZ161" s="86"/>
      <c r="EA161" s="86"/>
      <c r="EB161" s="86"/>
      <c r="EC161" s="86"/>
      <c r="ED161" s="86"/>
      <c r="EE161" s="86"/>
      <c r="EF161" s="86"/>
      <c r="EG161" s="86"/>
      <c r="EH161" s="86"/>
      <c r="EI161" s="86"/>
      <c r="EJ161" s="86"/>
      <c r="EK161" s="86"/>
      <c r="EL161" s="86"/>
      <c r="EM161" s="86"/>
      <c r="EN161" s="86"/>
      <c r="EO161" s="86"/>
      <c r="EP161" s="86"/>
      <c r="EQ161" s="86"/>
    </row>
    <row r="162" spans="1:147" ht="12.75">
      <c r="A162" s="86"/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  <c r="BY162" s="86"/>
      <c r="BZ162" s="86"/>
      <c r="CA162" s="86"/>
      <c r="CB162" s="86"/>
      <c r="CC162" s="86"/>
      <c r="CD162" s="86"/>
      <c r="CE162" s="86"/>
      <c r="CF162" s="86"/>
      <c r="CG162" s="86"/>
      <c r="CH162" s="86"/>
      <c r="CI162" s="86"/>
      <c r="CJ162" s="86"/>
      <c r="CK162" s="86"/>
      <c r="CL162" s="86"/>
      <c r="CM162" s="86"/>
      <c r="CN162" s="86"/>
      <c r="CO162" s="86"/>
      <c r="CP162" s="86"/>
      <c r="CQ162" s="86"/>
      <c r="CR162" s="86"/>
      <c r="CS162" s="86"/>
      <c r="CT162" s="86"/>
      <c r="CU162" s="86"/>
      <c r="CV162" s="86"/>
      <c r="CW162" s="86"/>
      <c r="CX162" s="86"/>
      <c r="CY162" s="86"/>
      <c r="CZ162" s="86"/>
      <c r="DA162" s="86"/>
      <c r="DB162" s="86"/>
      <c r="DC162" s="86"/>
      <c r="DD162" s="86"/>
      <c r="DE162" s="86"/>
      <c r="DF162" s="86"/>
      <c r="DG162" s="86"/>
      <c r="DH162" s="86"/>
      <c r="DI162" s="86"/>
      <c r="DJ162" s="86"/>
      <c r="DK162" s="86"/>
      <c r="DL162" s="86"/>
      <c r="DM162" s="86"/>
      <c r="DN162" s="86"/>
      <c r="DO162" s="86"/>
      <c r="DP162" s="86"/>
      <c r="DQ162" s="86"/>
      <c r="DR162" s="86"/>
      <c r="DS162" s="86"/>
      <c r="DT162" s="86"/>
      <c r="DU162" s="86"/>
      <c r="DV162" s="86"/>
      <c r="DW162" s="86"/>
      <c r="DX162" s="86"/>
      <c r="DY162" s="86"/>
      <c r="DZ162" s="86"/>
      <c r="EA162" s="86"/>
      <c r="EB162" s="86"/>
      <c r="EC162" s="86"/>
      <c r="ED162" s="86"/>
      <c r="EE162" s="86"/>
      <c r="EF162" s="86"/>
      <c r="EG162" s="86"/>
      <c r="EH162" s="86"/>
      <c r="EI162" s="86"/>
      <c r="EJ162" s="86"/>
      <c r="EK162" s="86"/>
      <c r="EL162" s="86"/>
      <c r="EM162" s="86"/>
      <c r="EN162" s="86"/>
      <c r="EO162" s="86"/>
      <c r="EP162" s="86"/>
      <c r="EQ162" s="86"/>
    </row>
    <row r="163" spans="1:147" ht="12.75">
      <c r="A163" s="86"/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  <c r="BY163" s="86"/>
      <c r="BZ163" s="86"/>
      <c r="CA163" s="86"/>
      <c r="CB163" s="86"/>
      <c r="CC163" s="86"/>
      <c r="CD163" s="86"/>
      <c r="CE163" s="86"/>
      <c r="CF163" s="86"/>
      <c r="CG163" s="86"/>
      <c r="CH163" s="86"/>
      <c r="CI163" s="86"/>
      <c r="CJ163" s="86"/>
      <c r="CK163" s="86"/>
      <c r="CL163" s="86"/>
      <c r="CM163" s="86"/>
      <c r="CN163" s="86"/>
      <c r="CO163" s="86"/>
      <c r="CP163" s="86"/>
      <c r="CQ163" s="86"/>
      <c r="CR163" s="86"/>
      <c r="CS163" s="86"/>
      <c r="CT163" s="86"/>
      <c r="CU163" s="86"/>
      <c r="CV163" s="86"/>
      <c r="CW163" s="86"/>
      <c r="CX163" s="86"/>
      <c r="CY163" s="86"/>
      <c r="CZ163" s="86"/>
      <c r="DA163" s="86"/>
      <c r="DB163" s="86"/>
      <c r="DC163" s="86"/>
      <c r="DD163" s="86"/>
      <c r="DE163" s="86"/>
      <c r="DF163" s="86"/>
      <c r="DG163" s="86"/>
      <c r="DH163" s="86"/>
      <c r="DI163" s="86"/>
      <c r="DJ163" s="86"/>
      <c r="DK163" s="86"/>
      <c r="DL163" s="86"/>
      <c r="DM163" s="86"/>
      <c r="DN163" s="86"/>
      <c r="DO163" s="86"/>
      <c r="DP163" s="86"/>
      <c r="DQ163" s="86"/>
      <c r="DR163" s="86"/>
      <c r="DS163" s="86"/>
      <c r="DT163" s="86"/>
      <c r="DU163" s="86"/>
      <c r="DV163" s="86"/>
      <c r="DW163" s="86"/>
      <c r="DX163" s="86"/>
      <c r="DY163" s="86"/>
      <c r="DZ163" s="86"/>
      <c r="EA163" s="86"/>
      <c r="EB163" s="86"/>
      <c r="EC163" s="86"/>
      <c r="ED163" s="86"/>
      <c r="EE163" s="86"/>
      <c r="EF163" s="86"/>
      <c r="EG163" s="86"/>
      <c r="EH163" s="86"/>
      <c r="EI163" s="86"/>
      <c r="EJ163" s="86"/>
      <c r="EK163" s="86"/>
      <c r="EL163" s="86"/>
      <c r="EM163" s="86"/>
      <c r="EN163" s="86"/>
      <c r="EO163" s="86"/>
      <c r="EP163" s="86"/>
      <c r="EQ163" s="86"/>
    </row>
    <row r="164" spans="1:147" ht="12.75">
      <c r="A164" s="86"/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  <c r="BX164" s="86"/>
      <c r="BY164" s="86"/>
      <c r="BZ164" s="86"/>
      <c r="CA164" s="86"/>
      <c r="CB164" s="86"/>
      <c r="CC164" s="86"/>
      <c r="CD164" s="86"/>
      <c r="CE164" s="86"/>
      <c r="CF164" s="86"/>
      <c r="CG164" s="86"/>
      <c r="CH164" s="86"/>
      <c r="CI164" s="86"/>
      <c r="CJ164" s="86"/>
      <c r="CK164" s="86"/>
      <c r="CL164" s="86"/>
      <c r="CM164" s="86"/>
      <c r="CN164" s="86"/>
      <c r="CO164" s="86"/>
      <c r="CP164" s="86"/>
      <c r="CQ164" s="86"/>
      <c r="CR164" s="86"/>
      <c r="CS164" s="86"/>
      <c r="CT164" s="86"/>
      <c r="CU164" s="86"/>
      <c r="CV164" s="86"/>
      <c r="CW164" s="86"/>
      <c r="CX164" s="86"/>
      <c r="CY164" s="86"/>
      <c r="CZ164" s="86"/>
      <c r="DA164" s="86"/>
      <c r="DB164" s="86"/>
      <c r="DC164" s="86"/>
      <c r="DD164" s="86"/>
      <c r="DE164" s="86"/>
      <c r="DF164" s="86"/>
      <c r="DG164" s="86"/>
      <c r="DH164" s="86"/>
      <c r="DI164" s="86"/>
      <c r="DJ164" s="86"/>
      <c r="DK164" s="86"/>
      <c r="DL164" s="86"/>
      <c r="DM164" s="86"/>
      <c r="DN164" s="86"/>
      <c r="DO164" s="86"/>
      <c r="DP164" s="86"/>
      <c r="DQ164" s="86"/>
      <c r="DR164" s="86"/>
      <c r="DS164" s="86"/>
      <c r="DT164" s="86"/>
      <c r="DU164" s="86"/>
      <c r="DV164" s="86"/>
      <c r="DW164" s="86"/>
      <c r="DX164" s="86"/>
      <c r="DY164" s="86"/>
      <c r="DZ164" s="86"/>
      <c r="EA164" s="86"/>
      <c r="EB164" s="86"/>
      <c r="EC164" s="86"/>
      <c r="ED164" s="86"/>
      <c r="EE164" s="86"/>
      <c r="EF164" s="86"/>
      <c r="EG164" s="86"/>
      <c r="EH164" s="86"/>
      <c r="EI164" s="86"/>
      <c r="EJ164" s="86"/>
      <c r="EK164" s="86"/>
      <c r="EL164" s="86"/>
      <c r="EM164" s="86"/>
      <c r="EN164" s="86"/>
      <c r="EO164" s="86"/>
      <c r="EP164" s="86"/>
      <c r="EQ164" s="86"/>
    </row>
    <row r="165" spans="1:147" ht="12.75">
      <c r="A165" s="86"/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  <c r="BV165" s="86"/>
      <c r="BW165" s="86"/>
      <c r="BX165" s="86"/>
      <c r="BY165" s="86"/>
      <c r="BZ165" s="86"/>
      <c r="CA165" s="86"/>
      <c r="CB165" s="86"/>
      <c r="CC165" s="86"/>
      <c r="CD165" s="86"/>
      <c r="CE165" s="86"/>
      <c r="CF165" s="86"/>
      <c r="CG165" s="86"/>
      <c r="CH165" s="86"/>
      <c r="CI165" s="86"/>
      <c r="CJ165" s="86"/>
      <c r="CK165" s="86"/>
      <c r="CL165" s="86"/>
      <c r="CM165" s="86"/>
      <c r="CN165" s="86"/>
      <c r="CO165" s="86"/>
      <c r="CP165" s="86"/>
      <c r="CQ165" s="86"/>
      <c r="CR165" s="86"/>
      <c r="CS165" s="86"/>
      <c r="CT165" s="86"/>
      <c r="CU165" s="86"/>
      <c r="CV165" s="86"/>
      <c r="CW165" s="86"/>
      <c r="CX165" s="86"/>
      <c r="CY165" s="86"/>
      <c r="CZ165" s="86"/>
      <c r="DA165" s="86"/>
      <c r="DB165" s="86"/>
      <c r="DC165" s="86"/>
      <c r="DD165" s="86"/>
      <c r="DE165" s="86"/>
      <c r="DF165" s="86"/>
      <c r="DG165" s="86"/>
      <c r="DH165" s="86"/>
      <c r="DI165" s="86"/>
      <c r="DJ165" s="86"/>
      <c r="DK165" s="86"/>
      <c r="DL165" s="86"/>
      <c r="DM165" s="86"/>
      <c r="DN165" s="86"/>
      <c r="DO165" s="86"/>
      <c r="DP165" s="86"/>
      <c r="DQ165" s="86"/>
      <c r="DR165" s="86"/>
      <c r="DS165" s="86"/>
      <c r="DT165" s="86"/>
      <c r="DU165" s="86"/>
      <c r="DV165" s="86"/>
      <c r="DW165" s="86"/>
      <c r="DX165" s="86"/>
      <c r="DY165" s="86"/>
      <c r="DZ165" s="86"/>
      <c r="EA165" s="86"/>
      <c r="EB165" s="86"/>
      <c r="EC165" s="86"/>
      <c r="ED165" s="86"/>
      <c r="EE165" s="86"/>
      <c r="EF165" s="86"/>
      <c r="EG165" s="86"/>
      <c r="EH165" s="86"/>
      <c r="EI165" s="86"/>
      <c r="EJ165" s="86"/>
      <c r="EK165" s="86"/>
      <c r="EL165" s="86"/>
      <c r="EM165" s="86"/>
      <c r="EN165" s="86"/>
      <c r="EO165" s="86"/>
      <c r="EP165" s="86"/>
      <c r="EQ165" s="86"/>
    </row>
    <row r="166" spans="1:147" ht="12.75">
      <c r="A166" s="86"/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  <c r="BV166" s="86"/>
      <c r="BW166" s="86"/>
      <c r="BX166" s="86"/>
      <c r="BY166" s="86"/>
      <c r="BZ166" s="86"/>
      <c r="CA166" s="86"/>
      <c r="CB166" s="86"/>
      <c r="CC166" s="86"/>
      <c r="CD166" s="86"/>
      <c r="CE166" s="86"/>
      <c r="CF166" s="86"/>
      <c r="CG166" s="86"/>
      <c r="CH166" s="86"/>
      <c r="CI166" s="86"/>
      <c r="CJ166" s="86"/>
      <c r="CK166" s="86"/>
      <c r="CL166" s="86"/>
      <c r="CM166" s="86"/>
      <c r="CN166" s="86"/>
      <c r="CO166" s="86"/>
      <c r="CP166" s="86"/>
      <c r="CQ166" s="86"/>
      <c r="CR166" s="86"/>
      <c r="CS166" s="86"/>
      <c r="CT166" s="86"/>
      <c r="CU166" s="86"/>
      <c r="CV166" s="86"/>
      <c r="CW166" s="86"/>
      <c r="CX166" s="86"/>
      <c r="CY166" s="86"/>
      <c r="CZ166" s="86"/>
      <c r="DA166" s="86"/>
      <c r="DB166" s="86"/>
      <c r="DC166" s="86"/>
      <c r="DD166" s="86"/>
      <c r="DE166" s="86"/>
      <c r="DF166" s="86"/>
      <c r="DG166" s="86"/>
      <c r="DH166" s="86"/>
      <c r="DI166" s="86"/>
      <c r="DJ166" s="86"/>
      <c r="DK166" s="86"/>
      <c r="DL166" s="86"/>
      <c r="DM166" s="86"/>
      <c r="DN166" s="86"/>
      <c r="DO166" s="86"/>
      <c r="DP166" s="86"/>
      <c r="DQ166" s="86"/>
      <c r="DR166" s="86"/>
      <c r="DS166" s="86"/>
      <c r="DT166" s="86"/>
      <c r="DU166" s="86"/>
      <c r="DV166" s="86"/>
      <c r="DW166" s="86"/>
      <c r="DX166" s="86"/>
      <c r="DY166" s="86"/>
      <c r="DZ166" s="86"/>
      <c r="EA166" s="86"/>
      <c r="EB166" s="86"/>
      <c r="EC166" s="86"/>
      <c r="ED166" s="86"/>
      <c r="EE166" s="86"/>
      <c r="EF166" s="86"/>
      <c r="EG166" s="86"/>
      <c r="EH166" s="86"/>
      <c r="EI166" s="86"/>
      <c r="EJ166" s="86"/>
      <c r="EK166" s="86"/>
      <c r="EL166" s="86"/>
      <c r="EM166" s="86"/>
      <c r="EN166" s="86"/>
      <c r="EO166" s="86"/>
      <c r="EP166" s="86"/>
      <c r="EQ166" s="86"/>
    </row>
    <row r="167" spans="1:147" ht="12.75">
      <c r="A167" s="86"/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/>
      <c r="BR167" s="86"/>
      <c r="BS167" s="86"/>
      <c r="BT167" s="86"/>
      <c r="BU167" s="86"/>
      <c r="BV167" s="86"/>
      <c r="BW167" s="86"/>
      <c r="BX167" s="86"/>
      <c r="BY167" s="86"/>
      <c r="BZ167" s="86"/>
      <c r="CA167" s="86"/>
      <c r="CB167" s="86"/>
      <c r="CC167" s="86"/>
      <c r="CD167" s="86"/>
      <c r="CE167" s="86"/>
      <c r="CF167" s="86"/>
      <c r="CG167" s="86"/>
      <c r="CH167" s="86"/>
      <c r="CI167" s="86"/>
      <c r="CJ167" s="86"/>
      <c r="CK167" s="86"/>
      <c r="CL167" s="86"/>
      <c r="CM167" s="86"/>
      <c r="CN167" s="86"/>
      <c r="CO167" s="86"/>
      <c r="CP167" s="86"/>
      <c r="CQ167" s="86"/>
      <c r="CR167" s="86"/>
      <c r="CS167" s="86"/>
      <c r="CT167" s="86"/>
      <c r="CU167" s="86"/>
      <c r="CV167" s="86"/>
      <c r="CW167" s="86"/>
      <c r="CX167" s="86"/>
      <c r="CY167" s="86"/>
      <c r="CZ167" s="86"/>
      <c r="DA167" s="86"/>
      <c r="DB167" s="86"/>
      <c r="DC167" s="86"/>
      <c r="DD167" s="86"/>
      <c r="DE167" s="86"/>
      <c r="DF167" s="86"/>
      <c r="DG167" s="86"/>
      <c r="DH167" s="86"/>
      <c r="DI167" s="86"/>
      <c r="DJ167" s="86"/>
      <c r="DK167" s="86"/>
      <c r="DL167" s="86"/>
      <c r="DM167" s="86"/>
      <c r="DN167" s="86"/>
      <c r="DO167" s="86"/>
      <c r="DP167" s="86"/>
      <c r="DQ167" s="86"/>
      <c r="DR167" s="86"/>
      <c r="DS167" s="86"/>
      <c r="DT167" s="86"/>
      <c r="DU167" s="86"/>
      <c r="DV167" s="86"/>
      <c r="DW167" s="86"/>
      <c r="DX167" s="86"/>
      <c r="DY167" s="86"/>
      <c r="DZ167" s="86"/>
      <c r="EA167" s="86"/>
      <c r="EB167" s="86"/>
      <c r="EC167" s="86"/>
      <c r="ED167" s="86"/>
      <c r="EE167" s="86"/>
      <c r="EF167" s="86"/>
      <c r="EG167" s="86"/>
      <c r="EH167" s="86"/>
      <c r="EI167" s="86"/>
      <c r="EJ167" s="86"/>
      <c r="EK167" s="86"/>
      <c r="EL167" s="86"/>
      <c r="EM167" s="86"/>
      <c r="EN167" s="86"/>
      <c r="EO167" s="86"/>
      <c r="EP167" s="86"/>
      <c r="EQ167" s="86"/>
    </row>
    <row r="168" spans="1:147" ht="12.75">
      <c r="A168" s="86"/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  <c r="BT168" s="86"/>
      <c r="BU168" s="86"/>
      <c r="BV168" s="86"/>
      <c r="BW168" s="86"/>
      <c r="BX168" s="86"/>
      <c r="BY168" s="86"/>
      <c r="BZ168" s="86"/>
      <c r="CA168" s="86"/>
      <c r="CB168" s="86"/>
      <c r="CC168" s="86"/>
      <c r="CD168" s="86"/>
      <c r="CE168" s="86"/>
      <c r="CF168" s="86"/>
      <c r="CG168" s="86"/>
      <c r="CH168" s="86"/>
      <c r="CI168" s="86"/>
      <c r="CJ168" s="86"/>
      <c r="CK168" s="86"/>
      <c r="CL168" s="86"/>
      <c r="CM168" s="86"/>
      <c r="CN168" s="86"/>
      <c r="CO168" s="86"/>
      <c r="CP168" s="86"/>
      <c r="CQ168" s="86"/>
      <c r="CR168" s="86"/>
      <c r="CS168" s="86"/>
      <c r="CT168" s="86"/>
      <c r="CU168" s="86"/>
      <c r="CV168" s="86"/>
      <c r="CW168" s="86"/>
      <c r="CX168" s="86"/>
      <c r="CY168" s="86"/>
      <c r="CZ168" s="86"/>
      <c r="DA168" s="86"/>
      <c r="DB168" s="86"/>
      <c r="DC168" s="86"/>
      <c r="DD168" s="86"/>
      <c r="DE168" s="86"/>
      <c r="DF168" s="86"/>
      <c r="DG168" s="86"/>
      <c r="DH168" s="86"/>
      <c r="DI168" s="86"/>
      <c r="DJ168" s="86"/>
      <c r="DK168" s="86"/>
      <c r="DL168" s="86"/>
      <c r="DM168" s="86"/>
      <c r="DN168" s="86"/>
      <c r="DO168" s="86"/>
      <c r="DP168" s="86"/>
      <c r="DQ168" s="86"/>
      <c r="DR168" s="86"/>
      <c r="DS168" s="86"/>
      <c r="DT168" s="86"/>
      <c r="DU168" s="86"/>
      <c r="DV168" s="86"/>
      <c r="DW168" s="86"/>
      <c r="DX168" s="86"/>
      <c r="DY168" s="86"/>
      <c r="DZ168" s="86"/>
      <c r="EA168" s="86"/>
      <c r="EB168" s="86"/>
      <c r="EC168" s="86"/>
      <c r="ED168" s="86"/>
      <c r="EE168" s="86"/>
      <c r="EF168" s="86"/>
      <c r="EG168" s="86"/>
      <c r="EH168" s="86"/>
      <c r="EI168" s="86"/>
      <c r="EJ168" s="86"/>
      <c r="EK168" s="86"/>
      <c r="EL168" s="86"/>
      <c r="EM168" s="86"/>
      <c r="EN168" s="86"/>
      <c r="EO168" s="86"/>
      <c r="EP168" s="86"/>
      <c r="EQ168" s="86"/>
    </row>
    <row r="169" spans="1:147" ht="12.75">
      <c r="A169" s="86"/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  <c r="BX169" s="86"/>
      <c r="BY169" s="86"/>
      <c r="BZ169" s="86"/>
      <c r="CA169" s="86"/>
      <c r="CB169" s="86"/>
      <c r="CC169" s="86"/>
      <c r="CD169" s="86"/>
      <c r="CE169" s="86"/>
      <c r="CF169" s="86"/>
      <c r="CG169" s="86"/>
      <c r="CH169" s="86"/>
      <c r="CI169" s="86"/>
      <c r="CJ169" s="86"/>
      <c r="CK169" s="86"/>
      <c r="CL169" s="86"/>
      <c r="CM169" s="86"/>
      <c r="CN169" s="86"/>
      <c r="CO169" s="86"/>
      <c r="CP169" s="86"/>
      <c r="CQ169" s="86"/>
      <c r="CR169" s="86"/>
      <c r="CS169" s="86"/>
      <c r="CT169" s="86"/>
      <c r="CU169" s="86"/>
      <c r="CV169" s="86"/>
      <c r="CW169" s="86"/>
      <c r="CX169" s="86"/>
      <c r="CY169" s="86"/>
      <c r="CZ169" s="86"/>
      <c r="DA169" s="86"/>
      <c r="DB169" s="86"/>
      <c r="DC169" s="86"/>
      <c r="DD169" s="86"/>
      <c r="DE169" s="86"/>
      <c r="DF169" s="86"/>
      <c r="DG169" s="86"/>
      <c r="DH169" s="86"/>
      <c r="DI169" s="86"/>
      <c r="DJ169" s="86"/>
      <c r="DK169" s="86"/>
      <c r="DL169" s="86"/>
      <c r="DM169" s="86"/>
      <c r="DN169" s="86"/>
      <c r="DO169" s="86"/>
      <c r="DP169" s="86"/>
      <c r="DQ169" s="86"/>
      <c r="DR169" s="86"/>
      <c r="DS169" s="86"/>
      <c r="DT169" s="86"/>
      <c r="DU169" s="86"/>
      <c r="DV169" s="86"/>
      <c r="DW169" s="86"/>
      <c r="DX169" s="86"/>
      <c r="DY169" s="86"/>
      <c r="DZ169" s="86"/>
      <c r="EA169" s="86"/>
      <c r="EB169" s="86"/>
      <c r="EC169" s="86"/>
      <c r="ED169" s="86"/>
      <c r="EE169" s="86"/>
      <c r="EF169" s="86"/>
      <c r="EG169" s="86"/>
      <c r="EH169" s="86"/>
      <c r="EI169" s="86"/>
      <c r="EJ169" s="86"/>
      <c r="EK169" s="86"/>
      <c r="EL169" s="86"/>
      <c r="EM169" s="86"/>
      <c r="EN169" s="86"/>
      <c r="EO169" s="86"/>
      <c r="EP169" s="86"/>
      <c r="EQ169" s="86"/>
    </row>
    <row r="170" spans="1:147" ht="12.75">
      <c r="A170" s="86"/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  <c r="BV170" s="86"/>
      <c r="BW170" s="86"/>
      <c r="BX170" s="86"/>
      <c r="BY170" s="86"/>
      <c r="BZ170" s="86"/>
      <c r="CA170" s="86"/>
      <c r="CB170" s="86"/>
      <c r="CC170" s="86"/>
      <c r="CD170" s="86"/>
      <c r="CE170" s="86"/>
      <c r="CF170" s="86"/>
      <c r="CG170" s="86"/>
      <c r="CH170" s="86"/>
      <c r="CI170" s="86"/>
      <c r="CJ170" s="86"/>
      <c r="CK170" s="86"/>
      <c r="CL170" s="86"/>
      <c r="CM170" s="86"/>
      <c r="CN170" s="86"/>
      <c r="CO170" s="86"/>
      <c r="CP170" s="86"/>
      <c r="CQ170" s="86"/>
      <c r="CR170" s="86"/>
      <c r="CS170" s="86"/>
      <c r="CT170" s="86"/>
      <c r="CU170" s="86"/>
      <c r="CV170" s="86"/>
      <c r="CW170" s="86"/>
      <c r="CX170" s="86"/>
      <c r="CY170" s="86"/>
      <c r="CZ170" s="86"/>
      <c r="DA170" s="86"/>
      <c r="DB170" s="86"/>
      <c r="DC170" s="86"/>
      <c r="DD170" s="86"/>
      <c r="DE170" s="86"/>
      <c r="DF170" s="86"/>
      <c r="DG170" s="86"/>
      <c r="DH170" s="86"/>
      <c r="DI170" s="86"/>
      <c r="DJ170" s="86"/>
      <c r="DK170" s="86"/>
      <c r="DL170" s="86"/>
      <c r="DM170" s="86"/>
      <c r="DN170" s="86"/>
      <c r="DO170" s="86"/>
      <c r="DP170" s="86"/>
      <c r="DQ170" s="86"/>
      <c r="DR170" s="86"/>
      <c r="DS170" s="86"/>
      <c r="DT170" s="86"/>
      <c r="DU170" s="86"/>
      <c r="DV170" s="86"/>
      <c r="DW170" s="86"/>
      <c r="DX170" s="86"/>
      <c r="DY170" s="86"/>
      <c r="DZ170" s="86"/>
      <c r="EA170" s="86"/>
      <c r="EB170" s="86"/>
      <c r="EC170" s="86"/>
      <c r="ED170" s="86"/>
      <c r="EE170" s="86"/>
      <c r="EF170" s="86"/>
      <c r="EG170" s="86"/>
      <c r="EH170" s="86"/>
      <c r="EI170" s="86"/>
      <c r="EJ170" s="86"/>
      <c r="EK170" s="86"/>
      <c r="EL170" s="86"/>
      <c r="EM170" s="86"/>
      <c r="EN170" s="86"/>
      <c r="EO170" s="86"/>
      <c r="EP170" s="86"/>
      <c r="EQ170" s="86"/>
    </row>
    <row r="171" spans="1:147" ht="12.75">
      <c r="A171" s="86"/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  <c r="BV171" s="86"/>
      <c r="BW171" s="86"/>
      <c r="BX171" s="86"/>
      <c r="BY171" s="86"/>
      <c r="BZ171" s="86"/>
      <c r="CA171" s="86"/>
      <c r="CB171" s="86"/>
      <c r="CC171" s="86"/>
      <c r="CD171" s="86"/>
      <c r="CE171" s="86"/>
      <c r="CF171" s="86"/>
      <c r="CG171" s="86"/>
      <c r="CH171" s="86"/>
      <c r="CI171" s="86"/>
      <c r="CJ171" s="86"/>
      <c r="CK171" s="86"/>
      <c r="CL171" s="86"/>
      <c r="CM171" s="86"/>
      <c r="CN171" s="86"/>
      <c r="CO171" s="86"/>
      <c r="CP171" s="86"/>
      <c r="CQ171" s="86"/>
      <c r="CR171" s="86"/>
      <c r="CS171" s="86"/>
      <c r="CT171" s="86"/>
      <c r="CU171" s="86"/>
      <c r="CV171" s="86"/>
      <c r="CW171" s="86"/>
      <c r="CX171" s="86"/>
      <c r="CY171" s="86"/>
      <c r="CZ171" s="86"/>
      <c r="DA171" s="86"/>
      <c r="DB171" s="86"/>
      <c r="DC171" s="86"/>
      <c r="DD171" s="86"/>
      <c r="DE171" s="86"/>
      <c r="DF171" s="86"/>
      <c r="DG171" s="86"/>
      <c r="DH171" s="86"/>
      <c r="DI171" s="86"/>
      <c r="DJ171" s="86"/>
      <c r="DK171" s="86"/>
      <c r="DL171" s="86"/>
      <c r="DM171" s="86"/>
      <c r="DN171" s="86"/>
      <c r="DO171" s="86"/>
      <c r="DP171" s="86"/>
      <c r="DQ171" s="86"/>
      <c r="DR171" s="86"/>
      <c r="DS171" s="86"/>
      <c r="DT171" s="86"/>
      <c r="DU171" s="86"/>
      <c r="DV171" s="86"/>
      <c r="DW171" s="86"/>
      <c r="DX171" s="86"/>
      <c r="DY171" s="86"/>
      <c r="DZ171" s="86"/>
      <c r="EA171" s="86"/>
      <c r="EB171" s="86"/>
      <c r="EC171" s="86"/>
      <c r="ED171" s="86"/>
      <c r="EE171" s="86"/>
      <c r="EF171" s="86"/>
      <c r="EG171" s="86"/>
      <c r="EH171" s="86"/>
      <c r="EI171" s="86"/>
      <c r="EJ171" s="86"/>
      <c r="EK171" s="86"/>
      <c r="EL171" s="86"/>
      <c r="EM171" s="86"/>
      <c r="EN171" s="86"/>
      <c r="EO171" s="86"/>
      <c r="EP171" s="86"/>
      <c r="EQ171" s="86"/>
    </row>
    <row r="172" spans="1:147" ht="12.75">
      <c r="A172" s="86"/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6"/>
      <c r="BQ172" s="86"/>
      <c r="BR172" s="86"/>
      <c r="BS172" s="86"/>
      <c r="BT172" s="86"/>
      <c r="BU172" s="86"/>
      <c r="BV172" s="86"/>
      <c r="BW172" s="86"/>
      <c r="BX172" s="86"/>
      <c r="BY172" s="86"/>
      <c r="BZ172" s="86"/>
      <c r="CA172" s="86"/>
      <c r="CB172" s="86"/>
      <c r="CC172" s="86"/>
      <c r="CD172" s="86"/>
      <c r="CE172" s="86"/>
      <c r="CF172" s="86"/>
      <c r="CG172" s="86"/>
      <c r="CH172" s="86"/>
      <c r="CI172" s="86"/>
      <c r="CJ172" s="86"/>
      <c r="CK172" s="86"/>
      <c r="CL172" s="86"/>
      <c r="CM172" s="86"/>
      <c r="CN172" s="86"/>
      <c r="CO172" s="86"/>
      <c r="CP172" s="86"/>
      <c r="CQ172" s="86"/>
      <c r="CR172" s="86"/>
      <c r="CS172" s="86"/>
      <c r="CT172" s="86"/>
      <c r="CU172" s="86"/>
      <c r="CV172" s="86"/>
      <c r="CW172" s="86"/>
      <c r="CX172" s="86"/>
      <c r="CY172" s="86"/>
      <c r="CZ172" s="86"/>
      <c r="DA172" s="86"/>
      <c r="DB172" s="86"/>
      <c r="DC172" s="86"/>
      <c r="DD172" s="86"/>
      <c r="DE172" s="86"/>
      <c r="DF172" s="86"/>
      <c r="DG172" s="86"/>
      <c r="DH172" s="86"/>
      <c r="DI172" s="86"/>
      <c r="DJ172" s="86"/>
      <c r="DK172" s="86"/>
      <c r="DL172" s="86"/>
      <c r="DM172" s="86"/>
      <c r="DN172" s="86"/>
      <c r="DO172" s="86"/>
      <c r="DP172" s="86"/>
      <c r="DQ172" s="86"/>
      <c r="DR172" s="86"/>
      <c r="DS172" s="86"/>
      <c r="DT172" s="86"/>
      <c r="DU172" s="86"/>
      <c r="DV172" s="86"/>
      <c r="DW172" s="86"/>
      <c r="DX172" s="86"/>
      <c r="DY172" s="86"/>
      <c r="DZ172" s="86"/>
      <c r="EA172" s="86"/>
      <c r="EB172" s="86"/>
      <c r="EC172" s="86"/>
      <c r="ED172" s="86"/>
      <c r="EE172" s="86"/>
      <c r="EF172" s="86"/>
      <c r="EG172" s="86"/>
      <c r="EH172" s="86"/>
      <c r="EI172" s="86"/>
      <c r="EJ172" s="86"/>
      <c r="EK172" s="86"/>
      <c r="EL172" s="86"/>
      <c r="EM172" s="86"/>
      <c r="EN172" s="86"/>
      <c r="EO172" s="86"/>
      <c r="EP172" s="86"/>
      <c r="EQ172" s="86"/>
    </row>
    <row r="173" spans="1:147" ht="12.75">
      <c r="A173" s="86"/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  <c r="BV173" s="86"/>
      <c r="BW173" s="86"/>
      <c r="BX173" s="86"/>
      <c r="BY173" s="86"/>
      <c r="BZ173" s="86"/>
      <c r="CA173" s="86"/>
      <c r="CB173" s="86"/>
      <c r="CC173" s="86"/>
      <c r="CD173" s="86"/>
      <c r="CE173" s="86"/>
      <c r="CF173" s="86"/>
      <c r="CG173" s="86"/>
      <c r="CH173" s="86"/>
      <c r="CI173" s="86"/>
      <c r="CJ173" s="86"/>
      <c r="CK173" s="86"/>
      <c r="CL173" s="86"/>
      <c r="CM173" s="86"/>
      <c r="CN173" s="86"/>
      <c r="CO173" s="86"/>
      <c r="CP173" s="86"/>
      <c r="CQ173" s="86"/>
      <c r="CR173" s="86"/>
      <c r="CS173" s="86"/>
      <c r="CT173" s="86"/>
      <c r="CU173" s="86"/>
      <c r="CV173" s="86"/>
      <c r="CW173" s="86"/>
      <c r="CX173" s="86"/>
      <c r="CY173" s="86"/>
      <c r="CZ173" s="86"/>
      <c r="DA173" s="86"/>
      <c r="DB173" s="86"/>
      <c r="DC173" s="86"/>
      <c r="DD173" s="86"/>
      <c r="DE173" s="86"/>
      <c r="DF173" s="86"/>
      <c r="DG173" s="86"/>
      <c r="DH173" s="86"/>
      <c r="DI173" s="86"/>
      <c r="DJ173" s="86"/>
      <c r="DK173" s="86"/>
      <c r="DL173" s="86"/>
      <c r="DM173" s="86"/>
      <c r="DN173" s="86"/>
      <c r="DO173" s="86"/>
      <c r="DP173" s="86"/>
      <c r="DQ173" s="86"/>
      <c r="DR173" s="86"/>
      <c r="DS173" s="86"/>
      <c r="DT173" s="86"/>
      <c r="DU173" s="86"/>
      <c r="DV173" s="86"/>
      <c r="DW173" s="86"/>
      <c r="DX173" s="86"/>
      <c r="DY173" s="86"/>
      <c r="DZ173" s="86"/>
      <c r="EA173" s="86"/>
      <c r="EB173" s="86"/>
      <c r="EC173" s="86"/>
      <c r="ED173" s="86"/>
      <c r="EE173" s="86"/>
      <c r="EF173" s="86"/>
      <c r="EG173" s="86"/>
      <c r="EH173" s="86"/>
      <c r="EI173" s="86"/>
      <c r="EJ173" s="86"/>
      <c r="EK173" s="86"/>
      <c r="EL173" s="86"/>
      <c r="EM173" s="86"/>
      <c r="EN173" s="86"/>
      <c r="EO173" s="86"/>
      <c r="EP173" s="86"/>
      <c r="EQ173" s="86"/>
    </row>
    <row r="174" spans="1:147" ht="12.75">
      <c r="A174" s="86"/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  <c r="BT174" s="86"/>
      <c r="BU174" s="86"/>
      <c r="BV174" s="86"/>
      <c r="BW174" s="86"/>
      <c r="BX174" s="86"/>
      <c r="BY174" s="86"/>
      <c r="BZ174" s="86"/>
      <c r="CA174" s="86"/>
      <c r="CB174" s="86"/>
      <c r="CC174" s="86"/>
      <c r="CD174" s="86"/>
      <c r="CE174" s="86"/>
      <c r="CF174" s="86"/>
      <c r="CG174" s="86"/>
      <c r="CH174" s="86"/>
      <c r="CI174" s="86"/>
      <c r="CJ174" s="86"/>
      <c r="CK174" s="86"/>
      <c r="CL174" s="86"/>
      <c r="CM174" s="86"/>
      <c r="CN174" s="86"/>
      <c r="CO174" s="86"/>
      <c r="CP174" s="86"/>
      <c r="CQ174" s="86"/>
      <c r="CR174" s="86"/>
      <c r="CS174" s="86"/>
      <c r="CT174" s="86"/>
      <c r="CU174" s="86"/>
      <c r="CV174" s="86"/>
      <c r="CW174" s="86"/>
      <c r="CX174" s="86"/>
      <c r="CY174" s="86"/>
      <c r="CZ174" s="86"/>
      <c r="DA174" s="86"/>
      <c r="DB174" s="86"/>
      <c r="DC174" s="86"/>
      <c r="DD174" s="86"/>
      <c r="DE174" s="86"/>
      <c r="DF174" s="86"/>
      <c r="DG174" s="86"/>
      <c r="DH174" s="86"/>
      <c r="DI174" s="86"/>
      <c r="DJ174" s="86"/>
      <c r="DK174" s="86"/>
      <c r="DL174" s="86"/>
      <c r="DM174" s="86"/>
      <c r="DN174" s="86"/>
      <c r="DO174" s="86"/>
      <c r="DP174" s="86"/>
      <c r="DQ174" s="86"/>
      <c r="DR174" s="86"/>
      <c r="DS174" s="86"/>
      <c r="DT174" s="86"/>
      <c r="DU174" s="86"/>
      <c r="DV174" s="86"/>
      <c r="DW174" s="86"/>
      <c r="DX174" s="86"/>
      <c r="DY174" s="86"/>
      <c r="DZ174" s="86"/>
      <c r="EA174" s="86"/>
      <c r="EB174" s="86"/>
      <c r="EC174" s="86"/>
      <c r="ED174" s="86"/>
      <c r="EE174" s="86"/>
      <c r="EF174" s="86"/>
      <c r="EG174" s="86"/>
      <c r="EH174" s="86"/>
      <c r="EI174" s="86"/>
      <c r="EJ174" s="86"/>
      <c r="EK174" s="86"/>
      <c r="EL174" s="86"/>
      <c r="EM174" s="86"/>
      <c r="EN174" s="86"/>
      <c r="EO174" s="86"/>
      <c r="EP174" s="86"/>
      <c r="EQ174" s="86"/>
    </row>
    <row r="175" spans="1:147" ht="12.75">
      <c r="A175" s="86"/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  <c r="BV175" s="86"/>
      <c r="BW175" s="86"/>
      <c r="BX175" s="86"/>
      <c r="BY175" s="86"/>
      <c r="BZ175" s="86"/>
      <c r="CA175" s="86"/>
      <c r="CB175" s="86"/>
      <c r="CC175" s="86"/>
      <c r="CD175" s="86"/>
      <c r="CE175" s="86"/>
      <c r="CF175" s="86"/>
      <c r="CG175" s="86"/>
      <c r="CH175" s="86"/>
      <c r="CI175" s="86"/>
      <c r="CJ175" s="86"/>
      <c r="CK175" s="86"/>
      <c r="CL175" s="86"/>
      <c r="CM175" s="86"/>
      <c r="CN175" s="86"/>
      <c r="CO175" s="86"/>
      <c r="CP175" s="86"/>
      <c r="CQ175" s="86"/>
      <c r="CR175" s="86"/>
      <c r="CS175" s="86"/>
      <c r="CT175" s="86"/>
      <c r="CU175" s="86"/>
      <c r="CV175" s="86"/>
      <c r="CW175" s="86"/>
      <c r="CX175" s="86"/>
      <c r="CY175" s="86"/>
      <c r="CZ175" s="86"/>
      <c r="DA175" s="86"/>
      <c r="DB175" s="86"/>
      <c r="DC175" s="86"/>
      <c r="DD175" s="86"/>
      <c r="DE175" s="86"/>
      <c r="DF175" s="86"/>
      <c r="DG175" s="86"/>
      <c r="DH175" s="86"/>
      <c r="DI175" s="86"/>
      <c r="DJ175" s="86"/>
      <c r="DK175" s="86"/>
      <c r="DL175" s="86"/>
      <c r="DM175" s="86"/>
      <c r="DN175" s="86"/>
      <c r="DO175" s="86"/>
      <c r="DP175" s="86"/>
      <c r="DQ175" s="86"/>
      <c r="DR175" s="86"/>
      <c r="DS175" s="86"/>
      <c r="DT175" s="86"/>
      <c r="DU175" s="86"/>
      <c r="DV175" s="86"/>
      <c r="DW175" s="86"/>
      <c r="DX175" s="86"/>
      <c r="DY175" s="86"/>
      <c r="DZ175" s="86"/>
      <c r="EA175" s="86"/>
      <c r="EB175" s="86"/>
      <c r="EC175" s="86"/>
      <c r="ED175" s="86"/>
      <c r="EE175" s="86"/>
      <c r="EF175" s="86"/>
      <c r="EG175" s="86"/>
      <c r="EH175" s="86"/>
      <c r="EI175" s="86"/>
      <c r="EJ175" s="86"/>
      <c r="EK175" s="86"/>
      <c r="EL175" s="86"/>
      <c r="EM175" s="86"/>
      <c r="EN175" s="86"/>
      <c r="EO175" s="86"/>
      <c r="EP175" s="86"/>
      <c r="EQ175" s="86"/>
    </row>
    <row r="176" spans="1:147" ht="12.75">
      <c r="A176" s="86"/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  <c r="BV176" s="86"/>
      <c r="BW176" s="86"/>
      <c r="BX176" s="86"/>
      <c r="BY176" s="86"/>
      <c r="BZ176" s="86"/>
      <c r="CA176" s="86"/>
      <c r="CB176" s="86"/>
      <c r="CC176" s="86"/>
      <c r="CD176" s="86"/>
      <c r="CE176" s="86"/>
      <c r="CF176" s="86"/>
      <c r="CG176" s="86"/>
      <c r="CH176" s="86"/>
      <c r="CI176" s="86"/>
      <c r="CJ176" s="86"/>
      <c r="CK176" s="86"/>
      <c r="CL176" s="86"/>
      <c r="CM176" s="86"/>
      <c r="CN176" s="86"/>
      <c r="CO176" s="86"/>
      <c r="CP176" s="86"/>
      <c r="CQ176" s="86"/>
      <c r="CR176" s="86"/>
      <c r="CS176" s="86"/>
      <c r="CT176" s="86"/>
      <c r="CU176" s="86"/>
      <c r="CV176" s="86"/>
      <c r="CW176" s="86"/>
      <c r="CX176" s="86"/>
      <c r="CY176" s="86"/>
      <c r="CZ176" s="86"/>
      <c r="DA176" s="86"/>
      <c r="DB176" s="86"/>
      <c r="DC176" s="86"/>
      <c r="DD176" s="86"/>
      <c r="DE176" s="86"/>
      <c r="DF176" s="86"/>
      <c r="DG176" s="86"/>
      <c r="DH176" s="86"/>
      <c r="DI176" s="86"/>
      <c r="DJ176" s="86"/>
      <c r="DK176" s="86"/>
      <c r="DL176" s="86"/>
      <c r="DM176" s="86"/>
      <c r="DN176" s="86"/>
      <c r="DO176" s="86"/>
      <c r="DP176" s="86"/>
      <c r="DQ176" s="86"/>
      <c r="DR176" s="86"/>
      <c r="DS176" s="86"/>
      <c r="DT176" s="86"/>
      <c r="DU176" s="86"/>
      <c r="DV176" s="86"/>
      <c r="DW176" s="86"/>
      <c r="DX176" s="86"/>
      <c r="DY176" s="86"/>
      <c r="DZ176" s="86"/>
      <c r="EA176" s="86"/>
      <c r="EB176" s="86"/>
      <c r="EC176" s="86"/>
      <c r="ED176" s="86"/>
      <c r="EE176" s="86"/>
      <c r="EF176" s="86"/>
      <c r="EG176" s="86"/>
      <c r="EH176" s="86"/>
      <c r="EI176" s="86"/>
      <c r="EJ176" s="86"/>
      <c r="EK176" s="86"/>
      <c r="EL176" s="86"/>
      <c r="EM176" s="86"/>
      <c r="EN176" s="86"/>
      <c r="EO176" s="86"/>
      <c r="EP176" s="86"/>
      <c r="EQ176" s="86"/>
    </row>
    <row r="177" spans="1:147" ht="12.75">
      <c r="A177" s="86"/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  <c r="BV177" s="86"/>
      <c r="BW177" s="86"/>
      <c r="BX177" s="86"/>
      <c r="BY177" s="86"/>
      <c r="BZ177" s="86"/>
      <c r="CA177" s="86"/>
      <c r="CB177" s="86"/>
      <c r="CC177" s="86"/>
      <c r="CD177" s="86"/>
      <c r="CE177" s="86"/>
      <c r="CF177" s="86"/>
      <c r="CG177" s="86"/>
      <c r="CH177" s="86"/>
      <c r="CI177" s="86"/>
      <c r="CJ177" s="86"/>
      <c r="CK177" s="86"/>
      <c r="CL177" s="86"/>
      <c r="CM177" s="86"/>
      <c r="CN177" s="86"/>
      <c r="CO177" s="86"/>
      <c r="CP177" s="86"/>
      <c r="CQ177" s="86"/>
      <c r="CR177" s="86"/>
      <c r="CS177" s="86"/>
      <c r="CT177" s="86"/>
      <c r="CU177" s="86"/>
      <c r="CV177" s="86"/>
      <c r="CW177" s="86"/>
      <c r="CX177" s="86"/>
      <c r="CY177" s="86"/>
      <c r="CZ177" s="86"/>
      <c r="DA177" s="86"/>
      <c r="DB177" s="86"/>
      <c r="DC177" s="86"/>
      <c r="DD177" s="86"/>
      <c r="DE177" s="86"/>
      <c r="DF177" s="86"/>
      <c r="DG177" s="86"/>
      <c r="DH177" s="86"/>
      <c r="DI177" s="86"/>
      <c r="DJ177" s="86"/>
      <c r="DK177" s="86"/>
      <c r="DL177" s="86"/>
      <c r="DM177" s="86"/>
      <c r="DN177" s="86"/>
      <c r="DO177" s="86"/>
      <c r="DP177" s="86"/>
      <c r="DQ177" s="86"/>
      <c r="DR177" s="86"/>
      <c r="DS177" s="86"/>
      <c r="DT177" s="86"/>
      <c r="DU177" s="86"/>
      <c r="DV177" s="86"/>
      <c r="DW177" s="86"/>
      <c r="DX177" s="86"/>
      <c r="DY177" s="86"/>
      <c r="DZ177" s="86"/>
      <c r="EA177" s="86"/>
      <c r="EB177" s="86"/>
      <c r="EC177" s="86"/>
      <c r="ED177" s="86"/>
      <c r="EE177" s="86"/>
      <c r="EF177" s="86"/>
      <c r="EG177" s="86"/>
      <c r="EH177" s="86"/>
      <c r="EI177" s="86"/>
      <c r="EJ177" s="86"/>
      <c r="EK177" s="86"/>
      <c r="EL177" s="86"/>
      <c r="EM177" s="86"/>
      <c r="EN177" s="86"/>
      <c r="EO177" s="86"/>
      <c r="EP177" s="86"/>
      <c r="EQ177" s="86"/>
    </row>
    <row r="178" spans="1:147" ht="12.75">
      <c r="A178" s="86"/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  <c r="BV178" s="86"/>
      <c r="BW178" s="86"/>
      <c r="BX178" s="86"/>
      <c r="BY178" s="86"/>
      <c r="BZ178" s="86"/>
      <c r="CA178" s="86"/>
      <c r="CB178" s="86"/>
      <c r="CC178" s="86"/>
      <c r="CD178" s="86"/>
      <c r="CE178" s="86"/>
      <c r="CF178" s="86"/>
      <c r="CG178" s="86"/>
      <c r="CH178" s="86"/>
      <c r="CI178" s="86"/>
      <c r="CJ178" s="86"/>
      <c r="CK178" s="86"/>
      <c r="CL178" s="86"/>
      <c r="CM178" s="86"/>
      <c r="CN178" s="86"/>
      <c r="CO178" s="86"/>
      <c r="CP178" s="86"/>
      <c r="CQ178" s="86"/>
      <c r="CR178" s="86"/>
      <c r="CS178" s="86"/>
      <c r="CT178" s="86"/>
      <c r="CU178" s="86"/>
      <c r="CV178" s="86"/>
      <c r="CW178" s="86"/>
      <c r="CX178" s="86"/>
      <c r="CY178" s="86"/>
      <c r="CZ178" s="86"/>
      <c r="DA178" s="86"/>
      <c r="DB178" s="86"/>
      <c r="DC178" s="86"/>
      <c r="DD178" s="86"/>
      <c r="DE178" s="86"/>
      <c r="DF178" s="86"/>
      <c r="DG178" s="86"/>
      <c r="DH178" s="86"/>
      <c r="DI178" s="86"/>
      <c r="DJ178" s="86"/>
      <c r="DK178" s="86"/>
      <c r="DL178" s="86"/>
      <c r="DM178" s="86"/>
      <c r="DN178" s="86"/>
      <c r="DO178" s="86"/>
      <c r="DP178" s="86"/>
      <c r="DQ178" s="86"/>
      <c r="DR178" s="86"/>
      <c r="DS178" s="86"/>
      <c r="DT178" s="86"/>
      <c r="DU178" s="86"/>
      <c r="DV178" s="86"/>
      <c r="DW178" s="86"/>
      <c r="DX178" s="86"/>
      <c r="DY178" s="86"/>
      <c r="DZ178" s="86"/>
      <c r="EA178" s="86"/>
      <c r="EB178" s="86"/>
      <c r="EC178" s="86"/>
      <c r="ED178" s="86"/>
      <c r="EE178" s="86"/>
      <c r="EF178" s="86"/>
      <c r="EG178" s="86"/>
      <c r="EH178" s="86"/>
      <c r="EI178" s="86"/>
      <c r="EJ178" s="86"/>
      <c r="EK178" s="86"/>
      <c r="EL178" s="86"/>
      <c r="EM178" s="86"/>
      <c r="EN178" s="86"/>
      <c r="EO178" s="86"/>
      <c r="EP178" s="86"/>
      <c r="EQ178" s="86"/>
    </row>
    <row r="179" spans="1:147" ht="12.75">
      <c r="A179" s="86"/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  <c r="BV179" s="86"/>
      <c r="BW179" s="86"/>
      <c r="BX179" s="86"/>
      <c r="BY179" s="86"/>
      <c r="BZ179" s="86"/>
      <c r="CA179" s="86"/>
      <c r="CB179" s="86"/>
      <c r="CC179" s="86"/>
      <c r="CD179" s="86"/>
      <c r="CE179" s="86"/>
      <c r="CF179" s="86"/>
      <c r="CG179" s="86"/>
      <c r="CH179" s="86"/>
      <c r="CI179" s="86"/>
      <c r="CJ179" s="86"/>
      <c r="CK179" s="86"/>
      <c r="CL179" s="86"/>
      <c r="CM179" s="86"/>
      <c r="CN179" s="86"/>
      <c r="CO179" s="86"/>
      <c r="CP179" s="86"/>
      <c r="CQ179" s="86"/>
      <c r="CR179" s="86"/>
      <c r="CS179" s="86"/>
      <c r="CT179" s="86"/>
      <c r="CU179" s="86"/>
      <c r="CV179" s="86"/>
      <c r="CW179" s="86"/>
      <c r="CX179" s="86"/>
      <c r="CY179" s="86"/>
      <c r="CZ179" s="86"/>
      <c r="DA179" s="86"/>
      <c r="DB179" s="86"/>
      <c r="DC179" s="86"/>
      <c r="DD179" s="86"/>
      <c r="DE179" s="86"/>
      <c r="DF179" s="86"/>
      <c r="DG179" s="86"/>
      <c r="DH179" s="86"/>
      <c r="DI179" s="86"/>
      <c r="DJ179" s="86"/>
      <c r="DK179" s="86"/>
      <c r="DL179" s="86"/>
      <c r="DM179" s="86"/>
      <c r="DN179" s="86"/>
      <c r="DO179" s="86"/>
      <c r="DP179" s="86"/>
      <c r="DQ179" s="86"/>
      <c r="DR179" s="86"/>
      <c r="DS179" s="86"/>
      <c r="DT179" s="86"/>
      <c r="DU179" s="86"/>
      <c r="DV179" s="86"/>
      <c r="DW179" s="86"/>
      <c r="DX179" s="86"/>
      <c r="DY179" s="86"/>
      <c r="DZ179" s="86"/>
      <c r="EA179" s="86"/>
      <c r="EB179" s="86"/>
      <c r="EC179" s="86"/>
      <c r="ED179" s="86"/>
      <c r="EE179" s="86"/>
      <c r="EF179" s="86"/>
      <c r="EG179" s="86"/>
      <c r="EH179" s="86"/>
      <c r="EI179" s="86"/>
      <c r="EJ179" s="86"/>
      <c r="EK179" s="86"/>
      <c r="EL179" s="86"/>
      <c r="EM179" s="86"/>
      <c r="EN179" s="86"/>
      <c r="EO179" s="86"/>
      <c r="EP179" s="86"/>
      <c r="EQ179" s="86"/>
    </row>
    <row r="180" spans="1:147" ht="12.75">
      <c r="A180" s="86"/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  <c r="BT180" s="86"/>
      <c r="BU180" s="86"/>
      <c r="BV180" s="86"/>
      <c r="BW180" s="86"/>
      <c r="BX180" s="86"/>
      <c r="BY180" s="86"/>
      <c r="BZ180" s="86"/>
      <c r="CA180" s="86"/>
      <c r="CB180" s="86"/>
      <c r="CC180" s="86"/>
      <c r="CD180" s="86"/>
      <c r="CE180" s="86"/>
      <c r="CF180" s="86"/>
      <c r="CG180" s="86"/>
      <c r="CH180" s="86"/>
      <c r="CI180" s="86"/>
      <c r="CJ180" s="86"/>
      <c r="CK180" s="86"/>
      <c r="CL180" s="86"/>
      <c r="CM180" s="86"/>
      <c r="CN180" s="86"/>
      <c r="CO180" s="86"/>
      <c r="CP180" s="86"/>
      <c r="CQ180" s="86"/>
      <c r="CR180" s="86"/>
      <c r="CS180" s="86"/>
      <c r="CT180" s="86"/>
      <c r="CU180" s="86"/>
      <c r="CV180" s="86"/>
      <c r="CW180" s="86"/>
      <c r="CX180" s="86"/>
      <c r="CY180" s="86"/>
      <c r="CZ180" s="86"/>
      <c r="DA180" s="86"/>
      <c r="DB180" s="86"/>
      <c r="DC180" s="86"/>
      <c r="DD180" s="86"/>
      <c r="DE180" s="86"/>
      <c r="DF180" s="86"/>
      <c r="DG180" s="86"/>
      <c r="DH180" s="86"/>
      <c r="DI180" s="86"/>
      <c r="DJ180" s="86"/>
      <c r="DK180" s="86"/>
      <c r="DL180" s="86"/>
      <c r="DM180" s="86"/>
      <c r="DN180" s="86"/>
      <c r="DO180" s="86"/>
      <c r="DP180" s="86"/>
      <c r="DQ180" s="86"/>
      <c r="DR180" s="86"/>
      <c r="DS180" s="86"/>
      <c r="DT180" s="86"/>
      <c r="DU180" s="86"/>
      <c r="DV180" s="86"/>
      <c r="DW180" s="86"/>
      <c r="DX180" s="86"/>
      <c r="DY180" s="86"/>
      <c r="DZ180" s="86"/>
      <c r="EA180" s="86"/>
      <c r="EB180" s="86"/>
      <c r="EC180" s="86"/>
      <c r="ED180" s="86"/>
      <c r="EE180" s="86"/>
      <c r="EF180" s="86"/>
      <c r="EG180" s="86"/>
      <c r="EH180" s="86"/>
      <c r="EI180" s="86"/>
      <c r="EJ180" s="86"/>
      <c r="EK180" s="86"/>
      <c r="EL180" s="86"/>
      <c r="EM180" s="86"/>
      <c r="EN180" s="86"/>
      <c r="EO180" s="86"/>
      <c r="EP180" s="86"/>
      <c r="EQ180" s="86"/>
    </row>
    <row r="181" spans="1:147" ht="12.75">
      <c r="A181" s="86"/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  <c r="BV181" s="86"/>
      <c r="BW181" s="86"/>
      <c r="BX181" s="86"/>
      <c r="BY181" s="86"/>
      <c r="BZ181" s="86"/>
      <c r="CA181" s="86"/>
      <c r="CB181" s="86"/>
      <c r="CC181" s="86"/>
      <c r="CD181" s="86"/>
      <c r="CE181" s="86"/>
      <c r="CF181" s="86"/>
      <c r="CG181" s="86"/>
      <c r="CH181" s="86"/>
      <c r="CI181" s="86"/>
      <c r="CJ181" s="86"/>
      <c r="CK181" s="86"/>
      <c r="CL181" s="86"/>
      <c r="CM181" s="86"/>
      <c r="CN181" s="86"/>
      <c r="CO181" s="86"/>
      <c r="CP181" s="86"/>
      <c r="CQ181" s="86"/>
      <c r="CR181" s="86"/>
      <c r="CS181" s="86"/>
      <c r="CT181" s="86"/>
      <c r="CU181" s="86"/>
      <c r="CV181" s="86"/>
      <c r="CW181" s="86"/>
      <c r="CX181" s="86"/>
      <c r="CY181" s="86"/>
      <c r="CZ181" s="86"/>
      <c r="DA181" s="86"/>
      <c r="DB181" s="86"/>
      <c r="DC181" s="86"/>
      <c r="DD181" s="86"/>
      <c r="DE181" s="86"/>
      <c r="DF181" s="86"/>
      <c r="DG181" s="86"/>
      <c r="DH181" s="86"/>
      <c r="DI181" s="86"/>
      <c r="DJ181" s="86"/>
      <c r="DK181" s="86"/>
      <c r="DL181" s="86"/>
      <c r="DM181" s="86"/>
      <c r="DN181" s="86"/>
      <c r="DO181" s="86"/>
      <c r="DP181" s="86"/>
      <c r="DQ181" s="86"/>
      <c r="DR181" s="86"/>
      <c r="DS181" s="86"/>
      <c r="DT181" s="86"/>
      <c r="DU181" s="86"/>
      <c r="DV181" s="86"/>
      <c r="DW181" s="86"/>
      <c r="DX181" s="86"/>
      <c r="DY181" s="86"/>
      <c r="DZ181" s="86"/>
      <c r="EA181" s="86"/>
      <c r="EB181" s="86"/>
      <c r="EC181" s="86"/>
      <c r="ED181" s="86"/>
      <c r="EE181" s="86"/>
      <c r="EF181" s="86"/>
      <c r="EG181" s="86"/>
      <c r="EH181" s="86"/>
      <c r="EI181" s="86"/>
      <c r="EJ181" s="86"/>
      <c r="EK181" s="86"/>
      <c r="EL181" s="86"/>
      <c r="EM181" s="86"/>
      <c r="EN181" s="86"/>
      <c r="EO181" s="86"/>
      <c r="EP181" s="86"/>
      <c r="EQ181" s="86"/>
    </row>
    <row r="182" spans="1:147" ht="12.75">
      <c r="A182" s="86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  <c r="BY182" s="86"/>
      <c r="BZ182" s="86"/>
      <c r="CA182" s="86"/>
      <c r="CB182" s="86"/>
      <c r="CC182" s="86"/>
      <c r="CD182" s="86"/>
      <c r="CE182" s="86"/>
      <c r="CF182" s="86"/>
      <c r="CG182" s="86"/>
      <c r="CH182" s="86"/>
      <c r="CI182" s="86"/>
      <c r="CJ182" s="86"/>
      <c r="CK182" s="86"/>
      <c r="CL182" s="86"/>
      <c r="CM182" s="86"/>
      <c r="CN182" s="86"/>
      <c r="CO182" s="86"/>
      <c r="CP182" s="86"/>
      <c r="CQ182" s="86"/>
      <c r="CR182" s="86"/>
      <c r="CS182" s="86"/>
      <c r="CT182" s="86"/>
      <c r="CU182" s="86"/>
      <c r="CV182" s="86"/>
      <c r="CW182" s="86"/>
      <c r="CX182" s="86"/>
      <c r="CY182" s="86"/>
      <c r="CZ182" s="86"/>
      <c r="DA182" s="86"/>
      <c r="DB182" s="86"/>
      <c r="DC182" s="86"/>
      <c r="DD182" s="86"/>
      <c r="DE182" s="86"/>
      <c r="DF182" s="86"/>
      <c r="DG182" s="86"/>
      <c r="DH182" s="86"/>
      <c r="DI182" s="86"/>
      <c r="DJ182" s="86"/>
      <c r="DK182" s="86"/>
      <c r="DL182" s="86"/>
      <c r="DM182" s="86"/>
      <c r="DN182" s="86"/>
      <c r="DO182" s="86"/>
      <c r="DP182" s="86"/>
      <c r="DQ182" s="86"/>
      <c r="DR182" s="86"/>
      <c r="DS182" s="86"/>
      <c r="DT182" s="86"/>
      <c r="DU182" s="86"/>
      <c r="DV182" s="86"/>
      <c r="DW182" s="86"/>
      <c r="DX182" s="86"/>
      <c r="DY182" s="86"/>
      <c r="DZ182" s="86"/>
      <c r="EA182" s="86"/>
      <c r="EB182" s="86"/>
      <c r="EC182" s="86"/>
      <c r="ED182" s="86"/>
      <c r="EE182" s="86"/>
      <c r="EF182" s="86"/>
      <c r="EG182" s="86"/>
      <c r="EH182" s="86"/>
      <c r="EI182" s="86"/>
      <c r="EJ182" s="86"/>
      <c r="EK182" s="86"/>
      <c r="EL182" s="86"/>
      <c r="EM182" s="86"/>
      <c r="EN182" s="86"/>
      <c r="EO182" s="86"/>
      <c r="EP182" s="86"/>
      <c r="EQ182" s="86"/>
    </row>
    <row r="183" spans="1:147" ht="12.75">
      <c r="A183" s="86"/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  <c r="BX183" s="86"/>
      <c r="BY183" s="86"/>
      <c r="BZ183" s="86"/>
      <c r="CA183" s="86"/>
      <c r="CB183" s="86"/>
      <c r="CC183" s="86"/>
      <c r="CD183" s="86"/>
      <c r="CE183" s="86"/>
      <c r="CF183" s="86"/>
      <c r="CG183" s="86"/>
      <c r="CH183" s="86"/>
      <c r="CI183" s="86"/>
      <c r="CJ183" s="86"/>
      <c r="CK183" s="86"/>
      <c r="CL183" s="86"/>
      <c r="CM183" s="86"/>
      <c r="CN183" s="86"/>
      <c r="CO183" s="86"/>
      <c r="CP183" s="86"/>
      <c r="CQ183" s="86"/>
      <c r="CR183" s="86"/>
      <c r="CS183" s="86"/>
      <c r="CT183" s="86"/>
      <c r="CU183" s="86"/>
      <c r="CV183" s="86"/>
      <c r="CW183" s="86"/>
      <c r="CX183" s="86"/>
      <c r="CY183" s="86"/>
      <c r="CZ183" s="86"/>
      <c r="DA183" s="86"/>
      <c r="DB183" s="86"/>
      <c r="DC183" s="86"/>
      <c r="DD183" s="86"/>
      <c r="DE183" s="86"/>
      <c r="DF183" s="86"/>
      <c r="DG183" s="86"/>
      <c r="DH183" s="86"/>
      <c r="DI183" s="86"/>
      <c r="DJ183" s="86"/>
      <c r="DK183" s="86"/>
      <c r="DL183" s="86"/>
      <c r="DM183" s="86"/>
      <c r="DN183" s="86"/>
      <c r="DO183" s="86"/>
      <c r="DP183" s="86"/>
      <c r="DQ183" s="86"/>
      <c r="DR183" s="86"/>
      <c r="DS183" s="86"/>
      <c r="DT183" s="86"/>
      <c r="DU183" s="86"/>
      <c r="DV183" s="86"/>
      <c r="DW183" s="86"/>
      <c r="DX183" s="86"/>
      <c r="DY183" s="86"/>
      <c r="DZ183" s="86"/>
      <c r="EA183" s="86"/>
      <c r="EB183" s="86"/>
      <c r="EC183" s="86"/>
      <c r="ED183" s="86"/>
      <c r="EE183" s="86"/>
      <c r="EF183" s="86"/>
      <c r="EG183" s="86"/>
      <c r="EH183" s="86"/>
      <c r="EI183" s="86"/>
      <c r="EJ183" s="86"/>
      <c r="EK183" s="86"/>
      <c r="EL183" s="86"/>
      <c r="EM183" s="86"/>
      <c r="EN183" s="86"/>
      <c r="EO183" s="86"/>
      <c r="EP183" s="86"/>
      <c r="EQ183" s="86"/>
    </row>
    <row r="184" spans="1:147" ht="12.75">
      <c r="A184" s="86"/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  <c r="BX184" s="86"/>
      <c r="BY184" s="86"/>
      <c r="BZ184" s="86"/>
      <c r="CA184" s="86"/>
      <c r="CB184" s="86"/>
      <c r="CC184" s="86"/>
      <c r="CD184" s="86"/>
      <c r="CE184" s="86"/>
      <c r="CF184" s="86"/>
      <c r="CG184" s="86"/>
      <c r="CH184" s="86"/>
      <c r="CI184" s="86"/>
      <c r="CJ184" s="86"/>
      <c r="CK184" s="86"/>
      <c r="CL184" s="86"/>
      <c r="CM184" s="86"/>
      <c r="CN184" s="86"/>
      <c r="CO184" s="86"/>
      <c r="CP184" s="86"/>
      <c r="CQ184" s="86"/>
      <c r="CR184" s="86"/>
      <c r="CS184" s="86"/>
      <c r="CT184" s="86"/>
      <c r="CU184" s="86"/>
      <c r="CV184" s="86"/>
      <c r="CW184" s="86"/>
      <c r="CX184" s="86"/>
      <c r="CY184" s="86"/>
      <c r="CZ184" s="86"/>
      <c r="DA184" s="86"/>
      <c r="DB184" s="86"/>
      <c r="DC184" s="86"/>
      <c r="DD184" s="86"/>
      <c r="DE184" s="86"/>
      <c r="DF184" s="86"/>
      <c r="DG184" s="86"/>
      <c r="DH184" s="86"/>
      <c r="DI184" s="86"/>
      <c r="DJ184" s="86"/>
      <c r="DK184" s="86"/>
      <c r="DL184" s="86"/>
      <c r="DM184" s="86"/>
      <c r="DN184" s="86"/>
      <c r="DO184" s="86"/>
      <c r="DP184" s="86"/>
      <c r="DQ184" s="86"/>
      <c r="DR184" s="86"/>
      <c r="DS184" s="86"/>
      <c r="DT184" s="86"/>
      <c r="DU184" s="86"/>
      <c r="DV184" s="86"/>
      <c r="DW184" s="86"/>
      <c r="DX184" s="86"/>
      <c r="DY184" s="86"/>
      <c r="DZ184" s="86"/>
      <c r="EA184" s="86"/>
      <c r="EB184" s="86"/>
      <c r="EC184" s="86"/>
      <c r="ED184" s="86"/>
      <c r="EE184" s="86"/>
      <c r="EF184" s="86"/>
      <c r="EG184" s="86"/>
      <c r="EH184" s="86"/>
      <c r="EI184" s="86"/>
      <c r="EJ184" s="86"/>
      <c r="EK184" s="86"/>
      <c r="EL184" s="86"/>
      <c r="EM184" s="86"/>
      <c r="EN184" s="86"/>
      <c r="EO184" s="86"/>
      <c r="EP184" s="86"/>
      <c r="EQ184" s="86"/>
    </row>
    <row r="185" spans="1:147" ht="12.75">
      <c r="A185" s="86"/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  <c r="BY185" s="86"/>
      <c r="BZ185" s="86"/>
      <c r="CA185" s="86"/>
      <c r="CB185" s="86"/>
      <c r="CC185" s="86"/>
      <c r="CD185" s="86"/>
      <c r="CE185" s="86"/>
      <c r="CF185" s="86"/>
      <c r="CG185" s="86"/>
      <c r="CH185" s="86"/>
      <c r="CI185" s="86"/>
      <c r="CJ185" s="86"/>
      <c r="CK185" s="86"/>
      <c r="CL185" s="86"/>
      <c r="CM185" s="86"/>
      <c r="CN185" s="86"/>
      <c r="CO185" s="86"/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6"/>
      <c r="DC185" s="86"/>
      <c r="DD185" s="86"/>
      <c r="DE185" s="86"/>
      <c r="DF185" s="86"/>
      <c r="DG185" s="86"/>
      <c r="DH185" s="86"/>
      <c r="DI185" s="86"/>
      <c r="DJ185" s="86"/>
      <c r="DK185" s="86"/>
      <c r="DL185" s="86"/>
      <c r="DM185" s="86"/>
      <c r="DN185" s="86"/>
      <c r="DO185" s="86"/>
      <c r="DP185" s="86"/>
      <c r="DQ185" s="86"/>
      <c r="DR185" s="86"/>
      <c r="DS185" s="86"/>
      <c r="DT185" s="86"/>
      <c r="DU185" s="86"/>
      <c r="DV185" s="86"/>
      <c r="DW185" s="86"/>
      <c r="DX185" s="86"/>
      <c r="DY185" s="86"/>
      <c r="DZ185" s="86"/>
      <c r="EA185" s="86"/>
      <c r="EB185" s="86"/>
      <c r="EC185" s="86"/>
      <c r="ED185" s="86"/>
      <c r="EE185" s="86"/>
      <c r="EF185" s="86"/>
      <c r="EG185" s="86"/>
      <c r="EH185" s="86"/>
      <c r="EI185" s="86"/>
      <c r="EJ185" s="86"/>
      <c r="EK185" s="86"/>
      <c r="EL185" s="86"/>
      <c r="EM185" s="86"/>
      <c r="EN185" s="86"/>
      <c r="EO185" s="86"/>
      <c r="EP185" s="86"/>
      <c r="EQ185" s="86"/>
    </row>
    <row r="186" spans="1:147" ht="12.75">
      <c r="A186" s="86"/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86"/>
      <c r="BW186" s="86"/>
      <c r="BX186" s="86"/>
      <c r="BY186" s="86"/>
      <c r="BZ186" s="86"/>
      <c r="CA186" s="86"/>
      <c r="CB186" s="86"/>
      <c r="CC186" s="86"/>
      <c r="CD186" s="86"/>
      <c r="CE186" s="86"/>
      <c r="CF186" s="86"/>
      <c r="CG186" s="86"/>
      <c r="CH186" s="86"/>
      <c r="CI186" s="86"/>
      <c r="CJ186" s="86"/>
      <c r="CK186" s="86"/>
      <c r="CL186" s="86"/>
      <c r="CM186" s="86"/>
      <c r="CN186" s="86"/>
      <c r="CO186" s="86"/>
      <c r="CP186" s="86"/>
      <c r="CQ186" s="86"/>
      <c r="CR186" s="86"/>
      <c r="CS186" s="86"/>
      <c r="CT186" s="86"/>
      <c r="CU186" s="86"/>
      <c r="CV186" s="86"/>
      <c r="CW186" s="86"/>
      <c r="CX186" s="86"/>
      <c r="CY186" s="86"/>
      <c r="CZ186" s="86"/>
      <c r="DA186" s="86"/>
      <c r="DB186" s="86"/>
      <c r="DC186" s="86"/>
      <c r="DD186" s="86"/>
      <c r="DE186" s="86"/>
      <c r="DF186" s="86"/>
      <c r="DG186" s="86"/>
      <c r="DH186" s="86"/>
      <c r="DI186" s="86"/>
      <c r="DJ186" s="86"/>
      <c r="DK186" s="86"/>
      <c r="DL186" s="86"/>
      <c r="DM186" s="86"/>
      <c r="DN186" s="86"/>
      <c r="DO186" s="86"/>
      <c r="DP186" s="86"/>
      <c r="DQ186" s="86"/>
      <c r="DR186" s="86"/>
      <c r="DS186" s="86"/>
      <c r="DT186" s="86"/>
      <c r="DU186" s="86"/>
      <c r="DV186" s="86"/>
      <c r="DW186" s="86"/>
      <c r="DX186" s="86"/>
      <c r="DY186" s="86"/>
      <c r="DZ186" s="86"/>
      <c r="EA186" s="86"/>
      <c r="EB186" s="86"/>
      <c r="EC186" s="86"/>
      <c r="ED186" s="86"/>
      <c r="EE186" s="86"/>
      <c r="EF186" s="86"/>
      <c r="EG186" s="86"/>
      <c r="EH186" s="86"/>
      <c r="EI186" s="86"/>
      <c r="EJ186" s="86"/>
      <c r="EK186" s="86"/>
      <c r="EL186" s="86"/>
      <c r="EM186" s="86"/>
      <c r="EN186" s="86"/>
      <c r="EO186" s="86"/>
      <c r="EP186" s="86"/>
      <c r="EQ186" s="86"/>
    </row>
    <row r="187" spans="1:147" ht="12.75">
      <c r="A187" s="86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86"/>
      <c r="BW187" s="86"/>
      <c r="BX187" s="86"/>
      <c r="BY187" s="86"/>
      <c r="BZ187" s="86"/>
      <c r="CA187" s="86"/>
      <c r="CB187" s="86"/>
      <c r="CC187" s="86"/>
      <c r="CD187" s="86"/>
      <c r="CE187" s="86"/>
      <c r="CF187" s="86"/>
      <c r="CG187" s="86"/>
      <c r="CH187" s="86"/>
      <c r="CI187" s="86"/>
      <c r="CJ187" s="86"/>
      <c r="CK187" s="86"/>
      <c r="CL187" s="86"/>
      <c r="CM187" s="86"/>
      <c r="CN187" s="86"/>
      <c r="CO187" s="86"/>
      <c r="CP187" s="86"/>
      <c r="CQ187" s="86"/>
      <c r="CR187" s="86"/>
      <c r="CS187" s="86"/>
      <c r="CT187" s="86"/>
      <c r="CU187" s="86"/>
      <c r="CV187" s="86"/>
      <c r="CW187" s="86"/>
      <c r="CX187" s="86"/>
      <c r="CY187" s="86"/>
      <c r="CZ187" s="86"/>
      <c r="DA187" s="86"/>
      <c r="DB187" s="86"/>
      <c r="DC187" s="86"/>
      <c r="DD187" s="86"/>
      <c r="DE187" s="86"/>
      <c r="DF187" s="86"/>
      <c r="DG187" s="86"/>
      <c r="DH187" s="86"/>
      <c r="DI187" s="86"/>
      <c r="DJ187" s="86"/>
      <c r="DK187" s="86"/>
      <c r="DL187" s="86"/>
      <c r="DM187" s="86"/>
      <c r="DN187" s="86"/>
      <c r="DO187" s="86"/>
      <c r="DP187" s="86"/>
      <c r="DQ187" s="86"/>
      <c r="DR187" s="86"/>
      <c r="DS187" s="86"/>
      <c r="DT187" s="86"/>
      <c r="DU187" s="86"/>
      <c r="DV187" s="86"/>
      <c r="DW187" s="86"/>
      <c r="DX187" s="86"/>
      <c r="DY187" s="86"/>
      <c r="DZ187" s="86"/>
      <c r="EA187" s="86"/>
      <c r="EB187" s="86"/>
      <c r="EC187" s="86"/>
      <c r="ED187" s="86"/>
      <c r="EE187" s="86"/>
      <c r="EF187" s="86"/>
      <c r="EG187" s="86"/>
      <c r="EH187" s="86"/>
      <c r="EI187" s="86"/>
      <c r="EJ187" s="86"/>
      <c r="EK187" s="86"/>
      <c r="EL187" s="86"/>
      <c r="EM187" s="86"/>
      <c r="EN187" s="86"/>
      <c r="EO187" s="86"/>
      <c r="EP187" s="86"/>
      <c r="EQ187" s="86"/>
    </row>
    <row r="188" spans="1:147" ht="12.75">
      <c r="A188" s="86"/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  <c r="BV188" s="86"/>
      <c r="BW188" s="86"/>
      <c r="BX188" s="86"/>
      <c r="BY188" s="86"/>
      <c r="BZ188" s="86"/>
      <c r="CA188" s="86"/>
      <c r="CB188" s="86"/>
      <c r="CC188" s="86"/>
      <c r="CD188" s="86"/>
      <c r="CE188" s="86"/>
      <c r="CF188" s="86"/>
      <c r="CG188" s="86"/>
      <c r="CH188" s="86"/>
      <c r="CI188" s="86"/>
      <c r="CJ188" s="86"/>
      <c r="CK188" s="86"/>
      <c r="CL188" s="86"/>
      <c r="CM188" s="86"/>
      <c r="CN188" s="86"/>
      <c r="CO188" s="86"/>
      <c r="CP188" s="86"/>
      <c r="CQ188" s="86"/>
      <c r="CR188" s="86"/>
      <c r="CS188" s="86"/>
      <c r="CT188" s="86"/>
      <c r="CU188" s="86"/>
      <c r="CV188" s="86"/>
      <c r="CW188" s="86"/>
      <c r="CX188" s="86"/>
      <c r="CY188" s="86"/>
      <c r="CZ188" s="86"/>
      <c r="DA188" s="86"/>
      <c r="DB188" s="86"/>
      <c r="DC188" s="86"/>
      <c r="DD188" s="86"/>
      <c r="DE188" s="86"/>
      <c r="DF188" s="86"/>
      <c r="DG188" s="86"/>
      <c r="DH188" s="86"/>
      <c r="DI188" s="86"/>
      <c r="DJ188" s="86"/>
      <c r="DK188" s="86"/>
      <c r="DL188" s="86"/>
      <c r="DM188" s="86"/>
      <c r="DN188" s="86"/>
      <c r="DO188" s="86"/>
      <c r="DP188" s="86"/>
      <c r="DQ188" s="86"/>
      <c r="DR188" s="86"/>
      <c r="DS188" s="86"/>
      <c r="DT188" s="86"/>
      <c r="DU188" s="86"/>
      <c r="DV188" s="86"/>
      <c r="DW188" s="86"/>
      <c r="DX188" s="86"/>
      <c r="DY188" s="86"/>
      <c r="DZ188" s="86"/>
      <c r="EA188" s="86"/>
      <c r="EB188" s="86"/>
      <c r="EC188" s="86"/>
      <c r="ED188" s="86"/>
      <c r="EE188" s="86"/>
      <c r="EF188" s="86"/>
      <c r="EG188" s="86"/>
      <c r="EH188" s="86"/>
      <c r="EI188" s="86"/>
      <c r="EJ188" s="86"/>
      <c r="EK188" s="86"/>
      <c r="EL188" s="86"/>
      <c r="EM188" s="86"/>
      <c r="EN188" s="86"/>
      <c r="EO188" s="86"/>
      <c r="EP188" s="86"/>
      <c r="EQ188" s="86"/>
    </row>
    <row r="189" spans="1:147" ht="12.75">
      <c r="A189" s="86"/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  <c r="BV189" s="86"/>
      <c r="BW189" s="86"/>
      <c r="BX189" s="86"/>
      <c r="BY189" s="86"/>
      <c r="BZ189" s="86"/>
      <c r="CA189" s="86"/>
      <c r="CB189" s="86"/>
      <c r="CC189" s="86"/>
      <c r="CD189" s="86"/>
      <c r="CE189" s="86"/>
      <c r="CF189" s="86"/>
      <c r="CG189" s="86"/>
      <c r="CH189" s="86"/>
      <c r="CI189" s="86"/>
      <c r="CJ189" s="86"/>
      <c r="CK189" s="86"/>
      <c r="CL189" s="86"/>
      <c r="CM189" s="86"/>
      <c r="CN189" s="86"/>
      <c r="CO189" s="86"/>
      <c r="CP189" s="86"/>
      <c r="CQ189" s="86"/>
      <c r="CR189" s="86"/>
      <c r="CS189" s="86"/>
      <c r="CT189" s="86"/>
      <c r="CU189" s="86"/>
      <c r="CV189" s="86"/>
      <c r="CW189" s="86"/>
      <c r="CX189" s="86"/>
      <c r="CY189" s="86"/>
      <c r="CZ189" s="86"/>
      <c r="DA189" s="86"/>
      <c r="DB189" s="86"/>
      <c r="DC189" s="86"/>
      <c r="DD189" s="86"/>
      <c r="DE189" s="86"/>
      <c r="DF189" s="86"/>
      <c r="DG189" s="86"/>
      <c r="DH189" s="86"/>
      <c r="DI189" s="86"/>
      <c r="DJ189" s="86"/>
      <c r="DK189" s="86"/>
      <c r="DL189" s="86"/>
      <c r="DM189" s="86"/>
      <c r="DN189" s="86"/>
      <c r="DO189" s="86"/>
      <c r="DP189" s="86"/>
      <c r="DQ189" s="86"/>
      <c r="DR189" s="86"/>
      <c r="DS189" s="86"/>
      <c r="DT189" s="86"/>
      <c r="DU189" s="86"/>
      <c r="DV189" s="86"/>
      <c r="DW189" s="86"/>
      <c r="DX189" s="86"/>
      <c r="DY189" s="86"/>
      <c r="DZ189" s="86"/>
      <c r="EA189" s="86"/>
      <c r="EB189" s="86"/>
      <c r="EC189" s="86"/>
      <c r="ED189" s="86"/>
      <c r="EE189" s="86"/>
      <c r="EF189" s="86"/>
      <c r="EG189" s="86"/>
      <c r="EH189" s="86"/>
      <c r="EI189" s="86"/>
      <c r="EJ189" s="86"/>
      <c r="EK189" s="86"/>
      <c r="EL189" s="86"/>
      <c r="EM189" s="86"/>
      <c r="EN189" s="86"/>
      <c r="EO189" s="86"/>
      <c r="EP189" s="86"/>
      <c r="EQ189" s="86"/>
    </row>
    <row r="190" spans="1:147" ht="12.75">
      <c r="A190" s="86"/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6"/>
      <c r="BC190" s="86"/>
      <c r="BD190" s="86"/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  <c r="BV190" s="86"/>
      <c r="BW190" s="86"/>
      <c r="BX190" s="86"/>
      <c r="BY190" s="86"/>
      <c r="BZ190" s="86"/>
      <c r="CA190" s="86"/>
      <c r="CB190" s="86"/>
      <c r="CC190" s="86"/>
      <c r="CD190" s="86"/>
      <c r="CE190" s="86"/>
      <c r="CF190" s="86"/>
      <c r="CG190" s="86"/>
      <c r="CH190" s="86"/>
      <c r="CI190" s="86"/>
      <c r="CJ190" s="86"/>
      <c r="CK190" s="86"/>
      <c r="CL190" s="86"/>
      <c r="CM190" s="86"/>
      <c r="CN190" s="86"/>
      <c r="CO190" s="86"/>
      <c r="CP190" s="86"/>
      <c r="CQ190" s="86"/>
      <c r="CR190" s="86"/>
      <c r="CS190" s="86"/>
      <c r="CT190" s="86"/>
      <c r="CU190" s="86"/>
      <c r="CV190" s="86"/>
      <c r="CW190" s="86"/>
      <c r="CX190" s="86"/>
      <c r="CY190" s="86"/>
      <c r="CZ190" s="86"/>
      <c r="DA190" s="86"/>
      <c r="DB190" s="86"/>
      <c r="DC190" s="86"/>
      <c r="DD190" s="86"/>
      <c r="DE190" s="86"/>
      <c r="DF190" s="86"/>
      <c r="DG190" s="86"/>
      <c r="DH190" s="86"/>
      <c r="DI190" s="86"/>
      <c r="DJ190" s="86"/>
      <c r="DK190" s="86"/>
      <c r="DL190" s="86"/>
      <c r="DM190" s="86"/>
      <c r="DN190" s="86"/>
      <c r="DO190" s="86"/>
      <c r="DP190" s="86"/>
      <c r="DQ190" s="86"/>
      <c r="DR190" s="86"/>
      <c r="DS190" s="86"/>
      <c r="DT190" s="86"/>
      <c r="DU190" s="86"/>
      <c r="DV190" s="86"/>
      <c r="DW190" s="86"/>
      <c r="DX190" s="86"/>
      <c r="DY190" s="86"/>
      <c r="DZ190" s="86"/>
      <c r="EA190" s="86"/>
      <c r="EB190" s="86"/>
      <c r="EC190" s="86"/>
      <c r="ED190" s="86"/>
      <c r="EE190" s="86"/>
      <c r="EF190" s="86"/>
      <c r="EG190" s="86"/>
      <c r="EH190" s="86"/>
      <c r="EI190" s="86"/>
      <c r="EJ190" s="86"/>
      <c r="EK190" s="86"/>
      <c r="EL190" s="86"/>
      <c r="EM190" s="86"/>
      <c r="EN190" s="86"/>
      <c r="EO190" s="86"/>
      <c r="EP190" s="86"/>
      <c r="EQ190" s="86"/>
    </row>
    <row r="191" spans="1:147" ht="12.75">
      <c r="A191" s="86"/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  <c r="BV191" s="86"/>
      <c r="BW191" s="86"/>
      <c r="BX191" s="86"/>
      <c r="BY191" s="86"/>
      <c r="BZ191" s="86"/>
      <c r="CA191" s="86"/>
      <c r="CB191" s="86"/>
      <c r="CC191" s="86"/>
      <c r="CD191" s="86"/>
      <c r="CE191" s="86"/>
      <c r="CF191" s="86"/>
      <c r="CG191" s="86"/>
      <c r="CH191" s="86"/>
      <c r="CI191" s="86"/>
      <c r="CJ191" s="86"/>
      <c r="CK191" s="86"/>
      <c r="CL191" s="86"/>
      <c r="CM191" s="86"/>
      <c r="CN191" s="86"/>
      <c r="CO191" s="86"/>
      <c r="CP191" s="86"/>
      <c r="CQ191" s="86"/>
      <c r="CR191" s="86"/>
      <c r="CS191" s="86"/>
      <c r="CT191" s="86"/>
      <c r="CU191" s="86"/>
      <c r="CV191" s="86"/>
      <c r="CW191" s="86"/>
      <c r="CX191" s="86"/>
      <c r="CY191" s="86"/>
      <c r="CZ191" s="86"/>
      <c r="DA191" s="86"/>
      <c r="DB191" s="86"/>
      <c r="DC191" s="86"/>
      <c r="DD191" s="86"/>
      <c r="DE191" s="86"/>
      <c r="DF191" s="86"/>
      <c r="DG191" s="86"/>
      <c r="DH191" s="86"/>
      <c r="DI191" s="86"/>
      <c r="DJ191" s="86"/>
      <c r="DK191" s="86"/>
      <c r="DL191" s="86"/>
      <c r="DM191" s="86"/>
      <c r="DN191" s="86"/>
      <c r="DO191" s="86"/>
      <c r="DP191" s="86"/>
      <c r="DQ191" s="86"/>
      <c r="DR191" s="86"/>
      <c r="DS191" s="86"/>
      <c r="DT191" s="86"/>
      <c r="DU191" s="86"/>
      <c r="DV191" s="86"/>
      <c r="DW191" s="86"/>
      <c r="DX191" s="86"/>
      <c r="DY191" s="86"/>
      <c r="DZ191" s="86"/>
      <c r="EA191" s="86"/>
      <c r="EB191" s="86"/>
      <c r="EC191" s="86"/>
      <c r="ED191" s="86"/>
      <c r="EE191" s="86"/>
      <c r="EF191" s="86"/>
      <c r="EG191" s="86"/>
      <c r="EH191" s="86"/>
      <c r="EI191" s="86"/>
      <c r="EJ191" s="86"/>
      <c r="EK191" s="86"/>
      <c r="EL191" s="86"/>
      <c r="EM191" s="86"/>
      <c r="EN191" s="86"/>
      <c r="EO191" s="86"/>
      <c r="EP191" s="86"/>
      <c r="EQ191" s="86"/>
    </row>
    <row r="192" spans="1:147" ht="12.75">
      <c r="A192" s="86"/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  <c r="BV192" s="86"/>
      <c r="BW192" s="86"/>
      <c r="BX192" s="86"/>
      <c r="BY192" s="86"/>
      <c r="BZ192" s="86"/>
      <c r="CA192" s="86"/>
      <c r="CB192" s="86"/>
      <c r="CC192" s="86"/>
      <c r="CD192" s="86"/>
      <c r="CE192" s="86"/>
      <c r="CF192" s="86"/>
      <c r="CG192" s="86"/>
      <c r="CH192" s="86"/>
      <c r="CI192" s="86"/>
      <c r="CJ192" s="86"/>
      <c r="CK192" s="86"/>
      <c r="CL192" s="86"/>
      <c r="CM192" s="86"/>
      <c r="CN192" s="86"/>
      <c r="CO192" s="86"/>
      <c r="CP192" s="86"/>
      <c r="CQ192" s="86"/>
      <c r="CR192" s="86"/>
      <c r="CS192" s="86"/>
      <c r="CT192" s="86"/>
      <c r="CU192" s="86"/>
      <c r="CV192" s="86"/>
      <c r="CW192" s="86"/>
      <c r="CX192" s="86"/>
      <c r="CY192" s="86"/>
      <c r="CZ192" s="86"/>
      <c r="DA192" s="86"/>
      <c r="DB192" s="86"/>
      <c r="DC192" s="86"/>
      <c r="DD192" s="86"/>
      <c r="DE192" s="86"/>
      <c r="DF192" s="86"/>
      <c r="DG192" s="86"/>
      <c r="DH192" s="86"/>
      <c r="DI192" s="86"/>
      <c r="DJ192" s="86"/>
      <c r="DK192" s="86"/>
      <c r="DL192" s="86"/>
      <c r="DM192" s="86"/>
      <c r="DN192" s="86"/>
      <c r="DO192" s="86"/>
      <c r="DP192" s="86"/>
      <c r="DQ192" s="86"/>
      <c r="DR192" s="86"/>
      <c r="DS192" s="86"/>
      <c r="DT192" s="86"/>
      <c r="DU192" s="86"/>
      <c r="DV192" s="86"/>
      <c r="DW192" s="86"/>
      <c r="DX192" s="86"/>
      <c r="DY192" s="86"/>
      <c r="DZ192" s="86"/>
      <c r="EA192" s="86"/>
      <c r="EB192" s="86"/>
      <c r="EC192" s="86"/>
      <c r="ED192" s="86"/>
      <c r="EE192" s="86"/>
      <c r="EF192" s="86"/>
      <c r="EG192" s="86"/>
      <c r="EH192" s="86"/>
      <c r="EI192" s="86"/>
      <c r="EJ192" s="86"/>
      <c r="EK192" s="86"/>
      <c r="EL192" s="86"/>
      <c r="EM192" s="86"/>
      <c r="EN192" s="86"/>
      <c r="EO192" s="86"/>
      <c r="EP192" s="86"/>
      <c r="EQ192" s="86"/>
    </row>
    <row r="193" spans="1:147" ht="12.75">
      <c r="A193" s="86"/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  <c r="BV193" s="86"/>
      <c r="BW193" s="86"/>
      <c r="BX193" s="86"/>
      <c r="BY193" s="86"/>
      <c r="BZ193" s="86"/>
      <c r="CA193" s="86"/>
      <c r="CB193" s="86"/>
      <c r="CC193" s="86"/>
      <c r="CD193" s="86"/>
      <c r="CE193" s="86"/>
      <c r="CF193" s="86"/>
      <c r="CG193" s="86"/>
      <c r="CH193" s="86"/>
      <c r="CI193" s="86"/>
      <c r="CJ193" s="86"/>
      <c r="CK193" s="86"/>
      <c r="CL193" s="86"/>
      <c r="CM193" s="86"/>
      <c r="CN193" s="86"/>
      <c r="CO193" s="86"/>
      <c r="CP193" s="86"/>
      <c r="CQ193" s="86"/>
      <c r="CR193" s="86"/>
      <c r="CS193" s="86"/>
      <c r="CT193" s="86"/>
      <c r="CU193" s="86"/>
      <c r="CV193" s="86"/>
      <c r="CW193" s="86"/>
      <c r="CX193" s="86"/>
      <c r="CY193" s="86"/>
      <c r="CZ193" s="86"/>
      <c r="DA193" s="86"/>
      <c r="DB193" s="86"/>
      <c r="DC193" s="86"/>
      <c r="DD193" s="86"/>
      <c r="DE193" s="86"/>
      <c r="DF193" s="86"/>
      <c r="DG193" s="86"/>
      <c r="DH193" s="86"/>
      <c r="DI193" s="86"/>
      <c r="DJ193" s="86"/>
      <c r="DK193" s="86"/>
      <c r="DL193" s="86"/>
      <c r="DM193" s="86"/>
      <c r="DN193" s="86"/>
      <c r="DO193" s="86"/>
      <c r="DP193" s="86"/>
      <c r="DQ193" s="86"/>
      <c r="DR193" s="86"/>
      <c r="DS193" s="86"/>
      <c r="DT193" s="86"/>
      <c r="DU193" s="86"/>
      <c r="DV193" s="86"/>
      <c r="DW193" s="86"/>
      <c r="DX193" s="86"/>
      <c r="DY193" s="86"/>
      <c r="DZ193" s="86"/>
      <c r="EA193" s="86"/>
      <c r="EB193" s="86"/>
      <c r="EC193" s="86"/>
      <c r="ED193" s="86"/>
      <c r="EE193" s="86"/>
      <c r="EF193" s="86"/>
      <c r="EG193" s="86"/>
      <c r="EH193" s="86"/>
      <c r="EI193" s="86"/>
      <c r="EJ193" s="86"/>
      <c r="EK193" s="86"/>
      <c r="EL193" s="86"/>
      <c r="EM193" s="86"/>
      <c r="EN193" s="86"/>
      <c r="EO193" s="86"/>
      <c r="EP193" s="86"/>
      <c r="EQ193" s="86"/>
    </row>
    <row r="194" spans="1:147" ht="12.75">
      <c r="A194" s="86"/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  <c r="BX194" s="86"/>
      <c r="BY194" s="86"/>
      <c r="BZ194" s="86"/>
      <c r="CA194" s="86"/>
      <c r="CB194" s="86"/>
      <c r="CC194" s="86"/>
      <c r="CD194" s="86"/>
      <c r="CE194" s="86"/>
      <c r="CF194" s="86"/>
      <c r="CG194" s="86"/>
      <c r="CH194" s="86"/>
      <c r="CI194" s="86"/>
      <c r="CJ194" s="86"/>
      <c r="CK194" s="86"/>
      <c r="CL194" s="86"/>
      <c r="CM194" s="86"/>
      <c r="CN194" s="86"/>
      <c r="CO194" s="86"/>
      <c r="CP194" s="86"/>
      <c r="CQ194" s="86"/>
      <c r="CR194" s="86"/>
      <c r="CS194" s="86"/>
      <c r="CT194" s="86"/>
      <c r="CU194" s="86"/>
      <c r="CV194" s="86"/>
      <c r="CW194" s="86"/>
      <c r="CX194" s="86"/>
      <c r="CY194" s="86"/>
      <c r="CZ194" s="86"/>
      <c r="DA194" s="86"/>
      <c r="DB194" s="86"/>
      <c r="DC194" s="86"/>
      <c r="DD194" s="86"/>
      <c r="DE194" s="86"/>
      <c r="DF194" s="86"/>
      <c r="DG194" s="86"/>
      <c r="DH194" s="86"/>
      <c r="DI194" s="86"/>
      <c r="DJ194" s="86"/>
      <c r="DK194" s="86"/>
      <c r="DL194" s="86"/>
      <c r="DM194" s="86"/>
      <c r="DN194" s="86"/>
      <c r="DO194" s="86"/>
      <c r="DP194" s="86"/>
      <c r="DQ194" s="86"/>
      <c r="DR194" s="86"/>
      <c r="DS194" s="86"/>
      <c r="DT194" s="86"/>
      <c r="DU194" s="86"/>
      <c r="DV194" s="86"/>
      <c r="DW194" s="86"/>
      <c r="DX194" s="86"/>
      <c r="DY194" s="86"/>
      <c r="DZ194" s="86"/>
      <c r="EA194" s="86"/>
      <c r="EB194" s="86"/>
      <c r="EC194" s="86"/>
      <c r="ED194" s="86"/>
      <c r="EE194" s="86"/>
      <c r="EF194" s="86"/>
      <c r="EG194" s="86"/>
      <c r="EH194" s="86"/>
      <c r="EI194" s="86"/>
      <c r="EJ194" s="86"/>
      <c r="EK194" s="86"/>
      <c r="EL194" s="86"/>
      <c r="EM194" s="86"/>
      <c r="EN194" s="86"/>
      <c r="EO194" s="86"/>
      <c r="EP194" s="86"/>
      <c r="EQ194" s="86"/>
    </row>
    <row r="195" spans="1:147" ht="12.75">
      <c r="A195" s="86"/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  <c r="BY195" s="86"/>
      <c r="BZ195" s="86"/>
      <c r="CA195" s="86"/>
      <c r="CB195" s="86"/>
      <c r="CC195" s="86"/>
      <c r="CD195" s="86"/>
      <c r="CE195" s="86"/>
      <c r="CF195" s="86"/>
      <c r="CG195" s="86"/>
      <c r="CH195" s="86"/>
      <c r="CI195" s="86"/>
      <c r="CJ195" s="86"/>
      <c r="CK195" s="86"/>
      <c r="CL195" s="86"/>
      <c r="CM195" s="86"/>
      <c r="CN195" s="86"/>
      <c r="CO195" s="86"/>
      <c r="CP195" s="86"/>
      <c r="CQ195" s="86"/>
      <c r="CR195" s="86"/>
      <c r="CS195" s="86"/>
      <c r="CT195" s="86"/>
      <c r="CU195" s="86"/>
      <c r="CV195" s="86"/>
      <c r="CW195" s="86"/>
      <c r="CX195" s="86"/>
      <c r="CY195" s="86"/>
      <c r="CZ195" s="86"/>
      <c r="DA195" s="86"/>
      <c r="DB195" s="86"/>
      <c r="DC195" s="86"/>
      <c r="DD195" s="86"/>
      <c r="DE195" s="86"/>
      <c r="DF195" s="86"/>
      <c r="DG195" s="86"/>
      <c r="DH195" s="86"/>
      <c r="DI195" s="86"/>
      <c r="DJ195" s="86"/>
      <c r="DK195" s="86"/>
      <c r="DL195" s="86"/>
      <c r="DM195" s="86"/>
      <c r="DN195" s="86"/>
      <c r="DO195" s="86"/>
      <c r="DP195" s="86"/>
      <c r="DQ195" s="86"/>
      <c r="DR195" s="86"/>
      <c r="DS195" s="86"/>
      <c r="DT195" s="86"/>
      <c r="DU195" s="86"/>
      <c r="DV195" s="86"/>
      <c r="DW195" s="86"/>
      <c r="DX195" s="86"/>
      <c r="DY195" s="86"/>
      <c r="DZ195" s="86"/>
      <c r="EA195" s="86"/>
      <c r="EB195" s="86"/>
      <c r="EC195" s="86"/>
      <c r="ED195" s="86"/>
      <c r="EE195" s="86"/>
      <c r="EF195" s="86"/>
      <c r="EG195" s="86"/>
      <c r="EH195" s="86"/>
      <c r="EI195" s="86"/>
      <c r="EJ195" s="86"/>
      <c r="EK195" s="86"/>
      <c r="EL195" s="86"/>
      <c r="EM195" s="86"/>
      <c r="EN195" s="86"/>
      <c r="EO195" s="86"/>
      <c r="EP195" s="86"/>
      <c r="EQ195" s="86"/>
    </row>
    <row r="196" spans="1:147" ht="12.75">
      <c r="A196" s="86"/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  <c r="BX196" s="86"/>
      <c r="BY196" s="86"/>
      <c r="BZ196" s="86"/>
      <c r="CA196" s="86"/>
      <c r="CB196" s="86"/>
      <c r="CC196" s="86"/>
      <c r="CD196" s="86"/>
      <c r="CE196" s="86"/>
      <c r="CF196" s="86"/>
      <c r="CG196" s="86"/>
      <c r="CH196" s="86"/>
      <c r="CI196" s="86"/>
      <c r="CJ196" s="86"/>
      <c r="CK196" s="86"/>
      <c r="CL196" s="86"/>
      <c r="CM196" s="86"/>
      <c r="CN196" s="86"/>
      <c r="CO196" s="86"/>
      <c r="CP196" s="86"/>
      <c r="CQ196" s="86"/>
      <c r="CR196" s="86"/>
      <c r="CS196" s="86"/>
      <c r="CT196" s="86"/>
      <c r="CU196" s="86"/>
      <c r="CV196" s="86"/>
      <c r="CW196" s="86"/>
      <c r="CX196" s="86"/>
      <c r="CY196" s="86"/>
      <c r="CZ196" s="86"/>
      <c r="DA196" s="86"/>
      <c r="DB196" s="86"/>
      <c r="DC196" s="86"/>
      <c r="DD196" s="86"/>
      <c r="DE196" s="86"/>
      <c r="DF196" s="86"/>
      <c r="DG196" s="86"/>
      <c r="DH196" s="86"/>
      <c r="DI196" s="86"/>
      <c r="DJ196" s="86"/>
      <c r="DK196" s="86"/>
      <c r="DL196" s="86"/>
      <c r="DM196" s="86"/>
      <c r="DN196" s="86"/>
      <c r="DO196" s="86"/>
      <c r="DP196" s="86"/>
      <c r="DQ196" s="86"/>
      <c r="DR196" s="86"/>
      <c r="DS196" s="86"/>
      <c r="DT196" s="86"/>
      <c r="DU196" s="86"/>
      <c r="DV196" s="86"/>
      <c r="DW196" s="86"/>
      <c r="DX196" s="86"/>
      <c r="DY196" s="86"/>
      <c r="DZ196" s="86"/>
      <c r="EA196" s="86"/>
      <c r="EB196" s="86"/>
      <c r="EC196" s="86"/>
      <c r="ED196" s="86"/>
      <c r="EE196" s="86"/>
      <c r="EF196" s="86"/>
      <c r="EG196" s="86"/>
      <c r="EH196" s="86"/>
      <c r="EI196" s="86"/>
      <c r="EJ196" s="86"/>
      <c r="EK196" s="86"/>
      <c r="EL196" s="86"/>
      <c r="EM196" s="86"/>
      <c r="EN196" s="86"/>
      <c r="EO196" s="86"/>
      <c r="EP196" s="86"/>
      <c r="EQ196" s="86"/>
    </row>
    <row r="197" spans="1:147" ht="12.75">
      <c r="A197" s="86"/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  <c r="BV197" s="86"/>
      <c r="BW197" s="86"/>
      <c r="BX197" s="86"/>
      <c r="BY197" s="86"/>
      <c r="BZ197" s="86"/>
      <c r="CA197" s="86"/>
      <c r="CB197" s="86"/>
      <c r="CC197" s="86"/>
      <c r="CD197" s="86"/>
      <c r="CE197" s="86"/>
      <c r="CF197" s="86"/>
      <c r="CG197" s="86"/>
      <c r="CH197" s="86"/>
      <c r="CI197" s="86"/>
      <c r="CJ197" s="86"/>
      <c r="CK197" s="86"/>
      <c r="CL197" s="86"/>
      <c r="CM197" s="86"/>
      <c r="CN197" s="86"/>
      <c r="CO197" s="86"/>
      <c r="CP197" s="86"/>
      <c r="CQ197" s="86"/>
      <c r="CR197" s="86"/>
      <c r="CS197" s="86"/>
      <c r="CT197" s="86"/>
      <c r="CU197" s="86"/>
      <c r="CV197" s="86"/>
      <c r="CW197" s="86"/>
      <c r="CX197" s="86"/>
      <c r="CY197" s="86"/>
      <c r="CZ197" s="86"/>
      <c r="DA197" s="86"/>
      <c r="DB197" s="86"/>
      <c r="DC197" s="86"/>
      <c r="DD197" s="86"/>
      <c r="DE197" s="86"/>
      <c r="DF197" s="86"/>
      <c r="DG197" s="86"/>
      <c r="DH197" s="86"/>
      <c r="DI197" s="86"/>
      <c r="DJ197" s="86"/>
      <c r="DK197" s="86"/>
      <c r="DL197" s="86"/>
      <c r="DM197" s="86"/>
      <c r="DN197" s="86"/>
      <c r="DO197" s="86"/>
      <c r="DP197" s="86"/>
      <c r="DQ197" s="86"/>
      <c r="DR197" s="86"/>
      <c r="DS197" s="86"/>
      <c r="DT197" s="86"/>
      <c r="DU197" s="86"/>
      <c r="DV197" s="86"/>
      <c r="DW197" s="86"/>
      <c r="DX197" s="86"/>
      <c r="DY197" s="86"/>
      <c r="DZ197" s="86"/>
      <c r="EA197" s="86"/>
      <c r="EB197" s="86"/>
      <c r="EC197" s="86"/>
      <c r="ED197" s="86"/>
      <c r="EE197" s="86"/>
      <c r="EF197" s="86"/>
      <c r="EG197" s="86"/>
      <c r="EH197" s="86"/>
      <c r="EI197" s="86"/>
      <c r="EJ197" s="86"/>
      <c r="EK197" s="86"/>
      <c r="EL197" s="86"/>
      <c r="EM197" s="86"/>
      <c r="EN197" s="86"/>
      <c r="EO197" s="86"/>
      <c r="EP197" s="86"/>
      <c r="EQ197" s="86"/>
    </row>
    <row r="198" spans="1:147" ht="12.75">
      <c r="A198" s="86"/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  <c r="BY198" s="86"/>
      <c r="BZ198" s="86"/>
      <c r="CA198" s="86"/>
      <c r="CB198" s="86"/>
      <c r="CC198" s="86"/>
      <c r="CD198" s="86"/>
      <c r="CE198" s="86"/>
      <c r="CF198" s="86"/>
      <c r="CG198" s="86"/>
      <c r="CH198" s="86"/>
      <c r="CI198" s="86"/>
      <c r="CJ198" s="86"/>
      <c r="CK198" s="86"/>
      <c r="CL198" s="86"/>
      <c r="CM198" s="86"/>
      <c r="CN198" s="86"/>
      <c r="CO198" s="86"/>
      <c r="CP198" s="86"/>
      <c r="CQ198" s="86"/>
      <c r="CR198" s="86"/>
      <c r="CS198" s="86"/>
      <c r="CT198" s="86"/>
      <c r="CU198" s="86"/>
      <c r="CV198" s="86"/>
      <c r="CW198" s="86"/>
      <c r="CX198" s="86"/>
      <c r="CY198" s="86"/>
      <c r="CZ198" s="86"/>
      <c r="DA198" s="86"/>
      <c r="DB198" s="86"/>
      <c r="DC198" s="86"/>
      <c r="DD198" s="86"/>
      <c r="DE198" s="86"/>
      <c r="DF198" s="86"/>
      <c r="DG198" s="86"/>
      <c r="DH198" s="86"/>
      <c r="DI198" s="86"/>
      <c r="DJ198" s="86"/>
      <c r="DK198" s="86"/>
      <c r="DL198" s="86"/>
      <c r="DM198" s="86"/>
      <c r="DN198" s="86"/>
      <c r="DO198" s="86"/>
      <c r="DP198" s="86"/>
      <c r="DQ198" s="86"/>
      <c r="DR198" s="86"/>
      <c r="DS198" s="86"/>
      <c r="DT198" s="86"/>
      <c r="DU198" s="86"/>
      <c r="DV198" s="86"/>
      <c r="DW198" s="86"/>
      <c r="DX198" s="86"/>
      <c r="DY198" s="86"/>
      <c r="DZ198" s="86"/>
      <c r="EA198" s="86"/>
      <c r="EB198" s="86"/>
      <c r="EC198" s="86"/>
      <c r="ED198" s="86"/>
      <c r="EE198" s="86"/>
      <c r="EF198" s="86"/>
      <c r="EG198" s="86"/>
      <c r="EH198" s="86"/>
      <c r="EI198" s="86"/>
      <c r="EJ198" s="86"/>
      <c r="EK198" s="86"/>
      <c r="EL198" s="86"/>
      <c r="EM198" s="86"/>
      <c r="EN198" s="86"/>
      <c r="EO198" s="86"/>
      <c r="EP198" s="86"/>
      <c r="EQ198" s="86"/>
    </row>
    <row r="199" spans="1:147" ht="12.75">
      <c r="A199" s="86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/>
      <c r="BX199" s="86"/>
      <c r="BY199" s="86"/>
      <c r="BZ199" s="86"/>
      <c r="CA199" s="86"/>
      <c r="CB199" s="86"/>
      <c r="CC199" s="86"/>
      <c r="CD199" s="86"/>
      <c r="CE199" s="86"/>
      <c r="CF199" s="86"/>
      <c r="CG199" s="86"/>
      <c r="CH199" s="86"/>
      <c r="CI199" s="86"/>
      <c r="CJ199" s="86"/>
      <c r="CK199" s="86"/>
      <c r="CL199" s="86"/>
      <c r="CM199" s="86"/>
      <c r="CN199" s="86"/>
      <c r="CO199" s="86"/>
      <c r="CP199" s="86"/>
      <c r="CQ199" s="86"/>
      <c r="CR199" s="86"/>
      <c r="CS199" s="86"/>
      <c r="CT199" s="86"/>
      <c r="CU199" s="86"/>
      <c r="CV199" s="86"/>
      <c r="CW199" s="86"/>
      <c r="CX199" s="86"/>
      <c r="CY199" s="86"/>
      <c r="CZ199" s="86"/>
      <c r="DA199" s="86"/>
      <c r="DB199" s="86"/>
      <c r="DC199" s="86"/>
      <c r="DD199" s="86"/>
      <c r="DE199" s="86"/>
      <c r="DF199" s="86"/>
      <c r="DG199" s="86"/>
      <c r="DH199" s="86"/>
      <c r="DI199" s="86"/>
      <c r="DJ199" s="86"/>
      <c r="DK199" s="86"/>
      <c r="DL199" s="86"/>
      <c r="DM199" s="86"/>
      <c r="DN199" s="86"/>
      <c r="DO199" s="86"/>
      <c r="DP199" s="86"/>
      <c r="DQ199" s="86"/>
      <c r="DR199" s="86"/>
      <c r="DS199" s="86"/>
      <c r="DT199" s="86"/>
      <c r="DU199" s="86"/>
      <c r="DV199" s="86"/>
      <c r="DW199" s="86"/>
      <c r="DX199" s="86"/>
      <c r="DY199" s="86"/>
      <c r="DZ199" s="86"/>
      <c r="EA199" s="86"/>
      <c r="EB199" s="86"/>
      <c r="EC199" s="86"/>
      <c r="ED199" s="86"/>
      <c r="EE199" s="86"/>
      <c r="EF199" s="86"/>
      <c r="EG199" s="86"/>
      <c r="EH199" s="86"/>
      <c r="EI199" s="86"/>
      <c r="EJ199" s="86"/>
      <c r="EK199" s="86"/>
      <c r="EL199" s="86"/>
      <c r="EM199" s="86"/>
      <c r="EN199" s="86"/>
      <c r="EO199" s="86"/>
      <c r="EP199" s="86"/>
      <c r="EQ199" s="86"/>
    </row>
    <row r="200" spans="1:147" ht="12.75">
      <c r="A200" s="86"/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6"/>
      <c r="BC200" s="86"/>
      <c r="BD200" s="86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  <c r="BV200" s="86"/>
      <c r="BW200" s="86"/>
      <c r="BX200" s="86"/>
      <c r="BY200" s="86"/>
      <c r="BZ200" s="86"/>
      <c r="CA200" s="86"/>
      <c r="CB200" s="86"/>
      <c r="CC200" s="86"/>
      <c r="CD200" s="86"/>
      <c r="CE200" s="86"/>
      <c r="CF200" s="86"/>
      <c r="CG200" s="86"/>
      <c r="CH200" s="86"/>
      <c r="CI200" s="86"/>
      <c r="CJ200" s="86"/>
      <c r="CK200" s="86"/>
      <c r="CL200" s="86"/>
      <c r="CM200" s="86"/>
      <c r="CN200" s="86"/>
      <c r="CO200" s="86"/>
      <c r="CP200" s="86"/>
      <c r="CQ200" s="86"/>
      <c r="CR200" s="86"/>
      <c r="CS200" s="86"/>
      <c r="CT200" s="86"/>
      <c r="CU200" s="86"/>
      <c r="CV200" s="86"/>
      <c r="CW200" s="86"/>
      <c r="CX200" s="86"/>
      <c r="CY200" s="86"/>
      <c r="CZ200" s="86"/>
      <c r="DA200" s="86"/>
      <c r="DB200" s="86"/>
      <c r="DC200" s="86"/>
      <c r="DD200" s="86"/>
      <c r="DE200" s="86"/>
      <c r="DF200" s="86"/>
      <c r="DG200" s="86"/>
      <c r="DH200" s="86"/>
      <c r="DI200" s="86"/>
      <c r="DJ200" s="86"/>
      <c r="DK200" s="86"/>
      <c r="DL200" s="86"/>
      <c r="DM200" s="86"/>
      <c r="DN200" s="86"/>
      <c r="DO200" s="86"/>
      <c r="DP200" s="86"/>
      <c r="DQ200" s="86"/>
      <c r="DR200" s="86"/>
      <c r="DS200" s="86"/>
      <c r="DT200" s="86"/>
      <c r="DU200" s="86"/>
      <c r="DV200" s="86"/>
      <c r="DW200" s="86"/>
      <c r="DX200" s="86"/>
      <c r="DY200" s="86"/>
      <c r="DZ200" s="86"/>
      <c r="EA200" s="86"/>
      <c r="EB200" s="86"/>
      <c r="EC200" s="86"/>
      <c r="ED200" s="86"/>
      <c r="EE200" s="86"/>
      <c r="EF200" s="86"/>
      <c r="EG200" s="86"/>
      <c r="EH200" s="86"/>
      <c r="EI200" s="86"/>
      <c r="EJ200" s="86"/>
      <c r="EK200" s="86"/>
      <c r="EL200" s="86"/>
      <c r="EM200" s="86"/>
      <c r="EN200" s="86"/>
      <c r="EO200" s="86"/>
      <c r="EP200" s="86"/>
      <c r="EQ200" s="86"/>
    </row>
    <row r="201" spans="1:147" ht="12.75">
      <c r="A201" s="86"/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  <c r="BV201" s="86"/>
      <c r="BW201" s="86"/>
      <c r="BX201" s="86"/>
      <c r="BY201" s="86"/>
      <c r="BZ201" s="86"/>
      <c r="CA201" s="86"/>
      <c r="CB201" s="86"/>
      <c r="CC201" s="86"/>
      <c r="CD201" s="86"/>
      <c r="CE201" s="86"/>
      <c r="CF201" s="86"/>
      <c r="CG201" s="86"/>
      <c r="CH201" s="86"/>
      <c r="CI201" s="86"/>
      <c r="CJ201" s="86"/>
      <c r="CK201" s="86"/>
      <c r="CL201" s="86"/>
      <c r="CM201" s="86"/>
      <c r="CN201" s="86"/>
      <c r="CO201" s="86"/>
      <c r="CP201" s="86"/>
      <c r="CQ201" s="86"/>
      <c r="CR201" s="86"/>
      <c r="CS201" s="86"/>
      <c r="CT201" s="86"/>
      <c r="CU201" s="86"/>
      <c r="CV201" s="86"/>
      <c r="CW201" s="86"/>
      <c r="CX201" s="86"/>
      <c r="CY201" s="86"/>
      <c r="CZ201" s="86"/>
      <c r="DA201" s="86"/>
      <c r="DB201" s="86"/>
      <c r="DC201" s="86"/>
      <c r="DD201" s="86"/>
      <c r="DE201" s="86"/>
      <c r="DF201" s="86"/>
      <c r="DG201" s="86"/>
      <c r="DH201" s="86"/>
      <c r="DI201" s="86"/>
      <c r="DJ201" s="86"/>
      <c r="DK201" s="86"/>
      <c r="DL201" s="86"/>
      <c r="DM201" s="86"/>
      <c r="DN201" s="86"/>
      <c r="DO201" s="86"/>
      <c r="DP201" s="86"/>
      <c r="DQ201" s="86"/>
      <c r="DR201" s="86"/>
      <c r="DS201" s="86"/>
      <c r="DT201" s="86"/>
      <c r="DU201" s="86"/>
      <c r="DV201" s="86"/>
      <c r="DW201" s="86"/>
      <c r="DX201" s="86"/>
      <c r="DY201" s="86"/>
      <c r="DZ201" s="86"/>
      <c r="EA201" s="86"/>
      <c r="EB201" s="86"/>
      <c r="EC201" s="86"/>
      <c r="ED201" s="86"/>
      <c r="EE201" s="86"/>
      <c r="EF201" s="86"/>
      <c r="EG201" s="86"/>
      <c r="EH201" s="86"/>
      <c r="EI201" s="86"/>
      <c r="EJ201" s="86"/>
      <c r="EK201" s="86"/>
      <c r="EL201" s="86"/>
      <c r="EM201" s="86"/>
      <c r="EN201" s="86"/>
      <c r="EO201" s="86"/>
      <c r="EP201" s="86"/>
      <c r="EQ201" s="86"/>
    </row>
    <row r="202" spans="1:147" ht="12.75">
      <c r="A202" s="86"/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  <c r="BV202" s="86"/>
      <c r="BW202" s="86"/>
      <c r="BX202" s="86"/>
      <c r="BY202" s="86"/>
      <c r="BZ202" s="86"/>
      <c r="CA202" s="86"/>
      <c r="CB202" s="86"/>
      <c r="CC202" s="86"/>
      <c r="CD202" s="86"/>
      <c r="CE202" s="86"/>
      <c r="CF202" s="86"/>
      <c r="CG202" s="86"/>
      <c r="CH202" s="86"/>
      <c r="CI202" s="86"/>
      <c r="CJ202" s="86"/>
      <c r="CK202" s="86"/>
      <c r="CL202" s="86"/>
      <c r="CM202" s="86"/>
      <c r="CN202" s="86"/>
      <c r="CO202" s="86"/>
      <c r="CP202" s="86"/>
      <c r="CQ202" s="86"/>
      <c r="CR202" s="86"/>
      <c r="CS202" s="86"/>
      <c r="CT202" s="86"/>
      <c r="CU202" s="86"/>
      <c r="CV202" s="86"/>
      <c r="CW202" s="86"/>
      <c r="CX202" s="86"/>
      <c r="CY202" s="86"/>
      <c r="CZ202" s="86"/>
      <c r="DA202" s="86"/>
      <c r="DB202" s="86"/>
      <c r="DC202" s="86"/>
      <c r="DD202" s="86"/>
      <c r="DE202" s="86"/>
      <c r="DF202" s="86"/>
      <c r="DG202" s="86"/>
      <c r="DH202" s="86"/>
      <c r="DI202" s="86"/>
      <c r="DJ202" s="86"/>
      <c r="DK202" s="86"/>
      <c r="DL202" s="86"/>
      <c r="DM202" s="86"/>
      <c r="DN202" s="86"/>
      <c r="DO202" s="86"/>
      <c r="DP202" s="86"/>
      <c r="DQ202" s="86"/>
      <c r="DR202" s="86"/>
      <c r="DS202" s="86"/>
      <c r="DT202" s="86"/>
      <c r="DU202" s="86"/>
      <c r="DV202" s="86"/>
      <c r="DW202" s="86"/>
      <c r="DX202" s="86"/>
      <c r="DY202" s="86"/>
      <c r="DZ202" s="86"/>
      <c r="EA202" s="86"/>
      <c r="EB202" s="86"/>
      <c r="EC202" s="86"/>
      <c r="ED202" s="86"/>
      <c r="EE202" s="86"/>
      <c r="EF202" s="86"/>
      <c r="EG202" s="86"/>
      <c r="EH202" s="86"/>
      <c r="EI202" s="86"/>
      <c r="EJ202" s="86"/>
      <c r="EK202" s="86"/>
      <c r="EL202" s="86"/>
      <c r="EM202" s="86"/>
      <c r="EN202" s="86"/>
      <c r="EO202" s="86"/>
      <c r="EP202" s="86"/>
      <c r="EQ202" s="86"/>
    </row>
    <row r="203" spans="1:147" ht="12.75">
      <c r="A203" s="86"/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  <c r="BV203" s="86"/>
      <c r="BW203" s="86"/>
      <c r="BX203" s="86"/>
      <c r="BY203" s="86"/>
      <c r="BZ203" s="86"/>
      <c r="CA203" s="86"/>
      <c r="CB203" s="86"/>
      <c r="CC203" s="86"/>
      <c r="CD203" s="86"/>
      <c r="CE203" s="86"/>
      <c r="CF203" s="86"/>
      <c r="CG203" s="86"/>
      <c r="CH203" s="86"/>
      <c r="CI203" s="86"/>
      <c r="CJ203" s="86"/>
      <c r="CK203" s="86"/>
      <c r="CL203" s="86"/>
      <c r="CM203" s="86"/>
      <c r="CN203" s="86"/>
      <c r="CO203" s="86"/>
      <c r="CP203" s="86"/>
      <c r="CQ203" s="86"/>
      <c r="CR203" s="86"/>
      <c r="CS203" s="86"/>
      <c r="CT203" s="86"/>
      <c r="CU203" s="86"/>
      <c r="CV203" s="86"/>
      <c r="CW203" s="86"/>
      <c r="CX203" s="86"/>
      <c r="CY203" s="86"/>
      <c r="CZ203" s="86"/>
      <c r="DA203" s="86"/>
      <c r="DB203" s="86"/>
      <c r="DC203" s="86"/>
      <c r="DD203" s="86"/>
      <c r="DE203" s="86"/>
      <c r="DF203" s="86"/>
      <c r="DG203" s="86"/>
      <c r="DH203" s="86"/>
      <c r="DI203" s="86"/>
      <c r="DJ203" s="86"/>
      <c r="DK203" s="86"/>
      <c r="DL203" s="86"/>
      <c r="DM203" s="86"/>
      <c r="DN203" s="86"/>
      <c r="DO203" s="86"/>
      <c r="DP203" s="86"/>
      <c r="DQ203" s="86"/>
      <c r="DR203" s="86"/>
      <c r="DS203" s="86"/>
      <c r="DT203" s="86"/>
      <c r="DU203" s="86"/>
      <c r="DV203" s="86"/>
      <c r="DW203" s="86"/>
      <c r="DX203" s="86"/>
      <c r="DY203" s="86"/>
      <c r="DZ203" s="86"/>
      <c r="EA203" s="86"/>
      <c r="EB203" s="86"/>
      <c r="EC203" s="86"/>
      <c r="ED203" s="86"/>
      <c r="EE203" s="86"/>
      <c r="EF203" s="86"/>
      <c r="EG203" s="86"/>
      <c r="EH203" s="86"/>
      <c r="EI203" s="86"/>
      <c r="EJ203" s="86"/>
      <c r="EK203" s="86"/>
      <c r="EL203" s="86"/>
      <c r="EM203" s="86"/>
      <c r="EN203" s="86"/>
      <c r="EO203" s="86"/>
      <c r="EP203" s="86"/>
      <c r="EQ203" s="86"/>
    </row>
    <row r="204" spans="1:147" ht="12.75">
      <c r="A204" s="86"/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  <c r="BY204" s="86"/>
      <c r="BZ204" s="86"/>
      <c r="CA204" s="86"/>
      <c r="CB204" s="86"/>
      <c r="CC204" s="86"/>
      <c r="CD204" s="86"/>
      <c r="CE204" s="86"/>
      <c r="CF204" s="86"/>
      <c r="CG204" s="86"/>
      <c r="CH204" s="86"/>
      <c r="CI204" s="86"/>
      <c r="CJ204" s="86"/>
      <c r="CK204" s="86"/>
      <c r="CL204" s="86"/>
      <c r="CM204" s="86"/>
      <c r="CN204" s="86"/>
      <c r="CO204" s="86"/>
      <c r="CP204" s="86"/>
      <c r="CQ204" s="86"/>
      <c r="CR204" s="86"/>
      <c r="CS204" s="86"/>
      <c r="CT204" s="86"/>
      <c r="CU204" s="86"/>
      <c r="CV204" s="86"/>
      <c r="CW204" s="86"/>
      <c r="CX204" s="86"/>
      <c r="CY204" s="86"/>
      <c r="CZ204" s="86"/>
      <c r="DA204" s="86"/>
      <c r="DB204" s="86"/>
      <c r="DC204" s="86"/>
      <c r="DD204" s="86"/>
      <c r="DE204" s="86"/>
      <c r="DF204" s="86"/>
      <c r="DG204" s="86"/>
      <c r="DH204" s="86"/>
      <c r="DI204" s="86"/>
      <c r="DJ204" s="86"/>
      <c r="DK204" s="86"/>
      <c r="DL204" s="86"/>
      <c r="DM204" s="86"/>
      <c r="DN204" s="86"/>
      <c r="DO204" s="86"/>
      <c r="DP204" s="86"/>
      <c r="DQ204" s="86"/>
      <c r="DR204" s="86"/>
      <c r="DS204" s="86"/>
      <c r="DT204" s="86"/>
      <c r="DU204" s="86"/>
      <c r="DV204" s="86"/>
      <c r="DW204" s="86"/>
      <c r="DX204" s="86"/>
      <c r="DY204" s="86"/>
      <c r="DZ204" s="86"/>
      <c r="EA204" s="86"/>
      <c r="EB204" s="86"/>
      <c r="EC204" s="86"/>
      <c r="ED204" s="86"/>
      <c r="EE204" s="86"/>
      <c r="EF204" s="86"/>
      <c r="EG204" s="86"/>
      <c r="EH204" s="86"/>
      <c r="EI204" s="86"/>
      <c r="EJ204" s="86"/>
      <c r="EK204" s="86"/>
      <c r="EL204" s="86"/>
      <c r="EM204" s="86"/>
      <c r="EN204" s="86"/>
      <c r="EO204" s="86"/>
      <c r="EP204" s="86"/>
      <c r="EQ204" s="86"/>
    </row>
    <row r="205" spans="1:147" ht="12.75">
      <c r="A205" s="86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  <c r="BV205" s="86"/>
      <c r="BW205" s="86"/>
      <c r="BX205" s="86"/>
      <c r="BY205" s="86"/>
      <c r="BZ205" s="86"/>
      <c r="CA205" s="86"/>
      <c r="CB205" s="86"/>
      <c r="CC205" s="86"/>
      <c r="CD205" s="86"/>
      <c r="CE205" s="86"/>
      <c r="CF205" s="86"/>
      <c r="CG205" s="86"/>
      <c r="CH205" s="86"/>
      <c r="CI205" s="86"/>
      <c r="CJ205" s="86"/>
      <c r="CK205" s="86"/>
      <c r="CL205" s="86"/>
      <c r="CM205" s="86"/>
      <c r="CN205" s="86"/>
      <c r="CO205" s="86"/>
      <c r="CP205" s="86"/>
      <c r="CQ205" s="86"/>
      <c r="CR205" s="86"/>
      <c r="CS205" s="86"/>
      <c r="CT205" s="86"/>
      <c r="CU205" s="86"/>
      <c r="CV205" s="86"/>
      <c r="CW205" s="86"/>
      <c r="CX205" s="86"/>
      <c r="CY205" s="86"/>
      <c r="CZ205" s="86"/>
      <c r="DA205" s="86"/>
      <c r="DB205" s="86"/>
      <c r="DC205" s="86"/>
      <c r="DD205" s="86"/>
      <c r="DE205" s="86"/>
      <c r="DF205" s="86"/>
      <c r="DG205" s="86"/>
      <c r="DH205" s="86"/>
      <c r="DI205" s="86"/>
      <c r="DJ205" s="86"/>
      <c r="DK205" s="86"/>
      <c r="DL205" s="86"/>
      <c r="DM205" s="86"/>
      <c r="DN205" s="86"/>
      <c r="DO205" s="86"/>
      <c r="DP205" s="86"/>
      <c r="DQ205" s="86"/>
      <c r="DR205" s="86"/>
      <c r="DS205" s="86"/>
      <c r="DT205" s="86"/>
      <c r="DU205" s="86"/>
      <c r="DV205" s="86"/>
      <c r="DW205" s="86"/>
      <c r="DX205" s="86"/>
      <c r="DY205" s="86"/>
      <c r="DZ205" s="86"/>
      <c r="EA205" s="86"/>
      <c r="EB205" s="86"/>
      <c r="EC205" s="86"/>
      <c r="ED205" s="86"/>
      <c r="EE205" s="86"/>
      <c r="EF205" s="86"/>
      <c r="EG205" s="86"/>
      <c r="EH205" s="86"/>
      <c r="EI205" s="86"/>
      <c r="EJ205" s="86"/>
      <c r="EK205" s="86"/>
      <c r="EL205" s="86"/>
      <c r="EM205" s="86"/>
      <c r="EN205" s="86"/>
      <c r="EO205" s="86"/>
      <c r="EP205" s="86"/>
      <c r="EQ205" s="86"/>
    </row>
    <row r="206" spans="1:147" ht="12.75">
      <c r="A206" s="86"/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  <c r="BV206" s="86"/>
      <c r="BW206" s="86"/>
      <c r="BX206" s="86"/>
      <c r="BY206" s="86"/>
      <c r="BZ206" s="86"/>
      <c r="CA206" s="86"/>
      <c r="CB206" s="86"/>
      <c r="CC206" s="86"/>
      <c r="CD206" s="86"/>
      <c r="CE206" s="86"/>
      <c r="CF206" s="86"/>
      <c r="CG206" s="86"/>
      <c r="CH206" s="86"/>
      <c r="CI206" s="86"/>
      <c r="CJ206" s="86"/>
      <c r="CK206" s="86"/>
      <c r="CL206" s="86"/>
      <c r="CM206" s="86"/>
      <c r="CN206" s="86"/>
      <c r="CO206" s="86"/>
      <c r="CP206" s="86"/>
      <c r="CQ206" s="86"/>
      <c r="CR206" s="86"/>
      <c r="CS206" s="86"/>
      <c r="CT206" s="86"/>
      <c r="CU206" s="86"/>
      <c r="CV206" s="86"/>
      <c r="CW206" s="86"/>
      <c r="CX206" s="86"/>
      <c r="CY206" s="86"/>
      <c r="CZ206" s="86"/>
      <c r="DA206" s="86"/>
      <c r="DB206" s="86"/>
      <c r="DC206" s="86"/>
      <c r="DD206" s="86"/>
      <c r="DE206" s="86"/>
      <c r="DF206" s="86"/>
      <c r="DG206" s="86"/>
      <c r="DH206" s="86"/>
      <c r="DI206" s="86"/>
      <c r="DJ206" s="86"/>
      <c r="DK206" s="86"/>
      <c r="DL206" s="86"/>
      <c r="DM206" s="86"/>
      <c r="DN206" s="86"/>
      <c r="DO206" s="86"/>
      <c r="DP206" s="86"/>
      <c r="DQ206" s="86"/>
      <c r="DR206" s="86"/>
      <c r="DS206" s="86"/>
      <c r="DT206" s="86"/>
      <c r="DU206" s="86"/>
      <c r="DV206" s="86"/>
      <c r="DW206" s="86"/>
      <c r="DX206" s="86"/>
      <c r="DY206" s="86"/>
      <c r="DZ206" s="86"/>
      <c r="EA206" s="86"/>
      <c r="EB206" s="86"/>
      <c r="EC206" s="86"/>
      <c r="ED206" s="86"/>
      <c r="EE206" s="86"/>
      <c r="EF206" s="86"/>
      <c r="EG206" s="86"/>
      <c r="EH206" s="86"/>
      <c r="EI206" s="86"/>
      <c r="EJ206" s="86"/>
      <c r="EK206" s="86"/>
      <c r="EL206" s="86"/>
      <c r="EM206" s="86"/>
      <c r="EN206" s="86"/>
      <c r="EO206" s="86"/>
      <c r="EP206" s="86"/>
      <c r="EQ206" s="86"/>
    </row>
    <row r="207" spans="1:147" ht="12.75">
      <c r="A207" s="86"/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  <c r="BV207" s="86"/>
      <c r="BW207" s="86"/>
      <c r="BX207" s="86"/>
      <c r="BY207" s="86"/>
      <c r="BZ207" s="86"/>
      <c r="CA207" s="86"/>
      <c r="CB207" s="86"/>
      <c r="CC207" s="86"/>
      <c r="CD207" s="86"/>
      <c r="CE207" s="86"/>
      <c r="CF207" s="86"/>
      <c r="CG207" s="86"/>
      <c r="CH207" s="86"/>
      <c r="CI207" s="86"/>
      <c r="CJ207" s="86"/>
      <c r="CK207" s="86"/>
      <c r="CL207" s="86"/>
      <c r="CM207" s="86"/>
      <c r="CN207" s="86"/>
      <c r="CO207" s="86"/>
      <c r="CP207" s="86"/>
      <c r="CQ207" s="86"/>
      <c r="CR207" s="86"/>
      <c r="CS207" s="86"/>
      <c r="CT207" s="86"/>
      <c r="CU207" s="86"/>
      <c r="CV207" s="86"/>
      <c r="CW207" s="86"/>
      <c r="CX207" s="86"/>
      <c r="CY207" s="86"/>
      <c r="CZ207" s="86"/>
      <c r="DA207" s="86"/>
      <c r="DB207" s="86"/>
      <c r="DC207" s="86"/>
      <c r="DD207" s="86"/>
      <c r="DE207" s="86"/>
      <c r="DF207" s="86"/>
      <c r="DG207" s="86"/>
      <c r="DH207" s="86"/>
      <c r="DI207" s="86"/>
      <c r="DJ207" s="86"/>
      <c r="DK207" s="86"/>
      <c r="DL207" s="86"/>
      <c r="DM207" s="86"/>
      <c r="DN207" s="86"/>
      <c r="DO207" s="86"/>
      <c r="DP207" s="86"/>
      <c r="DQ207" s="86"/>
      <c r="DR207" s="86"/>
      <c r="DS207" s="86"/>
      <c r="DT207" s="86"/>
      <c r="DU207" s="86"/>
      <c r="DV207" s="86"/>
      <c r="DW207" s="86"/>
      <c r="DX207" s="86"/>
      <c r="DY207" s="86"/>
      <c r="DZ207" s="86"/>
      <c r="EA207" s="86"/>
      <c r="EB207" s="86"/>
      <c r="EC207" s="86"/>
      <c r="ED207" s="86"/>
      <c r="EE207" s="86"/>
      <c r="EF207" s="86"/>
      <c r="EG207" s="86"/>
      <c r="EH207" s="86"/>
      <c r="EI207" s="86"/>
      <c r="EJ207" s="86"/>
      <c r="EK207" s="86"/>
      <c r="EL207" s="86"/>
      <c r="EM207" s="86"/>
      <c r="EN207" s="86"/>
      <c r="EO207" s="86"/>
      <c r="EP207" s="86"/>
      <c r="EQ207" s="86"/>
    </row>
    <row r="208" spans="1:147" ht="12.75">
      <c r="A208" s="86"/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86"/>
      <c r="BB208" s="86"/>
      <c r="BC208" s="86"/>
      <c r="BD208" s="86"/>
      <c r="BE208" s="86"/>
      <c r="BF208" s="86"/>
      <c r="BG208" s="86"/>
      <c r="BH208" s="86"/>
      <c r="BI208" s="86"/>
      <c r="BJ208" s="86"/>
      <c r="BK208" s="86"/>
      <c r="BL208" s="86"/>
      <c r="BM208" s="86"/>
      <c r="BN208" s="86"/>
      <c r="BO208" s="86"/>
      <c r="BP208" s="86"/>
      <c r="BQ208" s="86"/>
      <c r="BR208" s="86"/>
      <c r="BS208" s="86"/>
      <c r="BT208" s="86"/>
      <c r="BU208" s="86"/>
      <c r="BV208" s="86"/>
      <c r="BW208" s="86"/>
      <c r="BX208" s="86"/>
      <c r="BY208" s="86"/>
      <c r="BZ208" s="86"/>
      <c r="CA208" s="86"/>
      <c r="CB208" s="86"/>
      <c r="CC208" s="86"/>
      <c r="CD208" s="86"/>
      <c r="CE208" s="86"/>
      <c r="CF208" s="86"/>
      <c r="CG208" s="86"/>
      <c r="CH208" s="86"/>
      <c r="CI208" s="86"/>
      <c r="CJ208" s="86"/>
      <c r="CK208" s="86"/>
      <c r="CL208" s="86"/>
      <c r="CM208" s="86"/>
      <c r="CN208" s="86"/>
      <c r="CO208" s="86"/>
      <c r="CP208" s="86"/>
      <c r="CQ208" s="86"/>
      <c r="CR208" s="86"/>
      <c r="CS208" s="86"/>
      <c r="CT208" s="86"/>
      <c r="CU208" s="86"/>
      <c r="CV208" s="86"/>
      <c r="CW208" s="86"/>
      <c r="CX208" s="86"/>
      <c r="CY208" s="86"/>
      <c r="CZ208" s="86"/>
      <c r="DA208" s="86"/>
      <c r="DB208" s="86"/>
      <c r="DC208" s="86"/>
      <c r="DD208" s="86"/>
      <c r="DE208" s="86"/>
      <c r="DF208" s="86"/>
      <c r="DG208" s="86"/>
      <c r="DH208" s="86"/>
      <c r="DI208" s="86"/>
      <c r="DJ208" s="86"/>
      <c r="DK208" s="86"/>
      <c r="DL208" s="86"/>
      <c r="DM208" s="86"/>
      <c r="DN208" s="86"/>
      <c r="DO208" s="86"/>
      <c r="DP208" s="86"/>
      <c r="DQ208" s="86"/>
      <c r="DR208" s="86"/>
      <c r="DS208" s="86"/>
      <c r="DT208" s="86"/>
      <c r="DU208" s="86"/>
      <c r="DV208" s="86"/>
      <c r="DW208" s="86"/>
      <c r="DX208" s="86"/>
      <c r="DY208" s="86"/>
      <c r="DZ208" s="86"/>
      <c r="EA208" s="86"/>
      <c r="EB208" s="86"/>
      <c r="EC208" s="86"/>
      <c r="ED208" s="86"/>
      <c r="EE208" s="86"/>
      <c r="EF208" s="86"/>
      <c r="EG208" s="86"/>
      <c r="EH208" s="86"/>
      <c r="EI208" s="86"/>
      <c r="EJ208" s="86"/>
      <c r="EK208" s="86"/>
      <c r="EL208" s="86"/>
      <c r="EM208" s="86"/>
      <c r="EN208" s="86"/>
      <c r="EO208" s="86"/>
      <c r="EP208" s="86"/>
      <c r="EQ208" s="86"/>
    </row>
    <row r="209" spans="1:147" ht="12.75">
      <c r="A209" s="86"/>
      <c r="B209" s="86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  <c r="BV209" s="86"/>
      <c r="BW209" s="86"/>
      <c r="BX209" s="86"/>
      <c r="BY209" s="86"/>
      <c r="BZ209" s="86"/>
      <c r="CA209" s="86"/>
      <c r="CB209" s="86"/>
      <c r="CC209" s="86"/>
      <c r="CD209" s="86"/>
      <c r="CE209" s="86"/>
      <c r="CF209" s="86"/>
      <c r="CG209" s="86"/>
      <c r="CH209" s="86"/>
      <c r="CI209" s="86"/>
      <c r="CJ209" s="86"/>
      <c r="CK209" s="86"/>
      <c r="CL209" s="86"/>
      <c r="CM209" s="86"/>
      <c r="CN209" s="86"/>
      <c r="CO209" s="86"/>
      <c r="CP209" s="86"/>
      <c r="CQ209" s="86"/>
      <c r="CR209" s="86"/>
      <c r="CS209" s="86"/>
      <c r="CT209" s="86"/>
      <c r="CU209" s="86"/>
      <c r="CV209" s="86"/>
      <c r="CW209" s="86"/>
      <c r="CX209" s="86"/>
      <c r="CY209" s="86"/>
      <c r="CZ209" s="86"/>
      <c r="DA209" s="86"/>
      <c r="DB209" s="86"/>
      <c r="DC209" s="86"/>
      <c r="DD209" s="86"/>
      <c r="DE209" s="86"/>
      <c r="DF209" s="86"/>
      <c r="DG209" s="86"/>
      <c r="DH209" s="86"/>
      <c r="DI209" s="86"/>
      <c r="DJ209" s="86"/>
      <c r="DK209" s="86"/>
      <c r="DL209" s="86"/>
      <c r="DM209" s="86"/>
      <c r="DN209" s="86"/>
      <c r="DO209" s="86"/>
      <c r="DP209" s="86"/>
      <c r="DQ209" s="86"/>
      <c r="DR209" s="86"/>
      <c r="DS209" s="86"/>
      <c r="DT209" s="86"/>
      <c r="DU209" s="86"/>
      <c r="DV209" s="86"/>
      <c r="DW209" s="86"/>
      <c r="DX209" s="86"/>
      <c r="DY209" s="86"/>
      <c r="DZ209" s="86"/>
      <c r="EA209" s="86"/>
      <c r="EB209" s="86"/>
      <c r="EC209" s="86"/>
      <c r="ED209" s="86"/>
      <c r="EE209" s="86"/>
      <c r="EF209" s="86"/>
      <c r="EG209" s="86"/>
      <c r="EH209" s="86"/>
      <c r="EI209" s="86"/>
      <c r="EJ209" s="86"/>
      <c r="EK209" s="86"/>
      <c r="EL209" s="86"/>
      <c r="EM209" s="86"/>
      <c r="EN209" s="86"/>
      <c r="EO209" s="86"/>
      <c r="EP209" s="86"/>
      <c r="EQ209" s="86"/>
    </row>
    <row r="210" spans="1:147" ht="12.75">
      <c r="A210" s="86"/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  <c r="BV210" s="86"/>
      <c r="BW210" s="86"/>
      <c r="BX210" s="86"/>
      <c r="BY210" s="86"/>
      <c r="BZ210" s="86"/>
      <c r="CA210" s="86"/>
      <c r="CB210" s="86"/>
      <c r="CC210" s="86"/>
      <c r="CD210" s="86"/>
      <c r="CE210" s="86"/>
      <c r="CF210" s="86"/>
      <c r="CG210" s="86"/>
      <c r="CH210" s="86"/>
      <c r="CI210" s="86"/>
      <c r="CJ210" s="86"/>
      <c r="CK210" s="86"/>
      <c r="CL210" s="86"/>
      <c r="CM210" s="86"/>
      <c r="CN210" s="86"/>
      <c r="CO210" s="86"/>
      <c r="CP210" s="86"/>
      <c r="CQ210" s="86"/>
      <c r="CR210" s="86"/>
      <c r="CS210" s="86"/>
      <c r="CT210" s="86"/>
      <c r="CU210" s="86"/>
      <c r="CV210" s="86"/>
      <c r="CW210" s="86"/>
      <c r="CX210" s="86"/>
      <c r="CY210" s="86"/>
      <c r="CZ210" s="86"/>
      <c r="DA210" s="86"/>
      <c r="DB210" s="86"/>
      <c r="DC210" s="86"/>
      <c r="DD210" s="86"/>
      <c r="DE210" s="86"/>
      <c r="DF210" s="86"/>
      <c r="DG210" s="86"/>
      <c r="DH210" s="86"/>
      <c r="DI210" s="86"/>
      <c r="DJ210" s="86"/>
      <c r="DK210" s="86"/>
      <c r="DL210" s="86"/>
      <c r="DM210" s="86"/>
      <c r="DN210" s="86"/>
      <c r="DO210" s="86"/>
      <c r="DP210" s="86"/>
      <c r="DQ210" s="86"/>
      <c r="DR210" s="86"/>
      <c r="DS210" s="86"/>
      <c r="DT210" s="86"/>
      <c r="DU210" s="86"/>
      <c r="DV210" s="86"/>
      <c r="DW210" s="86"/>
      <c r="DX210" s="86"/>
      <c r="DY210" s="86"/>
      <c r="DZ210" s="86"/>
      <c r="EA210" s="86"/>
      <c r="EB210" s="86"/>
      <c r="EC210" s="86"/>
      <c r="ED210" s="86"/>
      <c r="EE210" s="86"/>
      <c r="EF210" s="86"/>
      <c r="EG210" s="86"/>
      <c r="EH210" s="86"/>
      <c r="EI210" s="86"/>
      <c r="EJ210" s="86"/>
      <c r="EK210" s="86"/>
      <c r="EL210" s="86"/>
      <c r="EM210" s="86"/>
      <c r="EN210" s="86"/>
      <c r="EO210" s="86"/>
      <c r="EP210" s="86"/>
      <c r="EQ210" s="86"/>
    </row>
    <row r="211" spans="1:147" ht="12.75">
      <c r="A211" s="86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  <c r="BV211" s="86"/>
      <c r="BW211" s="86"/>
      <c r="BX211" s="86"/>
      <c r="BY211" s="86"/>
      <c r="BZ211" s="86"/>
      <c r="CA211" s="86"/>
      <c r="CB211" s="86"/>
      <c r="CC211" s="86"/>
      <c r="CD211" s="86"/>
      <c r="CE211" s="86"/>
      <c r="CF211" s="86"/>
      <c r="CG211" s="86"/>
      <c r="CH211" s="86"/>
      <c r="CI211" s="86"/>
      <c r="CJ211" s="86"/>
      <c r="CK211" s="86"/>
      <c r="CL211" s="86"/>
      <c r="CM211" s="86"/>
      <c r="CN211" s="86"/>
      <c r="CO211" s="86"/>
      <c r="CP211" s="86"/>
      <c r="CQ211" s="86"/>
      <c r="CR211" s="86"/>
      <c r="CS211" s="86"/>
      <c r="CT211" s="86"/>
      <c r="CU211" s="86"/>
      <c r="CV211" s="86"/>
      <c r="CW211" s="86"/>
      <c r="CX211" s="86"/>
      <c r="CY211" s="86"/>
      <c r="CZ211" s="86"/>
      <c r="DA211" s="86"/>
      <c r="DB211" s="86"/>
      <c r="DC211" s="86"/>
      <c r="DD211" s="86"/>
      <c r="DE211" s="86"/>
      <c r="DF211" s="86"/>
      <c r="DG211" s="86"/>
      <c r="DH211" s="86"/>
      <c r="DI211" s="86"/>
      <c r="DJ211" s="86"/>
      <c r="DK211" s="86"/>
      <c r="DL211" s="86"/>
      <c r="DM211" s="86"/>
      <c r="DN211" s="86"/>
      <c r="DO211" s="86"/>
      <c r="DP211" s="86"/>
      <c r="DQ211" s="86"/>
      <c r="DR211" s="86"/>
      <c r="DS211" s="86"/>
      <c r="DT211" s="86"/>
      <c r="DU211" s="86"/>
      <c r="DV211" s="86"/>
      <c r="DW211" s="86"/>
      <c r="DX211" s="86"/>
      <c r="DY211" s="86"/>
      <c r="DZ211" s="86"/>
      <c r="EA211" s="86"/>
      <c r="EB211" s="86"/>
      <c r="EC211" s="86"/>
      <c r="ED211" s="86"/>
      <c r="EE211" s="86"/>
      <c r="EF211" s="86"/>
      <c r="EG211" s="86"/>
      <c r="EH211" s="86"/>
      <c r="EI211" s="86"/>
      <c r="EJ211" s="86"/>
      <c r="EK211" s="86"/>
      <c r="EL211" s="86"/>
      <c r="EM211" s="86"/>
      <c r="EN211" s="86"/>
      <c r="EO211" s="86"/>
      <c r="EP211" s="86"/>
      <c r="EQ211" s="86"/>
    </row>
    <row r="212" spans="1:147" ht="12.75">
      <c r="A212" s="86"/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  <c r="AZ212" s="86"/>
      <c r="BA212" s="86"/>
      <c r="BB212" s="86"/>
      <c r="BC212" s="86"/>
      <c r="BD212" s="86"/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  <c r="BT212" s="86"/>
      <c r="BU212" s="86"/>
      <c r="BV212" s="86"/>
      <c r="BW212" s="86"/>
      <c r="BX212" s="86"/>
      <c r="BY212" s="86"/>
      <c r="BZ212" s="86"/>
      <c r="CA212" s="86"/>
      <c r="CB212" s="86"/>
      <c r="CC212" s="86"/>
      <c r="CD212" s="86"/>
      <c r="CE212" s="86"/>
      <c r="CF212" s="86"/>
      <c r="CG212" s="86"/>
      <c r="CH212" s="86"/>
      <c r="CI212" s="86"/>
      <c r="CJ212" s="86"/>
      <c r="CK212" s="86"/>
      <c r="CL212" s="86"/>
      <c r="CM212" s="86"/>
      <c r="CN212" s="86"/>
      <c r="CO212" s="86"/>
      <c r="CP212" s="86"/>
      <c r="CQ212" s="86"/>
      <c r="CR212" s="86"/>
      <c r="CS212" s="86"/>
      <c r="CT212" s="86"/>
      <c r="CU212" s="86"/>
      <c r="CV212" s="86"/>
      <c r="CW212" s="86"/>
      <c r="CX212" s="86"/>
      <c r="CY212" s="86"/>
      <c r="CZ212" s="86"/>
      <c r="DA212" s="86"/>
      <c r="DB212" s="86"/>
      <c r="DC212" s="86"/>
      <c r="DD212" s="86"/>
      <c r="DE212" s="86"/>
      <c r="DF212" s="86"/>
      <c r="DG212" s="86"/>
      <c r="DH212" s="86"/>
      <c r="DI212" s="86"/>
      <c r="DJ212" s="86"/>
      <c r="DK212" s="86"/>
      <c r="DL212" s="86"/>
      <c r="DM212" s="86"/>
      <c r="DN212" s="86"/>
      <c r="DO212" s="86"/>
      <c r="DP212" s="86"/>
      <c r="DQ212" s="86"/>
      <c r="DR212" s="86"/>
      <c r="DS212" s="86"/>
      <c r="DT212" s="86"/>
      <c r="DU212" s="86"/>
      <c r="DV212" s="86"/>
      <c r="DW212" s="86"/>
      <c r="DX212" s="86"/>
      <c r="DY212" s="86"/>
      <c r="DZ212" s="86"/>
      <c r="EA212" s="86"/>
      <c r="EB212" s="86"/>
      <c r="EC212" s="86"/>
      <c r="ED212" s="86"/>
      <c r="EE212" s="86"/>
      <c r="EF212" s="86"/>
      <c r="EG212" s="86"/>
      <c r="EH212" s="86"/>
      <c r="EI212" s="86"/>
      <c r="EJ212" s="86"/>
      <c r="EK212" s="86"/>
      <c r="EL212" s="86"/>
      <c r="EM212" s="86"/>
      <c r="EN212" s="86"/>
      <c r="EO212" s="86"/>
      <c r="EP212" s="86"/>
      <c r="EQ212" s="86"/>
    </row>
    <row r="213" spans="1:147" ht="12.75">
      <c r="A213" s="86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  <c r="BV213" s="86"/>
      <c r="BW213" s="86"/>
      <c r="BX213" s="86"/>
      <c r="BY213" s="86"/>
      <c r="BZ213" s="86"/>
      <c r="CA213" s="86"/>
      <c r="CB213" s="86"/>
      <c r="CC213" s="86"/>
      <c r="CD213" s="86"/>
      <c r="CE213" s="86"/>
      <c r="CF213" s="86"/>
      <c r="CG213" s="86"/>
      <c r="CH213" s="86"/>
      <c r="CI213" s="86"/>
      <c r="CJ213" s="86"/>
      <c r="CK213" s="86"/>
      <c r="CL213" s="86"/>
      <c r="CM213" s="86"/>
      <c r="CN213" s="86"/>
      <c r="CO213" s="86"/>
      <c r="CP213" s="86"/>
      <c r="CQ213" s="86"/>
      <c r="CR213" s="86"/>
      <c r="CS213" s="86"/>
      <c r="CT213" s="86"/>
      <c r="CU213" s="86"/>
      <c r="CV213" s="86"/>
      <c r="CW213" s="86"/>
      <c r="CX213" s="86"/>
      <c r="CY213" s="86"/>
      <c r="CZ213" s="86"/>
      <c r="DA213" s="86"/>
      <c r="DB213" s="86"/>
      <c r="DC213" s="86"/>
      <c r="DD213" s="86"/>
      <c r="DE213" s="86"/>
      <c r="DF213" s="86"/>
      <c r="DG213" s="86"/>
      <c r="DH213" s="86"/>
      <c r="DI213" s="86"/>
      <c r="DJ213" s="86"/>
      <c r="DK213" s="86"/>
      <c r="DL213" s="86"/>
      <c r="DM213" s="86"/>
      <c r="DN213" s="86"/>
      <c r="DO213" s="86"/>
      <c r="DP213" s="86"/>
      <c r="DQ213" s="86"/>
      <c r="DR213" s="86"/>
      <c r="DS213" s="86"/>
      <c r="DT213" s="86"/>
      <c r="DU213" s="86"/>
      <c r="DV213" s="86"/>
      <c r="DW213" s="86"/>
      <c r="DX213" s="86"/>
      <c r="DY213" s="86"/>
      <c r="DZ213" s="86"/>
      <c r="EA213" s="86"/>
      <c r="EB213" s="86"/>
      <c r="EC213" s="86"/>
      <c r="ED213" s="86"/>
      <c r="EE213" s="86"/>
      <c r="EF213" s="86"/>
      <c r="EG213" s="86"/>
      <c r="EH213" s="86"/>
      <c r="EI213" s="86"/>
      <c r="EJ213" s="86"/>
      <c r="EK213" s="86"/>
      <c r="EL213" s="86"/>
      <c r="EM213" s="86"/>
      <c r="EN213" s="86"/>
      <c r="EO213" s="86"/>
      <c r="EP213" s="86"/>
      <c r="EQ213" s="86"/>
    </row>
    <row r="214" spans="1:147" ht="12.75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  <c r="BV214" s="86"/>
      <c r="BW214" s="86"/>
      <c r="BX214" s="86"/>
      <c r="BY214" s="86"/>
      <c r="BZ214" s="86"/>
      <c r="CA214" s="86"/>
      <c r="CB214" s="86"/>
      <c r="CC214" s="86"/>
      <c r="CD214" s="86"/>
      <c r="CE214" s="86"/>
      <c r="CF214" s="86"/>
      <c r="CG214" s="86"/>
      <c r="CH214" s="86"/>
      <c r="CI214" s="86"/>
      <c r="CJ214" s="86"/>
      <c r="CK214" s="86"/>
      <c r="CL214" s="86"/>
      <c r="CM214" s="86"/>
      <c r="CN214" s="86"/>
      <c r="CO214" s="86"/>
      <c r="CP214" s="86"/>
      <c r="CQ214" s="86"/>
      <c r="CR214" s="86"/>
      <c r="CS214" s="86"/>
      <c r="CT214" s="86"/>
      <c r="CU214" s="86"/>
      <c r="CV214" s="86"/>
      <c r="CW214" s="86"/>
      <c r="CX214" s="86"/>
      <c r="CY214" s="86"/>
      <c r="CZ214" s="86"/>
      <c r="DA214" s="86"/>
      <c r="DB214" s="86"/>
      <c r="DC214" s="86"/>
      <c r="DD214" s="86"/>
      <c r="DE214" s="86"/>
      <c r="DF214" s="86"/>
      <c r="DG214" s="86"/>
      <c r="DH214" s="86"/>
      <c r="DI214" s="86"/>
      <c r="DJ214" s="86"/>
      <c r="DK214" s="86"/>
      <c r="DL214" s="86"/>
      <c r="DM214" s="86"/>
      <c r="DN214" s="86"/>
      <c r="DO214" s="86"/>
      <c r="DP214" s="86"/>
      <c r="DQ214" s="86"/>
      <c r="DR214" s="86"/>
      <c r="DS214" s="86"/>
      <c r="DT214" s="86"/>
      <c r="DU214" s="86"/>
      <c r="DV214" s="86"/>
      <c r="DW214" s="86"/>
      <c r="DX214" s="86"/>
      <c r="DY214" s="86"/>
      <c r="DZ214" s="86"/>
      <c r="EA214" s="86"/>
      <c r="EB214" s="86"/>
      <c r="EC214" s="86"/>
      <c r="ED214" s="86"/>
      <c r="EE214" s="86"/>
      <c r="EF214" s="86"/>
      <c r="EG214" s="86"/>
      <c r="EH214" s="86"/>
      <c r="EI214" s="86"/>
      <c r="EJ214" s="86"/>
      <c r="EK214" s="86"/>
      <c r="EL214" s="86"/>
      <c r="EM214" s="86"/>
      <c r="EN214" s="86"/>
      <c r="EO214" s="86"/>
      <c r="EP214" s="86"/>
      <c r="EQ214" s="86"/>
    </row>
    <row r="215" spans="1:147" ht="12.75">
      <c r="A215" s="86"/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  <c r="BV215" s="86"/>
      <c r="BW215" s="86"/>
      <c r="BX215" s="86"/>
      <c r="BY215" s="86"/>
      <c r="BZ215" s="86"/>
      <c r="CA215" s="86"/>
      <c r="CB215" s="86"/>
      <c r="CC215" s="86"/>
      <c r="CD215" s="86"/>
      <c r="CE215" s="86"/>
      <c r="CF215" s="86"/>
      <c r="CG215" s="86"/>
      <c r="CH215" s="86"/>
      <c r="CI215" s="86"/>
      <c r="CJ215" s="86"/>
      <c r="CK215" s="86"/>
      <c r="CL215" s="86"/>
      <c r="CM215" s="86"/>
      <c r="CN215" s="86"/>
      <c r="CO215" s="86"/>
      <c r="CP215" s="86"/>
      <c r="CQ215" s="86"/>
      <c r="CR215" s="86"/>
      <c r="CS215" s="86"/>
      <c r="CT215" s="86"/>
      <c r="CU215" s="86"/>
      <c r="CV215" s="86"/>
      <c r="CW215" s="86"/>
      <c r="CX215" s="86"/>
      <c r="CY215" s="86"/>
      <c r="CZ215" s="86"/>
      <c r="DA215" s="86"/>
      <c r="DB215" s="86"/>
      <c r="DC215" s="86"/>
      <c r="DD215" s="86"/>
      <c r="DE215" s="86"/>
      <c r="DF215" s="86"/>
      <c r="DG215" s="86"/>
      <c r="DH215" s="86"/>
      <c r="DI215" s="86"/>
      <c r="DJ215" s="86"/>
      <c r="DK215" s="86"/>
      <c r="DL215" s="86"/>
      <c r="DM215" s="86"/>
      <c r="DN215" s="86"/>
      <c r="DO215" s="86"/>
      <c r="DP215" s="86"/>
      <c r="DQ215" s="86"/>
      <c r="DR215" s="86"/>
      <c r="DS215" s="86"/>
      <c r="DT215" s="86"/>
      <c r="DU215" s="86"/>
      <c r="DV215" s="86"/>
      <c r="DW215" s="86"/>
      <c r="DX215" s="86"/>
      <c r="DY215" s="86"/>
      <c r="DZ215" s="86"/>
      <c r="EA215" s="86"/>
      <c r="EB215" s="86"/>
      <c r="EC215" s="86"/>
      <c r="ED215" s="86"/>
      <c r="EE215" s="86"/>
      <c r="EF215" s="86"/>
      <c r="EG215" s="86"/>
      <c r="EH215" s="86"/>
      <c r="EI215" s="86"/>
      <c r="EJ215" s="86"/>
      <c r="EK215" s="86"/>
      <c r="EL215" s="86"/>
      <c r="EM215" s="86"/>
      <c r="EN215" s="86"/>
      <c r="EO215" s="86"/>
      <c r="EP215" s="86"/>
      <c r="EQ215" s="86"/>
    </row>
    <row r="216" spans="1:147" ht="12.75">
      <c r="A216" s="86"/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  <c r="BT216" s="86"/>
      <c r="BU216" s="86"/>
      <c r="BV216" s="86"/>
      <c r="BW216" s="86"/>
      <c r="BX216" s="86"/>
      <c r="BY216" s="86"/>
      <c r="BZ216" s="86"/>
      <c r="CA216" s="86"/>
      <c r="CB216" s="86"/>
      <c r="CC216" s="86"/>
      <c r="CD216" s="86"/>
      <c r="CE216" s="86"/>
      <c r="CF216" s="86"/>
      <c r="CG216" s="86"/>
      <c r="CH216" s="86"/>
      <c r="CI216" s="86"/>
      <c r="CJ216" s="86"/>
      <c r="CK216" s="86"/>
      <c r="CL216" s="86"/>
      <c r="CM216" s="86"/>
      <c r="CN216" s="86"/>
      <c r="CO216" s="86"/>
      <c r="CP216" s="86"/>
      <c r="CQ216" s="86"/>
      <c r="CR216" s="86"/>
      <c r="CS216" s="86"/>
      <c r="CT216" s="86"/>
      <c r="CU216" s="86"/>
      <c r="CV216" s="86"/>
      <c r="CW216" s="86"/>
      <c r="CX216" s="86"/>
      <c r="CY216" s="86"/>
      <c r="CZ216" s="86"/>
      <c r="DA216" s="86"/>
      <c r="DB216" s="86"/>
      <c r="DC216" s="86"/>
      <c r="DD216" s="86"/>
      <c r="DE216" s="86"/>
      <c r="DF216" s="86"/>
      <c r="DG216" s="86"/>
      <c r="DH216" s="86"/>
      <c r="DI216" s="86"/>
      <c r="DJ216" s="86"/>
      <c r="DK216" s="86"/>
      <c r="DL216" s="86"/>
      <c r="DM216" s="86"/>
      <c r="DN216" s="86"/>
      <c r="DO216" s="86"/>
      <c r="DP216" s="86"/>
      <c r="DQ216" s="86"/>
      <c r="DR216" s="86"/>
      <c r="DS216" s="86"/>
      <c r="DT216" s="86"/>
      <c r="DU216" s="86"/>
      <c r="DV216" s="86"/>
      <c r="DW216" s="86"/>
      <c r="DX216" s="86"/>
      <c r="DY216" s="86"/>
      <c r="DZ216" s="86"/>
      <c r="EA216" s="86"/>
      <c r="EB216" s="86"/>
      <c r="EC216" s="86"/>
      <c r="ED216" s="86"/>
      <c r="EE216" s="86"/>
      <c r="EF216" s="86"/>
      <c r="EG216" s="86"/>
      <c r="EH216" s="86"/>
      <c r="EI216" s="86"/>
      <c r="EJ216" s="86"/>
      <c r="EK216" s="86"/>
      <c r="EL216" s="86"/>
      <c r="EM216" s="86"/>
      <c r="EN216" s="86"/>
      <c r="EO216" s="86"/>
      <c r="EP216" s="86"/>
      <c r="EQ216" s="86"/>
    </row>
    <row r="217" spans="1:147" ht="12.75">
      <c r="A217" s="86"/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  <c r="BV217" s="86"/>
      <c r="BW217" s="86"/>
      <c r="BX217" s="86"/>
      <c r="BY217" s="86"/>
      <c r="BZ217" s="86"/>
      <c r="CA217" s="86"/>
      <c r="CB217" s="86"/>
      <c r="CC217" s="86"/>
      <c r="CD217" s="86"/>
      <c r="CE217" s="86"/>
      <c r="CF217" s="86"/>
      <c r="CG217" s="86"/>
      <c r="CH217" s="86"/>
      <c r="CI217" s="86"/>
      <c r="CJ217" s="86"/>
      <c r="CK217" s="86"/>
      <c r="CL217" s="86"/>
      <c r="CM217" s="86"/>
      <c r="CN217" s="86"/>
      <c r="CO217" s="86"/>
      <c r="CP217" s="86"/>
      <c r="CQ217" s="86"/>
      <c r="CR217" s="86"/>
      <c r="CS217" s="86"/>
      <c r="CT217" s="86"/>
      <c r="CU217" s="86"/>
      <c r="CV217" s="86"/>
      <c r="CW217" s="86"/>
      <c r="CX217" s="86"/>
      <c r="CY217" s="86"/>
      <c r="CZ217" s="86"/>
      <c r="DA217" s="86"/>
      <c r="DB217" s="86"/>
      <c r="DC217" s="86"/>
      <c r="DD217" s="86"/>
      <c r="DE217" s="86"/>
      <c r="DF217" s="86"/>
      <c r="DG217" s="86"/>
      <c r="DH217" s="86"/>
      <c r="DI217" s="86"/>
      <c r="DJ217" s="86"/>
      <c r="DK217" s="86"/>
      <c r="DL217" s="86"/>
      <c r="DM217" s="86"/>
      <c r="DN217" s="86"/>
      <c r="DO217" s="86"/>
      <c r="DP217" s="86"/>
      <c r="DQ217" s="86"/>
      <c r="DR217" s="86"/>
      <c r="DS217" s="86"/>
      <c r="DT217" s="86"/>
      <c r="DU217" s="86"/>
      <c r="DV217" s="86"/>
      <c r="DW217" s="86"/>
      <c r="DX217" s="86"/>
      <c r="DY217" s="86"/>
      <c r="DZ217" s="86"/>
      <c r="EA217" s="86"/>
      <c r="EB217" s="86"/>
      <c r="EC217" s="86"/>
      <c r="ED217" s="86"/>
      <c r="EE217" s="86"/>
      <c r="EF217" s="86"/>
      <c r="EG217" s="86"/>
      <c r="EH217" s="86"/>
      <c r="EI217" s="86"/>
      <c r="EJ217" s="86"/>
      <c r="EK217" s="86"/>
      <c r="EL217" s="86"/>
      <c r="EM217" s="86"/>
      <c r="EN217" s="86"/>
      <c r="EO217" s="86"/>
      <c r="EP217" s="86"/>
      <c r="EQ217" s="86"/>
    </row>
    <row r="218" spans="1:147" ht="12.75">
      <c r="A218" s="86"/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  <c r="BT218" s="86"/>
      <c r="BU218" s="86"/>
      <c r="BV218" s="86"/>
      <c r="BW218" s="86"/>
      <c r="BX218" s="86"/>
      <c r="BY218" s="86"/>
      <c r="BZ218" s="86"/>
      <c r="CA218" s="86"/>
      <c r="CB218" s="86"/>
      <c r="CC218" s="86"/>
      <c r="CD218" s="86"/>
      <c r="CE218" s="86"/>
      <c r="CF218" s="86"/>
      <c r="CG218" s="86"/>
      <c r="CH218" s="86"/>
      <c r="CI218" s="86"/>
      <c r="CJ218" s="86"/>
      <c r="CK218" s="86"/>
      <c r="CL218" s="86"/>
      <c r="CM218" s="86"/>
      <c r="CN218" s="86"/>
      <c r="CO218" s="86"/>
      <c r="CP218" s="86"/>
      <c r="CQ218" s="86"/>
      <c r="CR218" s="86"/>
      <c r="CS218" s="86"/>
      <c r="CT218" s="86"/>
      <c r="CU218" s="86"/>
      <c r="CV218" s="86"/>
      <c r="CW218" s="86"/>
      <c r="CX218" s="86"/>
      <c r="CY218" s="86"/>
      <c r="CZ218" s="86"/>
      <c r="DA218" s="86"/>
      <c r="DB218" s="86"/>
      <c r="DC218" s="86"/>
      <c r="DD218" s="86"/>
      <c r="DE218" s="86"/>
      <c r="DF218" s="86"/>
      <c r="DG218" s="86"/>
      <c r="DH218" s="86"/>
      <c r="DI218" s="86"/>
      <c r="DJ218" s="86"/>
      <c r="DK218" s="86"/>
      <c r="DL218" s="86"/>
      <c r="DM218" s="86"/>
      <c r="DN218" s="86"/>
      <c r="DO218" s="86"/>
      <c r="DP218" s="86"/>
      <c r="DQ218" s="86"/>
      <c r="DR218" s="86"/>
      <c r="DS218" s="86"/>
      <c r="DT218" s="86"/>
      <c r="DU218" s="86"/>
      <c r="DV218" s="86"/>
      <c r="DW218" s="86"/>
      <c r="DX218" s="86"/>
      <c r="DY218" s="86"/>
      <c r="DZ218" s="86"/>
      <c r="EA218" s="86"/>
      <c r="EB218" s="86"/>
      <c r="EC218" s="86"/>
      <c r="ED218" s="86"/>
      <c r="EE218" s="86"/>
      <c r="EF218" s="86"/>
      <c r="EG218" s="86"/>
      <c r="EH218" s="86"/>
      <c r="EI218" s="86"/>
      <c r="EJ218" s="86"/>
      <c r="EK218" s="86"/>
      <c r="EL218" s="86"/>
      <c r="EM218" s="86"/>
      <c r="EN218" s="86"/>
      <c r="EO218" s="86"/>
      <c r="EP218" s="86"/>
      <c r="EQ218" s="86"/>
    </row>
    <row r="219" spans="1:147" ht="12.75">
      <c r="A219" s="86"/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  <c r="BV219" s="86"/>
      <c r="BW219" s="86"/>
      <c r="BX219" s="86"/>
      <c r="BY219" s="86"/>
      <c r="BZ219" s="86"/>
      <c r="CA219" s="86"/>
      <c r="CB219" s="86"/>
      <c r="CC219" s="86"/>
      <c r="CD219" s="86"/>
      <c r="CE219" s="86"/>
      <c r="CF219" s="86"/>
      <c r="CG219" s="86"/>
      <c r="CH219" s="86"/>
      <c r="CI219" s="86"/>
      <c r="CJ219" s="86"/>
      <c r="CK219" s="86"/>
      <c r="CL219" s="86"/>
      <c r="CM219" s="86"/>
      <c r="CN219" s="86"/>
      <c r="CO219" s="86"/>
      <c r="CP219" s="86"/>
      <c r="CQ219" s="86"/>
      <c r="CR219" s="86"/>
      <c r="CS219" s="86"/>
      <c r="CT219" s="86"/>
      <c r="CU219" s="86"/>
      <c r="CV219" s="86"/>
      <c r="CW219" s="86"/>
      <c r="CX219" s="86"/>
      <c r="CY219" s="86"/>
      <c r="CZ219" s="86"/>
      <c r="DA219" s="86"/>
      <c r="DB219" s="86"/>
      <c r="DC219" s="86"/>
      <c r="DD219" s="86"/>
      <c r="DE219" s="86"/>
      <c r="DF219" s="86"/>
      <c r="DG219" s="86"/>
      <c r="DH219" s="86"/>
      <c r="DI219" s="86"/>
      <c r="DJ219" s="86"/>
      <c r="DK219" s="86"/>
      <c r="DL219" s="86"/>
      <c r="DM219" s="86"/>
      <c r="DN219" s="86"/>
      <c r="DO219" s="86"/>
      <c r="DP219" s="86"/>
      <c r="DQ219" s="86"/>
      <c r="DR219" s="86"/>
      <c r="DS219" s="86"/>
      <c r="DT219" s="86"/>
      <c r="DU219" s="86"/>
      <c r="DV219" s="86"/>
      <c r="DW219" s="86"/>
      <c r="DX219" s="86"/>
      <c r="DY219" s="86"/>
      <c r="DZ219" s="86"/>
      <c r="EA219" s="86"/>
      <c r="EB219" s="86"/>
      <c r="EC219" s="86"/>
      <c r="ED219" s="86"/>
      <c r="EE219" s="86"/>
      <c r="EF219" s="86"/>
      <c r="EG219" s="86"/>
      <c r="EH219" s="86"/>
      <c r="EI219" s="86"/>
      <c r="EJ219" s="86"/>
      <c r="EK219" s="86"/>
      <c r="EL219" s="86"/>
      <c r="EM219" s="86"/>
      <c r="EN219" s="86"/>
      <c r="EO219" s="86"/>
      <c r="EP219" s="86"/>
      <c r="EQ219" s="86"/>
    </row>
    <row r="220" spans="1:147" ht="12.75">
      <c r="A220" s="86"/>
      <c r="B220" s="86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  <c r="BV220" s="86"/>
      <c r="BW220" s="86"/>
      <c r="BX220" s="86"/>
      <c r="BY220" s="86"/>
      <c r="BZ220" s="86"/>
      <c r="CA220" s="86"/>
      <c r="CB220" s="86"/>
      <c r="CC220" s="86"/>
      <c r="CD220" s="86"/>
      <c r="CE220" s="86"/>
      <c r="CF220" s="86"/>
      <c r="CG220" s="86"/>
      <c r="CH220" s="86"/>
      <c r="CI220" s="86"/>
      <c r="CJ220" s="86"/>
      <c r="CK220" s="86"/>
      <c r="CL220" s="86"/>
      <c r="CM220" s="86"/>
      <c r="CN220" s="86"/>
      <c r="CO220" s="86"/>
      <c r="CP220" s="86"/>
      <c r="CQ220" s="86"/>
      <c r="CR220" s="86"/>
      <c r="CS220" s="86"/>
      <c r="CT220" s="86"/>
      <c r="CU220" s="86"/>
      <c r="CV220" s="86"/>
      <c r="CW220" s="86"/>
      <c r="CX220" s="86"/>
      <c r="CY220" s="86"/>
      <c r="CZ220" s="86"/>
      <c r="DA220" s="86"/>
      <c r="DB220" s="86"/>
      <c r="DC220" s="86"/>
      <c r="DD220" s="86"/>
      <c r="DE220" s="86"/>
      <c r="DF220" s="86"/>
      <c r="DG220" s="86"/>
      <c r="DH220" s="86"/>
      <c r="DI220" s="86"/>
      <c r="DJ220" s="86"/>
      <c r="DK220" s="86"/>
      <c r="DL220" s="86"/>
      <c r="DM220" s="86"/>
      <c r="DN220" s="86"/>
      <c r="DO220" s="86"/>
      <c r="DP220" s="86"/>
      <c r="DQ220" s="86"/>
      <c r="DR220" s="86"/>
      <c r="DS220" s="86"/>
      <c r="DT220" s="86"/>
      <c r="DU220" s="86"/>
      <c r="DV220" s="86"/>
      <c r="DW220" s="86"/>
      <c r="DX220" s="86"/>
      <c r="DY220" s="86"/>
      <c r="DZ220" s="86"/>
      <c r="EA220" s="86"/>
      <c r="EB220" s="86"/>
      <c r="EC220" s="86"/>
      <c r="ED220" s="86"/>
      <c r="EE220" s="86"/>
      <c r="EF220" s="86"/>
      <c r="EG220" s="86"/>
      <c r="EH220" s="86"/>
      <c r="EI220" s="86"/>
      <c r="EJ220" s="86"/>
      <c r="EK220" s="86"/>
      <c r="EL220" s="86"/>
      <c r="EM220" s="86"/>
      <c r="EN220" s="86"/>
      <c r="EO220" s="86"/>
      <c r="EP220" s="86"/>
      <c r="EQ220" s="86"/>
    </row>
    <row r="221" spans="1:147" ht="12.75">
      <c r="A221" s="86"/>
      <c r="B221" s="86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  <c r="BT221" s="86"/>
      <c r="BU221" s="86"/>
      <c r="BV221" s="86"/>
      <c r="BW221" s="86"/>
      <c r="BX221" s="86"/>
      <c r="BY221" s="86"/>
      <c r="BZ221" s="86"/>
      <c r="CA221" s="86"/>
      <c r="CB221" s="86"/>
      <c r="CC221" s="86"/>
      <c r="CD221" s="86"/>
      <c r="CE221" s="86"/>
      <c r="CF221" s="86"/>
      <c r="CG221" s="86"/>
      <c r="CH221" s="86"/>
      <c r="CI221" s="86"/>
      <c r="CJ221" s="86"/>
      <c r="CK221" s="86"/>
      <c r="CL221" s="86"/>
      <c r="CM221" s="86"/>
      <c r="CN221" s="86"/>
      <c r="CO221" s="86"/>
      <c r="CP221" s="86"/>
      <c r="CQ221" s="86"/>
      <c r="CR221" s="86"/>
      <c r="CS221" s="86"/>
      <c r="CT221" s="86"/>
      <c r="CU221" s="86"/>
      <c r="CV221" s="86"/>
      <c r="CW221" s="86"/>
      <c r="CX221" s="86"/>
      <c r="CY221" s="86"/>
      <c r="CZ221" s="86"/>
      <c r="DA221" s="86"/>
      <c r="DB221" s="86"/>
      <c r="DC221" s="86"/>
      <c r="DD221" s="86"/>
      <c r="DE221" s="86"/>
      <c r="DF221" s="86"/>
      <c r="DG221" s="86"/>
      <c r="DH221" s="86"/>
      <c r="DI221" s="86"/>
      <c r="DJ221" s="86"/>
      <c r="DK221" s="86"/>
      <c r="DL221" s="86"/>
      <c r="DM221" s="86"/>
      <c r="DN221" s="86"/>
      <c r="DO221" s="86"/>
      <c r="DP221" s="86"/>
      <c r="DQ221" s="86"/>
      <c r="DR221" s="86"/>
      <c r="DS221" s="86"/>
      <c r="DT221" s="86"/>
      <c r="DU221" s="86"/>
      <c r="DV221" s="86"/>
      <c r="DW221" s="86"/>
      <c r="DX221" s="86"/>
      <c r="DY221" s="86"/>
      <c r="DZ221" s="86"/>
      <c r="EA221" s="86"/>
      <c r="EB221" s="86"/>
      <c r="EC221" s="86"/>
      <c r="ED221" s="86"/>
      <c r="EE221" s="86"/>
      <c r="EF221" s="86"/>
      <c r="EG221" s="86"/>
      <c r="EH221" s="86"/>
      <c r="EI221" s="86"/>
      <c r="EJ221" s="86"/>
      <c r="EK221" s="86"/>
      <c r="EL221" s="86"/>
      <c r="EM221" s="86"/>
      <c r="EN221" s="86"/>
      <c r="EO221" s="86"/>
      <c r="EP221" s="86"/>
      <c r="EQ221" s="86"/>
    </row>
    <row r="222" spans="1:147" ht="12.75">
      <c r="A222" s="86"/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  <c r="BT222" s="86"/>
      <c r="BU222" s="86"/>
      <c r="BV222" s="86"/>
      <c r="BW222" s="86"/>
      <c r="BX222" s="86"/>
      <c r="BY222" s="86"/>
      <c r="BZ222" s="86"/>
      <c r="CA222" s="86"/>
      <c r="CB222" s="86"/>
      <c r="CC222" s="86"/>
      <c r="CD222" s="86"/>
      <c r="CE222" s="86"/>
      <c r="CF222" s="86"/>
      <c r="CG222" s="86"/>
      <c r="CH222" s="86"/>
      <c r="CI222" s="86"/>
      <c r="CJ222" s="86"/>
      <c r="CK222" s="86"/>
      <c r="CL222" s="86"/>
      <c r="CM222" s="86"/>
      <c r="CN222" s="86"/>
      <c r="CO222" s="86"/>
      <c r="CP222" s="86"/>
      <c r="CQ222" s="86"/>
      <c r="CR222" s="86"/>
      <c r="CS222" s="86"/>
      <c r="CT222" s="86"/>
      <c r="CU222" s="86"/>
      <c r="CV222" s="86"/>
      <c r="CW222" s="86"/>
      <c r="CX222" s="86"/>
      <c r="CY222" s="86"/>
      <c r="CZ222" s="86"/>
      <c r="DA222" s="86"/>
      <c r="DB222" s="86"/>
      <c r="DC222" s="86"/>
      <c r="DD222" s="86"/>
      <c r="DE222" s="86"/>
      <c r="DF222" s="86"/>
      <c r="DG222" s="86"/>
      <c r="DH222" s="86"/>
      <c r="DI222" s="86"/>
      <c r="DJ222" s="86"/>
      <c r="DK222" s="86"/>
      <c r="DL222" s="86"/>
      <c r="DM222" s="86"/>
      <c r="DN222" s="86"/>
      <c r="DO222" s="86"/>
      <c r="DP222" s="86"/>
      <c r="DQ222" s="86"/>
      <c r="DR222" s="86"/>
      <c r="DS222" s="86"/>
      <c r="DT222" s="86"/>
      <c r="DU222" s="86"/>
      <c r="DV222" s="86"/>
      <c r="DW222" s="86"/>
      <c r="DX222" s="86"/>
      <c r="DY222" s="86"/>
      <c r="DZ222" s="86"/>
      <c r="EA222" s="86"/>
      <c r="EB222" s="86"/>
      <c r="EC222" s="86"/>
      <c r="ED222" s="86"/>
      <c r="EE222" s="86"/>
      <c r="EF222" s="86"/>
      <c r="EG222" s="86"/>
      <c r="EH222" s="86"/>
      <c r="EI222" s="86"/>
      <c r="EJ222" s="86"/>
      <c r="EK222" s="86"/>
      <c r="EL222" s="86"/>
      <c r="EM222" s="86"/>
      <c r="EN222" s="86"/>
      <c r="EO222" s="86"/>
      <c r="EP222" s="86"/>
      <c r="EQ222" s="86"/>
    </row>
    <row r="223" spans="1:147" ht="12.75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86"/>
      <c r="BB223" s="86"/>
      <c r="BC223" s="86"/>
      <c r="BD223" s="86"/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  <c r="BT223" s="86"/>
      <c r="BU223" s="86"/>
      <c r="BV223" s="86"/>
      <c r="BW223" s="86"/>
      <c r="BX223" s="86"/>
      <c r="BY223" s="86"/>
      <c r="BZ223" s="86"/>
      <c r="CA223" s="86"/>
      <c r="CB223" s="86"/>
      <c r="CC223" s="86"/>
      <c r="CD223" s="86"/>
      <c r="CE223" s="86"/>
      <c r="CF223" s="86"/>
      <c r="CG223" s="86"/>
      <c r="CH223" s="86"/>
      <c r="CI223" s="86"/>
      <c r="CJ223" s="86"/>
      <c r="CK223" s="86"/>
      <c r="CL223" s="86"/>
      <c r="CM223" s="86"/>
      <c r="CN223" s="86"/>
      <c r="CO223" s="86"/>
      <c r="CP223" s="86"/>
      <c r="CQ223" s="86"/>
      <c r="CR223" s="86"/>
      <c r="CS223" s="86"/>
      <c r="CT223" s="86"/>
      <c r="CU223" s="86"/>
      <c r="CV223" s="86"/>
      <c r="CW223" s="86"/>
      <c r="CX223" s="86"/>
      <c r="CY223" s="86"/>
      <c r="CZ223" s="86"/>
      <c r="DA223" s="86"/>
      <c r="DB223" s="86"/>
      <c r="DC223" s="86"/>
      <c r="DD223" s="86"/>
      <c r="DE223" s="86"/>
      <c r="DF223" s="86"/>
      <c r="DG223" s="86"/>
      <c r="DH223" s="86"/>
      <c r="DI223" s="86"/>
      <c r="DJ223" s="86"/>
      <c r="DK223" s="86"/>
      <c r="DL223" s="86"/>
      <c r="DM223" s="86"/>
      <c r="DN223" s="86"/>
      <c r="DO223" s="86"/>
      <c r="DP223" s="86"/>
      <c r="DQ223" s="86"/>
      <c r="DR223" s="86"/>
      <c r="DS223" s="86"/>
      <c r="DT223" s="86"/>
      <c r="DU223" s="86"/>
      <c r="DV223" s="86"/>
      <c r="DW223" s="86"/>
      <c r="DX223" s="86"/>
      <c r="DY223" s="86"/>
      <c r="DZ223" s="86"/>
      <c r="EA223" s="86"/>
      <c r="EB223" s="86"/>
      <c r="EC223" s="86"/>
      <c r="ED223" s="86"/>
      <c r="EE223" s="86"/>
      <c r="EF223" s="86"/>
      <c r="EG223" s="86"/>
      <c r="EH223" s="86"/>
      <c r="EI223" s="86"/>
      <c r="EJ223" s="86"/>
      <c r="EK223" s="86"/>
      <c r="EL223" s="86"/>
      <c r="EM223" s="86"/>
      <c r="EN223" s="86"/>
      <c r="EO223" s="86"/>
      <c r="EP223" s="86"/>
      <c r="EQ223" s="86"/>
    </row>
    <row r="224" spans="1:147" ht="12.75">
      <c r="A224" s="86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  <c r="BV224" s="86"/>
      <c r="BW224" s="86"/>
      <c r="BX224" s="86"/>
      <c r="BY224" s="86"/>
      <c r="BZ224" s="86"/>
      <c r="CA224" s="86"/>
      <c r="CB224" s="86"/>
      <c r="CC224" s="86"/>
      <c r="CD224" s="86"/>
      <c r="CE224" s="86"/>
      <c r="CF224" s="86"/>
      <c r="CG224" s="86"/>
      <c r="CH224" s="86"/>
      <c r="CI224" s="86"/>
      <c r="CJ224" s="86"/>
      <c r="CK224" s="86"/>
      <c r="CL224" s="86"/>
      <c r="CM224" s="86"/>
      <c r="CN224" s="86"/>
      <c r="CO224" s="86"/>
      <c r="CP224" s="86"/>
      <c r="CQ224" s="86"/>
      <c r="CR224" s="86"/>
      <c r="CS224" s="86"/>
      <c r="CT224" s="86"/>
      <c r="CU224" s="86"/>
      <c r="CV224" s="86"/>
      <c r="CW224" s="86"/>
      <c r="CX224" s="86"/>
      <c r="CY224" s="86"/>
      <c r="CZ224" s="86"/>
      <c r="DA224" s="86"/>
      <c r="DB224" s="86"/>
      <c r="DC224" s="86"/>
      <c r="DD224" s="86"/>
      <c r="DE224" s="86"/>
      <c r="DF224" s="86"/>
      <c r="DG224" s="86"/>
      <c r="DH224" s="86"/>
      <c r="DI224" s="86"/>
      <c r="DJ224" s="86"/>
      <c r="DK224" s="86"/>
      <c r="DL224" s="86"/>
      <c r="DM224" s="86"/>
      <c r="DN224" s="86"/>
      <c r="DO224" s="86"/>
      <c r="DP224" s="86"/>
      <c r="DQ224" s="86"/>
      <c r="DR224" s="86"/>
      <c r="DS224" s="86"/>
      <c r="DT224" s="86"/>
      <c r="DU224" s="86"/>
      <c r="DV224" s="86"/>
      <c r="DW224" s="86"/>
      <c r="DX224" s="86"/>
      <c r="DY224" s="86"/>
      <c r="DZ224" s="86"/>
      <c r="EA224" s="86"/>
      <c r="EB224" s="86"/>
      <c r="EC224" s="86"/>
      <c r="ED224" s="86"/>
      <c r="EE224" s="86"/>
      <c r="EF224" s="86"/>
      <c r="EG224" s="86"/>
      <c r="EH224" s="86"/>
      <c r="EI224" s="86"/>
      <c r="EJ224" s="86"/>
      <c r="EK224" s="86"/>
      <c r="EL224" s="86"/>
      <c r="EM224" s="86"/>
      <c r="EN224" s="86"/>
      <c r="EO224" s="86"/>
      <c r="EP224" s="86"/>
      <c r="EQ224" s="86"/>
    </row>
    <row r="225" spans="1:147" ht="12.75">
      <c r="A225" s="86"/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  <c r="BV225" s="86"/>
      <c r="BW225" s="86"/>
      <c r="BX225" s="86"/>
      <c r="BY225" s="86"/>
      <c r="BZ225" s="86"/>
      <c r="CA225" s="86"/>
      <c r="CB225" s="86"/>
      <c r="CC225" s="86"/>
      <c r="CD225" s="86"/>
      <c r="CE225" s="86"/>
      <c r="CF225" s="86"/>
      <c r="CG225" s="86"/>
      <c r="CH225" s="86"/>
      <c r="CI225" s="86"/>
      <c r="CJ225" s="86"/>
      <c r="CK225" s="86"/>
      <c r="CL225" s="86"/>
      <c r="CM225" s="86"/>
      <c r="CN225" s="86"/>
      <c r="CO225" s="86"/>
      <c r="CP225" s="86"/>
      <c r="CQ225" s="86"/>
      <c r="CR225" s="86"/>
      <c r="CS225" s="86"/>
      <c r="CT225" s="86"/>
      <c r="CU225" s="86"/>
      <c r="CV225" s="86"/>
      <c r="CW225" s="86"/>
      <c r="CX225" s="86"/>
      <c r="CY225" s="86"/>
      <c r="CZ225" s="86"/>
      <c r="DA225" s="86"/>
      <c r="DB225" s="86"/>
      <c r="DC225" s="86"/>
      <c r="DD225" s="86"/>
      <c r="DE225" s="86"/>
      <c r="DF225" s="86"/>
      <c r="DG225" s="86"/>
      <c r="DH225" s="86"/>
      <c r="DI225" s="86"/>
      <c r="DJ225" s="86"/>
      <c r="DK225" s="86"/>
      <c r="DL225" s="86"/>
      <c r="DM225" s="86"/>
      <c r="DN225" s="86"/>
      <c r="DO225" s="86"/>
      <c r="DP225" s="86"/>
      <c r="DQ225" s="86"/>
      <c r="DR225" s="86"/>
      <c r="DS225" s="86"/>
      <c r="DT225" s="86"/>
      <c r="DU225" s="86"/>
      <c r="DV225" s="86"/>
      <c r="DW225" s="86"/>
      <c r="DX225" s="86"/>
      <c r="DY225" s="86"/>
      <c r="DZ225" s="86"/>
      <c r="EA225" s="86"/>
      <c r="EB225" s="86"/>
      <c r="EC225" s="86"/>
      <c r="ED225" s="86"/>
      <c r="EE225" s="86"/>
      <c r="EF225" s="86"/>
      <c r="EG225" s="86"/>
      <c r="EH225" s="86"/>
      <c r="EI225" s="86"/>
      <c r="EJ225" s="86"/>
      <c r="EK225" s="86"/>
      <c r="EL225" s="86"/>
      <c r="EM225" s="86"/>
      <c r="EN225" s="86"/>
      <c r="EO225" s="86"/>
      <c r="EP225" s="86"/>
      <c r="EQ225" s="86"/>
    </row>
    <row r="226" spans="1:147" ht="12.75">
      <c r="A226" s="86"/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  <c r="AY226" s="86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  <c r="BV226" s="86"/>
      <c r="BW226" s="86"/>
      <c r="BX226" s="86"/>
      <c r="BY226" s="86"/>
      <c r="BZ226" s="86"/>
      <c r="CA226" s="86"/>
      <c r="CB226" s="86"/>
      <c r="CC226" s="86"/>
      <c r="CD226" s="86"/>
      <c r="CE226" s="86"/>
      <c r="CF226" s="86"/>
      <c r="CG226" s="86"/>
      <c r="CH226" s="86"/>
      <c r="CI226" s="86"/>
      <c r="CJ226" s="86"/>
      <c r="CK226" s="86"/>
      <c r="CL226" s="86"/>
      <c r="CM226" s="86"/>
      <c r="CN226" s="86"/>
      <c r="CO226" s="86"/>
      <c r="CP226" s="86"/>
      <c r="CQ226" s="86"/>
      <c r="CR226" s="86"/>
      <c r="CS226" s="86"/>
      <c r="CT226" s="86"/>
      <c r="CU226" s="86"/>
      <c r="CV226" s="86"/>
      <c r="CW226" s="86"/>
      <c r="CX226" s="86"/>
      <c r="CY226" s="86"/>
      <c r="CZ226" s="86"/>
      <c r="DA226" s="86"/>
      <c r="DB226" s="86"/>
      <c r="DC226" s="86"/>
      <c r="DD226" s="86"/>
      <c r="DE226" s="86"/>
      <c r="DF226" s="86"/>
      <c r="DG226" s="86"/>
      <c r="DH226" s="86"/>
      <c r="DI226" s="86"/>
      <c r="DJ226" s="86"/>
      <c r="DK226" s="86"/>
      <c r="DL226" s="86"/>
      <c r="DM226" s="86"/>
      <c r="DN226" s="86"/>
      <c r="DO226" s="86"/>
      <c r="DP226" s="86"/>
      <c r="DQ226" s="86"/>
      <c r="DR226" s="86"/>
      <c r="DS226" s="86"/>
      <c r="DT226" s="86"/>
      <c r="DU226" s="86"/>
      <c r="DV226" s="86"/>
      <c r="DW226" s="86"/>
      <c r="DX226" s="86"/>
      <c r="DY226" s="86"/>
      <c r="DZ226" s="86"/>
      <c r="EA226" s="86"/>
      <c r="EB226" s="86"/>
      <c r="EC226" s="86"/>
      <c r="ED226" s="86"/>
      <c r="EE226" s="86"/>
      <c r="EF226" s="86"/>
      <c r="EG226" s="86"/>
      <c r="EH226" s="86"/>
      <c r="EI226" s="86"/>
      <c r="EJ226" s="86"/>
      <c r="EK226" s="86"/>
      <c r="EL226" s="86"/>
      <c r="EM226" s="86"/>
      <c r="EN226" s="86"/>
      <c r="EO226" s="86"/>
      <c r="EP226" s="86"/>
      <c r="EQ226" s="86"/>
    </row>
    <row r="227" spans="1:147" ht="12.75">
      <c r="A227" s="86"/>
      <c r="B227" s="86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  <c r="BV227" s="86"/>
      <c r="BW227" s="86"/>
      <c r="BX227" s="86"/>
      <c r="BY227" s="86"/>
      <c r="BZ227" s="86"/>
      <c r="CA227" s="86"/>
      <c r="CB227" s="86"/>
      <c r="CC227" s="86"/>
      <c r="CD227" s="86"/>
      <c r="CE227" s="86"/>
      <c r="CF227" s="86"/>
      <c r="CG227" s="86"/>
      <c r="CH227" s="86"/>
      <c r="CI227" s="86"/>
      <c r="CJ227" s="86"/>
      <c r="CK227" s="86"/>
      <c r="CL227" s="86"/>
      <c r="CM227" s="86"/>
      <c r="CN227" s="86"/>
      <c r="CO227" s="86"/>
      <c r="CP227" s="86"/>
      <c r="CQ227" s="86"/>
      <c r="CR227" s="86"/>
      <c r="CS227" s="86"/>
      <c r="CT227" s="86"/>
      <c r="CU227" s="86"/>
      <c r="CV227" s="86"/>
      <c r="CW227" s="86"/>
      <c r="CX227" s="86"/>
      <c r="CY227" s="86"/>
      <c r="CZ227" s="86"/>
      <c r="DA227" s="86"/>
      <c r="DB227" s="86"/>
      <c r="DC227" s="86"/>
      <c r="DD227" s="86"/>
      <c r="DE227" s="86"/>
      <c r="DF227" s="86"/>
      <c r="DG227" s="86"/>
      <c r="DH227" s="86"/>
      <c r="DI227" s="86"/>
      <c r="DJ227" s="86"/>
      <c r="DK227" s="86"/>
      <c r="DL227" s="86"/>
      <c r="DM227" s="86"/>
      <c r="DN227" s="86"/>
      <c r="DO227" s="86"/>
      <c r="DP227" s="86"/>
      <c r="DQ227" s="86"/>
      <c r="DR227" s="86"/>
      <c r="DS227" s="86"/>
      <c r="DT227" s="86"/>
      <c r="DU227" s="86"/>
      <c r="DV227" s="86"/>
      <c r="DW227" s="86"/>
      <c r="DX227" s="86"/>
      <c r="DY227" s="86"/>
      <c r="DZ227" s="86"/>
      <c r="EA227" s="86"/>
      <c r="EB227" s="86"/>
      <c r="EC227" s="86"/>
      <c r="ED227" s="86"/>
      <c r="EE227" s="86"/>
      <c r="EF227" s="86"/>
      <c r="EG227" s="86"/>
      <c r="EH227" s="86"/>
      <c r="EI227" s="86"/>
      <c r="EJ227" s="86"/>
      <c r="EK227" s="86"/>
      <c r="EL227" s="86"/>
      <c r="EM227" s="86"/>
      <c r="EN227" s="86"/>
      <c r="EO227" s="86"/>
      <c r="EP227" s="86"/>
      <c r="EQ227" s="86"/>
    </row>
    <row r="228" spans="1:147" ht="12.75">
      <c r="A228" s="86"/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  <c r="BO228" s="86"/>
      <c r="BP228" s="86"/>
      <c r="BQ228" s="86"/>
      <c r="BR228" s="86"/>
      <c r="BS228" s="86"/>
      <c r="BT228" s="86"/>
      <c r="BU228" s="86"/>
      <c r="BV228" s="86"/>
      <c r="BW228" s="86"/>
      <c r="BX228" s="86"/>
      <c r="BY228" s="86"/>
      <c r="BZ228" s="86"/>
      <c r="CA228" s="86"/>
      <c r="CB228" s="86"/>
      <c r="CC228" s="86"/>
      <c r="CD228" s="86"/>
      <c r="CE228" s="86"/>
      <c r="CF228" s="86"/>
      <c r="CG228" s="86"/>
      <c r="CH228" s="86"/>
      <c r="CI228" s="86"/>
      <c r="CJ228" s="86"/>
      <c r="CK228" s="86"/>
      <c r="CL228" s="86"/>
      <c r="CM228" s="86"/>
      <c r="CN228" s="86"/>
      <c r="CO228" s="86"/>
      <c r="CP228" s="86"/>
      <c r="CQ228" s="86"/>
      <c r="CR228" s="86"/>
      <c r="CS228" s="86"/>
      <c r="CT228" s="86"/>
      <c r="CU228" s="86"/>
      <c r="CV228" s="86"/>
      <c r="CW228" s="86"/>
      <c r="CX228" s="86"/>
      <c r="CY228" s="86"/>
      <c r="CZ228" s="86"/>
      <c r="DA228" s="86"/>
      <c r="DB228" s="86"/>
      <c r="DC228" s="86"/>
      <c r="DD228" s="86"/>
      <c r="DE228" s="86"/>
      <c r="DF228" s="86"/>
      <c r="DG228" s="86"/>
      <c r="DH228" s="86"/>
      <c r="DI228" s="86"/>
      <c r="DJ228" s="86"/>
      <c r="DK228" s="86"/>
      <c r="DL228" s="86"/>
      <c r="DM228" s="86"/>
      <c r="DN228" s="86"/>
      <c r="DO228" s="86"/>
      <c r="DP228" s="86"/>
      <c r="DQ228" s="86"/>
      <c r="DR228" s="86"/>
      <c r="DS228" s="86"/>
      <c r="DT228" s="86"/>
      <c r="DU228" s="86"/>
      <c r="DV228" s="86"/>
      <c r="DW228" s="86"/>
      <c r="DX228" s="86"/>
      <c r="DY228" s="86"/>
      <c r="DZ228" s="86"/>
      <c r="EA228" s="86"/>
      <c r="EB228" s="86"/>
      <c r="EC228" s="86"/>
      <c r="ED228" s="86"/>
      <c r="EE228" s="86"/>
      <c r="EF228" s="86"/>
      <c r="EG228" s="86"/>
      <c r="EH228" s="86"/>
      <c r="EI228" s="86"/>
      <c r="EJ228" s="86"/>
      <c r="EK228" s="86"/>
      <c r="EL228" s="86"/>
      <c r="EM228" s="86"/>
      <c r="EN228" s="86"/>
      <c r="EO228" s="86"/>
      <c r="EP228" s="86"/>
      <c r="EQ228" s="86"/>
    </row>
    <row r="229" spans="1:147" ht="12.75">
      <c r="A229" s="86"/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  <c r="BV229" s="86"/>
      <c r="BW229" s="86"/>
      <c r="BX229" s="86"/>
      <c r="BY229" s="86"/>
      <c r="BZ229" s="86"/>
      <c r="CA229" s="86"/>
      <c r="CB229" s="86"/>
      <c r="CC229" s="86"/>
      <c r="CD229" s="86"/>
      <c r="CE229" s="86"/>
      <c r="CF229" s="86"/>
      <c r="CG229" s="86"/>
      <c r="CH229" s="86"/>
      <c r="CI229" s="86"/>
      <c r="CJ229" s="86"/>
      <c r="CK229" s="86"/>
      <c r="CL229" s="86"/>
      <c r="CM229" s="86"/>
      <c r="CN229" s="86"/>
      <c r="CO229" s="86"/>
      <c r="CP229" s="86"/>
      <c r="CQ229" s="86"/>
      <c r="CR229" s="86"/>
      <c r="CS229" s="86"/>
      <c r="CT229" s="86"/>
      <c r="CU229" s="86"/>
      <c r="CV229" s="86"/>
      <c r="CW229" s="86"/>
      <c r="CX229" s="86"/>
      <c r="CY229" s="86"/>
      <c r="CZ229" s="86"/>
      <c r="DA229" s="86"/>
      <c r="DB229" s="86"/>
      <c r="DC229" s="86"/>
      <c r="DD229" s="86"/>
      <c r="DE229" s="86"/>
      <c r="DF229" s="86"/>
      <c r="DG229" s="86"/>
      <c r="DH229" s="86"/>
      <c r="DI229" s="86"/>
      <c r="DJ229" s="86"/>
      <c r="DK229" s="86"/>
      <c r="DL229" s="86"/>
      <c r="DM229" s="86"/>
      <c r="DN229" s="86"/>
      <c r="DO229" s="86"/>
      <c r="DP229" s="86"/>
      <c r="DQ229" s="86"/>
      <c r="DR229" s="86"/>
      <c r="DS229" s="86"/>
      <c r="DT229" s="86"/>
      <c r="DU229" s="86"/>
      <c r="DV229" s="86"/>
      <c r="DW229" s="86"/>
      <c r="DX229" s="86"/>
      <c r="DY229" s="86"/>
      <c r="DZ229" s="86"/>
      <c r="EA229" s="86"/>
      <c r="EB229" s="86"/>
      <c r="EC229" s="86"/>
      <c r="ED229" s="86"/>
      <c r="EE229" s="86"/>
      <c r="EF229" s="86"/>
      <c r="EG229" s="86"/>
      <c r="EH229" s="86"/>
      <c r="EI229" s="86"/>
      <c r="EJ229" s="86"/>
      <c r="EK229" s="86"/>
      <c r="EL229" s="86"/>
      <c r="EM229" s="86"/>
      <c r="EN229" s="86"/>
      <c r="EO229" s="86"/>
      <c r="EP229" s="86"/>
      <c r="EQ229" s="86"/>
    </row>
    <row r="230" spans="1:147" ht="12.75">
      <c r="A230" s="86"/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6"/>
      <c r="AY230" s="86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  <c r="BT230" s="86"/>
      <c r="BU230" s="86"/>
      <c r="BV230" s="86"/>
      <c r="BW230" s="86"/>
      <c r="BX230" s="86"/>
      <c r="BY230" s="86"/>
      <c r="BZ230" s="86"/>
      <c r="CA230" s="86"/>
      <c r="CB230" s="86"/>
      <c r="CC230" s="86"/>
      <c r="CD230" s="86"/>
      <c r="CE230" s="86"/>
      <c r="CF230" s="86"/>
      <c r="CG230" s="86"/>
      <c r="CH230" s="86"/>
      <c r="CI230" s="86"/>
      <c r="CJ230" s="86"/>
      <c r="CK230" s="86"/>
      <c r="CL230" s="86"/>
      <c r="CM230" s="86"/>
      <c r="CN230" s="86"/>
      <c r="CO230" s="86"/>
      <c r="CP230" s="86"/>
      <c r="CQ230" s="86"/>
      <c r="CR230" s="86"/>
      <c r="CS230" s="86"/>
      <c r="CT230" s="86"/>
      <c r="CU230" s="86"/>
      <c r="CV230" s="86"/>
      <c r="CW230" s="86"/>
      <c r="CX230" s="86"/>
      <c r="CY230" s="86"/>
      <c r="CZ230" s="86"/>
      <c r="DA230" s="86"/>
      <c r="DB230" s="86"/>
      <c r="DC230" s="86"/>
      <c r="DD230" s="86"/>
      <c r="DE230" s="86"/>
      <c r="DF230" s="86"/>
      <c r="DG230" s="86"/>
      <c r="DH230" s="86"/>
      <c r="DI230" s="86"/>
      <c r="DJ230" s="86"/>
      <c r="DK230" s="86"/>
      <c r="DL230" s="86"/>
      <c r="DM230" s="86"/>
      <c r="DN230" s="86"/>
      <c r="DO230" s="86"/>
      <c r="DP230" s="86"/>
      <c r="DQ230" s="86"/>
      <c r="DR230" s="86"/>
      <c r="DS230" s="86"/>
      <c r="DT230" s="86"/>
      <c r="DU230" s="86"/>
      <c r="DV230" s="86"/>
      <c r="DW230" s="86"/>
      <c r="DX230" s="86"/>
      <c r="DY230" s="86"/>
      <c r="DZ230" s="86"/>
      <c r="EA230" s="86"/>
      <c r="EB230" s="86"/>
      <c r="EC230" s="86"/>
      <c r="ED230" s="86"/>
      <c r="EE230" s="86"/>
      <c r="EF230" s="86"/>
      <c r="EG230" s="86"/>
      <c r="EH230" s="86"/>
      <c r="EI230" s="86"/>
      <c r="EJ230" s="86"/>
      <c r="EK230" s="86"/>
      <c r="EL230" s="86"/>
      <c r="EM230" s="86"/>
      <c r="EN230" s="86"/>
      <c r="EO230" s="86"/>
      <c r="EP230" s="86"/>
      <c r="EQ230" s="86"/>
    </row>
    <row r="231" spans="1:147" ht="12.75">
      <c r="A231" s="86"/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  <c r="BV231" s="86"/>
      <c r="BW231" s="86"/>
      <c r="BX231" s="86"/>
      <c r="BY231" s="86"/>
      <c r="BZ231" s="86"/>
      <c r="CA231" s="86"/>
      <c r="CB231" s="86"/>
      <c r="CC231" s="86"/>
      <c r="CD231" s="86"/>
      <c r="CE231" s="86"/>
      <c r="CF231" s="86"/>
      <c r="CG231" s="86"/>
      <c r="CH231" s="86"/>
      <c r="CI231" s="86"/>
      <c r="CJ231" s="86"/>
      <c r="CK231" s="86"/>
      <c r="CL231" s="86"/>
      <c r="CM231" s="86"/>
      <c r="CN231" s="86"/>
      <c r="CO231" s="86"/>
      <c r="CP231" s="86"/>
      <c r="CQ231" s="86"/>
      <c r="CR231" s="86"/>
      <c r="CS231" s="86"/>
      <c r="CT231" s="86"/>
      <c r="CU231" s="86"/>
      <c r="CV231" s="86"/>
      <c r="CW231" s="86"/>
      <c r="CX231" s="86"/>
      <c r="CY231" s="86"/>
      <c r="CZ231" s="86"/>
      <c r="DA231" s="86"/>
      <c r="DB231" s="86"/>
      <c r="DC231" s="86"/>
      <c r="DD231" s="86"/>
      <c r="DE231" s="86"/>
      <c r="DF231" s="86"/>
      <c r="DG231" s="86"/>
      <c r="DH231" s="86"/>
      <c r="DI231" s="86"/>
      <c r="DJ231" s="86"/>
      <c r="DK231" s="86"/>
      <c r="DL231" s="86"/>
      <c r="DM231" s="86"/>
      <c r="DN231" s="86"/>
      <c r="DO231" s="86"/>
      <c r="DP231" s="86"/>
      <c r="DQ231" s="86"/>
      <c r="DR231" s="86"/>
      <c r="DS231" s="86"/>
      <c r="DT231" s="86"/>
      <c r="DU231" s="86"/>
      <c r="DV231" s="86"/>
      <c r="DW231" s="86"/>
      <c r="DX231" s="86"/>
      <c r="DY231" s="86"/>
      <c r="DZ231" s="86"/>
      <c r="EA231" s="86"/>
      <c r="EB231" s="86"/>
      <c r="EC231" s="86"/>
      <c r="ED231" s="86"/>
      <c r="EE231" s="86"/>
      <c r="EF231" s="86"/>
      <c r="EG231" s="86"/>
      <c r="EH231" s="86"/>
      <c r="EI231" s="86"/>
      <c r="EJ231" s="86"/>
      <c r="EK231" s="86"/>
      <c r="EL231" s="86"/>
      <c r="EM231" s="86"/>
      <c r="EN231" s="86"/>
      <c r="EO231" s="86"/>
      <c r="EP231" s="86"/>
      <c r="EQ231" s="86"/>
    </row>
    <row r="232" spans="1:147" ht="12.75">
      <c r="A232" s="86"/>
      <c r="B232" s="86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86"/>
      <c r="AP232" s="86"/>
      <c r="AQ232" s="86"/>
      <c r="AR232" s="86"/>
      <c r="AS232" s="86"/>
      <c r="AT232" s="86"/>
      <c r="AU232" s="86"/>
      <c r="AV232" s="86"/>
      <c r="AW232" s="86"/>
      <c r="AX232" s="86"/>
      <c r="AY232" s="86"/>
      <c r="AZ232" s="86"/>
      <c r="BA232" s="86"/>
      <c r="BB232" s="86"/>
      <c r="BC232" s="86"/>
      <c r="BD232" s="86"/>
      <c r="BE232" s="86"/>
      <c r="BF232" s="86"/>
      <c r="BG232" s="86"/>
      <c r="BH232" s="86"/>
      <c r="BI232" s="86"/>
      <c r="BJ232" s="86"/>
      <c r="BK232" s="86"/>
      <c r="BL232" s="86"/>
      <c r="BM232" s="86"/>
      <c r="BN232" s="86"/>
      <c r="BO232" s="86"/>
      <c r="BP232" s="86"/>
      <c r="BQ232" s="86"/>
      <c r="BR232" s="86"/>
      <c r="BS232" s="86"/>
      <c r="BT232" s="86"/>
      <c r="BU232" s="86"/>
      <c r="BV232" s="86"/>
      <c r="BW232" s="86"/>
      <c r="BX232" s="86"/>
      <c r="BY232" s="86"/>
      <c r="BZ232" s="86"/>
      <c r="CA232" s="86"/>
      <c r="CB232" s="86"/>
      <c r="CC232" s="86"/>
      <c r="CD232" s="86"/>
      <c r="CE232" s="86"/>
      <c r="CF232" s="86"/>
      <c r="CG232" s="86"/>
      <c r="CH232" s="86"/>
      <c r="CI232" s="86"/>
      <c r="CJ232" s="86"/>
      <c r="CK232" s="86"/>
      <c r="CL232" s="86"/>
      <c r="CM232" s="86"/>
      <c r="CN232" s="86"/>
      <c r="CO232" s="86"/>
      <c r="CP232" s="86"/>
      <c r="CQ232" s="86"/>
      <c r="CR232" s="86"/>
      <c r="CS232" s="86"/>
      <c r="CT232" s="86"/>
      <c r="CU232" s="86"/>
      <c r="CV232" s="86"/>
      <c r="CW232" s="86"/>
      <c r="CX232" s="86"/>
      <c r="CY232" s="86"/>
      <c r="CZ232" s="86"/>
      <c r="DA232" s="86"/>
      <c r="DB232" s="86"/>
      <c r="DC232" s="86"/>
      <c r="DD232" s="86"/>
      <c r="DE232" s="86"/>
      <c r="DF232" s="86"/>
      <c r="DG232" s="86"/>
      <c r="DH232" s="86"/>
      <c r="DI232" s="86"/>
      <c r="DJ232" s="86"/>
      <c r="DK232" s="86"/>
      <c r="DL232" s="86"/>
      <c r="DM232" s="86"/>
      <c r="DN232" s="86"/>
      <c r="DO232" s="86"/>
      <c r="DP232" s="86"/>
      <c r="DQ232" s="86"/>
      <c r="DR232" s="86"/>
      <c r="DS232" s="86"/>
      <c r="DT232" s="86"/>
      <c r="DU232" s="86"/>
      <c r="DV232" s="86"/>
      <c r="DW232" s="86"/>
      <c r="DX232" s="86"/>
      <c r="DY232" s="86"/>
      <c r="DZ232" s="86"/>
      <c r="EA232" s="86"/>
      <c r="EB232" s="86"/>
      <c r="EC232" s="86"/>
      <c r="ED232" s="86"/>
      <c r="EE232" s="86"/>
      <c r="EF232" s="86"/>
      <c r="EG232" s="86"/>
      <c r="EH232" s="86"/>
      <c r="EI232" s="86"/>
      <c r="EJ232" s="86"/>
      <c r="EK232" s="86"/>
      <c r="EL232" s="86"/>
      <c r="EM232" s="86"/>
      <c r="EN232" s="86"/>
      <c r="EO232" s="86"/>
      <c r="EP232" s="86"/>
      <c r="EQ232" s="86"/>
    </row>
    <row r="233" spans="1:147" ht="12.75">
      <c r="A233" s="86"/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  <c r="BU233" s="86"/>
      <c r="BV233" s="86"/>
      <c r="BW233" s="86"/>
      <c r="BX233" s="86"/>
      <c r="BY233" s="86"/>
      <c r="BZ233" s="86"/>
      <c r="CA233" s="86"/>
      <c r="CB233" s="86"/>
      <c r="CC233" s="86"/>
      <c r="CD233" s="86"/>
      <c r="CE233" s="86"/>
      <c r="CF233" s="86"/>
      <c r="CG233" s="86"/>
      <c r="CH233" s="86"/>
      <c r="CI233" s="86"/>
      <c r="CJ233" s="86"/>
      <c r="CK233" s="86"/>
      <c r="CL233" s="86"/>
      <c r="CM233" s="86"/>
      <c r="CN233" s="86"/>
      <c r="CO233" s="86"/>
      <c r="CP233" s="86"/>
      <c r="CQ233" s="86"/>
      <c r="CR233" s="86"/>
      <c r="CS233" s="86"/>
      <c r="CT233" s="86"/>
      <c r="CU233" s="86"/>
      <c r="CV233" s="86"/>
      <c r="CW233" s="86"/>
      <c r="CX233" s="86"/>
      <c r="CY233" s="86"/>
      <c r="CZ233" s="86"/>
      <c r="DA233" s="86"/>
      <c r="DB233" s="86"/>
      <c r="DC233" s="86"/>
      <c r="DD233" s="86"/>
      <c r="DE233" s="86"/>
      <c r="DF233" s="86"/>
      <c r="DG233" s="86"/>
      <c r="DH233" s="86"/>
      <c r="DI233" s="86"/>
      <c r="DJ233" s="86"/>
      <c r="DK233" s="86"/>
      <c r="DL233" s="86"/>
      <c r="DM233" s="86"/>
      <c r="DN233" s="86"/>
      <c r="DO233" s="86"/>
      <c r="DP233" s="86"/>
      <c r="DQ233" s="86"/>
      <c r="DR233" s="86"/>
      <c r="DS233" s="86"/>
      <c r="DT233" s="86"/>
      <c r="DU233" s="86"/>
      <c r="DV233" s="86"/>
      <c r="DW233" s="86"/>
      <c r="DX233" s="86"/>
      <c r="DY233" s="86"/>
      <c r="DZ233" s="86"/>
      <c r="EA233" s="86"/>
      <c r="EB233" s="86"/>
      <c r="EC233" s="86"/>
      <c r="ED233" s="86"/>
      <c r="EE233" s="86"/>
      <c r="EF233" s="86"/>
      <c r="EG233" s="86"/>
      <c r="EH233" s="86"/>
      <c r="EI233" s="86"/>
      <c r="EJ233" s="86"/>
      <c r="EK233" s="86"/>
      <c r="EL233" s="86"/>
      <c r="EM233" s="86"/>
      <c r="EN233" s="86"/>
      <c r="EO233" s="86"/>
      <c r="EP233" s="86"/>
      <c r="EQ233" s="86"/>
    </row>
    <row r="234" spans="1:147" ht="12.75">
      <c r="A234" s="86"/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  <c r="BK234" s="86"/>
      <c r="BL234" s="86"/>
      <c r="BM234" s="86"/>
      <c r="BN234" s="86"/>
      <c r="BO234" s="86"/>
      <c r="BP234" s="86"/>
      <c r="BQ234" s="86"/>
      <c r="BR234" s="86"/>
      <c r="BS234" s="86"/>
      <c r="BT234" s="86"/>
      <c r="BU234" s="86"/>
      <c r="BV234" s="86"/>
      <c r="BW234" s="86"/>
      <c r="BX234" s="86"/>
      <c r="BY234" s="86"/>
      <c r="BZ234" s="86"/>
      <c r="CA234" s="86"/>
      <c r="CB234" s="86"/>
      <c r="CC234" s="86"/>
      <c r="CD234" s="86"/>
      <c r="CE234" s="86"/>
      <c r="CF234" s="86"/>
      <c r="CG234" s="86"/>
      <c r="CH234" s="86"/>
      <c r="CI234" s="86"/>
      <c r="CJ234" s="86"/>
      <c r="CK234" s="86"/>
      <c r="CL234" s="86"/>
      <c r="CM234" s="86"/>
      <c r="CN234" s="86"/>
      <c r="CO234" s="86"/>
      <c r="CP234" s="86"/>
      <c r="CQ234" s="86"/>
      <c r="CR234" s="86"/>
      <c r="CS234" s="86"/>
      <c r="CT234" s="86"/>
      <c r="CU234" s="86"/>
      <c r="CV234" s="86"/>
      <c r="CW234" s="86"/>
      <c r="CX234" s="86"/>
      <c r="CY234" s="86"/>
      <c r="CZ234" s="86"/>
      <c r="DA234" s="86"/>
      <c r="DB234" s="86"/>
      <c r="DC234" s="86"/>
      <c r="DD234" s="86"/>
      <c r="DE234" s="86"/>
      <c r="DF234" s="86"/>
      <c r="DG234" s="86"/>
      <c r="DH234" s="86"/>
      <c r="DI234" s="86"/>
      <c r="DJ234" s="86"/>
      <c r="DK234" s="86"/>
      <c r="DL234" s="86"/>
      <c r="DM234" s="86"/>
      <c r="DN234" s="86"/>
      <c r="DO234" s="86"/>
      <c r="DP234" s="86"/>
      <c r="DQ234" s="86"/>
      <c r="DR234" s="86"/>
      <c r="DS234" s="86"/>
      <c r="DT234" s="86"/>
      <c r="DU234" s="86"/>
      <c r="DV234" s="86"/>
      <c r="DW234" s="86"/>
      <c r="DX234" s="86"/>
      <c r="DY234" s="86"/>
      <c r="DZ234" s="86"/>
      <c r="EA234" s="86"/>
      <c r="EB234" s="86"/>
      <c r="EC234" s="86"/>
      <c r="ED234" s="86"/>
      <c r="EE234" s="86"/>
      <c r="EF234" s="86"/>
      <c r="EG234" s="86"/>
      <c r="EH234" s="86"/>
      <c r="EI234" s="86"/>
      <c r="EJ234" s="86"/>
      <c r="EK234" s="86"/>
      <c r="EL234" s="86"/>
      <c r="EM234" s="86"/>
      <c r="EN234" s="86"/>
      <c r="EO234" s="86"/>
      <c r="EP234" s="86"/>
      <c r="EQ234" s="86"/>
    </row>
    <row r="235" spans="1:147" ht="12.75">
      <c r="A235" s="86"/>
      <c r="B235" s="86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  <c r="AZ235" s="86"/>
      <c r="BA235" s="86"/>
      <c r="BB235" s="86"/>
      <c r="BC235" s="86"/>
      <c r="BD235" s="86"/>
      <c r="BE235" s="86"/>
      <c r="BF235" s="86"/>
      <c r="BG235" s="86"/>
      <c r="BH235" s="86"/>
      <c r="BI235" s="86"/>
      <c r="BJ235" s="86"/>
      <c r="BK235" s="86"/>
      <c r="BL235" s="86"/>
      <c r="BM235" s="86"/>
      <c r="BN235" s="86"/>
      <c r="BO235" s="86"/>
      <c r="BP235" s="86"/>
      <c r="BQ235" s="86"/>
      <c r="BR235" s="86"/>
      <c r="BS235" s="86"/>
      <c r="BT235" s="86"/>
      <c r="BU235" s="86"/>
      <c r="BV235" s="86"/>
      <c r="BW235" s="86"/>
      <c r="BX235" s="86"/>
      <c r="BY235" s="86"/>
      <c r="BZ235" s="86"/>
      <c r="CA235" s="86"/>
      <c r="CB235" s="86"/>
      <c r="CC235" s="86"/>
      <c r="CD235" s="86"/>
      <c r="CE235" s="86"/>
      <c r="CF235" s="86"/>
      <c r="CG235" s="86"/>
      <c r="CH235" s="86"/>
      <c r="CI235" s="86"/>
      <c r="CJ235" s="86"/>
      <c r="CK235" s="86"/>
      <c r="CL235" s="86"/>
      <c r="CM235" s="86"/>
      <c r="CN235" s="86"/>
      <c r="CO235" s="86"/>
      <c r="CP235" s="86"/>
      <c r="CQ235" s="86"/>
      <c r="CR235" s="86"/>
      <c r="CS235" s="86"/>
      <c r="CT235" s="86"/>
      <c r="CU235" s="86"/>
      <c r="CV235" s="86"/>
      <c r="CW235" s="86"/>
      <c r="CX235" s="86"/>
      <c r="CY235" s="86"/>
      <c r="CZ235" s="86"/>
      <c r="DA235" s="86"/>
      <c r="DB235" s="86"/>
      <c r="DC235" s="86"/>
      <c r="DD235" s="86"/>
      <c r="DE235" s="86"/>
      <c r="DF235" s="86"/>
      <c r="DG235" s="86"/>
      <c r="DH235" s="86"/>
      <c r="DI235" s="86"/>
      <c r="DJ235" s="86"/>
      <c r="DK235" s="86"/>
      <c r="DL235" s="86"/>
      <c r="DM235" s="86"/>
      <c r="DN235" s="86"/>
      <c r="DO235" s="86"/>
      <c r="DP235" s="86"/>
      <c r="DQ235" s="86"/>
      <c r="DR235" s="86"/>
      <c r="DS235" s="86"/>
      <c r="DT235" s="86"/>
      <c r="DU235" s="86"/>
      <c r="DV235" s="86"/>
      <c r="DW235" s="86"/>
      <c r="DX235" s="86"/>
      <c r="DY235" s="86"/>
      <c r="DZ235" s="86"/>
      <c r="EA235" s="86"/>
      <c r="EB235" s="86"/>
      <c r="EC235" s="86"/>
      <c r="ED235" s="86"/>
      <c r="EE235" s="86"/>
      <c r="EF235" s="86"/>
      <c r="EG235" s="86"/>
      <c r="EH235" s="86"/>
      <c r="EI235" s="86"/>
      <c r="EJ235" s="86"/>
      <c r="EK235" s="86"/>
      <c r="EL235" s="86"/>
      <c r="EM235" s="86"/>
      <c r="EN235" s="86"/>
      <c r="EO235" s="86"/>
      <c r="EP235" s="86"/>
      <c r="EQ235" s="86"/>
    </row>
    <row r="236" spans="1:147" ht="12.75">
      <c r="A236" s="86"/>
      <c r="B236" s="86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86"/>
      <c r="AY236" s="86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  <c r="BO236" s="86"/>
      <c r="BP236" s="86"/>
      <c r="BQ236" s="86"/>
      <c r="BR236" s="86"/>
      <c r="BS236" s="86"/>
      <c r="BT236" s="86"/>
      <c r="BU236" s="86"/>
      <c r="BV236" s="86"/>
      <c r="BW236" s="86"/>
      <c r="BX236" s="86"/>
      <c r="BY236" s="86"/>
      <c r="BZ236" s="86"/>
      <c r="CA236" s="86"/>
      <c r="CB236" s="86"/>
      <c r="CC236" s="86"/>
      <c r="CD236" s="86"/>
      <c r="CE236" s="86"/>
      <c r="CF236" s="86"/>
      <c r="CG236" s="86"/>
      <c r="CH236" s="86"/>
      <c r="CI236" s="86"/>
      <c r="CJ236" s="86"/>
      <c r="CK236" s="86"/>
      <c r="CL236" s="86"/>
      <c r="CM236" s="86"/>
      <c r="CN236" s="86"/>
      <c r="CO236" s="86"/>
      <c r="CP236" s="86"/>
      <c r="CQ236" s="86"/>
      <c r="CR236" s="86"/>
      <c r="CS236" s="86"/>
      <c r="CT236" s="86"/>
      <c r="CU236" s="86"/>
      <c r="CV236" s="86"/>
      <c r="CW236" s="86"/>
      <c r="CX236" s="86"/>
      <c r="CY236" s="86"/>
      <c r="CZ236" s="86"/>
      <c r="DA236" s="86"/>
      <c r="DB236" s="86"/>
      <c r="DC236" s="86"/>
      <c r="DD236" s="86"/>
      <c r="DE236" s="86"/>
      <c r="DF236" s="86"/>
      <c r="DG236" s="86"/>
      <c r="DH236" s="86"/>
      <c r="DI236" s="86"/>
      <c r="DJ236" s="86"/>
      <c r="DK236" s="86"/>
      <c r="DL236" s="86"/>
      <c r="DM236" s="86"/>
      <c r="DN236" s="86"/>
      <c r="DO236" s="86"/>
      <c r="DP236" s="86"/>
      <c r="DQ236" s="86"/>
      <c r="DR236" s="86"/>
      <c r="DS236" s="86"/>
      <c r="DT236" s="86"/>
      <c r="DU236" s="86"/>
      <c r="DV236" s="86"/>
      <c r="DW236" s="86"/>
      <c r="DX236" s="86"/>
      <c r="DY236" s="86"/>
      <c r="DZ236" s="86"/>
      <c r="EA236" s="86"/>
      <c r="EB236" s="86"/>
      <c r="EC236" s="86"/>
      <c r="ED236" s="86"/>
      <c r="EE236" s="86"/>
      <c r="EF236" s="86"/>
      <c r="EG236" s="86"/>
      <c r="EH236" s="86"/>
      <c r="EI236" s="86"/>
      <c r="EJ236" s="86"/>
      <c r="EK236" s="86"/>
      <c r="EL236" s="86"/>
      <c r="EM236" s="86"/>
      <c r="EN236" s="86"/>
      <c r="EO236" s="86"/>
      <c r="EP236" s="86"/>
      <c r="EQ236" s="86"/>
    </row>
    <row r="237" spans="1:147" ht="12.75">
      <c r="A237" s="86"/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  <c r="BT237" s="86"/>
      <c r="BU237" s="86"/>
      <c r="BV237" s="86"/>
      <c r="BW237" s="86"/>
      <c r="BX237" s="86"/>
      <c r="BY237" s="86"/>
      <c r="BZ237" s="86"/>
      <c r="CA237" s="86"/>
      <c r="CB237" s="86"/>
      <c r="CC237" s="86"/>
      <c r="CD237" s="86"/>
      <c r="CE237" s="86"/>
      <c r="CF237" s="86"/>
      <c r="CG237" s="86"/>
      <c r="CH237" s="86"/>
      <c r="CI237" s="86"/>
      <c r="CJ237" s="86"/>
      <c r="CK237" s="86"/>
      <c r="CL237" s="86"/>
      <c r="CM237" s="86"/>
      <c r="CN237" s="86"/>
      <c r="CO237" s="86"/>
      <c r="CP237" s="86"/>
      <c r="CQ237" s="86"/>
      <c r="CR237" s="86"/>
      <c r="CS237" s="86"/>
      <c r="CT237" s="86"/>
      <c r="CU237" s="86"/>
      <c r="CV237" s="86"/>
      <c r="CW237" s="86"/>
      <c r="CX237" s="86"/>
      <c r="CY237" s="86"/>
      <c r="CZ237" s="86"/>
      <c r="DA237" s="86"/>
      <c r="DB237" s="86"/>
      <c r="DC237" s="86"/>
      <c r="DD237" s="86"/>
      <c r="DE237" s="86"/>
      <c r="DF237" s="86"/>
      <c r="DG237" s="86"/>
      <c r="DH237" s="86"/>
      <c r="DI237" s="86"/>
      <c r="DJ237" s="86"/>
      <c r="DK237" s="86"/>
      <c r="DL237" s="86"/>
      <c r="DM237" s="86"/>
      <c r="DN237" s="86"/>
      <c r="DO237" s="86"/>
      <c r="DP237" s="86"/>
      <c r="DQ237" s="86"/>
      <c r="DR237" s="86"/>
      <c r="DS237" s="86"/>
      <c r="DT237" s="86"/>
      <c r="DU237" s="86"/>
      <c r="DV237" s="86"/>
      <c r="DW237" s="86"/>
      <c r="DX237" s="86"/>
      <c r="DY237" s="86"/>
      <c r="DZ237" s="86"/>
      <c r="EA237" s="86"/>
      <c r="EB237" s="86"/>
      <c r="EC237" s="86"/>
      <c r="ED237" s="86"/>
      <c r="EE237" s="86"/>
      <c r="EF237" s="86"/>
      <c r="EG237" s="86"/>
      <c r="EH237" s="86"/>
      <c r="EI237" s="86"/>
      <c r="EJ237" s="86"/>
      <c r="EK237" s="86"/>
      <c r="EL237" s="86"/>
      <c r="EM237" s="86"/>
      <c r="EN237" s="86"/>
      <c r="EO237" s="86"/>
      <c r="EP237" s="86"/>
      <c r="EQ237" s="86"/>
    </row>
    <row r="238" spans="1:147" ht="12.75">
      <c r="A238" s="86"/>
      <c r="B238" s="86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  <c r="BT238" s="86"/>
      <c r="BU238" s="86"/>
      <c r="BV238" s="86"/>
      <c r="BW238" s="86"/>
      <c r="BX238" s="86"/>
      <c r="BY238" s="86"/>
      <c r="BZ238" s="86"/>
      <c r="CA238" s="86"/>
      <c r="CB238" s="86"/>
      <c r="CC238" s="86"/>
      <c r="CD238" s="86"/>
      <c r="CE238" s="86"/>
      <c r="CF238" s="86"/>
      <c r="CG238" s="86"/>
      <c r="CH238" s="86"/>
      <c r="CI238" s="86"/>
      <c r="CJ238" s="86"/>
      <c r="CK238" s="86"/>
      <c r="CL238" s="86"/>
      <c r="CM238" s="86"/>
      <c r="CN238" s="86"/>
      <c r="CO238" s="86"/>
      <c r="CP238" s="86"/>
      <c r="CQ238" s="86"/>
      <c r="CR238" s="86"/>
      <c r="CS238" s="86"/>
      <c r="CT238" s="86"/>
      <c r="CU238" s="86"/>
      <c r="CV238" s="86"/>
      <c r="CW238" s="86"/>
      <c r="CX238" s="86"/>
      <c r="CY238" s="86"/>
      <c r="CZ238" s="86"/>
      <c r="DA238" s="86"/>
      <c r="DB238" s="86"/>
      <c r="DC238" s="86"/>
      <c r="DD238" s="86"/>
      <c r="DE238" s="86"/>
      <c r="DF238" s="86"/>
      <c r="DG238" s="86"/>
      <c r="DH238" s="86"/>
      <c r="DI238" s="86"/>
      <c r="DJ238" s="86"/>
      <c r="DK238" s="86"/>
      <c r="DL238" s="86"/>
      <c r="DM238" s="86"/>
      <c r="DN238" s="86"/>
      <c r="DO238" s="86"/>
      <c r="DP238" s="86"/>
      <c r="DQ238" s="86"/>
      <c r="DR238" s="86"/>
      <c r="DS238" s="86"/>
      <c r="DT238" s="86"/>
      <c r="DU238" s="86"/>
      <c r="DV238" s="86"/>
      <c r="DW238" s="86"/>
      <c r="DX238" s="86"/>
      <c r="DY238" s="86"/>
      <c r="DZ238" s="86"/>
      <c r="EA238" s="86"/>
      <c r="EB238" s="86"/>
      <c r="EC238" s="86"/>
      <c r="ED238" s="86"/>
      <c r="EE238" s="86"/>
      <c r="EF238" s="86"/>
      <c r="EG238" s="86"/>
      <c r="EH238" s="86"/>
      <c r="EI238" s="86"/>
      <c r="EJ238" s="86"/>
      <c r="EK238" s="86"/>
      <c r="EL238" s="86"/>
      <c r="EM238" s="86"/>
      <c r="EN238" s="86"/>
      <c r="EO238" s="86"/>
      <c r="EP238" s="86"/>
      <c r="EQ238" s="86"/>
    </row>
    <row r="239" spans="1:147" ht="12.75">
      <c r="A239" s="86"/>
      <c r="B239" s="86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T239" s="86"/>
      <c r="AU239" s="86"/>
      <c r="AV239" s="86"/>
      <c r="AW239" s="86"/>
      <c r="AX239" s="86"/>
      <c r="AY239" s="86"/>
      <c r="AZ239" s="86"/>
      <c r="BA239" s="86"/>
      <c r="BB239" s="86"/>
      <c r="BC239" s="86"/>
      <c r="BD239" s="86"/>
      <c r="BE239" s="86"/>
      <c r="BF239" s="86"/>
      <c r="BG239" s="86"/>
      <c r="BH239" s="86"/>
      <c r="BI239" s="86"/>
      <c r="BJ239" s="86"/>
      <c r="BK239" s="86"/>
      <c r="BL239" s="86"/>
      <c r="BM239" s="86"/>
      <c r="BN239" s="86"/>
      <c r="BO239" s="86"/>
      <c r="BP239" s="86"/>
      <c r="BQ239" s="86"/>
      <c r="BR239" s="86"/>
      <c r="BS239" s="86"/>
      <c r="BT239" s="86"/>
      <c r="BU239" s="86"/>
      <c r="BV239" s="86"/>
      <c r="BW239" s="86"/>
      <c r="BX239" s="86"/>
      <c r="BY239" s="86"/>
      <c r="BZ239" s="86"/>
      <c r="CA239" s="86"/>
      <c r="CB239" s="86"/>
      <c r="CC239" s="86"/>
      <c r="CD239" s="86"/>
      <c r="CE239" s="86"/>
      <c r="CF239" s="86"/>
      <c r="CG239" s="86"/>
      <c r="CH239" s="86"/>
      <c r="CI239" s="86"/>
      <c r="CJ239" s="86"/>
      <c r="CK239" s="86"/>
      <c r="CL239" s="86"/>
      <c r="CM239" s="86"/>
      <c r="CN239" s="86"/>
      <c r="CO239" s="86"/>
      <c r="CP239" s="86"/>
      <c r="CQ239" s="86"/>
      <c r="CR239" s="86"/>
      <c r="CS239" s="86"/>
      <c r="CT239" s="86"/>
      <c r="CU239" s="86"/>
      <c r="CV239" s="86"/>
      <c r="CW239" s="86"/>
      <c r="CX239" s="86"/>
      <c r="CY239" s="86"/>
      <c r="CZ239" s="86"/>
      <c r="DA239" s="86"/>
      <c r="DB239" s="86"/>
      <c r="DC239" s="86"/>
      <c r="DD239" s="86"/>
      <c r="DE239" s="86"/>
      <c r="DF239" s="86"/>
      <c r="DG239" s="86"/>
      <c r="DH239" s="86"/>
      <c r="DI239" s="86"/>
      <c r="DJ239" s="86"/>
      <c r="DK239" s="86"/>
      <c r="DL239" s="86"/>
      <c r="DM239" s="86"/>
      <c r="DN239" s="86"/>
      <c r="DO239" s="86"/>
      <c r="DP239" s="86"/>
      <c r="DQ239" s="86"/>
      <c r="DR239" s="86"/>
      <c r="DS239" s="86"/>
      <c r="DT239" s="86"/>
      <c r="DU239" s="86"/>
      <c r="DV239" s="86"/>
      <c r="DW239" s="86"/>
      <c r="DX239" s="86"/>
      <c r="DY239" s="86"/>
      <c r="DZ239" s="86"/>
      <c r="EA239" s="86"/>
      <c r="EB239" s="86"/>
      <c r="EC239" s="86"/>
      <c r="ED239" s="86"/>
      <c r="EE239" s="86"/>
      <c r="EF239" s="86"/>
      <c r="EG239" s="86"/>
      <c r="EH239" s="86"/>
      <c r="EI239" s="86"/>
      <c r="EJ239" s="86"/>
      <c r="EK239" s="86"/>
      <c r="EL239" s="86"/>
      <c r="EM239" s="86"/>
      <c r="EN239" s="86"/>
      <c r="EO239" s="86"/>
      <c r="EP239" s="86"/>
      <c r="EQ239" s="86"/>
    </row>
    <row r="240" spans="1:147" ht="12.75">
      <c r="A240" s="86"/>
      <c r="B240" s="86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  <c r="BV240" s="86"/>
      <c r="BW240" s="86"/>
      <c r="BX240" s="86"/>
      <c r="BY240" s="86"/>
      <c r="BZ240" s="86"/>
      <c r="CA240" s="86"/>
      <c r="CB240" s="86"/>
      <c r="CC240" s="86"/>
      <c r="CD240" s="86"/>
      <c r="CE240" s="86"/>
      <c r="CF240" s="86"/>
      <c r="CG240" s="86"/>
      <c r="CH240" s="86"/>
      <c r="CI240" s="86"/>
      <c r="CJ240" s="86"/>
      <c r="CK240" s="86"/>
      <c r="CL240" s="86"/>
      <c r="CM240" s="86"/>
      <c r="CN240" s="86"/>
      <c r="CO240" s="86"/>
      <c r="CP240" s="86"/>
      <c r="CQ240" s="86"/>
      <c r="CR240" s="86"/>
      <c r="CS240" s="86"/>
      <c r="CT240" s="86"/>
      <c r="CU240" s="86"/>
      <c r="CV240" s="86"/>
      <c r="CW240" s="86"/>
      <c r="CX240" s="86"/>
      <c r="CY240" s="86"/>
      <c r="CZ240" s="86"/>
      <c r="DA240" s="86"/>
      <c r="DB240" s="86"/>
      <c r="DC240" s="86"/>
      <c r="DD240" s="86"/>
      <c r="DE240" s="86"/>
      <c r="DF240" s="86"/>
      <c r="DG240" s="86"/>
      <c r="DH240" s="86"/>
      <c r="DI240" s="86"/>
      <c r="DJ240" s="86"/>
      <c r="DK240" s="86"/>
      <c r="DL240" s="86"/>
      <c r="DM240" s="86"/>
      <c r="DN240" s="86"/>
      <c r="DO240" s="86"/>
      <c r="DP240" s="86"/>
      <c r="DQ240" s="86"/>
      <c r="DR240" s="86"/>
      <c r="DS240" s="86"/>
      <c r="DT240" s="86"/>
      <c r="DU240" s="86"/>
      <c r="DV240" s="86"/>
      <c r="DW240" s="86"/>
      <c r="DX240" s="86"/>
      <c r="DY240" s="86"/>
      <c r="DZ240" s="86"/>
      <c r="EA240" s="86"/>
      <c r="EB240" s="86"/>
      <c r="EC240" s="86"/>
      <c r="ED240" s="86"/>
      <c r="EE240" s="86"/>
      <c r="EF240" s="86"/>
      <c r="EG240" s="86"/>
      <c r="EH240" s="86"/>
      <c r="EI240" s="86"/>
      <c r="EJ240" s="86"/>
      <c r="EK240" s="86"/>
      <c r="EL240" s="86"/>
      <c r="EM240" s="86"/>
      <c r="EN240" s="86"/>
      <c r="EO240" s="86"/>
      <c r="EP240" s="86"/>
      <c r="EQ240" s="86"/>
    </row>
    <row r="241" spans="1:147" ht="12.75">
      <c r="A241" s="86"/>
      <c r="B241" s="86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  <c r="AX241" s="86"/>
      <c r="AY241" s="86"/>
      <c r="AZ241" s="86"/>
      <c r="BA241" s="86"/>
      <c r="BB241" s="86"/>
      <c r="BC241" s="86"/>
      <c r="BD241" s="86"/>
      <c r="BE241" s="86"/>
      <c r="BF241" s="86"/>
      <c r="BG241" s="86"/>
      <c r="BH241" s="86"/>
      <c r="BI241" s="86"/>
      <c r="BJ241" s="86"/>
      <c r="BK241" s="86"/>
      <c r="BL241" s="86"/>
      <c r="BM241" s="86"/>
      <c r="BN241" s="86"/>
      <c r="BO241" s="86"/>
      <c r="BP241" s="86"/>
      <c r="BQ241" s="86"/>
      <c r="BR241" s="86"/>
      <c r="BS241" s="86"/>
      <c r="BT241" s="86"/>
      <c r="BU241" s="86"/>
      <c r="BV241" s="86"/>
      <c r="BW241" s="86"/>
      <c r="BX241" s="86"/>
      <c r="BY241" s="86"/>
      <c r="BZ241" s="86"/>
      <c r="CA241" s="86"/>
      <c r="CB241" s="86"/>
      <c r="CC241" s="86"/>
      <c r="CD241" s="86"/>
      <c r="CE241" s="86"/>
      <c r="CF241" s="86"/>
      <c r="CG241" s="86"/>
      <c r="CH241" s="86"/>
      <c r="CI241" s="86"/>
      <c r="CJ241" s="86"/>
      <c r="CK241" s="86"/>
      <c r="CL241" s="86"/>
      <c r="CM241" s="86"/>
      <c r="CN241" s="86"/>
      <c r="CO241" s="86"/>
      <c r="CP241" s="86"/>
      <c r="CQ241" s="86"/>
      <c r="CR241" s="86"/>
      <c r="CS241" s="86"/>
      <c r="CT241" s="86"/>
      <c r="CU241" s="86"/>
      <c r="CV241" s="86"/>
      <c r="CW241" s="86"/>
      <c r="CX241" s="86"/>
      <c r="CY241" s="86"/>
      <c r="CZ241" s="86"/>
      <c r="DA241" s="86"/>
      <c r="DB241" s="86"/>
      <c r="DC241" s="86"/>
      <c r="DD241" s="86"/>
      <c r="DE241" s="86"/>
      <c r="DF241" s="86"/>
      <c r="DG241" s="86"/>
      <c r="DH241" s="86"/>
      <c r="DI241" s="86"/>
      <c r="DJ241" s="86"/>
      <c r="DK241" s="86"/>
      <c r="DL241" s="86"/>
      <c r="DM241" s="86"/>
      <c r="DN241" s="86"/>
      <c r="DO241" s="86"/>
      <c r="DP241" s="86"/>
      <c r="DQ241" s="86"/>
      <c r="DR241" s="86"/>
      <c r="DS241" s="86"/>
      <c r="DT241" s="86"/>
      <c r="DU241" s="86"/>
      <c r="DV241" s="86"/>
      <c r="DW241" s="86"/>
      <c r="DX241" s="86"/>
      <c r="DY241" s="86"/>
      <c r="DZ241" s="86"/>
      <c r="EA241" s="86"/>
      <c r="EB241" s="86"/>
      <c r="EC241" s="86"/>
      <c r="ED241" s="86"/>
      <c r="EE241" s="86"/>
      <c r="EF241" s="86"/>
      <c r="EG241" s="86"/>
      <c r="EH241" s="86"/>
      <c r="EI241" s="86"/>
      <c r="EJ241" s="86"/>
      <c r="EK241" s="86"/>
      <c r="EL241" s="86"/>
      <c r="EM241" s="86"/>
      <c r="EN241" s="86"/>
      <c r="EO241" s="86"/>
      <c r="EP241" s="86"/>
      <c r="EQ241" s="86"/>
    </row>
    <row r="242" spans="1:147" ht="12.75">
      <c r="A242" s="86"/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R242" s="86"/>
      <c r="AS242" s="86"/>
      <c r="AT242" s="86"/>
      <c r="AU242" s="86"/>
      <c r="AV242" s="86"/>
      <c r="AW242" s="86"/>
      <c r="AX242" s="86"/>
      <c r="AY242" s="86"/>
      <c r="AZ242" s="86"/>
      <c r="BA242" s="86"/>
      <c r="BB242" s="86"/>
      <c r="BC242" s="86"/>
      <c r="BD242" s="86"/>
      <c r="BE242" s="86"/>
      <c r="BF242" s="86"/>
      <c r="BG242" s="86"/>
      <c r="BH242" s="86"/>
      <c r="BI242" s="86"/>
      <c r="BJ242" s="86"/>
      <c r="BK242" s="86"/>
      <c r="BL242" s="86"/>
      <c r="BM242" s="86"/>
      <c r="BN242" s="86"/>
      <c r="BO242" s="86"/>
      <c r="BP242" s="86"/>
      <c r="BQ242" s="86"/>
      <c r="BR242" s="86"/>
      <c r="BS242" s="86"/>
      <c r="BT242" s="86"/>
      <c r="BU242" s="86"/>
      <c r="BV242" s="86"/>
      <c r="BW242" s="86"/>
      <c r="BX242" s="86"/>
      <c r="BY242" s="86"/>
      <c r="BZ242" s="86"/>
      <c r="CA242" s="86"/>
      <c r="CB242" s="86"/>
      <c r="CC242" s="86"/>
      <c r="CD242" s="86"/>
      <c r="CE242" s="86"/>
      <c r="CF242" s="86"/>
      <c r="CG242" s="86"/>
      <c r="CH242" s="86"/>
      <c r="CI242" s="86"/>
      <c r="CJ242" s="86"/>
      <c r="CK242" s="86"/>
      <c r="CL242" s="86"/>
      <c r="CM242" s="86"/>
      <c r="CN242" s="86"/>
      <c r="CO242" s="86"/>
      <c r="CP242" s="86"/>
      <c r="CQ242" s="86"/>
      <c r="CR242" s="86"/>
      <c r="CS242" s="86"/>
      <c r="CT242" s="86"/>
      <c r="CU242" s="86"/>
      <c r="CV242" s="86"/>
      <c r="CW242" s="86"/>
      <c r="CX242" s="86"/>
      <c r="CY242" s="86"/>
      <c r="CZ242" s="86"/>
      <c r="DA242" s="86"/>
      <c r="DB242" s="86"/>
      <c r="DC242" s="86"/>
      <c r="DD242" s="86"/>
      <c r="DE242" s="86"/>
      <c r="DF242" s="86"/>
      <c r="DG242" s="86"/>
      <c r="DH242" s="86"/>
      <c r="DI242" s="86"/>
      <c r="DJ242" s="86"/>
      <c r="DK242" s="86"/>
      <c r="DL242" s="86"/>
      <c r="DM242" s="86"/>
      <c r="DN242" s="86"/>
      <c r="DO242" s="86"/>
      <c r="DP242" s="86"/>
      <c r="DQ242" s="86"/>
      <c r="DR242" s="86"/>
      <c r="DS242" s="86"/>
      <c r="DT242" s="86"/>
      <c r="DU242" s="86"/>
      <c r="DV242" s="86"/>
      <c r="DW242" s="86"/>
      <c r="DX242" s="86"/>
      <c r="DY242" s="86"/>
      <c r="DZ242" s="86"/>
      <c r="EA242" s="86"/>
      <c r="EB242" s="86"/>
      <c r="EC242" s="86"/>
      <c r="ED242" s="86"/>
      <c r="EE242" s="86"/>
      <c r="EF242" s="86"/>
      <c r="EG242" s="86"/>
      <c r="EH242" s="86"/>
      <c r="EI242" s="86"/>
      <c r="EJ242" s="86"/>
      <c r="EK242" s="86"/>
      <c r="EL242" s="86"/>
      <c r="EM242" s="86"/>
      <c r="EN242" s="86"/>
      <c r="EO242" s="86"/>
      <c r="EP242" s="86"/>
      <c r="EQ242" s="86"/>
    </row>
    <row r="243" spans="1:147" ht="12.75">
      <c r="A243" s="86"/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  <c r="BV243" s="86"/>
      <c r="BW243" s="86"/>
      <c r="BX243" s="86"/>
      <c r="BY243" s="86"/>
      <c r="BZ243" s="86"/>
      <c r="CA243" s="86"/>
      <c r="CB243" s="86"/>
      <c r="CC243" s="86"/>
      <c r="CD243" s="86"/>
      <c r="CE243" s="86"/>
      <c r="CF243" s="86"/>
      <c r="CG243" s="86"/>
      <c r="CH243" s="86"/>
      <c r="CI243" s="86"/>
      <c r="CJ243" s="86"/>
      <c r="CK243" s="86"/>
      <c r="CL243" s="86"/>
      <c r="CM243" s="86"/>
      <c r="CN243" s="86"/>
      <c r="CO243" s="86"/>
      <c r="CP243" s="86"/>
      <c r="CQ243" s="86"/>
      <c r="CR243" s="86"/>
      <c r="CS243" s="86"/>
      <c r="CT243" s="86"/>
      <c r="CU243" s="86"/>
      <c r="CV243" s="86"/>
      <c r="CW243" s="86"/>
      <c r="CX243" s="86"/>
      <c r="CY243" s="86"/>
      <c r="CZ243" s="86"/>
      <c r="DA243" s="86"/>
      <c r="DB243" s="86"/>
      <c r="DC243" s="86"/>
      <c r="DD243" s="86"/>
      <c r="DE243" s="86"/>
      <c r="DF243" s="86"/>
      <c r="DG243" s="86"/>
      <c r="DH243" s="86"/>
      <c r="DI243" s="86"/>
      <c r="DJ243" s="86"/>
      <c r="DK243" s="86"/>
      <c r="DL243" s="86"/>
      <c r="DM243" s="86"/>
      <c r="DN243" s="86"/>
      <c r="DO243" s="86"/>
      <c r="DP243" s="86"/>
      <c r="DQ243" s="86"/>
      <c r="DR243" s="86"/>
      <c r="DS243" s="86"/>
      <c r="DT243" s="86"/>
      <c r="DU243" s="86"/>
      <c r="DV243" s="86"/>
      <c r="DW243" s="86"/>
      <c r="DX243" s="86"/>
      <c r="DY243" s="86"/>
      <c r="DZ243" s="86"/>
      <c r="EA243" s="86"/>
      <c r="EB243" s="86"/>
      <c r="EC243" s="86"/>
      <c r="ED243" s="86"/>
      <c r="EE243" s="86"/>
      <c r="EF243" s="86"/>
      <c r="EG243" s="86"/>
      <c r="EH243" s="86"/>
      <c r="EI243" s="86"/>
      <c r="EJ243" s="86"/>
      <c r="EK243" s="86"/>
      <c r="EL243" s="86"/>
      <c r="EM243" s="86"/>
      <c r="EN243" s="86"/>
      <c r="EO243" s="86"/>
      <c r="EP243" s="86"/>
      <c r="EQ243" s="86"/>
    </row>
    <row r="244" spans="1:147" ht="12.75">
      <c r="A244" s="86"/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  <c r="AR244" s="86"/>
      <c r="AS244" s="86"/>
      <c r="AT244" s="86"/>
      <c r="AU244" s="86"/>
      <c r="AV244" s="86"/>
      <c r="AW244" s="86"/>
      <c r="AX244" s="86"/>
      <c r="AY244" s="86"/>
      <c r="AZ244" s="86"/>
      <c r="BA244" s="86"/>
      <c r="BB244" s="86"/>
      <c r="BC244" s="86"/>
      <c r="BD244" s="86"/>
      <c r="BE244" s="86"/>
      <c r="BF244" s="86"/>
      <c r="BG244" s="86"/>
      <c r="BH244" s="86"/>
      <c r="BI244" s="86"/>
      <c r="BJ244" s="86"/>
      <c r="BK244" s="86"/>
      <c r="BL244" s="86"/>
      <c r="BM244" s="86"/>
      <c r="BN244" s="86"/>
      <c r="BO244" s="86"/>
      <c r="BP244" s="86"/>
      <c r="BQ244" s="86"/>
      <c r="BR244" s="86"/>
      <c r="BS244" s="86"/>
      <c r="BT244" s="86"/>
      <c r="BU244" s="86"/>
      <c r="BV244" s="86"/>
      <c r="BW244" s="86"/>
      <c r="BX244" s="86"/>
      <c r="BY244" s="86"/>
      <c r="BZ244" s="86"/>
      <c r="CA244" s="86"/>
      <c r="CB244" s="86"/>
      <c r="CC244" s="86"/>
      <c r="CD244" s="86"/>
      <c r="CE244" s="86"/>
      <c r="CF244" s="86"/>
      <c r="CG244" s="86"/>
      <c r="CH244" s="86"/>
      <c r="CI244" s="86"/>
      <c r="CJ244" s="86"/>
      <c r="CK244" s="86"/>
      <c r="CL244" s="86"/>
      <c r="CM244" s="86"/>
      <c r="CN244" s="86"/>
      <c r="CO244" s="86"/>
      <c r="CP244" s="86"/>
      <c r="CQ244" s="86"/>
      <c r="CR244" s="86"/>
      <c r="CS244" s="86"/>
      <c r="CT244" s="86"/>
      <c r="CU244" s="86"/>
      <c r="CV244" s="86"/>
      <c r="CW244" s="86"/>
      <c r="CX244" s="86"/>
      <c r="CY244" s="86"/>
      <c r="CZ244" s="86"/>
      <c r="DA244" s="86"/>
      <c r="DB244" s="86"/>
      <c r="DC244" s="86"/>
      <c r="DD244" s="86"/>
      <c r="DE244" s="86"/>
      <c r="DF244" s="86"/>
      <c r="DG244" s="86"/>
      <c r="DH244" s="86"/>
      <c r="DI244" s="86"/>
      <c r="DJ244" s="86"/>
      <c r="DK244" s="86"/>
      <c r="DL244" s="86"/>
      <c r="DM244" s="86"/>
      <c r="DN244" s="86"/>
      <c r="DO244" s="86"/>
      <c r="DP244" s="86"/>
      <c r="DQ244" s="86"/>
      <c r="DR244" s="86"/>
      <c r="DS244" s="86"/>
      <c r="DT244" s="86"/>
      <c r="DU244" s="86"/>
      <c r="DV244" s="86"/>
      <c r="DW244" s="86"/>
      <c r="DX244" s="86"/>
      <c r="DY244" s="86"/>
      <c r="DZ244" s="86"/>
      <c r="EA244" s="86"/>
      <c r="EB244" s="86"/>
      <c r="EC244" s="86"/>
      <c r="ED244" s="86"/>
      <c r="EE244" s="86"/>
      <c r="EF244" s="86"/>
      <c r="EG244" s="86"/>
      <c r="EH244" s="86"/>
      <c r="EI244" s="86"/>
      <c r="EJ244" s="86"/>
      <c r="EK244" s="86"/>
      <c r="EL244" s="86"/>
      <c r="EM244" s="86"/>
      <c r="EN244" s="86"/>
      <c r="EO244" s="86"/>
      <c r="EP244" s="86"/>
      <c r="EQ244" s="86"/>
    </row>
    <row r="245" spans="1:147" ht="12.75">
      <c r="A245" s="86"/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86"/>
      <c r="BW245" s="86"/>
      <c r="BX245" s="86"/>
      <c r="BY245" s="86"/>
      <c r="BZ245" s="86"/>
      <c r="CA245" s="86"/>
      <c r="CB245" s="86"/>
      <c r="CC245" s="86"/>
      <c r="CD245" s="86"/>
      <c r="CE245" s="86"/>
      <c r="CF245" s="86"/>
      <c r="CG245" s="86"/>
      <c r="CH245" s="86"/>
      <c r="CI245" s="86"/>
      <c r="CJ245" s="86"/>
      <c r="CK245" s="86"/>
      <c r="CL245" s="86"/>
      <c r="CM245" s="86"/>
      <c r="CN245" s="86"/>
      <c r="CO245" s="86"/>
      <c r="CP245" s="86"/>
      <c r="CQ245" s="86"/>
      <c r="CR245" s="86"/>
      <c r="CS245" s="86"/>
      <c r="CT245" s="86"/>
      <c r="CU245" s="86"/>
      <c r="CV245" s="86"/>
      <c r="CW245" s="86"/>
      <c r="CX245" s="86"/>
      <c r="CY245" s="86"/>
      <c r="CZ245" s="86"/>
      <c r="DA245" s="86"/>
      <c r="DB245" s="86"/>
      <c r="DC245" s="86"/>
      <c r="DD245" s="86"/>
      <c r="DE245" s="86"/>
      <c r="DF245" s="86"/>
      <c r="DG245" s="86"/>
      <c r="DH245" s="86"/>
      <c r="DI245" s="86"/>
      <c r="DJ245" s="86"/>
      <c r="DK245" s="86"/>
      <c r="DL245" s="86"/>
      <c r="DM245" s="86"/>
      <c r="DN245" s="86"/>
      <c r="DO245" s="86"/>
      <c r="DP245" s="86"/>
      <c r="DQ245" s="86"/>
      <c r="DR245" s="86"/>
      <c r="DS245" s="86"/>
      <c r="DT245" s="86"/>
      <c r="DU245" s="86"/>
      <c r="DV245" s="86"/>
      <c r="DW245" s="86"/>
      <c r="DX245" s="86"/>
      <c r="DY245" s="86"/>
      <c r="DZ245" s="86"/>
      <c r="EA245" s="86"/>
      <c r="EB245" s="86"/>
      <c r="EC245" s="86"/>
      <c r="ED245" s="86"/>
      <c r="EE245" s="86"/>
      <c r="EF245" s="86"/>
      <c r="EG245" s="86"/>
      <c r="EH245" s="86"/>
      <c r="EI245" s="86"/>
      <c r="EJ245" s="86"/>
      <c r="EK245" s="86"/>
      <c r="EL245" s="86"/>
      <c r="EM245" s="86"/>
      <c r="EN245" s="86"/>
      <c r="EO245" s="86"/>
      <c r="EP245" s="86"/>
      <c r="EQ245" s="86"/>
    </row>
    <row r="246" spans="1:147" ht="12.75">
      <c r="A246" s="86"/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86"/>
      <c r="AY246" s="86"/>
      <c r="AZ246" s="86"/>
      <c r="BA246" s="86"/>
      <c r="BB246" s="86"/>
      <c r="BC246" s="86"/>
      <c r="BD246" s="86"/>
      <c r="BE246" s="86"/>
      <c r="BF246" s="86"/>
      <c r="BG246" s="86"/>
      <c r="BH246" s="86"/>
      <c r="BI246" s="86"/>
      <c r="BJ246" s="86"/>
      <c r="BK246" s="86"/>
      <c r="BL246" s="86"/>
      <c r="BM246" s="86"/>
      <c r="BN246" s="86"/>
      <c r="BO246" s="86"/>
      <c r="BP246" s="86"/>
      <c r="BQ246" s="86"/>
      <c r="BR246" s="86"/>
      <c r="BS246" s="86"/>
      <c r="BT246" s="86"/>
      <c r="BU246" s="86"/>
      <c r="BV246" s="86"/>
      <c r="BW246" s="86"/>
      <c r="BX246" s="86"/>
      <c r="BY246" s="86"/>
      <c r="BZ246" s="86"/>
      <c r="CA246" s="86"/>
      <c r="CB246" s="86"/>
      <c r="CC246" s="86"/>
      <c r="CD246" s="86"/>
      <c r="CE246" s="86"/>
      <c r="CF246" s="86"/>
      <c r="CG246" s="86"/>
      <c r="CH246" s="86"/>
      <c r="CI246" s="86"/>
      <c r="CJ246" s="86"/>
      <c r="CK246" s="86"/>
      <c r="CL246" s="86"/>
      <c r="CM246" s="86"/>
      <c r="CN246" s="86"/>
      <c r="CO246" s="86"/>
      <c r="CP246" s="86"/>
      <c r="CQ246" s="86"/>
      <c r="CR246" s="86"/>
      <c r="CS246" s="86"/>
      <c r="CT246" s="86"/>
      <c r="CU246" s="86"/>
      <c r="CV246" s="86"/>
      <c r="CW246" s="86"/>
      <c r="CX246" s="86"/>
      <c r="CY246" s="86"/>
      <c r="CZ246" s="86"/>
      <c r="DA246" s="86"/>
      <c r="DB246" s="86"/>
      <c r="DC246" s="86"/>
      <c r="DD246" s="86"/>
      <c r="DE246" s="86"/>
      <c r="DF246" s="86"/>
      <c r="DG246" s="86"/>
      <c r="DH246" s="86"/>
      <c r="DI246" s="86"/>
      <c r="DJ246" s="86"/>
      <c r="DK246" s="86"/>
      <c r="DL246" s="86"/>
      <c r="DM246" s="86"/>
      <c r="DN246" s="86"/>
      <c r="DO246" s="86"/>
      <c r="DP246" s="86"/>
      <c r="DQ246" s="86"/>
      <c r="DR246" s="86"/>
      <c r="DS246" s="86"/>
      <c r="DT246" s="86"/>
      <c r="DU246" s="86"/>
      <c r="DV246" s="86"/>
      <c r="DW246" s="86"/>
      <c r="DX246" s="86"/>
      <c r="DY246" s="86"/>
      <c r="DZ246" s="86"/>
      <c r="EA246" s="86"/>
      <c r="EB246" s="86"/>
      <c r="EC246" s="86"/>
      <c r="ED246" s="86"/>
      <c r="EE246" s="86"/>
      <c r="EF246" s="86"/>
      <c r="EG246" s="86"/>
      <c r="EH246" s="86"/>
      <c r="EI246" s="86"/>
      <c r="EJ246" s="86"/>
      <c r="EK246" s="86"/>
      <c r="EL246" s="86"/>
      <c r="EM246" s="86"/>
      <c r="EN246" s="86"/>
      <c r="EO246" s="86"/>
      <c r="EP246" s="86"/>
      <c r="EQ246" s="86"/>
    </row>
    <row r="247" spans="1:147" ht="12.75">
      <c r="A247" s="86"/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6"/>
      <c r="AY247" s="86"/>
      <c r="AZ247" s="86"/>
      <c r="BA247" s="86"/>
      <c r="BB247" s="86"/>
      <c r="BC247" s="86"/>
      <c r="BD247" s="86"/>
      <c r="BE247" s="86"/>
      <c r="BF247" s="86"/>
      <c r="BG247" s="86"/>
      <c r="BH247" s="86"/>
      <c r="BI247" s="86"/>
      <c r="BJ247" s="86"/>
      <c r="BK247" s="86"/>
      <c r="BL247" s="86"/>
      <c r="BM247" s="86"/>
      <c r="BN247" s="86"/>
      <c r="BO247" s="86"/>
      <c r="BP247" s="86"/>
      <c r="BQ247" s="86"/>
      <c r="BR247" s="86"/>
      <c r="BS247" s="86"/>
      <c r="BT247" s="86"/>
      <c r="BU247" s="86"/>
      <c r="BV247" s="86"/>
      <c r="BW247" s="86"/>
      <c r="BX247" s="86"/>
      <c r="BY247" s="86"/>
      <c r="BZ247" s="86"/>
      <c r="CA247" s="86"/>
      <c r="CB247" s="86"/>
      <c r="CC247" s="86"/>
      <c r="CD247" s="86"/>
      <c r="CE247" s="86"/>
      <c r="CF247" s="86"/>
      <c r="CG247" s="86"/>
      <c r="CH247" s="86"/>
      <c r="CI247" s="86"/>
      <c r="CJ247" s="86"/>
      <c r="CK247" s="86"/>
      <c r="CL247" s="86"/>
      <c r="CM247" s="86"/>
      <c r="CN247" s="86"/>
      <c r="CO247" s="86"/>
      <c r="CP247" s="86"/>
      <c r="CQ247" s="86"/>
      <c r="CR247" s="86"/>
      <c r="CS247" s="86"/>
      <c r="CT247" s="86"/>
      <c r="CU247" s="86"/>
      <c r="CV247" s="86"/>
      <c r="CW247" s="86"/>
      <c r="CX247" s="86"/>
      <c r="CY247" s="86"/>
      <c r="CZ247" s="86"/>
      <c r="DA247" s="86"/>
      <c r="DB247" s="86"/>
      <c r="DC247" s="86"/>
      <c r="DD247" s="86"/>
      <c r="DE247" s="86"/>
      <c r="DF247" s="86"/>
      <c r="DG247" s="86"/>
      <c r="DH247" s="86"/>
      <c r="DI247" s="86"/>
      <c r="DJ247" s="86"/>
      <c r="DK247" s="86"/>
      <c r="DL247" s="86"/>
      <c r="DM247" s="86"/>
      <c r="DN247" s="86"/>
      <c r="DO247" s="86"/>
      <c r="DP247" s="86"/>
      <c r="DQ247" s="86"/>
      <c r="DR247" s="86"/>
      <c r="DS247" s="86"/>
      <c r="DT247" s="86"/>
      <c r="DU247" s="86"/>
      <c r="DV247" s="86"/>
      <c r="DW247" s="86"/>
      <c r="DX247" s="86"/>
      <c r="DY247" s="86"/>
      <c r="DZ247" s="86"/>
      <c r="EA247" s="86"/>
      <c r="EB247" s="86"/>
      <c r="EC247" s="86"/>
      <c r="ED247" s="86"/>
      <c r="EE247" s="86"/>
      <c r="EF247" s="86"/>
      <c r="EG247" s="86"/>
      <c r="EH247" s="86"/>
      <c r="EI247" s="86"/>
      <c r="EJ247" s="86"/>
      <c r="EK247" s="86"/>
      <c r="EL247" s="86"/>
      <c r="EM247" s="86"/>
      <c r="EN247" s="86"/>
      <c r="EO247" s="86"/>
      <c r="EP247" s="86"/>
      <c r="EQ247" s="86"/>
    </row>
    <row r="248" spans="1:147" ht="12.75">
      <c r="A248" s="86"/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  <c r="AS248" s="86"/>
      <c r="AT248" s="86"/>
      <c r="AU248" s="86"/>
      <c r="AV248" s="86"/>
      <c r="AW248" s="86"/>
      <c r="AX248" s="86"/>
      <c r="AY248" s="86"/>
      <c r="AZ248" s="86"/>
      <c r="BA248" s="86"/>
      <c r="BB248" s="86"/>
      <c r="BC248" s="86"/>
      <c r="BD248" s="86"/>
      <c r="BE248" s="86"/>
      <c r="BF248" s="86"/>
      <c r="BG248" s="86"/>
      <c r="BH248" s="86"/>
      <c r="BI248" s="86"/>
      <c r="BJ248" s="86"/>
      <c r="BK248" s="86"/>
      <c r="BL248" s="86"/>
      <c r="BM248" s="86"/>
      <c r="BN248" s="86"/>
      <c r="BO248" s="86"/>
      <c r="BP248" s="86"/>
      <c r="BQ248" s="86"/>
      <c r="BR248" s="86"/>
      <c r="BS248" s="86"/>
      <c r="BT248" s="86"/>
      <c r="BU248" s="86"/>
      <c r="BV248" s="86"/>
      <c r="BW248" s="86"/>
      <c r="BX248" s="86"/>
      <c r="BY248" s="86"/>
      <c r="BZ248" s="86"/>
      <c r="CA248" s="86"/>
      <c r="CB248" s="86"/>
      <c r="CC248" s="86"/>
      <c r="CD248" s="86"/>
      <c r="CE248" s="86"/>
      <c r="CF248" s="86"/>
      <c r="CG248" s="86"/>
      <c r="CH248" s="86"/>
      <c r="CI248" s="86"/>
      <c r="CJ248" s="86"/>
      <c r="CK248" s="86"/>
      <c r="CL248" s="86"/>
      <c r="CM248" s="86"/>
      <c r="CN248" s="86"/>
      <c r="CO248" s="86"/>
      <c r="CP248" s="86"/>
      <c r="CQ248" s="86"/>
      <c r="CR248" s="86"/>
      <c r="CS248" s="86"/>
      <c r="CT248" s="86"/>
      <c r="CU248" s="86"/>
      <c r="CV248" s="86"/>
      <c r="CW248" s="86"/>
      <c r="CX248" s="86"/>
      <c r="CY248" s="86"/>
      <c r="CZ248" s="86"/>
      <c r="DA248" s="86"/>
      <c r="DB248" s="86"/>
      <c r="DC248" s="86"/>
      <c r="DD248" s="86"/>
      <c r="DE248" s="86"/>
      <c r="DF248" s="86"/>
      <c r="DG248" s="86"/>
      <c r="DH248" s="86"/>
      <c r="DI248" s="86"/>
      <c r="DJ248" s="86"/>
      <c r="DK248" s="86"/>
      <c r="DL248" s="86"/>
      <c r="DM248" s="86"/>
      <c r="DN248" s="86"/>
      <c r="DO248" s="86"/>
      <c r="DP248" s="86"/>
      <c r="DQ248" s="86"/>
      <c r="DR248" s="86"/>
      <c r="DS248" s="86"/>
      <c r="DT248" s="86"/>
      <c r="DU248" s="86"/>
      <c r="DV248" s="86"/>
      <c r="DW248" s="86"/>
      <c r="DX248" s="86"/>
      <c r="DY248" s="86"/>
      <c r="DZ248" s="86"/>
      <c r="EA248" s="86"/>
      <c r="EB248" s="86"/>
      <c r="EC248" s="86"/>
      <c r="ED248" s="86"/>
      <c r="EE248" s="86"/>
      <c r="EF248" s="86"/>
      <c r="EG248" s="86"/>
      <c r="EH248" s="86"/>
      <c r="EI248" s="86"/>
      <c r="EJ248" s="86"/>
      <c r="EK248" s="86"/>
      <c r="EL248" s="86"/>
      <c r="EM248" s="86"/>
      <c r="EN248" s="86"/>
      <c r="EO248" s="86"/>
      <c r="EP248" s="86"/>
      <c r="EQ248" s="86"/>
    </row>
    <row r="249" spans="1:147" ht="12.75">
      <c r="A249" s="86"/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  <c r="AQ249" s="86"/>
      <c r="AR249" s="86"/>
      <c r="AS249" s="86"/>
      <c r="AT249" s="86"/>
      <c r="AU249" s="86"/>
      <c r="AV249" s="86"/>
      <c r="AW249" s="86"/>
      <c r="AX249" s="86"/>
      <c r="AY249" s="86"/>
      <c r="AZ249" s="86"/>
      <c r="BA249" s="86"/>
      <c r="BB249" s="86"/>
      <c r="BC249" s="86"/>
      <c r="BD249" s="86"/>
      <c r="BE249" s="86"/>
      <c r="BF249" s="86"/>
      <c r="BG249" s="86"/>
      <c r="BH249" s="86"/>
      <c r="BI249" s="86"/>
      <c r="BJ249" s="86"/>
      <c r="BK249" s="86"/>
      <c r="BL249" s="86"/>
      <c r="BM249" s="86"/>
      <c r="BN249" s="86"/>
      <c r="BO249" s="86"/>
      <c r="BP249" s="86"/>
      <c r="BQ249" s="86"/>
      <c r="BR249" s="86"/>
      <c r="BS249" s="86"/>
      <c r="BT249" s="86"/>
      <c r="BU249" s="86"/>
      <c r="BV249" s="86"/>
      <c r="BW249" s="86"/>
      <c r="BX249" s="86"/>
      <c r="BY249" s="86"/>
      <c r="BZ249" s="86"/>
      <c r="CA249" s="86"/>
      <c r="CB249" s="86"/>
      <c r="CC249" s="86"/>
      <c r="CD249" s="86"/>
      <c r="CE249" s="86"/>
      <c r="CF249" s="86"/>
      <c r="CG249" s="86"/>
      <c r="CH249" s="86"/>
      <c r="CI249" s="86"/>
      <c r="CJ249" s="86"/>
      <c r="CK249" s="86"/>
      <c r="CL249" s="86"/>
      <c r="CM249" s="86"/>
      <c r="CN249" s="86"/>
      <c r="CO249" s="86"/>
      <c r="CP249" s="86"/>
      <c r="CQ249" s="86"/>
      <c r="CR249" s="86"/>
      <c r="CS249" s="86"/>
      <c r="CT249" s="86"/>
      <c r="CU249" s="86"/>
      <c r="CV249" s="86"/>
      <c r="CW249" s="86"/>
      <c r="CX249" s="86"/>
      <c r="CY249" s="86"/>
      <c r="CZ249" s="86"/>
      <c r="DA249" s="86"/>
      <c r="DB249" s="86"/>
      <c r="DC249" s="86"/>
      <c r="DD249" s="86"/>
      <c r="DE249" s="86"/>
      <c r="DF249" s="86"/>
      <c r="DG249" s="86"/>
      <c r="DH249" s="86"/>
      <c r="DI249" s="86"/>
      <c r="DJ249" s="86"/>
      <c r="DK249" s="86"/>
      <c r="DL249" s="86"/>
      <c r="DM249" s="86"/>
      <c r="DN249" s="86"/>
      <c r="DO249" s="86"/>
      <c r="DP249" s="86"/>
      <c r="DQ249" s="86"/>
      <c r="DR249" s="86"/>
      <c r="DS249" s="86"/>
      <c r="DT249" s="86"/>
      <c r="DU249" s="86"/>
      <c r="DV249" s="86"/>
      <c r="DW249" s="86"/>
      <c r="DX249" s="86"/>
      <c r="DY249" s="86"/>
      <c r="DZ249" s="86"/>
      <c r="EA249" s="86"/>
      <c r="EB249" s="86"/>
      <c r="EC249" s="86"/>
      <c r="ED249" s="86"/>
      <c r="EE249" s="86"/>
      <c r="EF249" s="86"/>
      <c r="EG249" s="86"/>
      <c r="EH249" s="86"/>
      <c r="EI249" s="86"/>
      <c r="EJ249" s="86"/>
      <c r="EK249" s="86"/>
      <c r="EL249" s="86"/>
      <c r="EM249" s="86"/>
      <c r="EN249" s="86"/>
      <c r="EO249" s="86"/>
      <c r="EP249" s="86"/>
      <c r="EQ249" s="86"/>
    </row>
    <row r="250" spans="1:147" ht="12.75">
      <c r="A250" s="86"/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86"/>
      <c r="AY250" s="86"/>
      <c r="AZ250" s="86"/>
      <c r="BA250" s="86"/>
      <c r="BB250" s="86"/>
      <c r="BC250" s="86"/>
      <c r="BD250" s="86"/>
      <c r="BE250" s="86"/>
      <c r="BF250" s="86"/>
      <c r="BG250" s="86"/>
      <c r="BH250" s="86"/>
      <c r="BI250" s="86"/>
      <c r="BJ250" s="86"/>
      <c r="BK250" s="86"/>
      <c r="BL250" s="86"/>
      <c r="BM250" s="86"/>
      <c r="BN250" s="86"/>
      <c r="BO250" s="86"/>
      <c r="BP250" s="86"/>
      <c r="BQ250" s="86"/>
      <c r="BR250" s="86"/>
      <c r="BS250" s="86"/>
      <c r="BT250" s="86"/>
      <c r="BU250" s="86"/>
      <c r="BV250" s="86"/>
      <c r="BW250" s="86"/>
      <c r="BX250" s="86"/>
      <c r="BY250" s="86"/>
      <c r="BZ250" s="86"/>
      <c r="CA250" s="86"/>
      <c r="CB250" s="86"/>
      <c r="CC250" s="86"/>
      <c r="CD250" s="86"/>
      <c r="CE250" s="86"/>
      <c r="CF250" s="86"/>
      <c r="CG250" s="86"/>
      <c r="CH250" s="86"/>
      <c r="CI250" s="86"/>
      <c r="CJ250" s="86"/>
      <c r="CK250" s="86"/>
      <c r="CL250" s="86"/>
      <c r="CM250" s="86"/>
      <c r="CN250" s="86"/>
      <c r="CO250" s="86"/>
      <c r="CP250" s="86"/>
      <c r="CQ250" s="86"/>
      <c r="CR250" s="86"/>
      <c r="CS250" s="86"/>
      <c r="CT250" s="86"/>
      <c r="CU250" s="86"/>
      <c r="CV250" s="86"/>
      <c r="CW250" s="86"/>
      <c r="CX250" s="86"/>
      <c r="CY250" s="86"/>
      <c r="CZ250" s="86"/>
      <c r="DA250" s="86"/>
      <c r="DB250" s="86"/>
      <c r="DC250" s="86"/>
      <c r="DD250" s="86"/>
      <c r="DE250" s="86"/>
      <c r="DF250" s="86"/>
      <c r="DG250" s="86"/>
      <c r="DH250" s="86"/>
      <c r="DI250" s="86"/>
      <c r="DJ250" s="86"/>
      <c r="DK250" s="86"/>
      <c r="DL250" s="86"/>
      <c r="DM250" s="86"/>
      <c r="DN250" s="86"/>
      <c r="DO250" s="86"/>
      <c r="DP250" s="86"/>
      <c r="DQ250" s="86"/>
      <c r="DR250" s="86"/>
      <c r="DS250" s="86"/>
      <c r="DT250" s="86"/>
      <c r="DU250" s="86"/>
      <c r="DV250" s="86"/>
      <c r="DW250" s="86"/>
      <c r="DX250" s="86"/>
      <c r="DY250" s="86"/>
      <c r="DZ250" s="86"/>
      <c r="EA250" s="86"/>
      <c r="EB250" s="86"/>
      <c r="EC250" s="86"/>
      <c r="ED250" s="86"/>
      <c r="EE250" s="86"/>
      <c r="EF250" s="86"/>
      <c r="EG250" s="86"/>
      <c r="EH250" s="86"/>
      <c r="EI250" s="86"/>
      <c r="EJ250" s="86"/>
      <c r="EK250" s="86"/>
      <c r="EL250" s="86"/>
      <c r="EM250" s="86"/>
      <c r="EN250" s="86"/>
      <c r="EO250" s="86"/>
      <c r="EP250" s="86"/>
      <c r="EQ250" s="86"/>
    </row>
    <row r="251" spans="1:147" ht="12.75">
      <c r="A251" s="86"/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  <c r="BV251" s="86"/>
      <c r="BW251" s="86"/>
      <c r="BX251" s="86"/>
      <c r="BY251" s="86"/>
      <c r="BZ251" s="86"/>
      <c r="CA251" s="86"/>
      <c r="CB251" s="86"/>
      <c r="CC251" s="86"/>
      <c r="CD251" s="86"/>
      <c r="CE251" s="86"/>
      <c r="CF251" s="86"/>
      <c r="CG251" s="86"/>
      <c r="CH251" s="86"/>
      <c r="CI251" s="86"/>
      <c r="CJ251" s="86"/>
      <c r="CK251" s="86"/>
      <c r="CL251" s="86"/>
      <c r="CM251" s="86"/>
      <c r="CN251" s="86"/>
      <c r="CO251" s="86"/>
      <c r="CP251" s="86"/>
      <c r="CQ251" s="86"/>
      <c r="CR251" s="86"/>
      <c r="CS251" s="86"/>
      <c r="CT251" s="86"/>
      <c r="CU251" s="86"/>
      <c r="CV251" s="86"/>
      <c r="CW251" s="86"/>
      <c r="CX251" s="86"/>
      <c r="CY251" s="86"/>
      <c r="CZ251" s="86"/>
      <c r="DA251" s="86"/>
      <c r="DB251" s="86"/>
      <c r="DC251" s="86"/>
      <c r="DD251" s="86"/>
      <c r="DE251" s="86"/>
      <c r="DF251" s="86"/>
      <c r="DG251" s="86"/>
      <c r="DH251" s="86"/>
      <c r="DI251" s="86"/>
      <c r="DJ251" s="86"/>
      <c r="DK251" s="86"/>
      <c r="DL251" s="86"/>
      <c r="DM251" s="86"/>
      <c r="DN251" s="86"/>
      <c r="DO251" s="86"/>
      <c r="DP251" s="86"/>
      <c r="DQ251" s="86"/>
      <c r="DR251" s="86"/>
      <c r="DS251" s="86"/>
      <c r="DT251" s="86"/>
      <c r="DU251" s="86"/>
      <c r="DV251" s="86"/>
      <c r="DW251" s="86"/>
      <c r="DX251" s="86"/>
      <c r="DY251" s="86"/>
      <c r="DZ251" s="86"/>
      <c r="EA251" s="86"/>
      <c r="EB251" s="86"/>
      <c r="EC251" s="86"/>
      <c r="ED251" s="86"/>
      <c r="EE251" s="86"/>
      <c r="EF251" s="86"/>
      <c r="EG251" s="86"/>
      <c r="EH251" s="86"/>
      <c r="EI251" s="86"/>
      <c r="EJ251" s="86"/>
      <c r="EK251" s="86"/>
      <c r="EL251" s="86"/>
      <c r="EM251" s="86"/>
      <c r="EN251" s="86"/>
      <c r="EO251" s="86"/>
      <c r="EP251" s="86"/>
      <c r="EQ251" s="86"/>
    </row>
    <row r="252" spans="1:147" ht="12.75">
      <c r="A252" s="86"/>
      <c r="B252" s="86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86"/>
      <c r="AY252" s="86"/>
      <c r="AZ252" s="86"/>
      <c r="BA252" s="86"/>
      <c r="BB252" s="86"/>
      <c r="BC252" s="86"/>
      <c r="BD252" s="86"/>
      <c r="BE252" s="86"/>
      <c r="BF252" s="86"/>
      <c r="BG252" s="86"/>
      <c r="BH252" s="86"/>
      <c r="BI252" s="86"/>
      <c r="BJ252" s="86"/>
      <c r="BK252" s="86"/>
      <c r="BL252" s="86"/>
      <c r="BM252" s="86"/>
      <c r="BN252" s="86"/>
      <c r="BO252" s="86"/>
      <c r="BP252" s="86"/>
      <c r="BQ252" s="86"/>
      <c r="BR252" s="86"/>
      <c r="BS252" s="86"/>
      <c r="BT252" s="86"/>
      <c r="BU252" s="86"/>
      <c r="BV252" s="86"/>
      <c r="BW252" s="86"/>
      <c r="BX252" s="86"/>
      <c r="BY252" s="86"/>
      <c r="BZ252" s="86"/>
      <c r="CA252" s="86"/>
      <c r="CB252" s="86"/>
      <c r="CC252" s="86"/>
      <c r="CD252" s="86"/>
      <c r="CE252" s="86"/>
      <c r="CF252" s="86"/>
      <c r="CG252" s="86"/>
      <c r="CH252" s="86"/>
      <c r="CI252" s="86"/>
      <c r="CJ252" s="86"/>
      <c r="CK252" s="86"/>
      <c r="CL252" s="86"/>
      <c r="CM252" s="86"/>
      <c r="CN252" s="86"/>
      <c r="CO252" s="86"/>
      <c r="CP252" s="86"/>
      <c r="CQ252" s="86"/>
      <c r="CR252" s="86"/>
      <c r="CS252" s="86"/>
      <c r="CT252" s="86"/>
      <c r="CU252" s="86"/>
      <c r="CV252" s="86"/>
      <c r="CW252" s="86"/>
      <c r="CX252" s="86"/>
      <c r="CY252" s="86"/>
      <c r="CZ252" s="86"/>
      <c r="DA252" s="86"/>
      <c r="DB252" s="86"/>
      <c r="DC252" s="86"/>
      <c r="DD252" s="86"/>
      <c r="DE252" s="86"/>
      <c r="DF252" s="86"/>
      <c r="DG252" s="86"/>
      <c r="DH252" s="86"/>
      <c r="DI252" s="86"/>
      <c r="DJ252" s="86"/>
      <c r="DK252" s="86"/>
      <c r="DL252" s="86"/>
      <c r="DM252" s="86"/>
      <c r="DN252" s="86"/>
      <c r="DO252" s="86"/>
      <c r="DP252" s="86"/>
      <c r="DQ252" s="86"/>
      <c r="DR252" s="86"/>
      <c r="DS252" s="86"/>
      <c r="DT252" s="86"/>
      <c r="DU252" s="86"/>
      <c r="DV252" s="86"/>
      <c r="DW252" s="86"/>
      <c r="DX252" s="86"/>
      <c r="DY252" s="86"/>
      <c r="DZ252" s="86"/>
      <c r="EA252" s="86"/>
      <c r="EB252" s="86"/>
      <c r="EC252" s="86"/>
      <c r="ED252" s="86"/>
      <c r="EE252" s="86"/>
      <c r="EF252" s="86"/>
      <c r="EG252" s="86"/>
      <c r="EH252" s="86"/>
      <c r="EI252" s="86"/>
      <c r="EJ252" s="86"/>
      <c r="EK252" s="86"/>
      <c r="EL252" s="86"/>
      <c r="EM252" s="86"/>
      <c r="EN252" s="86"/>
      <c r="EO252" s="86"/>
      <c r="EP252" s="86"/>
      <c r="EQ252" s="86"/>
    </row>
    <row r="253" spans="1:147" ht="12.75">
      <c r="A253" s="86"/>
      <c r="B253" s="86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  <c r="AR253" s="86"/>
      <c r="AS253" s="86"/>
      <c r="AT253" s="86"/>
      <c r="AU253" s="86"/>
      <c r="AV253" s="86"/>
      <c r="AW253" s="86"/>
      <c r="AX253" s="86"/>
      <c r="AY253" s="86"/>
      <c r="AZ253" s="86"/>
      <c r="BA253" s="86"/>
      <c r="BB253" s="86"/>
      <c r="BC253" s="86"/>
      <c r="BD253" s="86"/>
      <c r="BE253" s="86"/>
      <c r="BF253" s="86"/>
      <c r="BG253" s="86"/>
      <c r="BH253" s="86"/>
      <c r="BI253" s="86"/>
      <c r="BJ253" s="86"/>
      <c r="BK253" s="86"/>
      <c r="BL253" s="86"/>
      <c r="BM253" s="86"/>
      <c r="BN253" s="86"/>
      <c r="BO253" s="86"/>
      <c r="BP253" s="86"/>
      <c r="BQ253" s="86"/>
      <c r="BR253" s="86"/>
      <c r="BS253" s="86"/>
      <c r="BT253" s="86"/>
      <c r="BU253" s="86"/>
      <c r="BV253" s="86"/>
      <c r="BW253" s="86"/>
      <c r="BX253" s="86"/>
      <c r="BY253" s="86"/>
      <c r="BZ253" s="86"/>
      <c r="CA253" s="86"/>
      <c r="CB253" s="86"/>
      <c r="CC253" s="86"/>
      <c r="CD253" s="86"/>
      <c r="CE253" s="86"/>
      <c r="CF253" s="86"/>
      <c r="CG253" s="86"/>
      <c r="CH253" s="86"/>
      <c r="CI253" s="86"/>
      <c r="CJ253" s="86"/>
      <c r="CK253" s="86"/>
      <c r="CL253" s="86"/>
      <c r="CM253" s="86"/>
      <c r="CN253" s="86"/>
      <c r="CO253" s="86"/>
      <c r="CP253" s="86"/>
      <c r="CQ253" s="86"/>
      <c r="CR253" s="86"/>
      <c r="CS253" s="86"/>
      <c r="CT253" s="86"/>
      <c r="CU253" s="86"/>
      <c r="CV253" s="86"/>
      <c r="CW253" s="86"/>
      <c r="CX253" s="86"/>
      <c r="CY253" s="86"/>
      <c r="CZ253" s="86"/>
      <c r="DA253" s="86"/>
      <c r="DB253" s="86"/>
      <c r="DC253" s="86"/>
      <c r="DD253" s="86"/>
      <c r="DE253" s="86"/>
      <c r="DF253" s="86"/>
      <c r="DG253" s="86"/>
      <c r="DH253" s="86"/>
      <c r="DI253" s="86"/>
      <c r="DJ253" s="86"/>
      <c r="DK253" s="86"/>
      <c r="DL253" s="86"/>
      <c r="DM253" s="86"/>
      <c r="DN253" s="86"/>
      <c r="DO253" s="86"/>
      <c r="DP253" s="86"/>
      <c r="DQ253" s="86"/>
      <c r="DR253" s="86"/>
      <c r="DS253" s="86"/>
      <c r="DT253" s="86"/>
      <c r="DU253" s="86"/>
      <c r="DV253" s="86"/>
      <c r="DW253" s="86"/>
      <c r="DX253" s="86"/>
      <c r="DY253" s="86"/>
      <c r="DZ253" s="86"/>
      <c r="EA253" s="86"/>
      <c r="EB253" s="86"/>
      <c r="EC253" s="86"/>
      <c r="ED253" s="86"/>
      <c r="EE253" s="86"/>
      <c r="EF253" s="86"/>
      <c r="EG253" s="86"/>
      <c r="EH253" s="86"/>
      <c r="EI253" s="86"/>
      <c r="EJ253" s="86"/>
      <c r="EK253" s="86"/>
      <c r="EL253" s="86"/>
      <c r="EM253" s="86"/>
      <c r="EN253" s="86"/>
      <c r="EO253" s="86"/>
      <c r="EP253" s="86"/>
      <c r="EQ253" s="86"/>
    </row>
    <row r="254" spans="1:147" ht="12.75">
      <c r="A254" s="86"/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  <c r="BA254" s="86"/>
      <c r="BB254" s="86"/>
      <c r="BC254" s="86"/>
      <c r="BD254" s="86"/>
      <c r="BE254" s="86"/>
      <c r="BF254" s="86"/>
      <c r="BG254" s="86"/>
      <c r="BH254" s="86"/>
      <c r="BI254" s="86"/>
      <c r="BJ254" s="86"/>
      <c r="BK254" s="86"/>
      <c r="BL254" s="86"/>
      <c r="BM254" s="86"/>
      <c r="BN254" s="86"/>
      <c r="BO254" s="86"/>
      <c r="BP254" s="86"/>
      <c r="BQ254" s="86"/>
      <c r="BR254" s="86"/>
      <c r="BS254" s="86"/>
      <c r="BT254" s="86"/>
      <c r="BU254" s="86"/>
      <c r="BV254" s="86"/>
      <c r="BW254" s="86"/>
      <c r="BX254" s="86"/>
      <c r="BY254" s="86"/>
      <c r="BZ254" s="86"/>
      <c r="CA254" s="86"/>
      <c r="CB254" s="86"/>
      <c r="CC254" s="86"/>
      <c r="CD254" s="86"/>
      <c r="CE254" s="86"/>
      <c r="CF254" s="86"/>
      <c r="CG254" s="86"/>
      <c r="CH254" s="86"/>
      <c r="CI254" s="86"/>
      <c r="CJ254" s="86"/>
      <c r="CK254" s="86"/>
      <c r="CL254" s="86"/>
      <c r="CM254" s="86"/>
      <c r="CN254" s="86"/>
      <c r="CO254" s="86"/>
      <c r="CP254" s="86"/>
      <c r="CQ254" s="86"/>
      <c r="CR254" s="86"/>
      <c r="CS254" s="86"/>
      <c r="CT254" s="86"/>
      <c r="CU254" s="86"/>
      <c r="CV254" s="86"/>
      <c r="CW254" s="86"/>
      <c r="CX254" s="86"/>
      <c r="CY254" s="86"/>
      <c r="CZ254" s="86"/>
      <c r="DA254" s="86"/>
      <c r="DB254" s="86"/>
      <c r="DC254" s="86"/>
      <c r="DD254" s="86"/>
      <c r="DE254" s="86"/>
      <c r="DF254" s="86"/>
      <c r="DG254" s="86"/>
      <c r="DH254" s="86"/>
      <c r="DI254" s="86"/>
      <c r="DJ254" s="86"/>
      <c r="DK254" s="86"/>
      <c r="DL254" s="86"/>
      <c r="DM254" s="86"/>
      <c r="DN254" s="86"/>
      <c r="DO254" s="86"/>
      <c r="DP254" s="86"/>
      <c r="DQ254" s="86"/>
      <c r="DR254" s="86"/>
      <c r="DS254" s="86"/>
      <c r="DT254" s="86"/>
      <c r="DU254" s="86"/>
      <c r="DV254" s="86"/>
      <c r="DW254" s="86"/>
      <c r="DX254" s="86"/>
      <c r="DY254" s="86"/>
      <c r="DZ254" s="86"/>
      <c r="EA254" s="86"/>
      <c r="EB254" s="86"/>
      <c r="EC254" s="86"/>
      <c r="ED254" s="86"/>
      <c r="EE254" s="86"/>
      <c r="EF254" s="86"/>
      <c r="EG254" s="86"/>
      <c r="EH254" s="86"/>
      <c r="EI254" s="86"/>
      <c r="EJ254" s="86"/>
      <c r="EK254" s="86"/>
      <c r="EL254" s="86"/>
      <c r="EM254" s="86"/>
      <c r="EN254" s="86"/>
      <c r="EO254" s="86"/>
      <c r="EP254" s="86"/>
      <c r="EQ254" s="86"/>
    </row>
    <row r="255" spans="1:147" ht="12.75">
      <c r="A255" s="86"/>
      <c r="B255" s="86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  <c r="BA255" s="86"/>
      <c r="BB255" s="86"/>
      <c r="BC255" s="86"/>
      <c r="BD255" s="86"/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  <c r="BO255" s="86"/>
      <c r="BP255" s="86"/>
      <c r="BQ255" s="86"/>
      <c r="BR255" s="86"/>
      <c r="BS255" s="86"/>
      <c r="BT255" s="86"/>
      <c r="BU255" s="86"/>
      <c r="BV255" s="86"/>
      <c r="BW255" s="86"/>
      <c r="BX255" s="86"/>
      <c r="BY255" s="86"/>
      <c r="BZ255" s="86"/>
      <c r="CA255" s="86"/>
      <c r="CB255" s="86"/>
      <c r="CC255" s="86"/>
      <c r="CD255" s="86"/>
      <c r="CE255" s="86"/>
      <c r="CF255" s="86"/>
      <c r="CG255" s="86"/>
      <c r="CH255" s="86"/>
      <c r="CI255" s="86"/>
      <c r="CJ255" s="86"/>
      <c r="CK255" s="86"/>
      <c r="CL255" s="86"/>
      <c r="CM255" s="86"/>
      <c r="CN255" s="86"/>
      <c r="CO255" s="86"/>
      <c r="CP255" s="86"/>
      <c r="CQ255" s="86"/>
      <c r="CR255" s="86"/>
      <c r="CS255" s="86"/>
      <c r="CT255" s="86"/>
      <c r="CU255" s="86"/>
      <c r="CV255" s="86"/>
      <c r="CW255" s="86"/>
      <c r="CX255" s="86"/>
      <c r="CY255" s="86"/>
      <c r="CZ255" s="86"/>
      <c r="DA255" s="86"/>
      <c r="DB255" s="86"/>
      <c r="DC255" s="86"/>
      <c r="DD255" s="86"/>
      <c r="DE255" s="86"/>
      <c r="DF255" s="86"/>
      <c r="DG255" s="86"/>
      <c r="DH255" s="86"/>
      <c r="DI255" s="86"/>
      <c r="DJ255" s="86"/>
      <c r="DK255" s="86"/>
      <c r="DL255" s="86"/>
      <c r="DM255" s="86"/>
      <c r="DN255" s="86"/>
      <c r="DO255" s="86"/>
      <c r="DP255" s="86"/>
      <c r="DQ255" s="86"/>
      <c r="DR255" s="86"/>
      <c r="DS255" s="86"/>
      <c r="DT255" s="86"/>
      <c r="DU255" s="86"/>
      <c r="DV255" s="86"/>
      <c r="DW255" s="86"/>
      <c r="DX255" s="86"/>
      <c r="DY255" s="86"/>
      <c r="DZ255" s="86"/>
      <c r="EA255" s="86"/>
      <c r="EB255" s="86"/>
      <c r="EC255" s="86"/>
      <c r="ED255" s="86"/>
      <c r="EE255" s="86"/>
      <c r="EF255" s="86"/>
      <c r="EG255" s="86"/>
      <c r="EH255" s="86"/>
      <c r="EI255" s="86"/>
      <c r="EJ255" s="86"/>
      <c r="EK255" s="86"/>
      <c r="EL255" s="86"/>
      <c r="EM255" s="86"/>
      <c r="EN255" s="86"/>
      <c r="EO255" s="86"/>
      <c r="EP255" s="86"/>
      <c r="EQ255" s="86"/>
    </row>
    <row r="256" spans="1:147" ht="12.75">
      <c r="A256" s="86"/>
      <c r="B256" s="86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  <c r="AZ256" s="86"/>
      <c r="BA256" s="86"/>
      <c r="BB256" s="86"/>
      <c r="BC256" s="86"/>
      <c r="BD256" s="86"/>
      <c r="BE256" s="86"/>
      <c r="BF256" s="86"/>
      <c r="BG256" s="86"/>
      <c r="BH256" s="86"/>
      <c r="BI256" s="86"/>
      <c r="BJ256" s="86"/>
      <c r="BK256" s="86"/>
      <c r="BL256" s="86"/>
      <c r="BM256" s="86"/>
      <c r="BN256" s="86"/>
      <c r="BO256" s="86"/>
      <c r="BP256" s="86"/>
      <c r="BQ256" s="86"/>
      <c r="BR256" s="86"/>
      <c r="BS256" s="86"/>
      <c r="BT256" s="86"/>
      <c r="BU256" s="86"/>
      <c r="BV256" s="86"/>
      <c r="BW256" s="86"/>
      <c r="BX256" s="86"/>
      <c r="BY256" s="86"/>
      <c r="BZ256" s="86"/>
      <c r="CA256" s="86"/>
      <c r="CB256" s="86"/>
      <c r="CC256" s="86"/>
      <c r="CD256" s="86"/>
      <c r="CE256" s="86"/>
      <c r="CF256" s="86"/>
      <c r="CG256" s="86"/>
      <c r="CH256" s="86"/>
      <c r="CI256" s="86"/>
      <c r="CJ256" s="86"/>
      <c r="CK256" s="86"/>
      <c r="CL256" s="86"/>
      <c r="CM256" s="86"/>
      <c r="CN256" s="86"/>
      <c r="CO256" s="86"/>
      <c r="CP256" s="86"/>
      <c r="CQ256" s="86"/>
      <c r="CR256" s="86"/>
      <c r="CS256" s="86"/>
      <c r="CT256" s="86"/>
      <c r="CU256" s="86"/>
      <c r="CV256" s="86"/>
      <c r="CW256" s="86"/>
      <c r="CX256" s="86"/>
      <c r="CY256" s="86"/>
      <c r="CZ256" s="86"/>
      <c r="DA256" s="86"/>
      <c r="DB256" s="86"/>
      <c r="DC256" s="86"/>
      <c r="DD256" s="86"/>
      <c r="DE256" s="86"/>
      <c r="DF256" s="86"/>
      <c r="DG256" s="86"/>
      <c r="DH256" s="86"/>
      <c r="DI256" s="86"/>
      <c r="DJ256" s="86"/>
      <c r="DK256" s="86"/>
      <c r="DL256" s="86"/>
      <c r="DM256" s="86"/>
      <c r="DN256" s="86"/>
      <c r="DO256" s="86"/>
      <c r="DP256" s="86"/>
      <c r="DQ256" s="86"/>
      <c r="DR256" s="86"/>
      <c r="DS256" s="86"/>
      <c r="DT256" s="86"/>
      <c r="DU256" s="86"/>
      <c r="DV256" s="86"/>
      <c r="DW256" s="86"/>
      <c r="DX256" s="86"/>
      <c r="DY256" s="86"/>
      <c r="DZ256" s="86"/>
      <c r="EA256" s="86"/>
      <c r="EB256" s="86"/>
      <c r="EC256" s="86"/>
      <c r="ED256" s="86"/>
      <c r="EE256" s="86"/>
      <c r="EF256" s="86"/>
      <c r="EG256" s="86"/>
      <c r="EH256" s="86"/>
      <c r="EI256" s="86"/>
      <c r="EJ256" s="86"/>
      <c r="EK256" s="86"/>
      <c r="EL256" s="86"/>
      <c r="EM256" s="86"/>
      <c r="EN256" s="86"/>
      <c r="EO256" s="86"/>
      <c r="EP256" s="86"/>
      <c r="EQ256" s="86"/>
    </row>
    <row r="257" spans="1:147" ht="12.75">
      <c r="A257" s="86"/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  <c r="BV257" s="86"/>
      <c r="BW257" s="86"/>
      <c r="BX257" s="86"/>
      <c r="BY257" s="86"/>
      <c r="BZ257" s="86"/>
      <c r="CA257" s="86"/>
      <c r="CB257" s="86"/>
      <c r="CC257" s="86"/>
      <c r="CD257" s="86"/>
      <c r="CE257" s="86"/>
      <c r="CF257" s="86"/>
      <c r="CG257" s="86"/>
      <c r="CH257" s="86"/>
      <c r="CI257" s="86"/>
      <c r="CJ257" s="86"/>
      <c r="CK257" s="86"/>
      <c r="CL257" s="86"/>
      <c r="CM257" s="86"/>
      <c r="CN257" s="86"/>
      <c r="CO257" s="86"/>
      <c r="CP257" s="86"/>
      <c r="CQ257" s="86"/>
      <c r="CR257" s="86"/>
      <c r="CS257" s="86"/>
      <c r="CT257" s="86"/>
      <c r="CU257" s="86"/>
      <c r="CV257" s="86"/>
      <c r="CW257" s="86"/>
      <c r="CX257" s="86"/>
      <c r="CY257" s="86"/>
      <c r="CZ257" s="86"/>
      <c r="DA257" s="86"/>
      <c r="DB257" s="86"/>
      <c r="DC257" s="86"/>
      <c r="DD257" s="86"/>
      <c r="DE257" s="86"/>
      <c r="DF257" s="86"/>
      <c r="DG257" s="86"/>
      <c r="DH257" s="86"/>
      <c r="DI257" s="86"/>
      <c r="DJ257" s="86"/>
      <c r="DK257" s="86"/>
      <c r="DL257" s="86"/>
      <c r="DM257" s="86"/>
      <c r="DN257" s="86"/>
      <c r="DO257" s="86"/>
      <c r="DP257" s="86"/>
      <c r="DQ257" s="86"/>
      <c r="DR257" s="86"/>
      <c r="DS257" s="86"/>
      <c r="DT257" s="86"/>
      <c r="DU257" s="86"/>
      <c r="DV257" s="86"/>
      <c r="DW257" s="86"/>
      <c r="DX257" s="86"/>
      <c r="DY257" s="86"/>
      <c r="DZ257" s="86"/>
      <c r="EA257" s="86"/>
      <c r="EB257" s="86"/>
      <c r="EC257" s="86"/>
      <c r="ED257" s="86"/>
      <c r="EE257" s="86"/>
      <c r="EF257" s="86"/>
      <c r="EG257" s="86"/>
      <c r="EH257" s="86"/>
      <c r="EI257" s="86"/>
      <c r="EJ257" s="86"/>
      <c r="EK257" s="86"/>
      <c r="EL257" s="86"/>
      <c r="EM257" s="86"/>
      <c r="EN257" s="86"/>
      <c r="EO257" s="86"/>
      <c r="EP257" s="86"/>
      <c r="EQ257" s="86"/>
    </row>
    <row r="258" spans="1:147" ht="12.75">
      <c r="A258" s="86"/>
      <c r="B258" s="86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86"/>
      <c r="AY258" s="86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  <c r="BO258" s="86"/>
      <c r="BP258" s="86"/>
      <c r="BQ258" s="86"/>
      <c r="BR258" s="86"/>
      <c r="BS258" s="86"/>
      <c r="BT258" s="86"/>
      <c r="BU258" s="86"/>
      <c r="BV258" s="86"/>
      <c r="BW258" s="86"/>
      <c r="BX258" s="86"/>
      <c r="BY258" s="86"/>
      <c r="BZ258" s="86"/>
      <c r="CA258" s="86"/>
      <c r="CB258" s="86"/>
      <c r="CC258" s="86"/>
      <c r="CD258" s="86"/>
      <c r="CE258" s="86"/>
      <c r="CF258" s="86"/>
      <c r="CG258" s="86"/>
      <c r="CH258" s="86"/>
      <c r="CI258" s="86"/>
      <c r="CJ258" s="86"/>
      <c r="CK258" s="86"/>
      <c r="CL258" s="86"/>
      <c r="CM258" s="86"/>
      <c r="CN258" s="86"/>
      <c r="CO258" s="86"/>
      <c r="CP258" s="86"/>
      <c r="CQ258" s="86"/>
      <c r="CR258" s="86"/>
      <c r="CS258" s="86"/>
      <c r="CT258" s="86"/>
      <c r="CU258" s="86"/>
      <c r="CV258" s="86"/>
      <c r="CW258" s="86"/>
      <c r="CX258" s="86"/>
      <c r="CY258" s="86"/>
      <c r="CZ258" s="86"/>
      <c r="DA258" s="86"/>
      <c r="DB258" s="86"/>
      <c r="DC258" s="86"/>
      <c r="DD258" s="86"/>
      <c r="DE258" s="86"/>
      <c r="DF258" s="86"/>
      <c r="DG258" s="86"/>
      <c r="DH258" s="86"/>
      <c r="DI258" s="86"/>
      <c r="DJ258" s="86"/>
      <c r="DK258" s="86"/>
      <c r="DL258" s="86"/>
      <c r="DM258" s="86"/>
      <c r="DN258" s="86"/>
      <c r="DO258" s="86"/>
      <c r="DP258" s="86"/>
      <c r="DQ258" s="86"/>
      <c r="DR258" s="86"/>
      <c r="DS258" s="86"/>
      <c r="DT258" s="86"/>
      <c r="DU258" s="86"/>
      <c r="DV258" s="86"/>
      <c r="DW258" s="86"/>
      <c r="DX258" s="86"/>
      <c r="DY258" s="86"/>
      <c r="DZ258" s="86"/>
      <c r="EA258" s="86"/>
      <c r="EB258" s="86"/>
      <c r="EC258" s="86"/>
      <c r="ED258" s="86"/>
      <c r="EE258" s="86"/>
      <c r="EF258" s="86"/>
      <c r="EG258" s="86"/>
      <c r="EH258" s="86"/>
      <c r="EI258" s="86"/>
      <c r="EJ258" s="86"/>
      <c r="EK258" s="86"/>
      <c r="EL258" s="86"/>
      <c r="EM258" s="86"/>
      <c r="EN258" s="86"/>
      <c r="EO258" s="86"/>
      <c r="EP258" s="86"/>
      <c r="EQ258" s="86"/>
    </row>
    <row r="259" spans="1:147" ht="12.75">
      <c r="A259" s="86"/>
      <c r="B259" s="86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  <c r="AY259" s="86"/>
      <c r="AZ259" s="86"/>
      <c r="BA259" s="86"/>
      <c r="BB259" s="86"/>
      <c r="BC259" s="86"/>
      <c r="BD259" s="86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  <c r="BT259" s="86"/>
      <c r="BU259" s="86"/>
      <c r="BV259" s="86"/>
      <c r="BW259" s="86"/>
      <c r="BX259" s="86"/>
      <c r="BY259" s="86"/>
      <c r="BZ259" s="86"/>
      <c r="CA259" s="86"/>
      <c r="CB259" s="86"/>
      <c r="CC259" s="86"/>
      <c r="CD259" s="86"/>
      <c r="CE259" s="86"/>
      <c r="CF259" s="86"/>
      <c r="CG259" s="86"/>
      <c r="CH259" s="86"/>
      <c r="CI259" s="86"/>
      <c r="CJ259" s="86"/>
      <c r="CK259" s="86"/>
      <c r="CL259" s="86"/>
      <c r="CM259" s="86"/>
      <c r="CN259" s="86"/>
      <c r="CO259" s="86"/>
      <c r="CP259" s="86"/>
      <c r="CQ259" s="86"/>
      <c r="CR259" s="86"/>
      <c r="CS259" s="86"/>
      <c r="CT259" s="86"/>
      <c r="CU259" s="86"/>
      <c r="CV259" s="86"/>
      <c r="CW259" s="86"/>
      <c r="CX259" s="86"/>
      <c r="CY259" s="86"/>
      <c r="CZ259" s="86"/>
      <c r="DA259" s="86"/>
      <c r="DB259" s="86"/>
      <c r="DC259" s="86"/>
      <c r="DD259" s="86"/>
      <c r="DE259" s="86"/>
      <c r="DF259" s="86"/>
      <c r="DG259" s="86"/>
      <c r="DH259" s="86"/>
      <c r="DI259" s="86"/>
      <c r="DJ259" s="86"/>
      <c r="DK259" s="86"/>
      <c r="DL259" s="86"/>
      <c r="DM259" s="86"/>
      <c r="DN259" s="86"/>
      <c r="DO259" s="86"/>
      <c r="DP259" s="86"/>
      <c r="DQ259" s="86"/>
      <c r="DR259" s="86"/>
      <c r="DS259" s="86"/>
      <c r="DT259" s="86"/>
      <c r="DU259" s="86"/>
      <c r="DV259" s="86"/>
      <c r="DW259" s="86"/>
      <c r="DX259" s="86"/>
      <c r="DY259" s="86"/>
      <c r="DZ259" s="86"/>
      <c r="EA259" s="86"/>
      <c r="EB259" s="86"/>
      <c r="EC259" s="86"/>
      <c r="ED259" s="86"/>
      <c r="EE259" s="86"/>
      <c r="EF259" s="86"/>
      <c r="EG259" s="86"/>
      <c r="EH259" s="86"/>
      <c r="EI259" s="86"/>
      <c r="EJ259" s="86"/>
      <c r="EK259" s="86"/>
      <c r="EL259" s="86"/>
      <c r="EM259" s="86"/>
      <c r="EN259" s="86"/>
      <c r="EO259" s="86"/>
      <c r="EP259" s="86"/>
      <c r="EQ259" s="86"/>
    </row>
    <row r="260" spans="1:147" ht="12.75">
      <c r="A260" s="86"/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  <c r="AY260" s="86"/>
      <c r="AZ260" s="86"/>
      <c r="BA260" s="86"/>
      <c r="BB260" s="86"/>
      <c r="BC260" s="86"/>
      <c r="BD260" s="86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  <c r="BO260" s="86"/>
      <c r="BP260" s="86"/>
      <c r="BQ260" s="86"/>
      <c r="BR260" s="86"/>
      <c r="BS260" s="86"/>
      <c r="BT260" s="86"/>
      <c r="BU260" s="86"/>
      <c r="BV260" s="86"/>
      <c r="BW260" s="86"/>
      <c r="BX260" s="86"/>
      <c r="BY260" s="86"/>
      <c r="BZ260" s="86"/>
      <c r="CA260" s="86"/>
      <c r="CB260" s="86"/>
      <c r="CC260" s="86"/>
      <c r="CD260" s="86"/>
      <c r="CE260" s="86"/>
      <c r="CF260" s="86"/>
      <c r="CG260" s="86"/>
      <c r="CH260" s="86"/>
      <c r="CI260" s="86"/>
      <c r="CJ260" s="86"/>
      <c r="CK260" s="86"/>
      <c r="CL260" s="86"/>
      <c r="CM260" s="86"/>
      <c r="CN260" s="86"/>
      <c r="CO260" s="86"/>
      <c r="CP260" s="86"/>
      <c r="CQ260" s="86"/>
      <c r="CR260" s="86"/>
      <c r="CS260" s="86"/>
      <c r="CT260" s="86"/>
      <c r="CU260" s="86"/>
      <c r="CV260" s="86"/>
      <c r="CW260" s="86"/>
      <c r="CX260" s="86"/>
      <c r="CY260" s="86"/>
      <c r="CZ260" s="86"/>
      <c r="DA260" s="86"/>
      <c r="DB260" s="86"/>
      <c r="DC260" s="86"/>
      <c r="DD260" s="86"/>
      <c r="DE260" s="86"/>
      <c r="DF260" s="86"/>
      <c r="DG260" s="86"/>
      <c r="DH260" s="86"/>
      <c r="DI260" s="86"/>
      <c r="DJ260" s="86"/>
      <c r="DK260" s="86"/>
      <c r="DL260" s="86"/>
      <c r="DM260" s="86"/>
      <c r="DN260" s="86"/>
      <c r="DO260" s="86"/>
      <c r="DP260" s="86"/>
      <c r="DQ260" s="86"/>
      <c r="DR260" s="86"/>
      <c r="DS260" s="86"/>
      <c r="DT260" s="86"/>
      <c r="DU260" s="86"/>
      <c r="DV260" s="86"/>
      <c r="DW260" s="86"/>
      <c r="DX260" s="86"/>
      <c r="DY260" s="86"/>
      <c r="DZ260" s="86"/>
      <c r="EA260" s="86"/>
      <c r="EB260" s="86"/>
      <c r="EC260" s="86"/>
      <c r="ED260" s="86"/>
      <c r="EE260" s="86"/>
      <c r="EF260" s="86"/>
      <c r="EG260" s="86"/>
      <c r="EH260" s="86"/>
      <c r="EI260" s="86"/>
      <c r="EJ260" s="86"/>
      <c r="EK260" s="86"/>
      <c r="EL260" s="86"/>
      <c r="EM260" s="86"/>
      <c r="EN260" s="86"/>
      <c r="EO260" s="86"/>
      <c r="EP260" s="86"/>
      <c r="EQ260" s="86"/>
    </row>
    <row r="261" spans="1:147" ht="12.75">
      <c r="A261" s="86"/>
      <c r="B261" s="86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6"/>
      <c r="AY261" s="86"/>
      <c r="AZ261" s="86"/>
      <c r="BA261" s="86"/>
      <c r="BB261" s="86"/>
      <c r="BC261" s="86"/>
      <c r="BD261" s="86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6"/>
      <c r="BQ261" s="86"/>
      <c r="BR261" s="86"/>
      <c r="BS261" s="86"/>
      <c r="BT261" s="86"/>
      <c r="BU261" s="86"/>
      <c r="BV261" s="86"/>
      <c r="BW261" s="86"/>
      <c r="BX261" s="86"/>
      <c r="BY261" s="86"/>
      <c r="BZ261" s="86"/>
      <c r="CA261" s="86"/>
      <c r="CB261" s="86"/>
      <c r="CC261" s="86"/>
      <c r="CD261" s="86"/>
      <c r="CE261" s="86"/>
      <c r="CF261" s="86"/>
      <c r="CG261" s="86"/>
      <c r="CH261" s="86"/>
      <c r="CI261" s="86"/>
      <c r="CJ261" s="86"/>
      <c r="CK261" s="86"/>
      <c r="CL261" s="86"/>
      <c r="CM261" s="86"/>
      <c r="CN261" s="86"/>
      <c r="CO261" s="86"/>
      <c r="CP261" s="86"/>
      <c r="CQ261" s="86"/>
      <c r="CR261" s="86"/>
      <c r="CS261" s="86"/>
      <c r="CT261" s="86"/>
      <c r="CU261" s="86"/>
      <c r="CV261" s="86"/>
      <c r="CW261" s="86"/>
      <c r="CX261" s="86"/>
      <c r="CY261" s="86"/>
      <c r="CZ261" s="86"/>
      <c r="DA261" s="86"/>
      <c r="DB261" s="86"/>
      <c r="DC261" s="86"/>
      <c r="DD261" s="86"/>
      <c r="DE261" s="86"/>
      <c r="DF261" s="86"/>
      <c r="DG261" s="86"/>
      <c r="DH261" s="86"/>
      <c r="DI261" s="86"/>
      <c r="DJ261" s="86"/>
      <c r="DK261" s="86"/>
      <c r="DL261" s="86"/>
      <c r="DM261" s="86"/>
      <c r="DN261" s="86"/>
      <c r="DO261" s="86"/>
      <c r="DP261" s="86"/>
      <c r="DQ261" s="86"/>
      <c r="DR261" s="86"/>
      <c r="DS261" s="86"/>
      <c r="DT261" s="86"/>
      <c r="DU261" s="86"/>
      <c r="DV261" s="86"/>
      <c r="DW261" s="86"/>
      <c r="DX261" s="86"/>
      <c r="DY261" s="86"/>
      <c r="DZ261" s="86"/>
      <c r="EA261" s="86"/>
      <c r="EB261" s="86"/>
      <c r="EC261" s="86"/>
      <c r="ED261" s="86"/>
      <c r="EE261" s="86"/>
      <c r="EF261" s="86"/>
      <c r="EG261" s="86"/>
      <c r="EH261" s="86"/>
      <c r="EI261" s="86"/>
      <c r="EJ261" s="86"/>
      <c r="EK261" s="86"/>
      <c r="EL261" s="86"/>
      <c r="EM261" s="86"/>
      <c r="EN261" s="86"/>
      <c r="EO261" s="86"/>
      <c r="EP261" s="86"/>
      <c r="EQ261" s="86"/>
    </row>
    <row r="262" spans="1:147" ht="12.75">
      <c r="A262" s="86"/>
      <c r="B262" s="86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  <c r="BV262" s="86"/>
      <c r="BW262" s="86"/>
      <c r="BX262" s="86"/>
      <c r="BY262" s="86"/>
      <c r="BZ262" s="86"/>
      <c r="CA262" s="86"/>
      <c r="CB262" s="86"/>
      <c r="CC262" s="86"/>
      <c r="CD262" s="86"/>
      <c r="CE262" s="86"/>
      <c r="CF262" s="86"/>
      <c r="CG262" s="86"/>
      <c r="CH262" s="86"/>
      <c r="CI262" s="86"/>
      <c r="CJ262" s="86"/>
      <c r="CK262" s="86"/>
      <c r="CL262" s="86"/>
      <c r="CM262" s="86"/>
      <c r="CN262" s="86"/>
      <c r="CO262" s="86"/>
      <c r="CP262" s="86"/>
      <c r="CQ262" s="86"/>
      <c r="CR262" s="86"/>
      <c r="CS262" s="86"/>
      <c r="CT262" s="86"/>
      <c r="CU262" s="86"/>
      <c r="CV262" s="86"/>
      <c r="CW262" s="86"/>
      <c r="CX262" s="86"/>
      <c r="CY262" s="86"/>
      <c r="CZ262" s="86"/>
      <c r="DA262" s="86"/>
      <c r="DB262" s="86"/>
      <c r="DC262" s="86"/>
      <c r="DD262" s="86"/>
      <c r="DE262" s="86"/>
      <c r="DF262" s="86"/>
      <c r="DG262" s="86"/>
      <c r="DH262" s="86"/>
      <c r="DI262" s="86"/>
      <c r="DJ262" s="86"/>
      <c r="DK262" s="86"/>
      <c r="DL262" s="86"/>
      <c r="DM262" s="86"/>
      <c r="DN262" s="86"/>
      <c r="DO262" s="86"/>
      <c r="DP262" s="86"/>
      <c r="DQ262" s="86"/>
      <c r="DR262" s="86"/>
      <c r="DS262" s="86"/>
      <c r="DT262" s="86"/>
      <c r="DU262" s="86"/>
      <c r="DV262" s="86"/>
      <c r="DW262" s="86"/>
      <c r="DX262" s="86"/>
      <c r="DY262" s="86"/>
      <c r="DZ262" s="86"/>
      <c r="EA262" s="86"/>
      <c r="EB262" s="86"/>
      <c r="EC262" s="86"/>
      <c r="ED262" s="86"/>
      <c r="EE262" s="86"/>
      <c r="EF262" s="86"/>
      <c r="EG262" s="86"/>
      <c r="EH262" s="86"/>
      <c r="EI262" s="86"/>
      <c r="EJ262" s="86"/>
      <c r="EK262" s="86"/>
      <c r="EL262" s="86"/>
      <c r="EM262" s="86"/>
      <c r="EN262" s="86"/>
      <c r="EO262" s="86"/>
      <c r="EP262" s="86"/>
      <c r="EQ262" s="86"/>
    </row>
    <row r="263" spans="1:147" ht="12.75">
      <c r="A263" s="86"/>
      <c r="B263" s="86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6"/>
      <c r="BQ263" s="86"/>
      <c r="BR263" s="86"/>
      <c r="BS263" s="86"/>
      <c r="BT263" s="86"/>
      <c r="BU263" s="86"/>
      <c r="BV263" s="86"/>
      <c r="BW263" s="86"/>
      <c r="BX263" s="86"/>
      <c r="BY263" s="86"/>
      <c r="BZ263" s="86"/>
      <c r="CA263" s="86"/>
      <c r="CB263" s="86"/>
      <c r="CC263" s="86"/>
      <c r="CD263" s="86"/>
      <c r="CE263" s="86"/>
      <c r="CF263" s="86"/>
      <c r="CG263" s="86"/>
      <c r="CH263" s="86"/>
      <c r="CI263" s="86"/>
      <c r="CJ263" s="86"/>
      <c r="CK263" s="86"/>
      <c r="CL263" s="86"/>
      <c r="CM263" s="86"/>
      <c r="CN263" s="86"/>
      <c r="CO263" s="86"/>
      <c r="CP263" s="86"/>
      <c r="CQ263" s="86"/>
      <c r="CR263" s="86"/>
      <c r="CS263" s="86"/>
      <c r="CT263" s="86"/>
      <c r="CU263" s="86"/>
      <c r="CV263" s="86"/>
      <c r="CW263" s="86"/>
      <c r="CX263" s="86"/>
      <c r="CY263" s="86"/>
      <c r="CZ263" s="86"/>
      <c r="DA263" s="86"/>
      <c r="DB263" s="86"/>
      <c r="DC263" s="86"/>
      <c r="DD263" s="86"/>
      <c r="DE263" s="86"/>
      <c r="DF263" s="86"/>
      <c r="DG263" s="86"/>
      <c r="DH263" s="86"/>
      <c r="DI263" s="86"/>
      <c r="DJ263" s="86"/>
      <c r="DK263" s="86"/>
      <c r="DL263" s="86"/>
      <c r="DM263" s="86"/>
      <c r="DN263" s="86"/>
      <c r="DO263" s="86"/>
      <c r="DP263" s="86"/>
      <c r="DQ263" s="86"/>
      <c r="DR263" s="86"/>
      <c r="DS263" s="86"/>
      <c r="DT263" s="86"/>
      <c r="DU263" s="86"/>
      <c r="DV263" s="86"/>
      <c r="DW263" s="86"/>
      <c r="DX263" s="86"/>
      <c r="DY263" s="86"/>
      <c r="DZ263" s="86"/>
      <c r="EA263" s="86"/>
      <c r="EB263" s="86"/>
      <c r="EC263" s="86"/>
      <c r="ED263" s="86"/>
      <c r="EE263" s="86"/>
      <c r="EF263" s="86"/>
      <c r="EG263" s="86"/>
      <c r="EH263" s="86"/>
      <c r="EI263" s="86"/>
      <c r="EJ263" s="86"/>
      <c r="EK263" s="86"/>
      <c r="EL263" s="86"/>
      <c r="EM263" s="86"/>
      <c r="EN263" s="86"/>
      <c r="EO263" s="86"/>
      <c r="EP263" s="86"/>
      <c r="EQ263" s="86"/>
    </row>
    <row r="264" spans="1:147" ht="12.75">
      <c r="A264" s="86"/>
      <c r="B264" s="86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86"/>
      <c r="AY264" s="86"/>
      <c r="AZ264" s="86"/>
      <c r="BA264" s="86"/>
      <c r="BB264" s="86"/>
      <c r="BC264" s="86"/>
      <c r="BD264" s="86"/>
      <c r="BE264" s="86"/>
      <c r="BF264" s="86"/>
      <c r="BG264" s="86"/>
      <c r="BH264" s="86"/>
      <c r="BI264" s="86"/>
      <c r="BJ264" s="86"/>
      <c r="BK264" s="86"/>
      <c r="BL264" s="86"/>
      <c r="BM264" s="86"/>
      <c r="BN264" s="86"/>
      <c r="BO264" s="86"/>
      <c r="BP264" s="86"/>
      <c r="BQ264" s="86"/>
      <c r="BR264" s="86"/>
      <c r="BS264" s="86"/>
      <c r="BT264" s="86"/>
      <c r="BU264" s="86"/>
      <c r="BV264" s="86"/>
      <c r="BW264" s="86"/>
      <c r="BX264" s="86"/>
      <c r="BY264" s="86"/>
      <c r="BZ264" s="86"/>
      <c r="CA264" s="86"/>
      <c r="CB264" s="86"/>
      <c r="CC264" s="86"/>
      <c r="CD264" s="86"/>
      <c r="CE264" s="86"/>
      <c r="CF264" s="86"/>
      <c r="CG264" s="86"/>
      <c r="CH264" s="86"/>
      <c r="CI264" s="86"/>
      <c r="CJ264" s="86"/>
      <c r="CK264" s="86"/>
      <c r="CL264" s="86"/>
      <c r="CM264" s="86"/>
      <c r="CN264" s="86"/>
      <c r="CO264" s="86"/>
      <c r="CP264" s="86"/>
      <c r="CQ264" s="86"/>
      <c r="CR264" s="86"/>
      <c r="CS264" s="86"/>
      <c r="CT264" s="86"/>
      <c r="CU264" s="86"/>
      <c r="CV264" s="86"/>
      <c r="CW264" s="86"/>
      <c r="CX264" s="86"/>
      <c r="CY264" s="86"/>
      <c r="CZ264" s="86"/>
      <c r="DA264" s="86"/>
      <c r="DB264" s="86"/>
      <c r="DC264" s="86"/>
      <c r="DD264" s="86"/>
      <c r="DE264" s="86"/>
      <c r="DF264" s="86"/>
      <c r="DG264" s="86"/>
      <c r="DH264" s="86"/>
      <c r="DI264" s="86"/>
      <c r="DJ264" s="86"/>
      <c r="DK264" s="86"/>
      <c r="DL264" s="86"/>
      <c r="DM264" s="86"/>
      <c r="DN264" s="86"/>
      <c r="DO264" s="86"/>
      <c r="DP264" s="86"/>
      <c r="DQ264" s="86"/>
      <c r="DR264" s="86"/>
      <c r="DS264" s="86"/>
      <c r="DT264" s="86"/>
      <c r="DU264" s="86"/>
      <c r="DV264" s="86"/>
      <c r="DW264" s="86"/>
      <c r="DX264" s="86"/>
      <c r="DY264" s="86"/>
      <c r="DZ264" s="86"/>
      <c r="EA264" s="86"/>
      <c r="EB264" s="86"/>
      <c r="EC264" s="86"/>
      <c r="ED264" s="86"/>
      <c r="EE264" s="86"/>
      <c r="EF264" s="86"/>
      <c r="EG264" s="86"/>
      <c r="EH264" s="86"/>
      <c r="EI264" s="86"/>
      <c r="EJ264" s="86"/>
      <c r="EK264" s="86"/>
      <c r="EL264" s="86"/>
      <c r="EM264" s="86"/>
      <c r="EN264" s="86"/>
      <c r="EO264" s="86"/>
      <c r="EP264" s="86"/>
      <c r="EQ264" s="86"/>
    </row>
    <row r="265" spans="1:147" ht="12.75">
      <c r="A265" s="86"/>
      <c r="B265" s="86"/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  <c r="AX265" s="86"/>
      <c r="AY265" s="86"/>
      <c r="AZ265" s="86"/>
      <c r="BA265" s="86"/>
      <c r="BB265" s="86"/>
      <c r="BC265" s="86"/>
      <c r="BD265" s="86"/>
      <c r="BE265" s="86"/>
      <c r="BF265" s="86"/>
      <c r="BG265" s="86"/>
      <c r="BH265" s="86"/>
      <c r="BI265" s="86"/>
      <c r="BJ265" s="86"/>
      <c r="BK265" s="86"/>
      <c r="BL265" s="86"/>
      <c r="BM265" s="86"/>
      <c r="BN265" s="86"/>
      <c r="BO265" s="86"/>
      <c r="BP265" s="86"/>
      <c r="BQ265" s="86"/>
      <c r="BR265" s="86"/>
      <c r="BS265" s="86"/>
      <c r="BT265" s="86"/>
      <c r="BU265" s="86"/>
      <c r="BV265" s="86"/>
      <c r="BW265" s="86"/>
      <c r="BX265" s="86"/>
      <c r="BY265" s="86"/>
      <c r="BZ265" s="86"/>
      <c r="CA265" s="86"/>
      <c r="CB265" s="86"/>
      <c r="CC265" s="86"/>
      <c r="CD265" s="86"/>
      <c r="CE265" s="86"/>
      <c r="CF265" s="86"/>
      <c r="CG265" s="86"/>
      <c r="CH265" s="86"/>
      <c r="CI265" s="86"/>
      <c r="CJ265" s="86"/>
      <c r="CK265" s="86"/>
      <c r="CL265" s="86"/>
      <c r="CM265" s="86"/>
      <c r="CN265" s="86"/>
      <c r="CO265" s="86"/>
      <c r="CP265" s="86"/>
      <c r="CQ265" s="86"/>
      <c r="CR265" s="86"/>
      <c r="CS265" s="86"/>
      <c r="CT265" s="86"/>
      <c r="CU265" s="86"/>
      <c r="CV265" s="86"/>
      <c r="CW265" s="86"/>
      <c r="CX265" s="86"/>
      <c r="CY265" s="86"/>
      <c r="CZ265" s="86"/>
      <c r="DA265" s="86"/>
      <c r="DB265" s="86"/>
      <c r="DC265" s="86"/>
      <c r="DD265" s="86"/>
      <c r="DE265" s="86"/>
      <c r="DF265" s="86"/>
      <c r="DG265" s="86"/>
      <c r="DH265" s="86"/>
      <c r="DI265" s="86"/>
      <c r="DJ265" s="86"/>
      <c r="DK265" s="86"/>
      <c r="DL265" s="86"/>
      <c r="DM265" s="86"/>
      <c r="DN265" s="86"/>
      <c r="DO265" s="86"/>
      <c r="DP265" s="86"/>
      <c r="DQ265" s="86"/>
      <c r="DR265" s="86"/>
      <c r="DS265" s="86"/>
      <c r="DT265" s="86"/>
      <c r="DU265" s="86"/>
      <c r="DV265" s="86"/>
      <c r="DW265" s="86"/>
      <c r="DX265" s="86"/>
      <c r="DY265" s="86"/>
      <c r="DZ265" s="86"/>
      <c r="EA265" s="86"/>
      <c r="EB265" s="86"/>
      <c r="EC265" s="86"/>
      <c r="ED265" s="86"/>
      <c r="EE265" s="86"/>
      <c r="EF265" s="86"/>
      <c r="EG265" s="86"/>
      <c r="EH265" s="86"/>
      <c r="EI265" s="86"/>
      <c r="EJ265" s="86"/>
      <c r="EK265" s="86"/>
      <c r="EL265" s="86"/>
      <c r="EM265" s="86"/>
      <c r="EN265" s="86"/>
      <c r="EO265" s="86"/>
      <c r="EP265" s="86"/>
      <c r="EQ265" s="86"/>
    </row>
    <row r="266" spans="1:147" ht="12.75">
      <c r="A266" s="86"/>
      <c r="B266" s="86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86"/>
      <c r="AY266" s="86"/>
      <c r="AZ266" s="86"/>
      <c r="BA266" s="86"/>
      <c r="BB266" s="86"/>
      <c r="BC266" s="86"/>
      <c r="BD266" s="86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6"/>
      <c r="BQ266" s="86"/>
      <c r="BR266" s="86"/>
      <c r="BS266" s="86"/>
      <c r="BT266" s="86"/>
      <c r="BU266" s="86"/>
      <c r="BV266" s="86"/>
      <c r="BW266" s="86"/>
      <c r="BX266" s="86"/>
      <c r="BY266" s="86"/>
      <c r="BZ266" s="86"/>
      <c r="CA266" s="86"/>
      <c r="CB266" s="86"/>
      <c r="CC266" s="86"/>
      <c r="CD266" s="86"/>
      <c r="CE266" s="86"/>
      <c r="CF266" s="86"/>
      <c r="CG266" s="86"/>
      <c r="CH266" s="86"/>
      <c r="CI266" s="86"/>
      <c r="CJ266" s="86"/>
      <c r="CK266" s="86"/>
      <c r="CL266" s="86"/>
      <c r="CM266" s="86"/>
      <c r="CN266" s="86"/>
      <c r="CO266" s="86"/>
      <c r="CP266" s="86"/>
      <c r="CQ266" s="86"/>
      <c r="CR266" s="86"/>
      <c r="CS266" s="86"/>
      <c r="CT266" s="86"/>
      <c r="CU266" s="86"/>
      <c r="CV266" s="86"/>
      <c r="CW266" s="86"/>
      <c r="CX266" s="86"/>
      <c r="CY266" s="86"/>
      <c r="CZ266" s="86"/>
      <c r="DA266" s="86"/>
      <c r="DB266" s="86"/>
      <c r="DC266" s="86"/>
      <c r="DD266" s="86"/>
      <c r="DE266" s="86"/>
      <c r="DF266" s="86"/>
      <c r="DG266" s="86"/>
      <c r="DH266" s="86"/>
      <c r="DI266" s="86"/>
      <c r="DJ266" s="86"/>
      <c r="DK266" s="86"/>
      <c r="DL266" s="86"/>
      <c r="DM266" s="86"/>
      <c r="DN266" s="86"/>
      <c r="DO266" s="86"/>
      <c r="DP266" s="86"/>
      <c r="DQ266" s="86"/>
      <c r="DR266" s="86"/>
      <c r="DS266" s="86"/>
      <c r="DT266" s="86"/>
      <c r="DU266" s="86"/>
      <c r="DV266" s="86"/>
      <c r="DW266" s="86"/>
      <c r="DX266" s="86"/>
      <c r="DY266" s="86"/>
      <c r="DZ266" s="86"/>
      <c r="EA266" s="86"/>
      <c r="EB266" s="86"/>
      <c r="EC266" s="86"/>
      <c r="ED266" s="86"/>
      <c r="EE266" s="86"/>
      <c r="EF266" s="86"/>
      <c r="EG266" s="86"/>
      <c r="EH266" s="86"/>
      <c r="EI266" s="86"/>
      <c r="EJ266" s="86"/>
      <c r="EK266" s="86"/>
      <c r="EL266" s="86"/>
      <c r="EM266" s="86"/>
      <c r="EN266" s="86"/>
      <c r="EO266" s="86"/>
      <c r="EP266" s="86"/>
      <c r="EQ266" s="86"/>
    </row>
    <row r="267" spans="1:147" ht="12.75">
      <c r="A267" s="86"/>
      <c r="B267" s="86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  <c r="BV267" s="86"/>
      <c r="BW267" s="86"/>
      <c r="BX267" s="86"/>
      <c r="BY267" s="86"/>
      <c r="BZ267" s="86"/>
      <c r="CA267" s="86"/>
      <c r="CB267" s="86"/>
      <c r="CC267" s="86"/>
      <c r="CD267" s="86"/>
      <c r="CE267" s="86"/>
      <c r="CF267" s="86"/>
      <c r="CG267" s="86"/>
      <c r="CH267" s="86"/>
      <c r="CI267" s="86"/>
      <c r="CJ267" s="86"/>
      <c r="CK267" s="86"/>
      <c r="CL267" s="86"/>
      <c r="CM267" s="86"/>
      <c r="CN267" s="86"/>
      <c r="CO267" s="86"/>
      <c r="CP267" s="86"/>
      <c r="CQ267" s="86"/>
      <c r="CR267" s="86"/>
      <c r="CS267" s="86"/>
      <c r="CT267" s="86"/>
      <c r="CU267" s="86"/>
      <c r="CV267" s="86"/>
      <c r="CW267" s="86"/>
      <c r="CX267" s="86"/>
      <c r="CY267" s="86"/>
      <c r="CZ267" s="86"/>
      <c r="DA267" s="86"/>
      <c r="DB267" s="86"/>
      <c r="DC267" s="86"/>
      <c r="DD267" s="86"/>
      <c r="DE267" s="86"/>
      <c r="DF267" s="86"/>
      <c r="DG267" s="86"/>
      <c r="DH267" s="86"/>
      <c r="DI267" s="86"/>
      <c r="DJ267" s="86"/>
      <c r="DK267" s="86"/>
      <c r="DL267" s="86"/>
      <c r="DM267" s="86"/>
      <c r="DN267" s="86"/>
      <c r="DO267" s="86"/>
      <c r="DP267" s="86"/>
      <c r="DQ267" s="86"/>
      <c r="DR267" s="86"/>
      <c r="DS267" s="86"/>
      <c r="DT267" s="86"/>
      <c r="DU267" s="86"/>
      <c r="DV267" s="86"/>
      <c r="DW267" s="86"/>
      <c r="DX267" s="86"/>
      <c r="DY267" s="86"/>
      <c r="DZ267" s="86"/>
      <c r="EA267" s="86"/>
      <c r="EB267" s="86"/>
      <c r="EC267" s="86"/>
      <c r="ED267" s="86"/>
      <c r="EE267" s="86"/>
      <c r="EF267" s="86"/>
      <c r="EG267" s="86"/>
      <c r="EH267" s="86"/>
      <c r="EI267" s="86"/>
      <c r="EJ267" s="86"/>
      <c r="EK267" s="86"/>
      <c r="EL267" s="86"/>
      <c r="EM267" s="86"/>
      <c r="EN267" s="86"/>
      <c r="EO267" s="86"/>
      <c r="EP267" s="86"/>
      <c r="EQ267" s="86"/>
    </row>
    <row r="268" spans="1:147" ht="12.75">
      <c r="A268" s="86"/>
      <c r="B268" s="86"/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  <c r="BT268" s="86"/>
      <c r="BU268" s="86"/>
      <c r="BV268" s="86"/>
      <c r="BW268" s="86"/>
      <c r="BX268" s="86"/>
      <c r="BY268" s="86"/>
      <c r="BZ268" s="86"/>
      <c r="CA268" s="86"/>
      <c r="CB268" s="86"/>
      <c r="CC268" s="86"/>
      <c r="CD268" s="86"/>
      <c r="CE268" s="86"/>
      <c r="CF268" s="86"/>
      <c r="CG268" s="86"/>
      <c r="CH268" s="86"/>
      <c r="CI268" s="86"/>
      <c r="CJ268" s="86"/>
      <c r="CK268" s="86"/>
      <c r="CL268" s="86"/>
      <c r="CM268" s="86"/>
      <c r="CN268" s="86"/>
      <c r="CO268" s="86"/>
      <c r="CP268" s="86"/>
      <c r="CQ268" s="86"/>
      <c r="CR268" s="86"/>
      <c r="CS268" s="86"/>
      <c r="CT268" s="86"/>
      <c r="CU268" s="86"/>
      <c r="CV268" s="86"/>
      <c r="CW268" s="86"/>
      <c r="CX268" s="86"/>
      <c r="CY268" s="86"/>
      <c r="CZ268" s="86"/>
      <c r="DA268" s="86"/>
      <c r="DB268" s="86"/>
      <c r="DC268" s="86"/>
      <c r="DD268" s="86"/>
      <c r="DE268" s="86"/>
      <c r="DF268" s="86"/>
      <c r="DG268" s="86"/>
      <c r="DH268" s="86"/>
      <c r="DI268" s="86"/>
      <c r="DJ268" s="86"/>
      <c r="DK268" s="86"/>
      <c r="DL268" s="86"/>
      <c r="DM268" s="86"/>
      <c r="DN268" s="86"/>
      <c r="DO268" s="86"/>
      <c r="DP268" s="86"/>
      <c r="DQ268" s="86"/>
      <c r="DR268" s="86"/>
      <c r="DS268" s="86"/>
      <c r="DT268" s="86"/>
      <c r="DU268" s="86"/>
      <c r="DV268" s="86"/>
      <c r="DW268" s="86"/>
      <c r="DX268" s="86"/>
      <c r="DY268" s="86"/>
      <c r="DZ268" s="86"/>
      <c r="EA268" s="86"/>
      <c r="EB268" s="86"/>
      <c r="EC268" s="86"/>
      <c r="ED268" s="86"/>
      <c r="EE268" s="86"/>
      <c r="EF268" s="86"/>
      <c r="EG268" s="86"/>
      <c r="EH268" s="86"/>
      <c r="EI268" s="86"/>
      <c r="EJ268" s="86"/>
      <c r="EK268" s="86"/>
      <c r="EL268" s="86"/>
      <c r="EM268" s="86"/>
      <c r="EN268" s="86"/>
      <c r="EO268" s="86"/>
      <c r="EP268" s="86"/>
      <c r="EQ268" s="86"/>
    </row>
    <row r="269" spans="1:147" ht="12.75">
      <c r="A269" s="86"/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  <c r="BT269" s="86"/>
      <c r="BU269" s="86"/>
      <c r="BV269" s="86"/>
      <c r="BW269" s="86"/>
      <c r="BX269" s="86"/>
      <c r="BY269" s="86"/>
      <c r="BZ269" s="86"/>
      <c r="CA269" s="86"/>
      <c r="CB269" s="86"/>
      <c r="CC269" s="86"/>
      <c r="CD269" s="86"/>
      <c r="CE269" s="86"/>
      <c r="CF269" s="86"/>
      <c r="CG269" s="86"/>
      <c r="CH269" s="86"/>
      <c r="CI269" s="86"/>
      <c r="CJ269" s="86"/>
      <c r="CK269" s="86"/>
      <c r="CL269" s="86"/>
      <c r="CM269" s="86"/>
      <c r="CN269" s="86"/>
      <c r="CO269" s="86"/>
      <c r="CP269" s="86"/>
      <c r="CQ269" s="86"/>
      <c r="CR269" s="86"/>
      <c r="CS269" s="86"/>
      <c r="CT269" s="86"/>
      <c r="CU269" s="86"/>
      <c r="CV269" s="86"/>
      <c r="CW269" s="86"/>
      <c r="CX269" s="86"/>
      <c r="CY269" s="86"/>
      <c r="CZ269" s="86"/>
      <c r="DA269" s="86"/>
      <c r="DB269" s="86"/>
      <c r="DC269" s="86"/>
      <c r="DD269" s="86"/>
      <c r="DE269" s="86"/>
      <c r="DF269" s="86"/>
      <c r="DG269" s="86"/>
      <c r="DH269" s="86"/>
      <c r="DI269" s="86"/>
      <c r="DJ269" s="86"/>
      <c r="DK269" s="86"/>
      <c r="DL269" s="86"/>
      <c r="DM269" s="86"/>
      <c r="DN269" s="86"/>
      <c r="DO269" s="86"/>
      <c r="DP269" s="86"/>
      <c r="DQ269" s="86"/>
      <c r="DR269" s="86"/>
      <c r="DS269" s="86"/>
      <c r="DT269" s="86"/>
      <c r="DU269" s="86"/>
      <c r="DV269" s="86"/>
      <c r="DW269" s="86"/>
      <c r="DX269" s="86"/>
      <c r="DY269" s="86"/>
      <c r="DZ269" s="86"/>
      <c r="EA269" s="86"/>
      <c r="EB269" s="86"/>
      <c r="EC269" s="86"/>
      <c r="ED269" s="86"/>
      <c r="EE269" s="86"/>
      <c r="EF269" s="86"/>
      <c r="EG269" s="86"/>
      <c r="EH269" s="86"/>
      <c r="EI269" s="86"/>
      <c r="EJ269" s="86"/>
      <c r="EK269" s="86"/>
      <c r="EL269" s="86"/>
      <c r="EM269" s="86"/>
      <c r="EN269" s="86"/>
      <c r="EO269" s="86"/>
      <c r="EP269" s="86"/>
      <c r="EQ269" s="86"/>
    </row>
    <row r="270" spans="1:147" ht="12.75">
      <c r="A270" s="86"/>
      <c r="B270" s="86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  <c r="AR270" s="86"/>
      <c r="AS270" s="86"/>
      <c r="AT270" s="86"/>
      <c r="AU270" s="86"/>
      <c r="AV270" s="86"/>
      <c r="AW270" s="86"/>
      <c r="AX270" s="86"/>
      <c r="AY270" s="86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  <c r="BT270" s="86"/>
      <c r="BU270" s="86"/>
      <c r="BV270" s="86"/>
      <c r="BW270" s="86"/>
      <c r="BX270" s="86"/>
      <c r="BY270" s="86"/>
      <c r="BZ270" s="86"/>
      <c r="CA270" s="86"/>
      <c r="CB270" s="86"/>
      <c r="CC270" s="86"/>
      <c r="CD270" s="86"/>
      <c r="CE270" s="86"/>
      <c r="CF270" s="86"/>
      <c r="CG270" s="86"/>
      <c r="CH270" s="86"/>
      <c r="CI270" s="86"/>
      <c r="CJ270" s="86"/>
      <c r="CK270" s="86"/>
      <c r="CL270" s="86"/>
      <c r="CM270" s="86"/>
      <c r="CN270" s="86"/>
      <c r="CO270" s="86"/>
      <c r="CP270" s="86"/>
      <c r="CQ270" s="86"/>
      <c r="CR270" s="86"/>
      <c r="CS270" s="86"/>
      <c r="CT270" s="86"/>
      <c r="CU270" s="86"/>
      <c r="CV270" s="86"/>
      <c r="CW270" s="86"/>
      <c r="CX270" s="86"/>
      <c r="CY270" s="86"/>
      <c r="CZ270" s="86"/>
      <c r="DA270" s="86"/>
      <c r="DB270" s="86"/>
      <c r="DC270" s="86"/>
      <c r="DD270" s="86"/>
      <c r="DE270" s="86"/>
      <c r="DF270" s="86"/>
      <c r="DG270" s="86"/>
      <c r="DH270" s="86"/>
      <c r="DI270" s="86"/>
      <c r="DJ270" s="86"/>
      <c r="DK270" s="86"/>
      <c r="DL270" s="86"/>
      <c r="DM270" s="86"/>
      <c r="DN270" s="86"/>
      <c r="DO270" s="86"/>
      <c r="DP270" s="86"/>
      <c r="DQ270" s="86"/>
      <c r="DR270" s="86"/>
      <c r="DS270" s="86"/>
      <c r="DT270" s="86"/>
      <c r="DU270" s="86"/>
      <c r="DV270" s="86"/>
      <c r="DW270" s="86"/>
      <c r="DX270" s="86"/>
      <c r="DY270" s="86"/>
      <c r="DZ270" s="86"/>
      <c r="EA270" s="86"/>
      <c r="EB270" s="86"/>
      <c r="EC270" s="86"/>
      <c r="ED270" s="86"/>
      <c r="EE270" s="86"/>
      <c r="EF270" s="86"/>
      <c r="EG270" s="86"/>
      <c r="EH270" s="86"/>
      <c r="EI270" s="86"/>
      <c r="EJ270" s="86"/>
      <c r="EK270" s="86"/>
      <c r="EL270" s="86"/>
      <c r="EM270" s="86"/>
      <c r="EN270" s="86"/>
      <c r="EO270" s="86"/>
      <c r="EP270" s="86"/>
      <c r="EQ270" s="86"/>
    </row>
    <row r="271" spans="1:147" ht="12.75">
      <c r="A271" s="86"/>
      <c r="B271" s="86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86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  <c r="BS271" s="86"/>
      <c r="BT271" s="86"/>
      <c r="BU271" s="86"/>
      <c r="BV271" s="86"/>
      <c r="BW271" s="86"/>
      <c r="BX271" s="86"/>
      <c r="BY271" s="86"/>
      <c r="BZ271" s="86"/>
      <c r="CA271" s="86"/>
      <c r="CB271" s="86"/>
      <c r="CC271" s="86"/>
      <c r="CD271" s="86"/>
      <c r="CE271" s="86"/>
      <c r="CF271" s="86"/>
      <c r="CG271" s="86"/>
      <c r="CH271" s="86"/>
      <c r="CI271" s="86"/>
      <c r="CJ271" s="86"/>
      <c r="CK271" s="86"/>
      <c r="CL271" s="86"/>
      <c r="CM271" s="86"/>
      <c r="CN271" s="86"/>
      <c r="CO271" s="86"/>
      <c r="CP271" s="86"/>
      <c r="CQ271" s="86"/>
      <c r="CR271" s="86"/>
      <c r="CS271" s="86"/>
      <c r="CT271" s="86"/>
      <c r="CU271" s="86"/>
      <c r="CV271" s="86"/>
      <c r="CW271" s="86"/>
      <c r="CX271" s="86"/>
      <c r="CY271" s="86"/>
      <c r="CZ271" s="86"/>
      <c r="DA271" s="86"/>
      <c r="DB271" s="86"/>
      <c r="DC271" s="86"/>
      <c r="DD271" s="86"/>
      <c r="DE271" s="86"/>
      <c r="DF271" s="86"/>
      <c r="DG271" s="86"/>
      <c r="DH271" s="86"/>
      <c r="DI271" s="86"/>
      <c r="DJ271" s="86"/>
      <c r="DK271" s="86"/>
      <c r="DL271" s="86"/>
      <c r="DM271" s="86"/>
      <c r="DN271" s="86"/>
      <c r="DO271" s="86"/>
      <c r="DP271" s="86"/>
      <c r="DQ271" s="86"/>
      <c r="DR271" s="86"/>
      <c r="DS271" s="86"/>
      <c r="DT271" s="86"/>
      <c r="DU271" s="86"/>
      <c r="DV271" s="86"/>
      <c r="DW271" s="86"/>
      <c r="DX271" s="86"/>
      <c r="DY271" s="86"/>
      <c r="DZ271" s="86"/>
      <c r="EA271" s="86"/>
      <c r="EB271" s="86"/>
      <c r="EC271" s="86"/>
      <c r="ED271" s="86"/>
      <c r="EE271" s="86"/>
      <c r="EF271" s="86"/>
      <c r="EG271" s="86"/>
      <c r="EH271" s="86"/>
      <c r="EI271" s="86"/>
      <c r="EJ271" s="86"/>
      <c r="EK271" s="86"/>
      <c r="EL271" s="86"/>
      <c r="EM271" s="86"/>
      <c r="EN271" s="86"/>
      <c r="EO271" s="86"/>
      <c r="EP271" s="86"/>
      <c r="EQ271" s="86"/>
    </row>
    <row r="272" spans="1:147" ht="12.75">
      <c r="A272" s="86"/>
      <c r="B272" s="86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86"/>
      <c r="AO272" s="86"/>
      <c r="AP272" s="86"/>
      <c r="AQ272" s="86"/>
      <c r="AR272" s="86"/>
      <c r="AS272" s="86"/>
      <c r="AT272" s="86"/>
      <c r="AU272" s="86"/>
      <c r="AV272" s="86"/>
      <c r="AW272" s="86"/>
      <c r="AX272" s="86"/>
      <c r="AY272" s="86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/>
      <c r="BV272" s="86"/>
      <c r="BW272" s="86"/>
      <c r="BX272" s="86"/>
      <c r="BY272" s="86"/>
      <c r="BZ272" s="86"/>
      <c r="CA272" s="86"/>
      <c r="CB272" s="86"/>
      <c r="CC272" s="86"/>
      <c r="CD272" s="86"/>
      <c r="CE272" s="86"/>
      <c r="CF272" s="86"/>
      <c r="CG272" s="86"/>
      <c r="CH272" s="86"/>
      <c r="CI272" s="86"/>
      <c r="CJ272" s="86"/>
      <c r="CK272" s="86"/>
      <c r="CL272" s="86"/>
      <c r="CM272" s="86"/>
      <c r="CN272" s="86"/>
      <c r="CO272" s="86"/>
      <c r="CP272" s="86"/>
      <c r="CQ272" s="86"/>
      <c r="CR272" s="86"/>
      <c r="CS272" s="86"/>
      <c r="CT272" s="86"/>
      <c r="CU272" s="86"/>
      <c r="CV272" s="86"/>
      <c r="CW272" s="86"/>
      <c r="CX272" s="86"/>
      <c r="CY272" s="86"/>
      <c r="CZ272" s="86"/>
      <c r="DA272" s="86"/>
      <c r="DB272" s="86"/>
      <c r="DC272" s="86"/>
      <c r="DD272" s="86"/>
      <c r="DE272" s="86"/>
      <c r="DF272" s="86"/>
      <c r="DG272" s="86"/>
      <c r="DH272" s="86"/>
      <c r="DI272" s="86"/>
      <c r="DJ272" s="86"/>
      <c r="DK272" s="86"/>
      <c r="DL272" s="86"/>
      <c r="DM272" s="86"/>
      <c r="DN272" s="86"/>
      <c r="DO272" s="86"/>
      <c r="DP272" s="86"/>
      <c r="DQ272" s="86"/>
      <c r="DR272" s="86"/>
      <c r="DS272" s="86"/>
      <c r="DT272" s="86"/>
      <c r="DU272" s="86"/>
      <c r="DV272" s="86"/>
      <c r="DW272" s="86"/>
      <c r="DX272" s="86"/>
      <c r="DY272" s="86"/>
      <c r="DZ272" s="86"/>
      <c r="EA272" s="86"/>
      <c r="EB272" s="86"/>
      <c r="EC272" s="86"/>
      <c r="ED272" s="86"/>
      <c r="EE272" s="86"/>
      <c r="EF272" s="86"/>
      <c r="EG272" s="86"/>
      <c r="EH272" s="86"/>
      <c r="EI272" s="86"/>
      <c r="EJ272" s="86"/>
      <c r="EK272" s="86"/>
      <c r="EL272" s="86"/>
      <c r="EM272" s="86"/>
      <c r="EN272" s="86"/>
      <c r="EO272" s="86"/>
      <c r="EP272" s="86"/>
      <c r="EQ272" s="86"/>
    </row>
    <row r="273" spans="1:147" ht="12.75">
      <c r="A273" s="86"/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86"/>
      <c r="AP273" s="86"/>
      <c r="AQ273" s="86"/>
      <c r="AR273" s="86"/>
      <c r="AS273" s="86"/>
      <c r="AT273" s="86"/>
      <c r="AU273" s="86"/>
      <c r="AV273" s="86"/>
      <c r="AW273" s="86"/>
      <c r="AX273" s="86"/>
      <c r="AY273" s="86"/>
      <c r="AZ273" s="86"/>
      <c r="BA273" s="86"/>
      <c r="BB273" s="86"/>
      <c r="BC273" s="86"/>
      <c r="BD273" s="86"/>
      <c r="BE273" s="86"/>
      <c r="BF273" s="86"/>
      <c r="BG273" s="86"/>
      <c r="BH273" s="86"/>
      <c r="BI273" s="86"/>
      <c r="BJ273" s="86"/>
      <c r="BK273" s="86"/>
      <c r="BL273" s="86"/>
      <c r="BM273" s="86"/>
      <c r="BN273" s="86"/>
      <c r="BO273" s="86"/>
      <c r="BP273" s="86"/>
      <c r="BQ273" s="86"/>
      <c r="BR273" s="86"/>
      <c r="BS273" s="86"/>
      <c r="BT273" s="86"/>
      <c r="BU273" s="86"/>
      <c r="BV273" s="86"/>
      <c r="BW273" s="86"/>
      <c r="BX273" s="86"/>
      <c r="BY273" s="86"/>
      <c r="BZ273" s="86"/>
      <c r="CA273" s="86"/>
      <c r="CB273" s="86"/>
      <c r="CC273" s="86"/>
      <c r="CD273" s="86"/>
      <c r="CE273" s="86"/>
      <c r="CF273" s="86"/>
      <c r="CG273" s="86"/>
      <c r="CH273" s="86"/>
      <c r="CI273" s="86"/>
      <c r="CJ273" s="86"/>
      <c r="CK273" s="86"/>
      <c r="CL273" s="86"/>
      <c r="CM273" s="86"/>
      <c r="CN273" s="86"/>
      <c r="CO273" s="86"/>
      <c r="CP273" s="86"/>
      <c r="CQ273" s="86"/>
      <c r="CR273" s="86"/>
      <c r="CS273" s="86"/>
      <c r="CT273" s="86"/>
      <c r="CU273" s="86"/>
      <c r="CV273" s="86"/>
      <c r="CW273" s="86"/>
      <c r="CX273" s="86"/>
      <c r="CY273" s="86"/>
      <c r="CZ273" s="86"/>
      <c r="DA273" s="86"/>
      <c r="DB273" s="86"/>
      <c r="DC273" s="86"/>
      <c r="DD273" s="86"/>
      <c r="DE273" s="86"/>
      <c r="DF273" s="86"/>
      <c r="DG273" s="86"/>
      <c r="DH273" s="86"/>
      <c r="DI273" s="86"/>
      <c r="DJ273" s="86"/>
      <c r="DK273" s="86"/>
      <c r="DL273" s="86"/>
      <c r="DM273" s="86"/>
      <c r="DN273" s="86"/>
      <c r="DO273" s="86"/>
      <c r="DP273" s="86"/>
      <c r="DQ273" s="86"/>
      <c r="DR273" s="86"/>
      <c r="DS273" s="86"/>
      <c r="DT273" s="86"/>
      <c r="DU273" s="86"/>
      <c r="DV273" s="86"/>
      <c r="DW273" s="86"/>
      <c r="DX273" s="86"/>
      <c r="DY273" s="86"/>
      <c r="DZ273" s="86"/>
      <c r="EA273" s="86"/>
      <c r="EB273" s="86"/>
      <c r="EC273" s="86"/>
      <c r="ED273" s="86"/>
      <c r="EE273" s="86"/>
      <c r="EF273" s="86"/>
      <c r="EG273" s="86"/>
      <c r="EH273" s="86"/>
      <c r="EI273" s="86"/>
      <c r="EJ273" s="86"/>
      <c r="EK273" s="86"/>
      <c r="EL273" s="86"/>
      <c r="EM273" s="86"/>
      <c r="EN273" s="86"/>
      <c r="EO273" s="86"/>
      <c r="EP273" s="86"/>
      <c r="EQ273" s="86"/>
    </row>
    <row r="274" spans="1:147" ht="12.75">
      <c r="A274" s="86"/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86"/>
      <c r="AO274" s="86"/>
      <c r="AP274" s="86"/>
      <c r="AQ274" s="86"/>
      <c r="AR274" s="86"/>
      <c r="AS274" s="86"/>
      <c r="AT274" s="86"/>
      <c r="AU274" s="86"/>
      <c r="AV274" s="86"/>
      <c r="AW274" s="86"/>
      <c r="AX274" s="86"/>
      <c r="AY274" s="86"/>
      <c r="AZ274" s="86"/>
      <c r="BA274" s="86"/>
      <c r="BB274" s="86"/>
      <c r="BC274" s="86"/>
      <c r="BD274" s="86"/>
      <c r="BE274" s="86"/>
      <c r="BF274" s="86"/>
      <c r="BG274" s="86"/>
      <c r="BH274" s="86"/>
      <c r="BI274" s="86"/>
      <c r="BJ274" s="86"/>
      <c r="BK274" s="86"/>
      <c r="BL274" s="86"/>
      <c r="BM274" s="86"/>
      <c r="BN274" s="86"/>
      <c r="BO274" s="86"/>
      <c r="BP274" s="86"/>
      <c r="BQ274" s="86"/>
      <c r="BR274" s="86"/>
      <c r="BS274" s="86"/>
      <c r="BT274" s="86"/>
      <c r="BU274" s="86"/>
      <c r="BV274" s="86"/>
      <c r="BW274" s="86"/>
      <c r="BX274" s="86"/>
      <c r="BY274" s="86"/>
      <c r="BZ274" s="86"/>
      <c r="CA274" s="86"/>
      <c r="CB274" s="86"/>
      <c r="CC274" s="86"/>
      <c r="CD274" s="86"/>
      <c r="CE274" s="86"/>
      <c r="CF274" s="86"/>
      <c r="CG274" s="86"/>
      <c r="CH274" s="86"/>
      <c r="CI274" s="86"/>
      <c r="CJ274" s="86"/>
      <c r="CK274" s="86"/>
      <c r="CL274" s="86"/>
      <c r="CM274" s="86"/>
      <c r="CN274" s="86"/>
      <c r="CO274" s="86"/>
      <c r="CP274" s="86"/>
      <c r="CQ274" s="86"/>
      <c r="CR274" s="86"/>
      <c r="CS274" s="86"/>
      <c r="CT274" s="86"/>
      <c r="CU274" s="86"/>
      <c r="CV274" s="86"/>
      <c r="CW274" s="86"/>
      <c r="CX274" s="86"/>
      <c r="CY274" s="86"/>
      <c r="CZ274" s="86"/>
      <c r="DA274" s="86"/>
      <c r="DB274" s="86"/>
      <c r="DC274" s="86"/>
      <c r="DD274" s="86"/>
      <c r="DE274" s="86"/>
      <c r="DF274" s="86"/>
      <c r="DG274" s="86"/>
      <c r="DH274" s="86"/>
      <c r="DI274" s="86"/>
      <c r="DJ274" s="86"/>
      <c r="DK274" s="86"/>
      <c r="DL274" s="86"/>
      <c r="DM274" s="86"/>
      <c r="DN274" s="86"/>
      <c r="DO274" s="86"/>
      <c r="DP274" s="86"/>
      <c r="DQ274" s="86"/>
      <c r="DR274" s="86"/>
      <c r="DS274" s="86"/>
      <c r="DT274" s="86"/>
      <c r="DU274" s="86"/>
      <c r="DV274" s="86"/>
      <c r="DW274" s="86"/>
      <c r="DX274" s="86"/>
      <c r="DY274" s="86"/>
      <c r="DZ274" s="86"/>
      <c r="EA274" s="86"/>
      <c r="EB274" s="86"/>
      <c r="EC274" s="86"/>
      <c r="ED274" s="86"/>
      <c r="EE274" s="86"/>
      <c r="EF274" s="86"/>
      <c r="EG274" s="86"/>
      <c r="EH274" s="86"/>
      <c r="EI274" s="86"/>
      <c r="EJ274" s="86"/>
      <c r="EK274" s="86"/>
      <c r="EL274" s="86"/>
      <c r="EM274" s="86"/>
      <c r="EN274" s="86"/>
      <c r="EO274" s="86"/>
      <c r="EP274" s="86"/>
      <c r="EQ274" s="86"/>
    </row>
    <row r="275" spans="1:147" ht="12.75">
      <c r="A275" s="86"/>
      <c r="B275" s="86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86"/>
      <c r="AY275" s="86"/>
      <c r="AZ275" s="86"/>
      <c r="BA275" s="86"/>
      <c r="BB275" s="86"/>
      <c r="BC275" s="86"/>
      <c r="BD275" s="86"/>
      <c r="BE275" s="86"/>
      <c r="BF275" s="86"/>
      <c r="BG275" s="86"/>
      <c r="BH275" s="86"/>
      <c r="BI275" s="86"/>
      <c r="BJ275" s="86"/>
      <c r="BK275" s="86"/>
      <c r="BL275" s="86"/>
      <c r="BM275" s="86"/>
      <c r="BN275" s="86"/>
      <c r="BO275" s="86"/>
      <c r="BP275" s="86"/>
      <c r="BQ275" s="86"/>
      <c r="BR275" s="86"/>
      <c r="BS275" s="86"/>
      <c r="BT275" s="86"/>
      <c r="BU275" s="86"/>
      <c r="BV275" s="86"/>
      <c r="BW275" s="86"/>
      <c r="BX275" s="86"/>
      <c r="BY275" s="86"/>
      <c r="BZ275" s="86"/>
      <c r="CA275" s="86"/>
      <c r="CB275" s="86"/>
      <c r="CC275" s="86"/>
      <c r="CD275" s="86"/>
      <c r="CE275" s="86"/>
      <c r="CF275" s="86"/>
      <c r="CG275" s="86"/>
      <c r="CH275" s="86"/>
      <c r="CI275" s="86"/>
      <c r="CJ275" s="86"/>
      <c r="CK275" s="86"/>
      <c r="CL275" s="86"/>
      <c r="CM275" s="86"/>
      <c r="CN275" s="86"/>
      <c r="CO275" s="86"/>
      <c r="CP275" s="86"/>
      <c r="CQ275" s="86"/>
      <c r="CR275" s="86"/>
      <c r="CS275" s="86"/>
      <c r="CT275" s="86"/>
      <c r="CU275" s="86"/>
      <c r="CV275" s="86"/>
      <c r="CW275" s="86"/>
      <c r="CX275" s="86"/>
      <c r="CY275" s="86"/>
      <c r="CZ275" s="86"/>
      <c r="DA275" s="86"/>
      <c r="DB275" s="86"/>
      <c r="DC275" s="86"/>
      <c r="DD275" s="86"/>
      <c r="DE275" s="86"/>
      <c r="DF275" s="86"/>
      <c r="DG275" s="86"/>
      <c r="DH275" s="86"/>
      <c r="DI275" s="86"/>
      <c r="DJ275" s="86"/>
      <c r="DK275" s="86"/>
      <c r="DL275" s="86"/>
      <c r="DM275" s="86"/>
      <c r="DN275" s="86"/>
      <c r="DO275" s="86"/>
      <c r="DP275" s="86"/>
      <c r="DQ275" s="86"/>
      <c r="DR275" s="86"/>
      <c r="DS275" s="86"/>
      <c r="DT275" s="86"/>
      <c r="DU275" s="86"/>
      <c r="DV275" s="86"/>
      <c r="DW275" s="86"/>
      <c r="DX275" s="86"/>
      <c r="DY275" s="86"/>
      <c r="DZ275" s="86"/>
      <c r="EA275" s="86"/>
      <c r="EB275" s="86"/>
      <c r="EC275" s="86"/>
      <c r="ED275" s="86"/>
      <c r="EE275" s="86"/>
      <c r="EF275" s="86"/>
      <c r="EG275" s="86"/>
      <c r="EH275" s="86"/>
      <c r="EI275" s="86"/>
      <c r="EJ275" s="86"/>
      <c r="EK275" s="86"/>
      <c r="EL275" s="86"/>
      <c r="EM275" s="86"/>
      <c r="EN275" s="86"/>
      <c r="EO275" s="86"/>
      <c r="EP275" s="86"/>
      <c r="EQ275" s="86"/>
    </row>
    <row r="276" spans="1:147" ht="12.75">
      <c r="A276" s="86"/>
      <c r="B276" s="86"/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86"/>
      <c r="AN276" s="86"/>
      <c r="AO276" s="86"/>
      <c r="AP276" s="86"/>
      <c r="AQ276" s="86"/>
      <c r="AR276" s="86"/>
      <c r="AS276" s="86"/>
      <c r="AT276" s="86"/>
      <c r="AU276" s="86"/>
      <c r="AV276" s="86"/>
      <c r="AW276" s="86"/>
      <c r="AX276" s="86"/>
      <c r="AY276" s="86"/>
      <c r="AZ276" s="86"/>
      <c r="BA276" s="86"/>
      <c r="BB276" s="86"/>
      <c r="BC276" s="86"/>
      <c r="BD276" s="86"/>
      <c r="BE276" s="86"/>
      <c r="BF276" s="86"/>
      <c r="BG276" s="86"/>
      <c r="BH276" s="86"/>
      <c r="BI276" s="86"/>
      <c r="BJ276" s="86"/>
      <c r="BK276" s="86"/>
      <c r="BL276" s="86"/>
      <c r="BM276" s="86"/>
      <c r="BN276" s="86"/>
      <c r="BO276" s="86"/>
      <c r="BP276" s="86"/>
      <c r="BQ276" s="86"/>
      <c r="BR276" s="86"/>
      <c r="BS276" s="86"/>
      <c r="BT276" s="86"/>
      <c r="BU276" s="86"/>
      <c r="BV276" s="86"/>
      <c r="BW276" s="86"/>
      <c r="BX276" s="86"/>
      <c r="BY276" s="86"/>
      <c r="BZ276" s="86"/>
      <c r="CA276" s="86"/>
      <c r="CB276" s="86"/>
      <c r="CC276" s="86"/>
      <c r="CD276" s="86"/>
      <c r="CE276" s="86"/>
      <c r="CF276" s="86"/>
      <c r="CG276" s="86"/>
      <c r="CH276" s="86"/>
      <c r="CI276" s="86"/>
      <c r="CJ276" s="86"/>
      <c r="CK276" s="86"/>
      <c r="CL276" s="86"/>
      <c r="CM276" s="86"/>
      <c r="CN276" s="86"/>
      <c r="CO276" s="86"/>
      <c r="CP276" s="86"/>
      <c r="CQ276" s="86"/>
      <c r="CR276" s="86"/>
      <c r="CS276" s="86"/>
      <c r="CT276" s="86"/>
      <c r="CU276" s="86"/>
      <c r="CV276" s="86"/>
      <c r="CW276" s="86"/>
      <c r="CX276" s="86"/>
      <c r="CY276" s="86"/>
      <c r="CZ276" s="86"/>
      <c r="DA276" s="86"/>
      <c r="DB276" s="86"/>
      <c r="DC276" s="86"/>
      <c r="DD276" s="86"/>
      <c r="DE276" s="86"/>
      <c r="DF276" s="86"/>
      <c r="DG276" s="86"/>
      <c r="DH276" s="86"/>
      <c r="DI276" s="86"/>
      <c r="DJ276" s="86"/>
      <c r="DK276" s="86"/>
      <c r="DL276" s="86"/>
      <c r="DM276" s="86"/>
      <c r="DN276" s="86"/>
      <c r="DO276" s="86"/>
      <c r="DP276" s="86"/>
      <c r="DQ276" s="86"/>
      <c r="DR276" s="86"/>
      <c r="DS276" s="86"/>
      <c r="DT276" s="86"/>
      <c r="DU276" s="86"/>
      <c r="DV276" s="86"/>
      <c r="DW276" s="86"/>
      <c r="DX276" s="86"/>
      <c r="DY276" s="86"/>
      <c r="DZ276" s="86"/>
      <c r="EA276" s="86"/>
      <c r="EB276" s="86"/>
      <c r="EC276" s="86"/>
      <c r="ED276" s="86"/>
      <c r="EE276" s="86"/>
      <c r="EF276" s="86"/>
      <c r="EG276" s="86"/>
      <c r="EH276" s="86"/>
      <c r="EI276" s="86"/>
      <c r="EJ276" s="86"/>
      <c r="EK276" s="86"/>
      <c r="EL276" s="86"/>
      <c r="EM276" s="86"/>
      <c r="EN276" s="86"/>
      <c r="EO276" s="86"/>
      <c r="EP276" s="86"/>
      <c r="EQ276" s="86"/>
    </row>
    <row r="277" spans="1:147" ht="12.75">
      <c r="A277" s="86"/>
      <c r="B277" s="86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86"/>
      <c r="AP277" s="86"/>
      <c r="AQ277" s="86"/>
      <c r="AR277" s="86"/>
      <c r="AS277" s="86"/>
      <c r="AT277" s="86"/>
      <c r="AU277" s="86"/>
      <c r="AV277" s="86"/>
      <c r="AW277" s="86"/>
      <c r="AX277" s="86"/>
      <c r="AY277" s="86"/>
      <c r="AZ277" s="86"/>
      <c r="BA277" s="86"/>
      <c r="BB277" s="86"/>
      <c r="BC277" s="86"/>
      <c r="BD277" s="86"/>
      <c r="BE277" s="86"/>
      <c r="BF277" s="86"/>
      <c r="BG277" s="86"/>
      <c r="BH277" s="86"/>
      <c r="BI277" s="86"/>
      <c r="BJ277" s="86"/>
      <c r="BK277" s="86"/>
      <c r="BL277" s="86"/>
      <c r="BM277" s="86"/>
      <c r="BN277" s="86"/>
      <c r="BO277" s="86"/>
      <c r="BP277" s="86"/>
      <c r="BQ277" s="86"/>
      <c r="BR277" s="86"/>
      <c r="BS277" s="86"/>
      <c r="BT277" s="86"/>
      <c r="BU277" s="86"/>
      <c r="BV277" s="86"/>
      <c r="BW277" s="86"/>
      <c r="BX277" s="86"/>
      <c r="BY277" s="86"/>
      <c r="BZ277" s="86"/>
      <c r="CA277" s="86"/>
      <c r="CB277" s="86"/>
      <c r="CC277" s="86"/>
      <c r="CD277" s="86"/>
      <c r="CE277" s="86"/>
      <c r="CF277" s="86"/>
      <c r="CG277" s="86"/>
      <c r="CH277" s="86"/>
      <c r="CI277" s="86"/>
      <c r="CJ277" s="86"/>
      <c r="CK277" s="86"/>
      <c r="CL277" s="86"/>
      <c r="CM277" s="86"/>
      <c r="CN277" s="86"/>
      <c r="CO277" s="86"/>
      <c r="CP277" s="86"/>
      <c r="CQ277" s="86"/>
      <c r="CR277" s="86"/>
      <c r="CS277" s="86"/>
      <c r="CT277" s="86"/>
      <c r="CU277" s="86"/>
      <c r="CV277" s="86"/>
      <c r="CW277" s="86"/>
      <c r="CX277" s="86"/>
      <c r="CY277" s="86"/>
      <c r="CZ277" s="86"/>
      <c r="DA277" s="86"/>
      <c r="DB277" s="86"/>
      <c r="DC277" s="86"/>
      <c r="DD277" s="86"/>
      <c r="DE277" s="86"/>
      <c r="DF277" s="86"/>
      <c r="DG277" s="86"/>
      <c r="DH277" s="86"/>
      <c r="DI277" s="86"/>
      <c r="DJ277" s="86"/>
      <c r="DK277" s="86"/>
      <c r="DL277" s="86"/>
      <c r="DM277" s="86"/>
      <c r="DN277" s="86"/>
      <c r="DO277" s="86"/>
      <c r="DP277" s="86"/>
      <c r="DQ277" s="86"/>
      <c r="DR277" s="86"/>
      <c r="DS277" s="86"/>
      <c r="DT277" s="86"/>
      <c r="DU277" s="86"/>
      <c r="DV277" s="86"/>
      <c r="DW277" s="86"/>
      <c r="DX277" s="86"/>
      <c r="DY277" s="86"/>
      <c r="DZ277" s="86"/>
      <c r="EA277" s="86"/>
      <c r="EB277" s="86"/>
      <c r="EC277" s="86"/>
      <c r="ED277" s="86"/>
      <c r="EE277" s="86"/>
      <c r="EF277" s="86"/>
      <c r="EG277" s="86"/>
      <c r="EH277" s="86"/>
      <c r="EI277" s="86"/>
      <c r="EJ277" s="86"/>
      <c r="EK277" s="86"/>
      <c r="EL277" s="86"/>
      <c r="EM277" s="86"/>
      <c r="EN277" s="86"/>
      <c r="EO277" s="86"/>
      <c r="EP277" s="86"/>
      <c r="EQ277" s="86"/>
    </row>
    <row r="278" spans="1:147" ht="12.75">
      <c r="A278" s="86"/>
      <c r="B278" s="86"/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  <c r="AQ278" s="86"/>
      <c r="AR278" s="86"/>
      <c r="AS278" s="86"/>
      <c r="AT278" s="86"/>
      <c r="AU278" s="86"/>
      <c r="AV278" s="86"/>
      <c r="AW278" s="86"/>
      <c r="AX278" s="86"/>
      <c r="AY278" s="86"/>
      <c r="AZ278" s="86"/>
      <c r="BA278" s="86"/>
      <c r="BB278" s="86"/>
      <c r="BC278" s="86"/>
      <c r="BD278" s="86"/>
      <c r="BE278" s="86"/>
      <c r="BF278" s="86"/>
      <c r="BG278" s="86"/>
      <c r="BH278" s="86"/>
      <c r="BI278" s="86"/>
      <c r="BJ278" s="86"/>
      <c r="BK278" s="86"/>
      <c r="BL278" s="86"/>
      <c r="BM278" s="86"/>
      <c r="BN278" s="86"/>
      <c r="BO278" s="86"/>
      <c r="BP278" s="86"/>
      <c r="BQ278" s="86"/>
      <c r="BR278" s="86"/>
      <c r="BS278" s="86"/>
      <c r="BT278" s="86"/>
      <c r="BU278" s="86"/>
      <c r="BV278" s="86"/>
      <c r="BW278" s="86"/>
      <c r="BX278" s="86"/>
      <c r="BY278" s="86"/>
      <c r="BZ278" s="86"/>
      <c r="CA278" s="86"/>
      <c r="CB278" s="86"/>
      <c r="CC278" s="86"/>
      <c r="CD278" s="86"/>
      <c r="CE278" s="86"/>
      <c r="CF278" s="86"/>
      <c r="CG278" s="86"/>
      <c r="CH278" s="86"/>
      <c r="CI278" s="86"/>
      <c r="CJ278" s="86"/>
      <c r="CK278" s="86"/>
      <c r="CL278" s="86"/>
      <c r="CM278" s="86"/>
      <c r="CN278" s="86"/>
      <c r="CO278" s="86"/>
      <c r="CP278" s="86"/>
      <c r="CQ278" s="86"/>
      <c r="CR278" s="86"/>
      <c r="CS278" s="86"/>
      <c r="CT278" s="86"/>
      <c r="CU278" s="86"/>
      <c r="CV278" s="86"/>
      <c r="CW278" s="86"/>
      <c r="CX278" s="86"/>
      <c r="CY278" s="86"/>
      <c r="CZ278" s="86"/>
      <c r="DA278" s="86"/>
      <c r="DB278" s="86"/>
      <c r="DC278" s="86"/>
      <c r="DD278" s="86"/>
      <c r="DE278" s="86"/>
      <c r="DF278" s="86"/>
      <c r="DG278" s="86"/>
      <c r="DH278" s="86"/>
      <c r="DI278" s="86"/>
      <c r="DJ278" s="86"/>
      <c r="DK278" s="86"/>
      <c r="DL278" s="86"/>
      <c r="DM278" s="86"/>
      <c r="DN278" s="86"/>
      <c r="DO278" s="86"/>
      <c r="DP278" s="86"/>
      <c r="DQ278" s="86"/>
      <c r="DR278" s="86"/>
      <c r="DS278" s="86"/>
      <c r="DT278" s="86"/>
      <c r="DU278" s="86"/>
      <c r="DV278" s="86"/>
      <c r="DW278" s="86"/>
      <c r="DX278" s="86"/>
      <c r="DY278" s="86"/>
      <c r="DZ278" s="86"/>
      <c r="EA278" s="86"/>
      <c r="EB278" s="86"/>
      <c r="EC278" s="86"/>
      <c r="ED278" s="86"/>
      <c r="EE278" s="86"/>
      <c r="EF278" s="86"/>
      <c r="EG278" s="86"/>
      <c r="EH278" s="86"/>
      <c r="EI278" s="86"/>
      <c r="EJ278" s="86"/>
      <c r="EK278" s="86"/>
      <c r="EL278" s="86"/>
      <c r="EM278" s="86"/>
      <c r="EN278" s="86"/>
      <c r="EO278" s="86"/>
      <c r="EP278" s="86"/>
      <c r="EQ278" s="86"/>
    </row>
    <row r="279" spans="1:147" ht="12.75">
      <c r="A279" s="86"/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86"/>
      <c r="AN279" s="86"/>
      <c r="AO279" s="86"/>
      <c r="AP279" s="86"/>
      <c r="AQ279" s="86"/>
      <c r="AR279" s="86"/>
      <c r="AS279" s="86"/>
      <c r="AT279" s="86"/>
      <c r="AU279" s="86"/>
      <c r="AV279" s="86"/>
      <c r="AW279" s="86"/>
      <c r="AX279" s="86"/>
      <c r="AY279" s="86"/>
      <c r="AZ279" s="86"/>
      <c r="BA279" s="86"/>
      <c r="BB279" s="86"/>
      <c r="BC279" s="86"/>
      <c r="BD279" s="86"/>
      <c r="BE279" s="86"/>
      <c r="BF279" s="86"/>
      <c r="BG279" s="86"/>
      <c r="BH279" s="86"/>
      <c r="BI279" s="86"/>
      <c r="BJ279" s="86"/>
      <c r="BK279" s="86"/>
      <c r="BL279" s="86"/>
      <c r="BM279" s="86"/>
      <c r="BN279" s="86"/>
      <c r="BO279" s="86"/>
      <c r="BP279" s="86"/>
      <c r="BQ279" s="86"/>
      <c r="BR279" s="86"/>
      <c r="BS279" s="86"/>
      <c r="BT279" s="86"/>
      <c r="BU279" s="86"/>
      <c r="BV279" s="86"/>
      <c r="BW279" s="86"/>
      <c r="BX279" s="86"/>
      <c r="BY279" s="86"/>
      <c r="BZ279" s="86"/>
      <c r="CA279" s="86"/>
      <c r="CB279" s="86"/>
      <c r="CC279" s="86"/>
      <c r="CD279" s="86"/>
      <c r="CE279" s="86"/>
      <c r="CF279" s="86"/>
      <c r="CG279" s="86"/>
      <c r="CH279" s="86"/>
      <c r="CI279" s="86"/>
      <c r="CJ279" s="86"/>
      <c r="CK279" s="86"/>
      <c r="CL279" s="86"/>
      <c r="CM279" s="86"/>
      <c r="CN279" s="86"/>
      <c r="CO279" s="86"/>
      <c r="CP279" s="86"/>
      <c r="CQ279" s="86"/>
      <c r="CR279" s="86"/>
      <c r="CS279" s="86"/>
      <c r="CT279" s="86"/>
      <c r="CU279" s="86"/>
      <c r="CV279" s="86"/>
      <c r="CW279" s="86"/>
      <c r="CX279" s="86"/>
      <c r="CY279" s="86"/>
      <c r="CZ279" s="86"/>
      <c r="DA279" s="86"/>
      <c r="DB279" s="86"/>
      <c r="DC279" s="86"/>
      <c r="DD279" s="86"/>
      <c r="DE279" s="86"/>
      <c r="DF279" s="86"/>
      <c r="DG279" s="86"/>
      <c r="DH279" s="86"/>
      <c r="DI279" s="86"/>
      <c r="DJ279" s="86"/>
      <c r="DK279" s="86"/>
      <c r="DL279" s="86"/>
      <c r="DM279" s="86"/>
      <c r="DN279" s="86"/>
      <c r="DO279" s="86"/>
      <c r="DP279" s="86"/>
      <c r="DQ279" s="86"/>
      <c r="DR279" s="86"/>
      <c r="DS279" s="86"/>
      <c r="DT279" s="86"/>
      <c r="DU279" s="86"/>
      <c r="DV279" s="86"/>
      <c r="DW279" s="86"/>
      <c r="DX279" s="86"/>
      <c r="DY279" s="86"/>
      <c r="DZ279" s="86"/>
      <c r="EA279" s="86"/>
      <c r="EB279" s="86"/>
      <c r="EC279" s="86"/>
      <c r="ED279" s="86"/>
      <c r="EE279" s="86"/>
      <c r="EF279" s="86"/>
      <c r="EG279" s="86"/>
      <c r="EH279" s="86"/>
      <c r="EI279" s="86"/>
      <c r="EJ279" s="86"/>
      <c r="EK279" s="86"/>
      <c r="EL279" s="86"/>
      <c r="EM279" s="86"/>
      <c r="EN279" s="86"/>
      <c r="EO279" s="86"/>
      <c r="EP279" s="86"/>
      <c r="EQ279" s="86"/>
    </row>
    <row r="280" spans="1:147" ht="12.75">
      <c r="A280" s="86"/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86"/>
      <c r="AN280" s="86"/>
      <c r="AO280" s="86"/>
      <c r="AP280" s="86"/>
      <c r="AQ280" s="86"/>
      <c r="AR280" s="86"/>
      <c r="AS280" s="86"/>
      <c r="AT280" s="86"/>
      <c r="AU280" s="86"/>
      <c r="AV280" s="86"/>
      <c r="AW280" s="86"/>
      <c r="AX280" s="86"/>
      <c r="AY280" s="86"/>
      <c r="AZ280" s="86"/>
      <c r="BA280" s="86"/>
      <c r="BB280" s="86"/>
      <c r="BC280" s="86"/>
      <c r="BD280" s="86"/>
      <c r="BE280" s="86"/>
      <c r="BF280" s="86"/>
      <c r="BG280" s="86"/>
      <c r="BH280" s="86"/>
      <c r="BI280" s="86"/>
      <c r="BJ280" s="86"/>
      <c r="BK280" s="86"/>
      <c r="BL280" s="86"/>
      <c r="BM280" s="86"/>
      <c r="BN280" s="86"/>
      <c r="BO280" s="86"/>
      <c r="BP280" s="86"/>
      <c r="BQ280" s="86"/>
      <c r="BR280" s="86"/>
      <c r="BS280" s="86"/>
      <c r="BT280" s="86"/>
      <c r="BU280" s="86"/>
      <c r="BV280" s="86"/>
      <c r="BW280" s="86"/>
      <c r="BX280" s="86"/>
      <c r="BY280" s="86"/>
      <c r="BZ280" s="86"/>
      <c r="CA280" s="86"/>
      <c r="CB280" s="86"/>
      <c r="CC280" s="86"/>
      <c r="CD280" s="86"/>
      <c r="CE280" s="86"/>
      <c r="CF280" s="86"/>
      <c r="CG280" s="86"/>
      <c r="CH280" s="86"/>
      <c r="CI280" s="86"/>
      <c r="CJ280" s="86"/>
      <c r="CK280" s="86"/>
      <c r="CL280" s="86"/>
      <c r="CM280" s="86"/>
      <c r="CN280" s="86"/>
      <c r="CO280" s="86"/>
      <c r="CP280" s="86"/>
      <c r="CQ280" s="86"/>
      <c r="CR280" s="86"/>
      <c r="CS280" s="86"/>
      <c r="CT280" s="86"/>
      <c r="CU280" s="86"/>
      <c r="CV280" s="86"/>
      <c r="CW280" s="86"/>
      <c r="CX280" s="86"/>
      <c r="CY280" s="86"/>
      <c r="CZ280" s="86"/>
      <c r="DA280" s="86"/>
      <c r="DB280" s="86"/>
      <c r="DC280" s="86"/>
      <c r="DD280" s="86"/>
      <c r="DE280" s="86"/>
      <c r="DF280" s="86"/>
      <c r="DG280" s="86"/>
      <c r="DH280" s="86"/>
      <c r="DI280" s="86"/>
      <c r="DJ280" s="86"/>
      <c r="DK280" s="86"/>
      <c r="DL280" s="86"/>
      <c r="DM280" s="86"/>
      <c r="DN280" s="86"/>
      <c r="DO280" s="86"/>
      <c r="DP280" s="86"/>
      <c r="DQ280" s="86"/>
      <c r="DR280" s="86"/>
      <c r="DS280" s="86"/>
      <c r="DT280" s="86"/>
      <c r="DU280" s="86"/>
      <c r="DV280" s="86"/>
      <c r="DW280" s="86"/>
      <c r="DX280" s="86"/>
      <c r="DY280" s="86"/>
      <c r="DZ280" s="86"/>
      <c r="EA280" s="86"/>
      <c r="EB280" s="86"/>
      <c r="EC280" s="86"/>
      <c r="ED280" s="86"/>
      <c r="EE280" s="86"/>
      <c r="EF280" s="86"/>
      <c r="EG280" s="86"/>
      <c r="EH280" s="86"/>
      <c r="EI280" s="86"/>
      <c r="EJ280" s="86"/>
      <c r="EK280" s="86"/>
      <c r="EL280" s="86"/>
      <c r="EM280" s="86"/>
      <c r="EN280" s="86"/>
      <c r="EO280" s="86"/>
      <c r="EP280" s="86"/>
      <c r="EQ280" s="86"/>
    </row>
    <row r="281" spans="1:147" ht="12.75">
      <c r="A281" s="86"/>
      <c r="B281" s="86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86"/>
      <c r="AP281" s="86"/>
      <c r="AQ281" s="86"/>
      <c r="AR281" s="86"/>
      <c r="AS281" s="86"/>
      <c r="AT281" s="86"/>
      <c r="AU281" s="86"/>
      <c r="AV281" s="86"/>
      <c r="AW281" s="86"/>
      <c r="AX281" s="86"/>
      <c r="AY281" s="86"/>
      <c r="AZ281" s="86"/>
      <c r="BA281" s="86"/>
      <c r="BB281" s="86"/>
      <c r="BC281" s="86"/>
      <c r="BD281" s="86"/>
      <c r="BE281" s="86"/>
      <c r="BF281" s="86"/>
      <c r="BG281" s="86"/>
      <c r="BH281" s="86"/>
      <c r="BI281" s="86"/>
      <c r="BJ281" s="86"/>
      <c r="BK281" s="86"/>
      <c r="BL281" s="86"/>
      <c r="BM281" s="86"/>
      <c r="BN281" s="86"/>
      <c r="BO281" s="86"/>
      <c r="BP281" s="86"/>
      <c r="BQ281" s="86"/>
      <c r="BR281" s="86"/>
      <c r="BS281" s="86"/>
      <c r="BT281" s="86"/>
      <c r="BU281" s="86"/>
      <c r="BV281" s="86"/>
      <c r="BW281" s="86"/>
      <c r="BX281" s="86"/>
      <c r="BY281" s="86"/>
      <c r="BZ281" s="86"/>
      <c r="CA281" s="86"/>
      <c r="CB281" s="86"/>
      <c r="CC281" s="86"/>
      <c r="CD281" s="86"/>
      <c r="CE281" s="86"/>
      <c r="CF281" s="86"/>
      <c r="CG281" s="86"/>
      <c r="CH281" s="86"/>
      <c r="CI281" s="86"/>
      <c r="CJ281" s="86"/>
      <c r="CK281" s="86"/>
      <c r="CL281" s="86"/>
      <c r="CM281" s="86"/>
      <c r="CN281" s="86"/>
      <c r="CO281" s="86"/>
      <c r="CP281" s="86"/>
      <c r="CQ281" s="86"/>
      <c r="CR281" s="86"/>
      <c r="CS281" s="86"/>
      <c r="CT281" s="86"/>
      <c r="CU281" s="86"/>
      <c r="CV281" s="86"/>
      <c r="CW281" s="86"/>
      <c r="CX281" s="86"/>
      <c r="CY281" s="86"/>
      <c r="CZ281" s="86"/>
      <c r="DA281" s="86"/>
      <c r="DB281" s="86"/>
      <c r="DC281" s="86"/>
      <c r="DD281" s="86"/>
      <c r="DE281" s="86"/>
      <c r="DF281" s="86"/>
      <c r="DG281" s="86"/>
      <c r="DH281" s="86"/>
      <c r="DI281" s="86"/>
      <c r="DJ281" s="86"/>
      <c r="DK281" s="86"/>
      <c r="DL281" s="86"/>
      <c r="DM281" s="86"/>
      <c r="DN281" s="86"/>
      <c r="DO281" s="86"/>
      <c r="DP281" s="86"/>
      <c r="DQ281" s="86"/>
      <c r="DR281" s="86"/>
      <c r="DS281" s="86"/>
      <c r="DT281" s="86"/>
      <c r="DU281" s="86"/>
      <c r="DV281" s="86"/>
      <c r="DW281" s="86"/>
      <c r="DX281" s="86"/>
      <c r="DY281" s="86"/>
      <c r="DZ281" s="86"/>
      <c r="EA281" s="86"/>
      <c r="EB281" s="86"/>
      <c r="EC281" s="86"/>
      <c r="ED281" s="86"/>
      <c r="EE281" s="86"/>
      <c r="EF281" s="86"/>
      <c r="EG281" s="86"/>
      <c r="EH281" s="86"/>
      <c r="EI281" s="86"/>
      <c r="EJ281" s="86"/>
      <c r="EK281" s="86"/>
      <c r="EL281" s="86"/>
      <c r="EM281" s="86"/>
      <c r="EN281" s="86"/>
      <c r="EO281" s="86"/>
      <c r="EP281" s="86"/>
      <c r="EQ281" s="86"/>
    </row>
    <row r="282" spans="1:147" ht="12.75">
      <c r="A282" s="86"/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  <c r="AM282" s="86"/>
      <c r="AN282" s="86"/>
      <c r="AO282" s="86"/>
      <c r="AP282" s="86"/>
      <c r="AQ282" s="86"/>
      <c r="AR282" s="86"/>
      <c r="AS282" s="86"/>
      <c r="AT282" s="86"/>
      <c r="AU282" s="86"/>
      <c r="AV282" s="86"/>
      <c r="AW282" s="86"/>
      <c r="AX282" s="86"/>
      <c r="AY282" s="86"/>
      <c r="AZ282" s="86"/>
      <c r="BA282" s="86"/>
      <c r="BB282" s="86"/>
      <c r="BC282" s="86"/>
      <c r="BD282" s="86"/>
      <c r="BE282" s="86"/>
      <c r="BF282" s="86"/>
      <c r="BG282" s="86"/>
      <c r="BH282" s="86"/>
      <c r="BI282" s="86"/>
      <c r="BJ282" s="86"/>
      <c r="BK282" s="86"/>
      <c r="BL282" s="86"/>
      <c r="BM282" s="86"/>
      <c r="BN282" s="86"/>
      <c r="BO282" s="86"/>
      <c r="BP282" s="86"/>
      <c r="BQ282" s="86"/>
      <c r="BR282" s="86"/>
      <c r="BS282" s="86"/>
      <c r="BT282" s="86"/>
      <c r="BU282" s="86"/>
      <c r="BV282" s="86"/>
      <c r="BW282" s="86"/>
      <c r="BX282" s="86"/>
      <c r="BY282" s="86"/>
      <c r="BZ282" s="86"/>
      <c r="CA282" s="86"/>
      <c r="CB282" s="86"/>
      <c r="CC282" s="86"/>
      <c r="CD282" s="86"/>
      <c r="CE282" s="86"/>
      <c r="CF282" s="86"/>
      <c r="CG282" s="86"/>
      <c r="CH282" s="86"/>
      <c r="CI282" s="86"/>
      <c r="CJ282" s="86"/>
      <c r="CK282" s="86"/>
      <c r="CL282" s="86"/>
      <c r="CM282" s="86"/>
      <c r="CN282" s="86"/>
      <c r="CO282" s="86"/>
      <c r="CP282" s="86"/>
      <c r="CQ282" s="86"/>
      <c r="CR282" s="86"/>
      <c r="CS282" s="86"/>
      <c r="CT282" s="86"/>
      <c r="CU282" s="86"/>
      <c r="CV282" s="86"/>
      <c r="CW282" s="86"/>
      <c r="CX282" s="86"/>
      <c r="CY282" s="86"/>
      <c r="CZ282" s="86"/>
      <c r="DA282" s="86"/>
      <c r="DB282" s="86"/>
      <c r="DC282" s="86"/>
      <c r="DD282" s="86"/>
      <c r="DE282" s="86"/>
      <c r="DF282" s="86"/>
      <c r="DG282" s="86"/>
      <c r="DH282" s="86"/>
      <c r="DI282" s="86"/>
      <c r="DJ282" s="86"/>
      <c r="DK282" s="86"/>
      <c r="DL282" s="86"/>
      <c r="DM282" s="86"/>
      <c r="DN282" s="86"/>
      <c r="DO282" s="86"/>
      <c r="DP282" s="86"/>
      <c r="DQ282" s="86"/>
      <c r="DR282" s="86"/>
      <c r="DS282" s="86"/>
      <c r="DT282" s="86"/>
      <c r="DU282" s="86"/>
      <c r="DV282" s="86"/>
      <c r="DW282" s="86"/>
      <c r="DX282" s="86"/>
      <c r="DY282" s="86"/>
      <c r="DZ282" s="86"/>
      <c r="EA282" s="86"/>
      <c r="EB282" s="86"/>
      <c r="EC282" s="86"/>
      <c r="ED282" s="86"/>
      <c r="EE282" s="86"/>
      <c r="EF282" s="86"/>
      <c r="EG282" s="86"/>
      <c r="EH282" s="86"/>
      <c r="EI282" s="86"/>
      <c r="EJ282" s="86"/>
      <c r="EK282" s="86"/>
      <c r="EL282" s="86"/>
      <c r="EM282" s="86"/>
      <c r="EN282" s="86"/>
      <c r="EO282" s="86"/>
      <c r="EP282" s="86"/>
      <c r="EQ282" s="86"/>
    </row>
    <row r="283" spans="1:147" ht="12.75">
      <c r="A283" s="86"/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86"/>
      <c r="AL283" s="86"/>
      <c r="AM283" s="86"/>
      <c r="AN283" s="86"/>
      <c r="AO283" s="86"/>
      <c r="AP283" s="86"/>
      <c r="AQ283" s="86"/>
      <c r="AR283" s="86"/>
      <c r="AS283" s="86"/>
      <c r="AT283" s="86"/>
      <c r="AU283" s="86"/>
      <c r="AV283" s="86"/>
      <c r="AW283" s="86"/>
      <c r="AX283" s="86"/>
      <c r="AY283" s="86"/>
      <c r="AZ283" s="86"/>
      <c r="BA283" s="86"/>
      <c r="BB283" s="86"/>
      <c r="BC283" s="86"/>
      <c r="BD283" s="86"/>
      <c r="BE283" s="86"/>
      <c r="BF283" s="86"/>
      <c r="BG283" s="86"/>
      <c r="BH283" s="86"/>
      <c r="BI283" s="86"/>
      <c r="BJ283" s="86"/>
      <c r="BK283" s="86"/>
      <c r="BL283" s="86"/>
      <c r="BM283" s="86"/>
      <c r="BN283" s="86"/>
      <c r="BO283" s="86"/>
      <c r="BP283" s="86"/>
      <c r="BQ283" s="86"/>
      <c r="BR283" s="86"/>
      <c r="BS283" s="86"/>
      <c r="BT283" s="86"/>
      <c r="BU283" s="86"/>
      <c r="BV283" s="86"/>
      <c r="BW283" s="86"/>
      <c r="BX283" s="86"/>
      <c r="BY283" s="86"/>
      <c r="BZ283" s="86"/>
      <c r="CA283" s="86"/>
      <c r="CB283" s="86"/>
      <c r="CC283" s="86"/>
      <c r="CD283" s="86"/>
      <c r="CE283" s="86"/>
      <c r="CF283" s="86"/>
      <c r="CG283" s="86"/>
      <c r="CH283" s="86"/>
      <c r="CI283" s="86"/>
      <c r="CJ283" s="86"/>
      <c r="CK283" s="86"/>
      <c r="CL283" s="86"/>
      <c r="CM283" s="86"/>
      <c r="CN283" s="86"/>
      <c r="CO283" s="86"/>
      <c r="CP283" s="86"/>
      <c r="CQ283" s="86"/>
      <c r="CR283" s="86"/>
      <c r="CS283" s="86"/>
      <c r="CT283" s="86"/>
      <c r="CU283" s="86"/>
      <c r="CV283" s="86"/>
      <c r="CW283" s="86"/>
      <c r="CX283" s="86"/>
      <c r="CY283" s="86"/>
      <c r="CZ283" s="86"/>
      <c r="DA283" s="86"/>
      <c r="DB283" s="86"/>
      <c r="DC283" s="86"/>
      <c r="DD283" s="86"/>
      <c r="DE283" s="86"/>
      <c r="DF283" s="86"/>
      <c r="DG283" s="86"/>
      <c r="DH283" s="86"/>
      <c r="DI283" s="86"/>
      <c r="DJ283" s="86"/>
      <c r="DK283" s="86"/>
      <c r="DL283" s="86"/>
      <c r="DM283" s="86"/>
      <c r="DN283" s="86"/>
      <c r="DO283" s="86"/>
      <c r="DP283" s="86"/>
      <c r="DQ283" s="86"/>
      <c r="DR283" s="86"/>
      <c r="DS283" s="86"/>
      <c r="DT283" s="86"/>
      <c r="DU283" s="86"/>
      <c r="DV283" s="86"/>
      <c r="DW283" s="86"/>
      <c r="DX283" s="86"/>
      <c r="DY283" s="86"/>
      <c r="DZ283" s="86"/>
      <c r="EA283" s="86"/>
      <c r="EB283" s="86"/>
      <c r="EC283" s="86"/>
      <c r="ED283" s="86"/>
      <c r="EE283" s="86"/>
      <c r="EF283" s="86"/>
      <c r="EG283" s="86"/>
      <c r="EH283" s="86"/>
      <c r="EI283" s="86"/>
      <c r="EJ283" s="86"/>
      <c r="EK283" s="86"/>
      <c r="EL283" s="86"/>
      <c r="EM283" s="86"/>
      <c r="EN283" s="86"/>
      <c r="EO283" s="86"/>
      <c r="EP283" s="86"/>
      <c r="EQ283" s="86"/>
    </row>
    <row r="284" spans="1:147" ht="12.75">
      <c r="A284" s="86"/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  <c r="AM284" s="86"/>
      <c r="AN284" s="86"/>
      <c r="AO284" s="86"/>
      <c r="AP284" s="86"/>
      <c r="AQ284" s="86"/>
      <c r="AR284" s="86"/>
      <c r="AS284" s="86"/>
      <c r="AT284" s="86"/>
      <c r="AU284" s="86"/>
      <c r="AV284" s="86"/>
      <c r="AW284" s="86"/>
      <c r="AX284" s="86"/>
      <c r="AY284" s="86"/>
      <c r="AZ284" s="86"/>
      <c r="BA284" s="86"/>
      <c r="BB284" s="86"/>
      <c r="BC284" s="86"/>
      <c r="BD284" s="86"/>
      <c r="BE284" s="86"/>
      <c r="BF284" s="86"/>
      <c r="BG284" s="86"/>
      <c r="BH284" s="86"/>
      <c r="BI284" s="86"/>
      <c r="BJ284" s="86"/>
      <c r="BK284" s="86"/>
      <c r="BL284" s="86"/>
      <c r="BM284" s="86"/>
      <c r="BN284" s="86"/>
      <c r="BO284" s="86"/>
      <c r="BP284" s="86"/>
      <c r="BQ284" s="86"/>
      <c r="BR284" s="86"/>
      <c r="BS284" s="86"/>
      <c r="BT284" s="86"/>
      <c r="BU284" s="86"/>
      <c r="BV284" s="86"/>
      <c r="BW284" s="86"/>
      <c r="BX284" s="86"/>
      <c r="BY284" s="86"/>
      <c r="BZ284" s="86"/>
      <c r="CA284" s="86"/>
      <c r="CB284" s="86"/>
      <c r="CC284" s="86"/>
      <c r="CD284" s="86"/>
      <c r="CE284" s="86"/>
      <c r="CF284" s="86"/>
      <c r="CG284" s="86"/>
      <c r="CH284" s="86"/>
      <c r="CI284" s="86"/>
      <c r="CJ284" s="86"/>
      <c r="CK284" s="86"/>
      <c r="CL284" s="86"/>
      <c r="CM284" s="86"/>
      <c r="CN284" s="86"/>
      <c r="CO284" s="86"/>
      <c r="CP284" s="86"/>
      <c r="CQ284" s="86"/>
      <c r="CR284" s="86"/>
      <c r="CS284" s="86"/>
      <c r="CT284" s="86"/>
      <c r="CU284" s="86"/>
      <c r="CV284" s="86"/>
      <c r="CW284" s="86"/>
      <c r="CX284" s="86"/>
      <c r="CY284" s="86"/>
      <c r="CZ284" s="86"/>
      <c r="DA284" s="86"/>
      <c r="DB284" s="86"/>
      <c r="DC284" s="86"/>
      <c r="DD284" s="86"/>
      <c r="DE284" s="86"/>
      <c r="DF284" s="86"/>
      <c r="DG284" s="86"/>
      <c r="DH284" s="86"/>
      <c r="DI284" s="86"/>
      <c r="DJ284" s="86"/>
      <c r="DK284" s="86"/>
      <c r="DL284" s="86"/>
      <c r="DM284" s="86"/>
      <c r="DN284" s="86"/>
      <c r="DO284" s="86"/>
      <c r="DP284" s="86"/>
      <c r="DQ284" s="86"/>
      <c r="DR284" s="86"/>
      <c r="DS284" s="86"/>
      <c r="DT284" s="86"/>
      <c r="DU284" s="86"/>
      <c r="DV284" s="86"/>
      <c r="DW284" s="86"/>
      <c r="DX284" s="86"/>
      <c r="DY284" s="86"/>
      <c r="DZ284" s="86"/>
      <c r="EA284" s="86"/>
      <c r="EB284" s="86"/>
      <c r="EC284" s="86"/>
      <c r="ED284" s="86"/>
      <c r="EE284" s="86"/>
      <c r="EF284" s="86"/>
      <c r="EG284" s="86"/>
      <c r="EH284" s="86"/>
      <c r="EI284" s="86"/>
      <c r="EJ284" s="86"/>
      <c r="EK284" s="86"/>
      <c r="EL284" s="86"/>
      <c r="EM284" s="86"/>
      <c r="EN284" s="86"/>
      <c r="EO284" s="86"/>
      <c r="EP284" s="86"/>
      <c r="EQ284" s="86"/>
    </row>
    <row r="285" spans="1:147" ht="12.75">
      <c r="A285" s="86"/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  <c r="AM285" s="86"/>
      <c r="AN285" s="86"/>
      <c r="AO285" s="86"/>
      <c r="AP285" s="86"/>
      <c r="AQ285" s="86"/>
      <c r="AR285" s="86"/>
      <c r="AS285" s="86"/>
      <c r="AT285" s="86"/>
      <c r="AU285" s="86"/>
      <c r="AV285" s="86"/>
      <c r="AW285" s="86"/>
      <c r="AX285" s="86"/>
      <c r="AY285" s="86"/>
      <c r="AZ285" s="86"/>
      <c r="BA285" s="86"/>
      <c r="BB285" s="86"/>
      <c r="BC285" s="86"/>
      <c r="BD285" s="86"/>
      <c r="BE285" s="86"/>
      <c r="BF285" s="86"/>
      <c r="BG285" s="86"/>
      <c r="BH285" s="86"/>
      <c r="BI285" s="86"/>
      <c r="BJ285" s="86"/>
      <c r="BK285" s="86"/>
      <c r="BL285" s="86"/>
      <c r="BM285" s="86"/>
      <c r="BN285" s="86"/>
      <c r="BO285" s="86"/>
      <c r="BP285" s="86"/>
      <c r="BQ285" s="86"/>
      <c r="BR285" s="86"/>
      <c r="BS285" s="86"/>
      <c r="BT285" s="86"/>
      <c r="BU285" s="86"/>
      <c r="BV285" s="86"/>
      <c r="BW285" s="86"/>
      <c r="BX285" s="86"/>
      <c r="BY285" s="86"/>
      <c r="BZ285" s="86"/>
      <c r="CA285" s="86"/>
      <c r="CB285" s="86"/>
      <c r="CC285" s="86"/>
      <c r="CD285" s="86"/>
      <c r="CE285" s="86"/>
      <c r="CF285" s="86"/>
      <c r="CG285" s="86"/>
      <c r="CH285" s="86"/>
      <c r="CI285" s="86"/>
      <c r="CJ285" s="86"/>
      <c r="CK285" s="86"/>
      <c r="CL285" s="86"/>
      <c r="CM285" s="86"/>
      <c r="CN285" s="86"/>
      <c r="CO285" s="86"/>
      <c r="CP285" s="86"/>
      <c r="CQ285" s="86"/>
      <c r="CR285" s="86"/>
      <c r="CS285" s="86"/>
      <c r="CT285" s="86"/>
      <c r="CU285" s="86"/>
      <c r="CV285" s="86"/>
      <c r="CW285" s="86"/>
      <c r="CX285" s="86"/>
      <c r="CY285" s="86"/>
      <c r="CZ285" s="86"/>
      <c r="DA285" s="86"/>
      <c r="DB285" s="86"/>
      <c r="DC285" s="86"/>
      <c r="DD285" s="86"/>
      <c r="DE285" s="86"/>
      <c r="DF285" s="86"/>
      <c r="DG285" s="86"/>
      <c r="DH285" s="86"/>
      <c r="DI285" s="86"/>
      <c r="DJ285" s="86"/>
      <c r="DK285" s="86"/>
      <c r="DL285" s="86"/>
      <c r="DM285" s="86"/>
      <c r="DN285" s="86"/>
      <c r="DO285" s="86"/>
      <c r="DP285" s="86"/>
      <c r="DQ285" s="86"/>
      <c r="DR285" s="86"/>
      <c r="DS285" s="86"/>
      <c r="DT285" s="86"/>
      <c r="DU285" s="86"/>
      <c r="DV285" s="86"/>
      <c r="DW285" s="86"/>
      <c r="DX285" s="86"/>
      <c r="DY285" s="86"/>
      <c r="DZ285" s="86"/>
      <c r="EA285" s="86"/>
      <c r="EB285" s="86"/>
      <c r="EC285" s="86"/>
      <c r="ED285" s="86"/>
      <c r="EE285" s="86"/>
      <c r="EF285" s="86"/>
      <c r="EG285" s="86"/>
      <c r="EH285" s="86"/>
      <c r="EI285" s="86"/>
      <c r="EJ285" s="86"/>
      <c r="EK285" s="86"/>
      <c r="EL285" s="86"/>
      <c r="EM285" s="86"/>
      <c r="EN285" s="86"/>
      <c r="EO285" s="86"/>
      <c r="EP285" s="86"/>
      <c r="EQ285" s="86"/>
    </row>
    <row r="286" spans="1:147" ht="12.75">
      <c r="A286" s="86"/>
      <c r="B286" s="86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86"/>
      <c r="AO286" s="86"/>
      <c r="AP286" s="86"/>
      <c r="AQ286" s="86"/>
      <c r="AR286" s="86"/>
      <c r="AS286" s="86"/>
      <c r="AT286" s="86"/>
      <c r="AU286" s="86"/>
      <c r="AV286" s="86"/>
      <c r="AW286" s="86"/>
      <c r="AX286" s="86"/>
      <c r="AY286" s="86"/>
      <c r="AZ286" s="86"/>
      <c r="BA286" s="86"/>
      <c r="BB286" s="86"/>
      <c r="BC286" s="86"/>
      <c r="BD286" s="86"/>
      <c r="BE286" s="86"/>
      <c r="BF286" s="86"/>
      <c r="BG286" s="86"/>
      <c r="BH286" s="86"/>
      <c r="BI286" s="86"/>
      <c r="BJ286" s="86"/>
      <c r="BK286" s="86"/>
      <c r="BL286" s="86"/>
      <c r="BM286" s="86"/>
      <c r="BN286" s="86"/>
      <c r="BO286" s="86"/>
      <c r="BP286" s="86"/>
      <c r="BQ286" s="86"/>
      <c r="BR286" s="86"/>
      <c r="BS286" s="86"/>
      <c r="BT286" s="86"/>
      <c r="BU286" s="86"/>
      <c r="BV286" s="86"/>
      <c r="BW286" s="86"/>
      <c r="BX286" s="86"/>
      <c r="BY286" s="86"/>
      <c r="BZ286" s="86"/>
      <c r="CA286" s="86"/>
      <c r="CB286" s="86"/>
      <c r="CC286" s="86"/>
      <c r="CD286" s="86"/>
      <c r="CE286" s="86"/>
      <c r="CF286" s="86"/>
      <c r="CG286" s="86"/>
      <c r="CH286" s="86"/>
      <c r="CI286" s="86"/>
      <c r="CJ286" s="86"/>
      <c r="CK286" s="86"/>
      <c r="CL286" s="86"/>
      <c r="CM286" s="86"/>
      <c r="CN286" s="86"/>
      <c r="CO286" s="86"/>
      <c r="CP286" s="86"/>
      <c r="CQ286" s="86"/>
      <c r="CR286" s="86"/>
      <c r="CS286" s="86"/>
      <c r="CT286" s="86"/>
      <c r="CU286" s="86"/>
      <c r="CV286" s="86"/>
      <c r="CW286" s="86"/>
      <c r="CX286" s="86"/>
      <c r="CY286" s="86"/>
      <c r="CZ286" s="86"/>
      <c r="DA286" s="86"/>
      <c r="DB286" s="86"/>
      <c r="DC286" s="86"/>
      <c r="DD286" s="86"/>
      <c r="DE286" s="86"/>
      <c r="DF286" s="86"/>
      <c r="DG286" s="86"/>
      <c r="DH286" s="86"/>
      <c r="DI286" s="86"/>
      <c r="DJ286" s="86"/>
      <c r="DK286" s="86"/>
      <c r="DL286" s="86"/>
      <c r="DM286" s="86"/>
      <c r="DN286" s="86"/>
      <c r="DO286" s="86"/>
      <c r="DP286" s="86"/>
      <c r="DQ286" s="86"/>
      <c r="DR286" s="86"/>
      <c r="DS286" s="86"/>
      <c r="DT286" s="86"/>
      <c r="DU286" s="86"/>
      <c r="DV286" s="86"/>
      <c r="DW286" s="86"/>
      <c r="DX286" s="86"/>
      <c r="DY286" s="86"/>
      <c r="DZ286" s="86"/>
      <c r="EA286" s="86"/>
      <c r="EB286" s="86"/>
      <c r="EC286" s="86"/>
      <c r="ED286" s="86"/>
      <c r="EE286" s="86"/>
      <c r="EF286" s="86"/>
      <c r="EG286" s="86"/>
      <c r="EH286" s="86"/>
      <c r="EI286" s="86"/>
      <c r="EJ286" s="86"/>
      <c r="EK286" s="86"/>
      <c r="EL286" s="86"/>
      <c r="EM286" s="86"/>
      <c r="EN286" s="86"/>
      <c r="EO286" s="86"/>
      <c r="EP286" s="86"/>
      <c r="EQ286" s="86"/>
    </row>
    <row r="287" spans="1:147" ht="12.75">
      <c r="A287" s="86"/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  <c r="AM287" s="86"/>
      <c r="AN287" s="86"/>
      <c r="AO287" s="86"/>
      <c r="AP287" s="86"/>
      <c r="AQ287" s="86"/>
      <c r="AR287" s="86"/>
      <c r="AS287" s="86"/>
      <c r="AT287" s="86"/>
      <c r="AU287" s="86"/>
      <c r="AV287" s="86"/>
      <c r="AW287" s="86"/>
      <c r="AX287" s="86"/>
      <c r="AY287" s="86"/>
      <c r="AZ287" s="86"/>
      <c r="BA287" s="86"/>
      <c r="BB287" s="86"/>
      <c r="BC287" s="86"/>
      <c r="BD287" s="86"/>
      <c r="BE287" s="86"/>
      <c r="BF287" s="86"/>
      <c r="BG287" s="86"/>
      <c r="BH287" s="86"/>
      <c r="BI287" s="86"/>
      <c r="BJ287" s="86"/>
      <c r="BK287" s="86"/>
      <c r="BL287" s="86"/>
      <c r="BM287" s="86"/>
      <c r="BN287" s="86"/>
      <c r="BO287" s="86"/>
      <c r="BP287" s="86"/>
      <c r="BQ287" s="86"/>
      <c r="BR287" s="86"/>
      <c r="BS287" s="86"/>
      <c r="BT287" s="86"/>
      <c r="BU287" s="86"/>
      <c r="BV287" s="86"/>
      <c r="BW287" s="86"/>
      <c r="BX287" s="86"/>
      <c r="BY287" s="86"/>
      <c r="BZ287" s="86"/>
      <c r="CA287" s="86"/>
      <c r="CB287" s="86"/>
      <c r="CC287" s="86"/>
      <c r="CD287" s="86"/>
      <c r="CE287" s="86"/>
      <c r="CF287" s="86"/>
      <c r="CG287" s="86"/>
      <c r="CH287" s="86"/>
      <c r="CI287" s="86"/>
      <c r="CJ287" s="86"/>
      <c r="CK287" s="86"/>
      <c r="CL287" s="86"/>
      <c r="CM287" s="86"/>
      <c r="CN287" s="86"/>
      <c r="CO287" s="86"/>
      <c r="CP287" s="86"/>
      <c r="CQ287" s="86"/>
      <c r="CR287" s="86"/>
      <c r="CS287" s="86"/>
      <c r="CT287" s="86"/>
      <c r="CU287" s="86"/>
      <c r="CV287" s="86"/>
      <c r="CW287" s="86"/>
      <c r="CX287" s="86"/>
      <c r="CY287" s="86"/>
      <c r="CZ287" s="86"/>
      <c r="DA287" s="86"/>
      <c r="DB287" s="86"/>
      <c r="DC287" s="86"/>
      <c r="DD287" s="86"/>
      <c r="DE287" s="86"/>
      <c r="DF287" s="86"/>
      <c r="DG287" s="86"/>
      <c r="DH287" s="86"/>
      <c r="DI287" s="86"/>
      <c r="DJ287" s="86"/>
      <c r="DK287" s="86"/>
      <c r="DL287" s="86"/>
      <c r="DM287" s="86"/>
      <c r="DN287" s="86"/>
      <c r="DO287" s="86"/>
      <c r="DP287" s="86"/>
      <c r="DQ287" s="86"/>
      <c r="DR287" s="86"/>
      <c r="DS287" s="86"/>
      <c r="DT287" s="86"/>
      <c r="DU287" s="86"/>
      <c r="DV287" s="86"/>
      <c r="DW287" s="86"/>
      <c r="DX287" s="86"/>
      <c r="DY287" s="86"/>
      <c r="DZ287" s="86"/>
      <c r="EA287" s="86"/>
      <c r="EB287" s="86"/>
      <c r="EC287" s="86"/>
      <c r="ED287" s="86"/>
      <c r="EE287" s="86"/>
      <c r="EF287" s="86"/>
      <c r="EG287" s="86"/>
      <c r="EH287" s="86"/>
      <c r="EI287" s="86"/>
      <c r="EJ287" s="86"/>
      <c r="EK287" s="86"/>
      <c r="EL287" s="86"/>
      <c r="EM287" s="86"/>
      <c r="EN287" s="86"/>
      <c r="EO287" s="86"/>
      <c r="EP287" s="86"/>
      <c r="EQ287" s="86"/>
    </row>
    <row r="288" spans="1:147" ht="12.75">
      <c r="A288" s="86"/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  <c r="AM288" s="86"/>
      <c r="AN288" s="86"/>
      <c r="AO288" s="86"/>
      <c r="AP288" s="86"/>
      <c r="AQ288" s="86"/>
      <c r="AR288" s="86"/>
      <c r="AS288" s="86"/>
      <c r="AT288" s="86"/>
      <c r="AU288" s="86"/>
      <c r="AV288" s="86"/>
      <c r="AW288" s="86"/>
      <c r="AX288" s="86"/>
      <c r="AY288" s="86"/>
      <c r="AZ288" s="86"/>
      <c r="BA288" s="86"/>
      <c r="BB288" s="86"/>
      <c r="BC288" s="86"/>
      <c r="BD288" s="86"/>
      <c r="BE288" s="86"/>
      <c r="BF288" s="86"/>
      <c r="BG288" s="86"/>
      <c r="BH288" s="86"/>
      <c r="BI288" s="86"/>
      <c r="BJ288" s="86"/>
      <c r="BK288" s="86"/>
      <c r="BL288" s="86"/>
      <c r="BM288" s="86"/>
      <c r="BN288" s="86"/>
      <c r="BO288" s="86"/>
      <c r="BP288" s="86"/>
      <c r="BQ288" s="86"/>
      <c r="BR288" s="86"/>
      <c r="BS288" s="86"/>
      <c r="BT288" s="86"/>
      <c r="BU288" s="86"/>
      <c r="BV288" s="86"/>
      <c r="BW288" s="86"/>
      <c r="BX288" s="86"/>
      <c r="BY288" s="86"/>
      <c r="BZ288" s="86"/>
      <c r="CA288" s="86"/>
      <c r="CB288" s="86"/>
      <c r="CC288" s="86"/>
      <c r="CD288" s="86"/>
      <c r="CE288" s="86"/>
      <c r="CF288" s="86"/>
      <c r="CG288" s="86"/>
      <c r="CH288" s="86"/>
      <c r="CI288" s="86"/>
      <c r="CJ288" s="86"/>
      <c r="CK288" s="86"/>
      <c r="CL288" s="86"/>
      <c r="CM288" s="86"/>
      <c r="CN288" s="86"/>
      <c r="CO288" s="86"/>
      <c r="CP288" s="86"/>
      <c r="CQ288" s="86"/>
      <c r="CR288" s="86"/>
      <c r="CS288" s="86"/>
      <c r="CT288" s="86"/>
      <c r="CU288" s="86"/>
      <c r="CV288" s="86"/>
      <c r="CW288" s="86"/>
      <c r="CX288" s="86"/>
      <c r="CY288" s="86"/>
      <c r="CZ288" s="86"/>
      <c r="DA288" s="86"/>
      <c r="DB288" s="86"/>
      <c r="DC288" s="86"/>
      <c r="DD288" s="86"/>
      <c r="DE288" s="86"/>
      <c r="DF288" s="86"/>
      <c r="DG288" s="86"/>
      <c r="DH288" s="86"/>
      <c r="DI288" s="86"/>
      <c r="DJ288" s="86"/>
      <c r="DK288" s="86"/>
      <c r="DL288" s="86"/>
      <c r="DM288" s="86"/>
      <c r="DN288" s="86"/>
      <c r="DO288" s="86"/>
      <c r="DP288" s="86"/>
      <c r="DQ288" s="86"/>
      <c r="DR288" s="86"/>
      <c r="DS288" s="86"/>
      <c r="DT288" s="86"/>
      <c r="DU288" s="86"/>
      <c r="DV288" s="86"/>
      <c r="DW288" s="86"/>
      <c r="DX288" s="86"/>
      <c r="DY288" s="86"/>
      <c r="DZ288" s="86"/>
      <c r="EA288" s="86"/>
      <c r="EB288" s="86"/>
      <c r="EC288" s="86"/>
      <c r="ED288" s="86"/>
      <c r="EE288" s="86"/>
      <c r="EF288" s="86"/>
      <c r="EG288" s="86"/>
      <c r="EH288" s="86"/>
      <c r="EI288" s="86"/>
      <c r="EJ288" s="86"/>
      <c r="EK288" s="86"/>
      <c r="EL288" s="86"/>
      <c r="EM288" s="86"/>
      <c r="EN288" s="86"/>
      <c r="EO288" s="86"/>
      <c r="EP288" s="86"/>
      <c r="EQ288" s="86"/>
    </row>
    <row r="289" spans="1:147" ht="12.75">
      <c r="A289" s="86"/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86"/>
      <c r="AO289" s="86"/>
      <c r="AP289" s="86"/>
      <c r="AQ289" s="86"/>
      <c r="AR289" s="86"/>
      <c r="AS289" s="86"/>
      <c r="AT289" s="86"/>
      <c r="AU289" s="86"/>
      <c r="AV289" s="86"/>
      <c r="AW289" s="86"/>
      <c r="AX289" s="86"/>
      <c r="AY289" s="86"/>
      <c r="AZ289" s="86"/>
      <c r="BA289" s="86"/>
      <c r="BB289" s="86"/>
      <c r="BC289" s="86"/>
      <c r="BD289" s="86"/>
      <c r="BE289" s="86"/>
      <c r="BF289" s="86"/>
      <c r="BG289" s="86"/>
      <c r="BH289" s="86"/>
      <c r="BI289" s="86"/>
      <c r="BJ289" s="86"/>
      <c r="BK289" s="86"/>
      <c r="BL289" s="86"/>
      <c r="BM289" s="86"/>
      <c r="BN289" s="86"/>
      <c r="BO289" s="86"/>
      <c r="BP289" s="86"/>
      <c r="BQ289" s="86"/>
      <c r="BR289" s="86"/>
      <c r="BS289" s="86"/>
      <c r="BT289" s="86"/>
      <c r="BU289" s="86"/>
      <c r="BV289" s="86"/>
      <c r="BW289" s="86"/>
      <c r="BX289" s="86"/>
      <c r="BY289" s="86"/>
      <c r="BZ289" s="86"/>
      <c r="CA289" s="86"/>
      <c r="CB289" s="86"/>
      <c r="CC289" s="86"/>
      <c r="CD289" s="86"/>
      <c r="CE289" s="86"/>
      <c r="CF289" s="86"/>
      <c r="CG289" s="86"/>
      <c r="CH289" s="86"/>
      <c r="CI289" s="86"/>
      <c r="CJ289" s="86"/>
      <c r="CK289" s="86"/>
      <c r="CL289" s="86"/>
      <c r="CM289" s="86"/>
      <c r="CN289" s="86"/>
      <c r="CO289" s="86"/>
      <c r="CP289" s="86"/>
      <c r="CQ289" s="86"/>
      <c r="CR289" s="86"/>
      <c r="CS289" s="86"/>
      <c r="CT289" s="86"/>
      <c r="CU289" s="86"/>
      <c r="CV289" s="86"/>
      <c r="CW289" s="86"/>
      <c r="CX289" s="86"/>
      <c r="CY289" s="86"/>
      <c r="CZ289" s="86"/>
      <c r="DA289" s="86"/>
      <c r="DB289" s="86"/>
      <c r="DC289" s="86"/>
      <c r="DD289" s="86"/>
      <c r="DE289" s="86"/>
      <c r="DF289" s="86"/>
      <c r="DG289" s="86"/>
      <c r="DH289" s="86"/>
      <c r="DI289" s="86"/>
      <c r="DJ289" s="86"/>
      <c r="DK289" s="86"/>
      <c r="DL289" s="86"/>
      <c r="DM289" s="86"/>
      <c r="DN289" s="86"/>
      <c r="DO289" s="86"/>
      <c r="DP289" s="86"/>
      <c r="DQ289" s="86"/>
      <c r="DR289" s="86"/>
      <c r="DS289" s="86"/>
      <c r="DT289" s="86"/>
      <c r="DU289" s="86"/>
      <c r="DV289" s="86"/>
      <c r="DW289" s="86"/>
      <c r="DX289" s="86"/>
      <c r="DY289" s="86"/>
      <c r="DZ289" s="86"/>
      <c r="EA289" s="86"/>
      <c r="EB289" s="86"/>
      <c r="EC289" s="86"/>
      <c r="ED289" s="86"/>
      <c r="EE289" s="86"/>
      <c r="EF289" s="86"/>
      <c r="EG289" s="86"/>
      <c r="EH289" s="86"/>
      <c r="EI289" s="86"/>
      <c r="EJ289" s="86"/>
      <c r="EK289" s="86"/>
      <c r="EL289" s="86"/>
      <c r="EM289" s="86"/>
      <c r="EN289" s="86"/>
      <c r="EO289" s="86"/>
      <c r="EP289" s="86"/>
      <c r="EQ289" s="86"/>
    </row>
    <row r="290" spans="1:147" ht="12.75">
      <c r="A290" s="86"/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6"/>
      <c r="AK290" s="86"/>
      <c r="AL290" s="86"/>
      <c r="AM290" s="86"/>
      <c r="AN290" s="86"/>
      <c r="AO290" s="86"/>
      <c r="AP290" s="86"/>
      <c r="AQ290" s="86"/>
      <c r="AR290" s="86"/>
      <c r="AS290" s="86"/>
      <c r="AT290" s="86"/>
      <c r="AU290" s="86"/>
      <c r="AV290" s="86"/>
      <c r="AW290" s="86"/>
      <c r="AX290" s="86"/>
      <c r="AY290" s="86"/>
      <c r="AZ290" s="86"/>
      <c r="BA290" s="86"/>
      <c r="BB290" s="86"/>
      <c r="BC290" s="86"/>
      <c r="BD290" s="86"/>
      <c r="BE290" s="86"/>
      <c r="BF290" s="86"/>
      <c r="BG290" s="86"/>
      <c r="BH290" s="86"/>
      <c r="BI290" s="86"/>
      <c r="BJ290" s="86"/>
      <c r="BK290" s="86"/>
      <c r="BL290" s="86"/>
      <c r="BM290" s="86"/>
      <c r="BN290" s="86"/>
      <c r="BO290" s="86"/>
      <c r="BP290" s="86"/>
      <c r="BQ290" s="86"/>
      <c r="BR290" s="86"/>
      <c r="BS290" s="86"/>
      <c r="BT290" s="86"/>
      <c r="BU290" s="86"/>
      <c r="BV290" s="86"/>
      <c r="BW290" s="86"/>
      <c r="BX290" s="86"/>
      <c r="BY290" s="86"/>
      <c r="BZ290" s="86"/>
      <c r="CA290" s="86"/>
      <c r="CB290" s="86"/>
      <c r="CC290" s="86"/>
      <c r="CD290" s="86"/>
      <c r="CE290" s="86"/>
      <c r="CF290" s="86"/>
      <c r="CG290" s="86"/>
      <c r="CH290" s="86"/>
      <c r="CI290" s="86"/>
      <c r="CJ290" s="86"/>
      <c r="CK290" s="86"/>
      <c r="CL290" s="86"/>
      <c r="CM290" s="86"/>
      <c r="CN290" s="86"/>
      <c r="CO290" s="86"/>
      <c r="CP290" s="86"/>
      <c r="CQ290" s="86"/>
      <c r="CR290" s="86"/>
      <c r="CS290" s="86"/>
      <c r="CT290" s="86"/>
      <c r="CU290" s="86"/>
      <c r="CV290" s="86"/>
      <c r="CW290" s="86"/>
      <c r="CX290" s="86"/>
      <c r="CY290" s="86"/>
      <c r="CZ290" s="86"/>
      <c r="DA290" s="86"/>
      <c r="DB290" s="86"/>
      <c r="DC290" s="86"/>
      <c r="DD290" s="86"/>
      <c r="DE290" s="86"/>
      <c r="DF290" s="86"/>
      <c r="DG290" s="86"/>
      <c r="DH290" s="86"/>
      <c r="DI290" s="86"/>
      <c r="DJ290" s="86"/>
      <c r="DK290" s="86"/>
      <c r="DL290" s="86"/>
      <c r="DM290" s="86"/>
      <c r="DN290" s="86"/>
      <c r="DO290" s="86"/>
      <c r="DP290" s="86"/>
      <c r="DQ290" s="86"/>
      <c r="DR290" s="86"/>
      <c r="DS290" s="86"/>
      <c r="DT290" s="86"/>
      <c r="DU290" s="86"/>
      <c r="DV290" s="86"/>
      <c r="DW290" s="86"/>
      <c r="DX290" s="86"/>
      <c r="DY290" s="86"/>
      <c r="DZ290" s="86"/>
      <c r="EA290" s="86"/>
      <c r="EB290" s="86"/>
      <c r="EC290" s="86"/>
      <c r="ED290" s="86"/>
      <c r="EE290" s="86"/>
      <c r="EF290" s="86"/>
      <c r="EG290" s="86"/>
      <c r="EH290" s="86"/>
      <c r="EI290" s="86"/>
      <c r="EJ290" s="86"/>
      <c r="EK290" s="86"/>
      <c r="EL290" s="86"/>
      <c r="EM290" s="86"/>
      <c r="EN290" s="86"/>
      <c r="EO290" s="86"/>
      <c r="EP290" s="86"/>
      <c r="EQ290" s="86"/>
    </row>
    <row r="291" spans="1:147" ht="12.75">
      <c r="A291" s="86"/>
      <c r="B291" s="86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6"/>
      <c r="AK291" s="86"/>
      <c r="AL291" s="86"/>
      <c r="AM291" s="86"/>
      <c r="AN291" s="86"/>
      <c r="AO291" s="86"/>
      <c r="AP291" s="86"/>
      <c r="AQ291" s="86"/>
      <c r="AR291" s="86"/>
      <c r="AS291" s="86"/>
      <c r="AT291" s="86"/>
      <c r="AU291" s="86"/>
      <c r="AV291" s="86"/>
      <c r="AW291" s="86"/>
      <c r="AX291" s="86"/>
      <c r="AY291" s="86"/>
      <c r="AZ291" s="86"/>
      <c r="BA291" s="86"/>
      <c r="BB291" s="86"/>
      <c r="BC291" s="86"/>
      <c r="BD291" s="86"/>
      <c r="BE291" s="86"/>
      <c r="BF291" s="86"/>
      <c r="BG291" s="86"/>
      <c r="BH291" s="86"/>
      <c r="BI291" s="86"/>
      <c r="BJ291" s="86"/>
      <c r="BK291" s="86"/>
      <c r="BL291" s="86"/>
      <c r="BM291" s="86"/>
      <c r="BN291" s="86"/>
      <c r="BO291" s="86"/>
      <c r="BP291" s="86"/>
      <c r="BQ291" s="86"/>
      <c r="BR291" s="86"/>
      <c r="BS291" s="86"/>
      <c r="BT291" s="86"/>
      <c r="BU291" s="86"/>
      <c r="BV291" s="86"/>
      <c r="BW291" s="86"/>
      <c r="BX291" s="86"/>
      <c r="BY291" s="86"/>
      <c r="BZ291" s="86"/>
      <c r="CA291" s="86"/>
      <c r="CB291" s="86"/>
      <c r="CC291" s="86"/>
      <c r="CD291" s="86"/>
      <c r="CE291" s="86"/>
      <c r="CF291" s="86"/>
      <c r="CG291" s="86"/>
      <c r="CH291" s="86"/>
      <c r="CI291" s="86"/>
      <c r="CJ291" s="86"/>
      <c r="CK291" s="86"/>
      <c r="CL291" s="86"/>
      <c r="CM291" s="86"/>
      <c r="CN291" s="86"/>
      <c r="CO291" s="86"/>
      <c r="CP291" s="86"/>
      <c r="CQ291" s="86"/>
      <c r="CR291" s="86"/>
      <c r="CS291" s="86"/>
      <c r="CT291" s="86"/>
      <c r="CU291" s="86"/>
      <c r="CV291" s="86"/>
      <c r="CW291" s="86"/>
      <c r="CX291" s="86"/>
      <c r="CY291" s="86"/>
      <c r="CZ291" s="86"/>
      <c r="DA291" s="86"/>
      <c r="DB291" s="86"/>
      <c r="DC291" s="86"/>
      <c r="DD291" s="86"/>
      <c r="DE291" s="86"/>
      <c r="DF291" s="86"/>
      <c r="DG291" s="86"/>
      <c r="DH291" s="86"/>
      <c r="DI291" s="86"/>
      <c r="DJ291" s="86"/>
      <c r="DK291" s="86"/>
      <c r="DL291" s="86"/>
      <c r="DM291" s="86"/>
      <c r="DN291" s="86"/>
      <c r="DO291" s="86"/>
      <c r="DP291" s="86"/>
      <c r="DQ291" s="86"/>
      <c r="DR291" s="86"/>
      <c r="DS291" s="86"/>
      <c r="DT291" s="86"/>
      <c r="DU291" s="86"/>
      <c r="DV291" s="86"/>
      <c r="DW291" s="86"/>
      <c r="DX291" s="86"/>
      <c r="DY291" s="86"/>
      <c r="DZ291" s="86"/>
      <c r="EA291" s="86"/>
      <c r="EB291" s="86"/>
      <c r="EC291" s="86"/>
      <c r="ED291" s="86"/>
      <c r="EE291" s="86"/>
      <c r="EF291" s="86"/>
      <c r="EG291" s="86"/>
      <c r="EH291" s="86"/>
      <c r="EI291" s="86"/>
      <c r="EJ291" s="86"/>
      <c r="EK291" s="86"/>
      <c r="EL291" s="86"/>
      <c r="EM291" s="86"/>
      <c r="EN291" s="86"/>
      <c r="EO291" s="86"/>
      <c r="EP291" s="86"/>
      <c r="EQ291" s="86"/>
    </row>
    <row r="292" spans="1:147" ht="12.75">
      <c r="A292" s="86"/>
      <c r="B292" s="86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6"/>
      <c r="AK292" s="86"/>
      <c r="AL292" s="86"/>
      <c r="AM292" s="86"/>
      <c r="AN292" s="86"/>
      <c r="AO292" s="86"/>
      <c r="AP292" s="86"/>
      <c r="AQ292" s="86"/>
      <c r="AR292" s="86"/>
      <c r="AS292" s="86"/>
      <c r="AT292" s="86"/>
      <c r="AU292" s="86"/>
      <c r="AV292" s="86"/>
      <c r="AW292" s="86"/>
      <c r="AX292" s="86"/>
      <c r="AY292" s="86"/>
      <c r="AZ292" s="86"/>
      <c r="BA292" s="86"/>
      <c r="BB292" s="86"/>
      <c r="BC292" s="86"/>
      <c r="BD292" s="86"/>
      <c r="BE292" s="86"/>
      <c r="BF292" s="86"/>
      <c r="BG292" s="86"/>
      <c r="BH292" s="86"/>
      <c r="BI292" s="86"/>
      <c r="BJ292" s="86"/>
      <c r="BK292" s="86"/>
      <c r="BL292" s="86"/>
      <c r="BM292" s="86"/>
      <c r="BN292" s="86"/>
      <c r="BO292" s="86"/>
      <c r="BP292" s="86"/>
      <c r="BQ292" s="86"/>
      <c r="BR292" s="86"/>
      <c r="BS292" s="86"/>
      <c r="BT292" s="86"/>
      <c r="BU292" s="86"/>
      <c r="BV292" s="86"/>
      <c r="BW292" s="86"/>
      <c r="BX292" s="86"/>
      <c r="BY292" s="86"/>
      <c r="BZ292" s="86"/>
      <c r="CA292" s="86"/>
      <c r="CB292" s="86"/>
      <c r="CC292" s="86"/>
      <c r="CD292" s="86"/>
      <c r="CE292" s="86"/>
      <c r="CF292" s="86"/>
      <c r="CG292" s="86"/>
      <c r="CH292" s="86"/>
      <c r="CI292" s="86"/>
      <c r="CJ292" s="86"/>
      <c r="CK292" s="86"/>
      <c r="CL292" s="86"/>
      <c r="CM292" s="86"/>
      <c r="CN292" s="86"/>
      <c r="CO292" s="86"/>
      <c r="CP292" s="86"/>
      <c r="CQ292" s="86"/>
      <c r="CR292" s="86"/>
      <c r="CS292" s="86"/>
      <c r="CT292" s="86"/>
      <c r="CU292" s="86"/>
      <c r="CV292" s="86"/>
      <c r="CW292" s="86"/>
      <c r="CX292" s="86"/>
      <c r="CY292" s="86"/>
      <c r="CZ292" s="86"/>
      <c r="DA292" s="86"/>
      <c r="DB292" s="86"/>
      <c r="DC292" s="86"/>
      <c r="DD292" s="86"/>
      <c r="DE292" s="86"/>
      <c r="DF292" s="86"/>
      <c r="DG292" s="86"/>
      <c r="DH292" s="86"/>
      <c r="DI292" s="86"/>
      <c r="DJ292" s="86"/>
      <c r="DK292" s="86"/>
      <c r="DL292" s="86"/>
      <c r="DM292" s="86"/>
      <c r="DN292" s="86"/>
      <c r="DO292" s="86"/>
      <c r="DP292" s="86"/>
      <c r="DQ292" s="86"/>
      <c r="DR292" s="86"/>
      <c r="DS292" s="86"/>
      <c r="DT292" s="86"/>
      <c r="DU292" s="86"/>
      <c r="DV292" s="86"/>
      <c r="DW292" s="86"/>
      <c r="DX292" s="86"/>
      <c r="DY292" s="86"/>
      <c r="DZ292" s="86"/>
      <c r="EA292" s="86"/>
      <c r="EB292" s="86"/>
      <c r="EC292" s="86"/>
      <c r="ED292" s="86"/>
      <c r="EE292" s="86"/>
      <c r="EF292" s="86"/>
      <c r="EG292" s="86"/>
      <c r="EH292" s="86"/>
      <c r="EI292" s="86"/>
      <c r="EJ292" s="86"/>
      <c r="EK292" s="86"/>
      <c r="EL292" s="86"/>
      <c r="EM292" s="86"/>
      <c r="EN292" s="86"/>
      <c r="EO292" s="86"/>
      <c r="EP292" s="86"/>
      <c r="EQ292" s="86"/>
    </row>
    <row r="293" spans="1:147" ht="12.75">
      <c r="A293" s="86"/>
      <c r="B293" s="86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6"/>
      <c r="AK293" s="86"/>
      <c r="AL293" s="86"/>
      <c r="AM293" s="86"/>
      <c r="AN293" s="86"/>
      <c r="AO293" s="86"/>
      <c r="AP293" s="86"/>
      <c r="AQ293" s="86"/>
      <c r="AR293" s="86"/>
      <c r="AS293" s="86"/>
      <c r="AT293" s="86"/>
      <c r="AU293" s="86"/>
      <c r="AV293" s="86"/>
      <c r="AW293" s="86"/>
      <c r="AX293" s="86"/>
      <c r="AY293" s="86"/>
      <c r="AZ293" s="86"/>
      <c r="BA293" s="86"/>
      <c r="BB293" s="86"/>
      <c r="BC293" s="86"/>
      <c r="BD293" s="86"/>
      <c r="BE293" s="86"/>
      <c r="BF293" s="86"/>
      <c r="BG293" s="86"/>
      <c r="BH293" s="86"/>
      <c r="BI293" s="86"/>
      <c r="BJ293" s="86"/>
      <c r="BK293" s="86"/>
      <c r="BL293" s="86"/>
      <c r="BM293" s="86"/>
      <c r="BN293" s="86"/>
      <c r="BO293" s="86"/>
      <c r="BP293" s="86"/>
      <c r="BQ293" s="86"/>
      <c r="BR293" s="86"/>
      <c r="BS293" s="86"/>
      <c r="BT293" s="86"/>
      <c r="BU293" s="86"/>
      <c r="BV293" s="86"/>
      <c r="BW293" s="86"/>
      <c r="BX293" s="86"/>
      <c r="BY293" s="86"/>
      <c r="BZ293" s="86"/>
      <c r="CA293" s="86"/>
      <c r="CB293" s="86"/>
      <c r="CC293" s="86"/>
      <c r="CD293" s="86"/>
      <c r="CE293" s="86"/>
      <c r="CF293" s="86"/>
      <c r="CG293" s="86"/>
      <c r="CH293" s="86"/>
      <c r="CI293" s="86"/>
      <c r="CJ293" s="86"/>
      <c r="CK293" s="86"/>
      <c r="CL293" s="86"/>
      <c r="CM293" s="86"/>
      <c r="CN293" s="86"/>
      <c r="CO293" s="86"/>
      <c r="CP293" s="86"/>
      <c r="CQ293" s="86"/>
      <c r="CR293" s="86"/>
      <c r="CS293" s="86"/>
      <c r="CT293" s="86"/>
      <c r="CU293" s="86"/>
      <c r="CV293" s="86"/>
      <c r="CW293" s="86"/>
      <c r="CX293" s="86"/>
      <c r="CY293" s="86"/>
      <c r="CZ293" s="86"/>
      <c r="DA293" s="86"/>
      <c r="DB293" s="86"/>
      <c r="DC293" s="86"/>
      <c r="DD293" s="86"/>
      <c r="DE293" s="86"/>
      <c r="DF293" s="86"/>
      <c r="DG293" s="86"/>
      <c r="DH293" s="86"/>
      <c r="DI293" s="86"/>
      <c r="DJ293" s="86"/>
      <c r="DK293" s="86"/>
      <c r="DL293" s="86"/>
      <c r="DM293" s="86"/>
      <c r="DN293" s="86"/>
      <c r="DO293" s="86"/>
      <c r="DP293" s="86"/>
      <c r="DQ293" s="86"/>
      <c r="DR293" s="86"/>
      <c r="DS293" s="86"/>
      <c r="DT293" s="86"/>
      <c r="DU293" s="86"/>
      <c r="DV293" s="86"/>
      <c r="DW293" s="86"/>
      <c r="DX293" s="86"/>
      <c r="DY293" s="86"/>
      <c r="DZ293" s="86"/>
      <c r="EA293" s="86"/>
      <c r="EB293" s="86"/>
      <c r="EC293" s="86"/>
      <c r="ED293" s="86"/>
      <c r="EE293" s="86"/>
      <c r="EF293" s="86"/>
      <c r="EG293" s="86"/>
      <c r="EH293" s="86"/>
      <c r="EI293" s="86"/>
      <c r="EJ293" s="86"/>
      <c r="EK293" s="86"/>
      <c r="EL293" s="86"/>
      <c r="EM293" s="86"/>
      <c r="EN293" s="86"/>
      <c r="EO293" s="86"/>
      <c r="EP293" s="86"/>
      <c r="EQ293" s="86"/>
    </row>
    <row r="294" spans="1:147" ht="12.75">
      <c r="A294" s="86"/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86"/>
      <c r="AL294" s="86"/>
      <c r="AM294" s="86"/>
      <c r="AN294" s="86"/>
      <c r="AO294" s="86"/>
      <c r="AP294" s="86"/>
      <c r="AQ294" s="86"/>
      <c r="AR294" s="86"/>
      <c r="AS294" s="86"/>
      <c r="AT294" s="86"/>
      <c r="AU294" s="86"/>
      <c r="AV294" s="86"/>
      <c r="AW294" s="86"/>
      <c r="AX294" s="86"/>
      <c r="AY294" s="86"/>
      <c r="AZ294" s="86"/>
      <c r="BA294" s="86"/>
      <c r="BB294" s="86"/>
      <c r="BC294" s="86"/>
      <c r="BD294" s="86"/>
      <c r="BE294" s="86"/>
      <c r="BF294" s="86"/>
      <c r="BG294" s="86"/>
      <c r="BH294" s="86"/>
      <c r="BI294" s="86"/>
      <c r="BJ294" s="86"/>
      <c r="BK294" s="86"/>
      <c r="BL294" s="86"/>
      <c r="BM294" s="86"/>
      <c r="BN294" s="86"/>
      <c r="BO294" s="86"/>
      <c r="BP294" s="86"/>
      <c r="BQ294" s="86"/>
      <c r="BR294" s="86"/>
      <c r="BS294" s="86"/>
      <c r="BT294" s="86"/>
      <c r="BU294" s="86"/>
      <c r="BV294" s="86"/>
      <c r="BW294" s="86"/>
      <c r="BX294" s="86"/>
      <c r="BY294" s="86"/>
      <c r="BZ294" s="86"/>
      <c r="CA294" s="86"/>
      <c r="CB294" s="86"/>
      <c r="CC294" s="86"/>
      <c r="CD294" s="86"/>
      <c r="CE294" s="86"/>
      <c r="CF294" s="86"/>
      <c r="CG294" s="86"/>
      <c r="CH294" s="86"/>
      <c r="CI294" s="86"/>
      <c r="CJ294" s="86"/>
      <c r="CK294" s="86"/>
      <c r="CL294" s="86"/>
      <c r="CM294" s="86"/>
      <c r="CN294" s="86"/>
      <c r="CO294" s="86"/>
      <c r="CP294" s="86"/>
      <c r="CQ294" s="86"/>
      <c r="CR294" s="86"/>
      <c r="CS294" s="86"/>
      <c r="CT294" s="86"/>
      <c r="CU294" s="86"/>
      <c r="CV294" s="86"/>
      <c r="CW294" s="86"/>
      <c r="CX294" s="86"/>
      <c r="CY294" s="86"/>
      <c r="CZ294" s="86"/>
      <c r="DA294" s="86"/>
      <c r="DB294" s="86"/>
      <c r="DC294" s="86"/>
      <c r="DD294" s="86"/>
      <c r="DE294" s="86"/>
      <c r="DF294" s="86"/>
      <c r="DG294" s="86"/>
      <c r="DH294" s="86"/>
      <c r="DI294" s="86"/>
      <c r="DJ294" s="86"/>
      <c r="DK294" s="86"/>
      <c r="DL294" s="86"/>
      <c r="DM294" s="86"/>
      <c r="DN294" s="86"/>
      <c r="DO294" s="86"/>
      <c r="DP294" s="86"/>
      <c r="DQ294" s="86"/>
      <c r="DR294" s="86"/>
      <c r="DS294" s="86"/>
      <c r="DT294" s="86"/>
      <c r="DU294" s="86"/>
      <c r="DV294" s="86"/>
      <c r="DW294" s="86"/>
      <c r="DX294" s="86"/>
      <c r="DY294" s="86"/>
      <c r="DZ294" s="86"/>
      <c r="EA294" s="86"/>
      <c r="EB294" s="86"/>
      <c r="EC294" s="86"/>
      <c r="ED294" s="86"/>
      <c r="EE294" s="86"/>
      <c r="EF294" s="86"/>
      <c r="EG294" s="86"/>
      <c r="EH294" s="86"/>
      <c r="EI294" s="86"/>
      <c r="EJ294" s="86"/>
      <c r="EK294" s="86"/>
      <c r="EL294" s="86"/>
      <c r="EM294" s="86"/>
      <c r="EN294" s="86"/>
      <c r="EO294" s="86"/>
      <c r="EP294" s="86"/>
      <c r="EQ294" s="86"/>
    </row>
    <row r="295" spans="1:147" ht="12.75">
      <c r="A295" s="86"/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O295" s="86"/>
      <c r="AP295" s="86"/>
      <c r="AQ295" s="86"/>
      <c r="AR295" s="86"/>
      <c r="AS295" s="86"/>
      <c r="AT295" s="86"/>
      <c r="AU295" s="86"/>
      <c r="AV295" s="86"/>
      <c r="AW295" s="86"/>
      <c r="AX295" s="86"/>
      <c r="AY295" s="86"/>
      <c r="AZ295" s="86"/>
      <c r="BA295" s="86"/>
      <c r="BB295" s="86"/>
      <c r="BC295" s="86"/>
      <c r="BD295" s="86"/>
      <c r="BE295" s="86"/>
      <c r="BF295" s="86"/>
      <c r="BG295" s="86"/>
      <c r="BH295" s="86"/>
      <c r="BI295" s="86"/>
      <c r="BJ295" s="86"/>
      <c r="BK295" s="86"/>
      <c r="BL295" s="86"/>
      <c r="BM295" s="86"/>
      <c r="BN295" s="86"/>
      <c r="BO295" s="86"/>
      <c r="BP295" s="86"/>
      <c r="BQ295" s="86"/>
      <c r="BR295" s="86"/>
      <c r="BS295" s="86"/>
      <c r="BT295" s="86"/>
      <c r="BU295" s="86"/>
      <c r="BV295" s="86"/>
      <c r="BW295" s="86"/>
      <c r="BX295" s="86"/>
      <c r="BY295" s="86"/>
      <c r="BZ295" s="86"/>
      <c r="CA295" s="86"/>
      <c r="CB295" s="86"/>
      <c r="CC295" s="86"/>
      <c r="CD295" s="86"/>
      <c r="CE295" s="86"/>
      <c r="CF295" s="86"/>
      <c r="CG295" s="86"/>
      <c r="CH295" s="86"/>
      <c r="CI295" s="86"/>
      <c r="CJ295" s="86"/>
      <c r="CK295" s="86"/>
      <c r="CL295" s="86"/>
      <c r="CM295" s="86"/>
      <c r="CN295" s="86"/>
      <c r="CO295" s="86"/>
      <c r="CP295" s="86"/>
      <c r="CQ295" s="86"/>
      <c r="CR295" s="86"/>
      <c r="CS295" s="86"/>
      <c r="CT295" s="86"/>
      <c r="CU295" s="86"/>
      <c r="CV295" s="86"/>
      <c r="CW295" s="86"/>
      <c r="CX295" s="86"/>
      <c r="CY295" s="86"/>
      <c r="CZ295" s="86"/>
      <c r="DA295" s="86"/>
      <c r="DB295" s="86"/>
      <c r="DC295" s="86"/>
      <c r="DD295" s="86"/>
      <c r="DE295" s="86"/>
      <c r="DF295" s="86"/>
      <c r="DG295" s="86"/>
      <c r="DH295" s="86"/>
      <c r="DI295" s="86"/>
      <c r="DJ295" s="86"/>
      <c r="DK295" s="86"/>
      <c r="DL295" s="86"/>
      <c r="DM295" s="86"/>
      <c r="DN295" s="86"/>
      <c r="DO295" s="86"/>
      <c r="DP295" s="86"/>
      <c r="DQ295" s="86"/>
      <c r="DR295" s="86"/>
      <c r="DS295" s="86"/>
      <c r="DT295" s="86"/>
      <c r="DU295" s="86"/>
      <c r="DV295" s="86"/>
      <c r="DW295" s="86"/>
      <c r="DX295" s="86"/>
      <c r="DY295" s="86"/>
      <c r="DZ295" s="86"/>
      <c r="EA295" s="86"/>
      <c r="EB295" s="86"/>
      <c r="EC295" s="86"/>
      <c r="ED295" s="86"/>
      <c r="EE295" s="86"/>
      <c r="EF295" s="86"/>
      <c r="EG295" s="86"/>
      <c r="EH295" s="86"/>
      <c r="EI295" s="86"/>
      <c r="EJ295" s="86"/>
      <c r="EK295" s="86"/>
      <c r="EL295" s="86"/>
      <c r="EM295" s="86"/>
      <c r="EN295" s="86"/>
      <c r="EO295" s="86"/>
      <c r="EP295" s="86"/>
      <c r="EQ295" s="86"/>
    </row>
    <row r="296" spans="1:147" ht="12.75">
      <c r="A296" s="86"/>
      <c r="B296" s="86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86"/>
      <c r="AO296" s="86"/>
      <c r="AP296" s="86"/>
      <c r="AQ296" s="86"/>
      <c r="AR296" s="86"/>
      <c r="AS296" s="86"/>
      <c r="AT296" s="86"/>
      <c r="AU296" s="86"/>
      <c r="AV296" s="86"/>
      <c r="AW296" s="86"/>
      <c r="AX296" s="86"/>
      <c r="AY296" s="86"/>
      <c r="AZ296" s="86"/>
      <c r="BA296" s="86"/>
      <c r="BB296" s="86"/>
      <c r="BC296" s="86"/>
      <c r="BD296" s="86"/>
      <c r="BE296" s="86"/>
      <c r="BF296" s="86"/>
      <c r="BG296" s="86"/>
      <c r="BH296" s="86"/>
      <c r="BI296" s="86"/>
      <c r="BJ296" s="86"/>
      <c r="BK296" s="86"/>
      <c r="BL296" s="86"/>
      <c r="BM296" s="86"/>
      <c r="BN296" s="86"/>
      <c r="BO296" s="86"/>
      <c r="BP296" s="86"/>
      <c r="BQ296" s="86"/>
      <c r="BR296" s="86"/>
      <c r="BS296" s="86"/>
      <c r="BT296" s="86"/>
      <c r="BU296" s="86"/>
      <c r="BV296" s="86"/>
      <c r="BW296" s="86"/>
      <c r="BX296" s="86"/>
      <c r="BY296" s="86"/>
      <c r="BZ296" s="86"/>
      <c r="CA296" s="86"/>
      <c r="CB296" s="86"/>
      <c r="CC296" s="86"/>
      <c r="CD296" s="86"/>
      <c r="CE296" s="86"/>
      <c r="CF296" s="86"/>
      <c r="CG296" s="86"/>
      <c r="CH296" s="86"/>
      <c r="CI296" s="86"/>
      <c r="CJ296" s="86"/>
      <c r="CK296" s="86"/>
      <c r="CL296" s="86"/>
      <c r="CM296" s="86"/>
      <c r="CN296" s="86"/>
      <c r="CO296" s="86"/>
      <c r="CP296" s="86"/>
      <c r="CQ296" s="86"/>
      <c r="CR296" s="86"/>
      <c r="CS296" s="86"/>
      <c r="CT296" s="86"/>
      <c r="CU296" s="86"/>
      <c r="CV296" s="86"/>
      <c r="CW296" s="86"/>
      <c r="CX296" s="86"/>
      <c r="CY296" s="86"/>
      <c r="CZ296" s="86"/>
      <c r="DA296" s="86"/>
      <c r="DB296" s="86"/>
      <c r="DC296" s="86"/>
      <c r="DD296" s="86"/>
      <c r="DE296" s="86"/>
      <c r="DF296" s="86"/>
      <c r="DG296" s="86"/>
      <c r="DH296" s="86"/>
      <c r="DI296" s="86"/>
      <c r="DJ296" s="86"/>
      <c r="DK296" s="86"/>
      <c r="DL296" s="86"/>
      <c r="DM296" s="86"/>
      <c r="DN296" s="86"/>
      <c r="DO296" s="86"/>
      <c r="DP296" s="86"/>
      <c r="DQ296" s="86"/>
      <c r="DR296" s="86"/>
      <c r="DS296" s="86"/>
      <c r="DT296" s="86"/>
      <c r="DU296" s="86"/>
      <c r="DV296" s="86"/>
      <c r="DW296" s="86"/>
      <c r="DX296" s="86"/>
      <c r="DY296" s="86"/>
      <c r="DZ296" s="86"/>
      <c r="EA296" s="86"/>
      <c r="EB296" s="86"/>
      <c r="EC296" s="86"/>
      <c r="ED296" s="86"/>
      <c r="EE296" s="86"/>
      <c r="EF296" s="86"/>
      <c r="EG296" s="86"/>
      <c r="EH296" s="86"/>
      <c r="EI296" s="86"/>
      <c r="EJ296" s="86"/>
      <c r="EK296" s="86"/>
      <c r="EL296" s="86"/>
      <c r="EM296" s="86"/>
      <c r="EN296" s="86"/>
      <c r="EO296" s="86"/>
      <c r="EP296" s="86"/>
      <c r="EQ296" s="86"/>
    </row>
    <row r="297" spans="1:147" ht="12.75">
      <c r="A297" s="86"/>
      <c r="B297" s="86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M297" s="86"/>
      <c r="AN297" s="86"/>
      <c r="AO297" s="86"/>
      <c r="AP297" s="86"/>
      <c r="AQ297" s="86"/>
      <c r="AR297" s="86"/>
      <c r="AS297" s="86"/>
      <c r="AT297" s="86"/>
      <c r="AU297" s="86"/>
      <c r="AV297" s="86"/>
      <c r="AW297" s="86"/>
      <c r="AX297" s="86"/>
      <c r="AY297" s="86"/>
      <c r="AZ297" s="86"/>
      <c r="BA297" s="86"/>
      <c r="BB297" s="86"/>
      <c r="BC297" s="86"/>
      <c r="BD297" s="86"/>
      <c r="BE297" s="86"/>
      <c r="BF297" s="86"/>
      <c r="BG297" s="86"/>
      <c r="BH297" s="86"/>
      <c r="BI297" s="86"/>
      <c r="BJ297" s="86"/>
      <c r="BK297" s="86"/>
      <c r="BL297" s="86"/>
      <c r="BM297" s="86"/>
      <c r="BN297" s="86"/>
      <c r="BO297" s="86"/>
      <c r="BP297" s="86"/>
      <c r="BQ297" s="86"/>
      <c r="BR297" s="86"/>
      <c r="BS297" s="86"/>
      <c r="BT297" s="86"/>
      <c r="BU297" s="86"/>
      <c r="BV297" s="86"/>
      <c r="BW297" s="86"/>
      <c r="BX297" s="86"/>
      <c r="BY297" s="86"/>
      <c r="BZ297" s="86"/>
      <c r="CA297" s="86"/>
      <c r="CB297" s="86"/>
      <c r="CC297" s="86"/>
      <c r="CD297" s="86"/>
      <c r="CE297" s="86"/>
      <c r="CF297" s="86"/>
      <c r="CG297" s="86"/>
      <c r="CH297" s="86"/>
      <c r="CI297" s="86"/>
      <c r="CJ297" s="86"/>
      <c r="CK297" s="86"/>
      <c r="CL297" s="86"/>
      <c r="CM297" s="86"/>
      <c r="CN297" s="86"/>
      <c r="CO297" s="86"/>
      <c r="CP297" s="86"/>
      <c r="CQ297" s="86"/>
      <c r="CR297" s="86"/>
      <c r="CS297" s="86"/>
      <c r="CT297" s="86"/>
      <c r="CU297" s="86"/>
      <c r="CV297" s="86"/>
      <c r="CW297" s="86"/>
      <c r="CX297" s="86"/>
      <c r="CY297" s="86"/>
      <c r="CZ297" s="86"/>
      <c r="DA297" s="86"/>
      <c r="DB297" s="86"/>
      <c r="DC297" s="86"/>
      <c r="DD297" s="86"/>
      <c r="DE297" s="86"/>
      <c r="DF297" s="86"/>
      <c r="DG297" s="86"/>
      <c r="DH297" s="86"/>
      <c r="DI297" s="86"/>
      <c r="DJ297" s="86"/>
      <c r="DK297" s="86"/>
      <c r="DL297" s="86"/>
      <c r="DM297" s="86"/>
      <c r="DN297" s="86"/>
      <c r="DO297" s="86"/>
      <c r="DP297" s="86"/>
      <c r="DQ297" s="86"/>
      <c r="DR297" s="86"/>
      <c r="DS297" s="86"/>
      <c r="DT297" s="86"/>
      <c r="DU297" s="86"/>
      <c r="DV297" s="86"/>
      <c r="DW297" s="86"/>
      <c r="DX297" s="86"/>
      <c r="DY297" s="86"/>
      <c r="DZ297" s="86"/>
      <c r="EA297" s="86"/>
      <c r="EB297" s="86"/>
      <c r="EC297" s="86"/>
      <c r="ED297" s="86"/>
      <c r="EE297" s="86"/>
      <c r="EF297" s="86"/>
      <c r="EG297" s="86"/>
      <c r="EH297" s="86"/>
      <c r="EI297" s="86"/>
      <c r="EJ297" s="86"/>
      <c r="EK297" s="86"/>
      <c r="EL297" s="86"/>
      <c r="EM297" s="86"/>
      <c r="EN297" s="86"/>
      <c r="EO297" s="86"/>
      <c r="EP297" s="86"/>
      <c r="EQ297" s="86"/>
    </row>
    <row r="298" spans="1:147" ht="12.75">
      <c r="A298" s="86"/>
      <c r="B298" s="86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  <c r="AM298" s="86"/>
      <c r="AN298" s="86"/>
      <c r="AO298" s="86"/>
      <c r="AP298" s="86"/>
      <c r="AQ298" s="86"/>
      <c r="AR298" s="86"/>
      <c r="AS298" s="86"/>
      <c r="AT298" s="86"/>
      <c r="AU298" s="86"/>
      <c r="AV298" s="86"/>
      <c r="AW298" s="86"/>
      <c r="AX298" s="86"/>
      <c r="AY298" s="86"/>
      <c r="AZ298" s="86"/>
      <c r="BA298" s="86"/>
      <c r="BB298" s="86"/>
      <c r="BC298" s="86"/>
      <c r="BD298" s="86"/>
      <c r="BE298" s="86"/>
      <c r="BF298" s="86"/>
      <c r="BG298" s="86"/>
      <c r="BH298" s="86"/>
      <c r="BI298" s="86"/>
      <c r="BJ298" s="86"/>
      <c r="BK298" s="86"/>
      <c r="BL298" s="86"/>
      <c r="BM298" s="86"/>
      <c r="BN298" s="86"/>
      <c r="BO298" s="86"/>
      <c r="BP298" s="86"/>
      <c r="BQ298" s="86"/>
      <c r="BR298" s="86"/>
      <c r="BS298" s="86"/>
      <c r="BT298" s="86"/>
      <c r="BU298" s="86"/>
      <c r="BV298" s="86"/>
      <c r="BW298" s="86"/>
      <c r="BX298" s="86"/>
      <c r="BY298" s="86"/>
      <c r="BZ298" s="86"/>
      <c r="CA298" s="86"/>
      <c r="CB298" s="86"/>
      <c r="CC298" s="86"/>
      <c r="CD298" s="86"/>
      <c r="CE298" s="86"/>
      <c r="CF298" s="86"/>
      <c r="CG298" s="86"/>
      <c r="CH298" s="86"/>
      <c r="CI298" s="86"/>
      <c r="CJ298" s="86"/>
      <c r="CK298" s="86"/>
      <c r="CL298" s="86"/>
      <c r="CM298" s="86"/>
      <c r="CN298" s="86"/>
      <c r="CO298" s="86"/>
      <c r="CP298" s="86"/>
      <c r="CQ298" s="86"/>
      <c r="CR298" s="86"/>
      <c r="CS298" s="86"/>
      <c r="CT298" s="86"/>
      <c r="CU298" s="86"/>
      <c r="CV298" s="86"/>
      <c r="CW298" s="86"/>
      <c r="CX298" s="86"/>
      <c r="CY298" s="86"/>
      <c r="CZ298" s="86"/>
      <c r="DA298" s="86"/>
      <c r="DB298" s="86"/>
      <c r="DC298" s="86"/>
      <c r="DD298" s="86"/>
      <c r="DE298" s="86"/>
      <c r="DF298" s="86"/>
      <c r="DG298" s="86"/>
      <c r="DH298" s="86"/>
      <c r="DI298" s="86"/>
      <c r="DJ298" s="86"/>
      <c r="DK298" s="86"/>
      <c r="DL298" s="86"/>
      <c r="DM298" s="86"/>
      <c r="DN298" s="86"/>
      <c r="DO298" s="86"/>
      <c r="DP298" s="86"/>
      <c r="DQ298" s="86"/>
      <c r="DR298" s="86"/>
      <c r="DS298" s="86"/>
      <c r="DT298" s="86"/>
      <c r="DU298" s="86"/>
      <c r="DV298" s="86"/>
      <c r="DW298" s="86"/>
      <c r="DX298" s="86"/>
      <c r="DY298" s="86"/>
      <c r="DZ298" s="86"/>
      <c r="EA298" s="86"/>
      <c r="EB298" s="86"/>
      <c r="EC298" s="86"/>
      <c r="ED298" s="86"/>
      <c r="EE298" s="86"/>
      <c r="EF298" s="86"/>
      <c r="EG298" s="86"/>
      <c r="EH298" s="86"/>
      <c r="EI298" s="86"/>
      <c r="EJ298" s="86"/>
      <c r="EK298" s="86"/>
      <c r="EL298" s="86"/>
      <c r="EM298" s="86"/>
      <c r="EN298" s="86"/>
      <c r="EO298" s="86"/>
      <c r="EP298" s="86"/>
      <c r="EQ298" s="86"/>
    </row>
    <row r="299" spans="1:147" ht="12.75">
      <c r="A299" s="86"/>
      <c r="B299" s="86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86"/>
      <c r="AO299" s="86"/>
      <c r="AP299" s="86"/>
      <c r="AQ299" s="86"/>
      <c r="AR299" s="86"/>
      <c r="AS299" s="86"/>
      <c r="AT299" s="86"/>
      <c r="AU299" s="86"/>
      <c r="AV299" s="86"/>
      <c r="AW299" s="86"/>
      <c r="AX299" s="86"/>
      <c r="AY299" s="86"/>
      <c r="AZ299" s="86"/>
      <c r="BA299" s="86"/>
      <c r="BB299" s="86"/>
      <c r="BC299" s="86"/>
      <c r="BD299" s="86"/>
      <c r="BE299" s="86"/>
      <c r="BF299" s="86"/>
      <c r="BG299" s="86"/>
      <c r="BH299" s="86"/>
      <c r="BI299" s="86"/>
      <c r="BJ299" s="86"/>
      <c r="BK299" s="86"/>
      <c r="BL299" s="86"/>
      <c r="BM299" s="86"/>
      <c r="BN299" s="86"/>
      <c r="BO299" s="86"/>
      <c r="BP299" s="86"/>
      <c r="BQ299" s="86"/>
      <c r="BR299" s="86"/>
      <c r="BS299" s="86"/>
      <c r="BT299" s="86"/>
      <c r="BU299" s="86"/>
      <c r="BV299" s="86"/>
      <c r="BW299" s="86"/>
      <c r="BX299" s="86"/>
      <c r="BY299" s="86"/>
      <c r="BZ299" s="86"/>
      <c r="CA299" s="86"/>
      <c r="CB299" s="86"/>
      <c r="CC299" s="86"/>
      <c r="CD299" s="86"/>
      <c r="CE299" s="86"/>
      <c r="CF299" s="86"/>
      <c r="CG299" s="86"/>
      <c r="CH299" s="86"/>
      <c r="CI299" s="86"/>
      <c r="CJ299" s="86"/>
      <c r="CK299" s="86"/>
      <c r="CL299" s="86"/>
      <c r="CM299" s="86"/>
      <c r="CN299" s="86"/>
      <c r="CO299" s="86"/>
      <c r="CP299" s="86"/>
      <c r="CQ299" s="86"/>
      <c r="CR299" s="86"/>
      <c r="CS299" s="86"/>
      <c r="CT299" s="86"/>
      <c r="CU299" s="86"/>
      <c r="CV299" s="86"/>
      <c r="CW299" s="86"/>
      <c r="CX299" s="86"/>
      <c r="CY299" s="86"/>
      <c r="CZ299" s="86"/>
      <c r="DA299" s="86"/>
      <c r="DB299" s="86"/>
      <c r="DC299" s="86"/>
      <c r="DD299" s="86"/>
      <c r="DE299" s="86"/>
      <c r="DF299" s="86"/>
      <c r="DG299" s="86"/>
      <c r="DH299" s="86"/>
      <c r="DI299" s="86"/>
      <c r="DJ299" s="86"/>
      <c r="DK299" s="86"/>
      <c r="DL299" s="86"/>
      <c r="DM299" s="86"/>
      <c r="DN299" s="86"/>
      <c r="DO299" s="86"/>
      <c r="DP299" s="86"/>
      <c r="DQ299" s="86"/>
      <c r="DR299" s="86"/>
      <c r="DS299" s="86"/>
      <c r="DT299" s="86"/>
      <c r="DU299" s="86"/>
      <c r="DV299" s="86"/>
      <c r="DW299" s="86"/>
      <c r="DX299" s="86"/>
      <c r="DY299" s="86"/>
      <c r="DZ299" s="86"/>
      <c r="EA299" s="86"/>
      <c r="EB299" s="86"/>
      <c r="EC299" s="86"/>
      <c r="ED299" s="86"/>
      <c r="EE299" s="86"/>
      <c r="EF299" s="86"/>
      <c r="EG299" s="86"/>
      <c r="EH299" s="86"/>
      <c r="EI299" s="86"/>
      <c r="EJ299" s="86"/>
      <c r="EK299" s="86"/>
      <c r="EL299" s="86"/>
      <c r="EM299" s="86"/>
      <c r="EN299" s="86"/>
      <c r="EO299" s="86"/>
      <c r="EP299" s="86"/>
      <c r="EQ299" s="86"/>
    </row>
    <row r="300" spans="1:147" ht="12.75">
      <c r="A300" s="86"/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86"/>
      <c r="AL300" s="86"/>
      <c r="AM300" s="86"/>
      <c r="AN300" s="86"/>
      <c r="AO300" s="86"/>
      <c r="AP300" s="86"/>
      <c r="AQ300" s="86"/>
      <c r="AR300" s="86"/>
      <c r="AS300" s="86"/>
      <c r="AT300" s="86"/>
      <c r="AU300" s="86"/>
      <c r="AV300" s="86"/>
      <c r="AW300" s="86"/>
      <c r="AX300" s="86"/>
      <c r="AY300" s="86"/>
      <c r="AZ300" s="86"/>
      <c r="BA300" s="86"/>
      <c r="BB300" s="86"/>
      <c r="BC300" s="86"/>
      <c r="BD300" s="86"/>
      <c r="BE300" s="86"/>
      <c r="BF300" s="86"/>
      <c r="BG300" s="86"/>
      <c r="BH300" s="86"/>
      <c r="BI300" s="86"/>
      <c r="BJ300" s="86"/>
      <c r="BK300" s="86"/>
      <c r="BL300" s="86"/>
      <c r="BM300" s="86"/>
      <c r="BN300" s="86"/>
      <c r="BO300" s="86"/>
      <c r="BP300" s="86"/>
      <c r="BQ300" s="86"/>
      <c r="BR300" s="86"/>
      <c r="BS300" s="86"/>
      <c r="BT300" s="86"/>
      <c r="BU300" s="86"/>
      <c r="BV300" s="86"/>
      <c r="BW300" s="86"/>
      <c r="BX300" s="86"/>
      <c r="BY300" s="86"/>
      <c r="BZ300" s="86"/>
      <c r="CA300" s="86"/>
      <c r="CB300" s="86"/>
      <c r="CC300" s="86"/>
      <c r="CD300" s="86"/>
      <c r="CE300" s="86"/>
      <c r="CF300" s="86"/>
      <c r="CG300" s="86"/>
      <c r="CH300" s="86"/>
      <c r="CI300" s="86"/>
      <c r="CJ300" s="86"/>
      <c r="CK300" s="86"/>
      <c r="CL300" s="86"/>
      <c r="CM300" s="86"/>
      <c r="CN300" s="86"/>
      <c r="CO300" s="86"/>
      <c r="CP300" s="86"/>
      <c r="CQ300" s="86"/>
      <c r="CR300" s="86"/>
      <c r="CS300" s="86"/>
      <c r="CT300" s="86"/>
      <c r="CU300" s="86"/>
      <c r="CV300" s="86"/>
      <c r="CW300" s="86"/>
      <c r="CX300" s="86"/>
      <c r="CY300" s="86"/>
      <c r="CZ300" s="86"/>
      <c r="DA300" s="86"/>
      <c r="DB300" s="86"/>
      <c r="DC300" s="86"/>
      <c r="DD300" s="86"/>
      <c r="DE300" s="86"/>
      <c r="DF300" s="86"/>
      <c r="DG300" s="86"/>
      <c r="DH300" s="86"/>
      <c r="DI300" s="86"/>
      <c r="DJ300" s="86"/>
      <c r="DK300" s="86"/>
      <c r="DL300" s="86"/>
      <c r="DM300" s="86"/>
      <c r="DN300" s="86"/>
      <c r="DO300" s="86"/>
      <c r="DP300" s="86"/>
      <c r="DQ300" s="86"/>
      <c r="DR300" s="86"/>
      <c r="DS300" s="86"/>
      <c r="DT300" s="86"/>
      <c r="DU300" s="86"/>
      <c r="DV300" s="86"/>
      <c r="DW300" s="86"/>
      <c r="DX300" s="86"/>
      <c r="DY300" s="86"/>
      <c r="DZ300" s="86"/>
      <c r="EA300" s="86"/>
      <c r="EB300" s="86"/>
      <c r="EC300" s="86"/>
      <c r="ED300" s="86"/>
      <c r="EE300" s="86"/>
      <c r="EF300" s="86"/>
      <c r="EG300" s="86"/>
      <c r="EH300" s="86"/>
      <c r="EI300" s="86"/>
      <c r="EJ300" s="86"/>
      <c r="EK300" s="86"/>
      <c r="EL300" s="86"/>
      <c r="EM300" s="86"/>
      <c r="EN300" s="86"/>
      <c r="EO300" s="86"/>
      <c r="EP300" s="86"/>
      <c r="EQ300" s="86"/>
    </row>
    <row r="301" spans="1:147" ht="12.75">
      <c r="A301" s="86"/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  <c r="AX301" s="86"/>
      <c r="AY301" s="86"/>
      <c r="AZ301" s="86"/>
      <c r="BA301" s="86"/>
      <c r="BB301" s="86"/>
      <c r="BC301" s="86"/>
      <c r="BD301" s="86"/>
      <c r="BE301" s="86"/>
      <c r="BF301" s="86"/>
      <c r="BG301" s="86"/>
      <c r="BH301" s="86"/>
      <c r="BI301" s="86"/>
      <c r="BJ301" s="86"/>
      <c r="BK301" s="86"/>
      <c r="BL301" s="86"/>
      <c r="BM301" s="86"/>
      <c r="BN301" s="86"/>
      <c r="BO301" s="86"/>
      <c r="BP301" s="86"/>
      <c r="BQ301" s="86"/>
      <c r="BR301" s="86"/>
      <c r="BS301" s="86"/>
      <c r="BT301" s="86"/>
      <c r="BU301" s="86"/>
      <c r="BV301" s="86"/>
      <c r="BW301" s="86"/>
      <c r="BX301" s="86"/>
      <c r="BY301" s="86"/>
      <c r="BZ301" s="86"/>
      <c r="CA301" s="86"/>
      <c r="CB301" s="86"/>
      <c r="CC301" s="86"/>
      <c r="CD301" s="86"/>
      <c r="CE301" s="86"/>
      <c r="CF301" s="86"/>
      <c r="CG301" s="86"/>
      <c r="CH301" s="86"/>
      <c r="CI301" s="86"/>
      <c r="CJ301" s="86"/>
      <c r="CK301" s="86"/>
      <c r="CL301" s="86"/>
      <c r="CM301" s="86"/>
      <c r="CN301" s="86"/>
      <c r="CO301" s="86"/>
      <c r="CP301" s="86"/>
      <c r="CQ301" s="86"/>
      <c r="CR301" s="86"/>
      <c r="CS301" s="86"/>
      <c r="CT301" s="86"/>
      <c r="CU301" s="86"/>
      <c r="CV301" s="86"/>
      <c r="CW301" s="86"/>
      <c r="CX301" s="86"/>
      <c r="CY301" s="86"/>
      <c r="CZ301" s="86"/>
      <c r="DA301" s="86"/>
      <c r="DB301" s="86"/>
      <c r="DC301" s="86"/>
      <c r="DD301" s="86"/>
      <c r="DE301" s="86"/>
      <c r="DF301" s="86"/>
      <c r="DG301" s="86"/>
      <c r="DH301" s="86"/>
      <c r="DI301" s="86"/>
      <c r="DJ301" s="86"/>
      <c r="DK301" s="86"/>
      <c r="DL301" s="86"/>
      <c r="DM301" s="86"/>
      <c r="DN301" s="86"/>
      <c r="DO301" s="86"/>
      <c r="DP301" s="86"/>
      <c r="DQ301" s="86"/>
      <c r="DR301" s="86"/>
      <c r="DS301" s="86"/>
      <c r="DT301" s="86"/>
      <c r="DU301" s="86"/>
      <c r="DV301" s="86"/>
      <c r="DW301" s="86"/>
      <c r="DX301" s="86"/>
      <c r="DY301" s="86"/>
      <c r="DZ301" s="86"/>
      <c r="EA301" s="86"/>
      <c r="EB301" s="86"/>
      <c r="EC301" s="86"/>
      <c r="ED301" s="86"/>
      <c r="EE301" s="86"/>
      <c r="EF301" s="86"/>
      <c r="EG301" s="86"/>
      <c r="EH301" s="86"/>
      <c r="EI301" s="86"/>
      <c r="EJ301" s="86"/>
      <c r="EK301" s="86"/>
      <c r="EL301" s="86"/>
      <c r="EM301" s="86"/>
      <c r="EN301" s="86"/>
      <c r="EO301" s="86"/>
      <c r="EP301" s="86"/>
      <c r="EQ301" s="86"/>
    </row>
    <row r="302" spans="1:147" ht="12.75">
      <c r="A302" s="86"/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86"/>
      <c r="AY302" s="86"/>
      <c r="AZ302" s="86"/>
      <c r="BA302" s="86"/>
      <c r="BB302" s="86"/>
      <c r="BC302" s="86"/>
      <c r="BD302" s="86"/>
      <c r="BE302" s="86"/>
      <c r="BF302" s="86"/>
      <c r="BG302" s="86"/>
      <c r="BH302" s="86"/>
      <c r="BI302" s="86"/>
      <c r="BJ302" s="86"/>
      <c r="BK302" s="86"/>
      <c r="BL302" s="86"/>
      <c r="BM302" s="86"/>
      <c r="BN302" s="86"/>
      <c r="BO302" s="86"/>
      <c r="BP302" s="86"/>
      <c r="BQ302" s="86"/>
      <c r="BR302" s="86"/>
      <c r="BS302" s="86"/>
      <c r="BT302" s="86"/>
      <c r="BU302" s="86"/>
      <c r="BV302" s="86"/>
      <c r="BW302" s="86"/>
      <c r="BX302" s="86"/>
      <c r="BY302" s="86"/>
      <c r="BZ302" s="86"/>
      <c r="CA302" s="86"/>
      <c r="CB302" s="86"/>
      <c r="CC302" s="86"/>
      <c r="CD302" s="86"/>
      <c r="CE302" s="86"/>
      <c r="CF302" s="86"/>
      <c r="CG302" s="86"/>
      <c r="CH302" s="86"/>
      <c r="CI302" s="86"/>
      <c r="CJ302" s="86"/>
      <c r="CK302" s="86"/>
      <c r="CL302" s="86"/>
      <c r="CM302" s="86"/>
      <c r="CN302" s="86"/>
      <c r="CO302" s="86"/>
      <c r="CP302" s="86"/>
      <c r="CQ302" s="86"/>
      <c r="CR302" s="86"/>
      <c r="CS302" s="86"/>
      <c r="CT302" s="86"/>
      <c r="CU302" s="86"/>
      <c r="CV302" s="86"/>
      <c r="CW302" s="86"/>
      <c r="CX302" s="86"/>
      <c r="CY302" s="86"/>
      <c r="CZ302" s="86"/>
      <c r="DA302" s="86"/>
      <c r="DB302" s="86"/>
      <c r="DC302" s="86"/>
      <c r="DD302" s="86"/>
      <c r="DE302" s="86"/>
      <c r="DF302" s="86"/>
      <c r="DG302" s="86"/>
      <c r="DH302" s="86"/>
      <c r="DI302" s="86"/>
      <c r="DJ302" s="86"/>
      <c r="DK302" s="86"/>
      <c r="DL302" s="86"/>
      <c r="DM302" s="86"/>
      <c r="DN302" s="86"/>
      <c r="DO302" s="86"/>
      <c r="DP302" s="86"/>
      <c r="DQ302" s="86"/>
      <c r="DR302" s="86"/>
      <c r="DS302" s="86"/>
      <c r="DT302" s="86"/>
      <c r="DU302" s="86"/>
      <c r="DV302" s="86"/>
      <c r="DW302" s="86"/>
      <c r="DX302" s="86"/>
      <c r="DY302" s="86"/>
      <c r="DZ302" s="86"/>
      <c r="EA302" s="86"/>
      <c r="EB302" s="86"/>
      <c r="EC302" s="86"/>
      <c r="ED302" s="86"/>
      <c r="EE302" s="86"/>
      <c r="EF302" s="86"/>
      <c r="EG302" s="86"/>
      <c r="EH302" s="86"/>
      <c r="EI302" s="86"/>
      <c r="EJ302" s="86"/>
      <c r="EK302" s="86"/>
      <c r="EL302" s="86"/>
      <c r="EM302" s="86"/>
      <c r="EN302" s="86"/>
      <c r="EO302" s="86"/>
      <c r="EP302" s="86"/>
      <c r="EQ302" s="86"/>
    </row>
    <row r="303" spans="1:147" ht="12.75">
      <c r="A303" s="86"/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86"/>
      <c r="AY303" s="86"/>
      <c r="AZ303" s="86"/>
      <c r="BA303" s="86"/>
      <c r="BB303" s="86"/>
      <c r="BC303" s="86"/>
      <c r="BD303" s="86"/>
      <c r="BE303" s="86"/>
      <c r="BF303" s="86"/>
      <c r="BG303" s="86"/>
      <c r="BH303" s="86"/>
      <c r="BI303" s="86"/>
      <c r="BJ303" s="86"/>
      <c r="BK303" s="86"/>
      <c r="BL303" s="86"/>
      <c r="BM303" s="86"/>
      <c r="BN303" s="86"/>
      <c r="BO303" s="86"/>
      <c r="BP303" s="86"/>
      <c r="BQ303" s="86"/>
      <c r="BR303" s="86"/>
      <c r="BS303" s="86"/>
      <c r="BT303" s="86"/>
      <c r="BU303" s="86"/>
      <c r="BV303" s="86"/>
      <c r="BW303" s="86"/>
      <c r="BX303" s="86"/>
      <c r="BY303" s="86"/>
      <c r="BZ303" s="86"/>
      <c r="CA303" s="86"/>
      <c r="CB303" s="86"/>
      <c r="CC303" s="86"/>
      <c r="CD303" s="86"/>
      <c r="CE303" s="86"/>
      <c r="CF303" s="86"/>
      <c r="CG303" s="86"/>
      <c r="CH303" s="86"/>
      <c r="CI303" s="86"/>
      <c r="CJ303" s="86"/>
      <c r="CK303" s="86"/>
      <c r="CL303" s="86"/>
      <c r="CM303" s="86"/>
      <c r="CN303" s="86"/>
      <c r="CO303" s="86"/>
      <c r="CP303" s="86"/>
      <c r="CQ303" s="86"/>
      <c r="CR303" s="86"/>
      <c r="CS303" s="86"/>
      <c r="CT303" s="86"/>
      <c r="CU303" s="86"/>
      <c r="CV303" s="86"/>
      <c r="CW303" s="86"/>
      <c r="CX303" s="86"/>
      <c r="CY303" s="86"/>
      <c r="CZ303" s="86"/>
      <c r="DA303" s="86"/>
      <c r="DB303" s="86"/>
      <c r="DC303" s="86"/>
      <c r="DD303" s="86"/>
      <c r="DE303" s="86"/>
      <c r="DF303" s="86"/>
      <c r="DG303" s="86"/>
      <c r="DH303" s="86"/>
      <c r="DI303" s="86"/>
      <c r="DJ303" s="86"/>
      <c r="DK303" s="86"/>
      <c r="DL303" s="86"/>
      <c r="DM303" s="86"/>
      <c r="DN303" s="86"/>
      <c r="DO303" s="86"/>
      <c r="DP303" s="86"/>
      <c r="DQ303" s="86"/>
      <c r="DR303" s="86"/>
      <c r="DS303" s="86"/>
      <c r="DT303" s="86"/>
      <c r="DU303" s="86"/>
      <c r="DV303" s="86"/>
      <c r="DW303" s="86"/>
      <c r="DX303" s="86"/>
      <c r="DY303" s="86"/>
      <c r="DZ303" s="86"/>
      <c r="EA303" s="86"/>
      <c r="EB303" s="86"/>
      <c r="EC303" s="86"/>
      <c r="ED303" s="86"/>
      <c r="EE303" s="86"/>
      <c r="EF303" s="86"/>
      <c r="EG303" s="86"/>
      <c r="EH303" s="86"/>
      <c r="EI303" s="86"/>
      <c r="EJ303" s="86"/>
      <c r="EK303" s="86"/>
      <c r="EL303" s="86"/>
      <c r="EM303" s="86"/>
      <c r="EN303" s="86"/>
      <c r="EO303" s="86"/>
      <c r="EP303" s="86"/>
      <c r="EQ303" s="86"/>
    </row>
    <row r="304" spans="1:147" ht="12.75">
      <c r="A304" s="86"/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  <c r="AM304" s="86"/>
      <c r="AN304" s="86"/>
      <c r="AO304" s="86"/>
      <c r="AP304" s="86"/>
      <c r="AQ304" s="86"/>
      <c r="AR304" s="86"/>
      <c r="AS304" s="86"/>
      <c r="AT304" s="86"/>
      <c r="AU304" s="86"/>
      <c r="AV304" s="86"/>
      <c r="AW304" s="86"/>
      <c r="AX304" s="86"/>
      <c r="AY304" s="86"/>
      <c r="AZ304" s="86"/>
      <c r="BA304" s="86"/>
      <c r="BB304" s="86"/>
      <c r="BC304" s="86"/>
      <c r="BD304" s="86"/>
      <c r="BE304" s="86"/>
      <c r="BF304" s="86"/>
      <c r="BG304" s="86"/>
      <c r="BH304" s="86"/>
      <c r="BI304" s="86"/>
      <c r="BJ304" s="86"/>
      <c r="BK304" s="86"/>
      <c r="BL304" s="86"/>
      <c r="BM304" s="86"/>
      <c r="BN304" s="86"/>
      <c r="BO304" s="86"/>
      <c r="BP304" s="86"/>
      <c r="BQ304" s="86"/>
      <c r="BR304" s="86"/>
      <c r="BS304" s="86"/>
      <c r="BT304" s="86"/>
      <c r="BU304" s="86"/>
      <c r="BV304" s="86"/>
      <c r="BW304" s="86"/>
      <c r="BX304" s="86"/>
      <c r="BY304" s="86"/>
      <c r="BZ304" s="86"/>
      <c r="CA304" s="86"/>
      <c r="CB304" s="86"/>
      <c r="CC304" s="86"/>
      <c r="CD304" s="86"/>
      <c r="CE304" s="86"/>
      <c r="CF304" s="86"/>
      <c r="CG304" s="86"/>
      <c r="CH304" s="86"/>
      <c r="CI304" s="86"/>
      <c r="CJ304" s="86"/>
      <c r="CK304" s="86"/>
      <c r="CL304" s="86"/>
      <c r="CM304" s="86"/>
      <c r="CN304" s="86"/>
      <c r="CO304" s="86"/>
      <c r="CP304" s="86"/>
      <c r="CQ304" s="86"/>
      <c r="CR304" s="86"/>
      <c r="CS304" s="86"/>
      <c r="CT304" s="86"/>
      <c r="CU304" s="86"/>
      <c r="CV304" s="86"/>
      <c r="CW304" s="86"/>
      <c r="CX304" s="86"/>
      <c r="CY304" s="86"/>
      <c r="CZ304" s="86"/>
      <c r="DA304" s="86"/>
      <c r="DB304" s="86"/>
      <c r="DC304" s="86"/>
      <c r="DD304" s="86"/>
      <c r="DE304" s="86"/>
      <c r="DF304" s="86"/>
      <c r="DG304" s="86"/>
      <c r="DH304" s="86"/>
      <c r="DI304" s="86"/>
      <c r="DJ304" s="86"/>
      <c r="DK304" s="86"/>
      <c r="DL304" s="86"/>
      <c r="DM304" s="86"/>
      <c r="DN304" s="86"/>
      <c r="DO304" s="86"/>
      <c r="DP304" s="86"/>
      <c r="DQ304" s="86"/>
      <c r="DR304" s="86"/>
      <c r="DS304" s="86"/>
      <c r="DT304" s="86"/>
      <c r="DU304" s="86"/>
      <c r="DV304" s="86"/>
      <c r="DW304" s="86"/>
      <c r="DX304" s="86"/>
      <c r="DY304" s="86"/>
      <c r="DZ304" s="86"/>
      <c r="EA304" s="86"/>
      <c r="EB304" s="86"/>
      <c r="EC304" s="86"/>
      <c r="ED304" s="86"/>
      <c r="EE304" s="86"/>
      <c r="EF304" s="86"/>
      <c r="EG304" s="86"/>
      <c r="EH304" s="86"/>
      <c r="EI304" s="86"/>
      <c r="EJ304" s="86"/>
      <c r="EK304" s="86"/>
      <c r="EL304" s="86"/>
      <c r="EM304" s="86"/>
      <c r="EN304" s="86"/>
      <c r="EO304" s="86"/>
      <c r="EP304" s="86"/>
      <c r="EQ304" s="86"/>
    </row>
    <row r="305" spans="1:147" ht="12.75">
      <c r="A305" s="86"/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86"/>
      <c r="AL305" s="86"/>
      <c r="AM305" s="86"/>
      <c r="AN305" s="86"/>
      <c r="AO305" s="86"/>
      <c r="AP305" s="86"/>
      <c r="AQ305" s="86"/>
      <c r="AR305" s="86"/>
      <c r="AS305" s="86"/>
      <c r="AT305" s="86"/>
      <c r="AU305" s="86"/>
      <c r="AV305" s="86"/>
      <c r="AW305" s="86"/>
      <c r="AX305" s="86"/>
      <c r="AY305" s="86"/>
      <c r="AZ305" s="86"/>
      <c r="BA305" s="86"/>
      <c r="BB305" s="86"/>
      <c r="BC305" s="86"/>
      <c r="BD305" s="86"/>
      <c r="BE305" s="86"/>
      <c r="BF305" s="86"/>
      <c r="BG305" s="86"/>
      <c r="BH305" s="86"/>
      <c r="BI305" s="86"/>
      <c r="BJ305" s="86"/>
      <c r="BK305" s="86"/>
      <c r="BL305" s="86"/>
      <c r="BM305" s="86"/>
      <c r="BN305" s="86"/>
      <c r="BO305" s="86"/>
      <c r="BP305" s="86"/>
      <c r="BQ305" s="86"/>
      <c r="BR305" s="86"/>
      <c r="BS305" s="86"/>
      <c r="BT305" s="86"/>
      <c r="BU305" s="86"/>
      <c r="BV305" s="86"/>
      <c r="BW305" s="86"/>
      <c r="BX305" s="86"/>
      <c r="BY305" s="86"/>
      <c r="BZ305" s="86"/>
      <c r="CA305" s="86"/>
      <c r="CB305" s="86"/>
      <c r="CC305" s="86"/>
      <c r="CD305" s="86"/>
      <c r="CE305" s="86"/>
      <c r="CF305" s="86"/>
      <c r="CG305" s="86"/>
      <c r="CH305" s="86"/>
      <c r="CI305" s="86"/>
      <c r="CJ305" s="86"/>
      <c r="CK305" s="86"/>
      <c r="CL305" s="86"/>
      <c r="CM305" s="86"/>
      <c r="CN305" s="86"/>
      <c r="CO305" s="86"/>
      <c r="CP305" s="86"/>
      <c r="CQ305" s="86"/>
      <c r="CR305" s="86"/>
      <c r="CS305" s="86"/>
      <c r="CT305" s="86"/>
      <c r="CU305" s="86"/>
      <c r="CV305" s="86"/>
      <c r="CW305" s="86"/>
      <c r="CX305" s="86"/>
      <c r="CY305" s="86"/>
      <c r="CZ305" s="86"/>
      <c r="DA305" s="86"/>
      <c r="DB305" s="86"/>
      <c r="DC305" s="86"/>
      <c r="DD305" s="86"/>
      <c r="DE305" s="86"/>
      <c r="DF305" s="86"/>
      <c r="DG305" s="86"/>
      <c r="DH305" s="86"/>
      <c r="DI305" s="86"/>
      <c r="DJ305" s="86"/>
      <c r="DK305" s="86"/>
      <c r="DL305" s="86"/>
      <c r="DM305" s="86"/>
      <c r="DN305" s="86"/>
      <c r="DO305" s="86"/>
      <c r="DP305" s="86"/>
      <c r="DQ305" s="86"/>
      <c r="DR305" s="86"/>
      <c r="DS305" s="86"/>
      <c r="DT305" s="86"/>
      <c r="DU305" s="86"/>
      <c r="DV305" s="86"/>
      <c r="DW305" s="86"/>
      <c r="DX305" s="86"/>
      <c r="DY305" s="86"/>
      <c r="DZ305" s="86"/>
      <c r="EA305" s="86"/>
      <c r="EB305" s="86"/>
      <c r="EC305" s="86"/>
      <c r="ED305" s="86"/>
      <c r="EE305" s="86"/>
      <c r="EF305" s="86"/>
      <c r="EG305" s="86"/>
      <c r="EH305" s="86"/>
      <c r="EI305" s="86"/>
      <c r="EJ305" s="86"/>
      <c r="EK305" s="86"/>
      <c r="EL305" s="86"/>
      <c r="EM305" s="86"/>
      <c r="EN305" s="86"/>
      <c r="EO305" s="86"/>
      <c r="EP305" s="86"/>
      <c r="EQ305" s="86"/>
    </row>
    <row r="306" spans="1:147" ht="12.75">
      <c r="A306" s="86"/>
      <c r="B306" s="86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  <c r="AM306" s="86"/>
      <c r="AN306" s="86"/>
      <c r="AO306" s="86"/>
      <c r="AP306" s="86"/>
      <c r="AQ306" s="86"/>
      <c r="AR306" s="86"/>
      <c r="AS306" s="86"/>
      <c r="AT306" s="86"/>
      <c r="AU306" s="86"/>
      <c r="AV306" s="86"/>
      <c r="AW306" s="86"/>
      <c r="AX306" s="86"/>
      <c r="AY306" s="86"/>
      <c r="AZ306" s="86"/>
      <c r="BA306" s="86"/>
      <c r="BB306" s="86"/>
      <c r="BC306" s="86"/>
      <c r="BD306" s="86"/>
      <c r="BE306" s="86"/>
      <c r="BF306" s="86"/>
      <c r="BG306" s="86"/>
      <c r="BH306" s="86"/>
      <c r="BI306" s="86"/>
      <c r="BJ306" s="86"/>
      <c r="BK306" s="86"/>
      <c r="BL306" s="86"/>
      <c r="BM306" s="86"/>
      <c r="BN306" s="86"/>
      <c r="BO306" s="86"/>
      <c r="BP306" s="86"/>
      <c r="BQ306" s="86"/>
      <c r="BR306" s="86"/>
      <c r="BS306" s="86"/>
      <c r="BT306" s="86"/>
      <c r="BU306" s="86"/>
      <c r="BV306" s="86"/>
      <c r="BW306" s="86"/>
      <c r="BX306" s="86"/>
      <c r="BY306" s="86"/>
      <c r="BZ306" s="86"/>
      <c r="CA306" s="86"/>
      <c r="CB306" s="86"/>
      <c r="CC306" s="86"/>
      <c r="CD306" s="86"/>
      <c r="CE306" s="86"/>
      <c r="CF306" s="86"/>
      <c r="CG306" s="86"/>
      <c r="CH306" s="86"/>
      <c r="CI306" s="86"/>
      <c r="CJ306" s="86"/>
      <c r="CK306" s="86"/>
      <c r="CL306" s="86"/>
      <c r="CM306" s="86"/>
      <c r="CN306" s="86"/>
      <c r="CO306" s="86"/>
      <c r="CP306" s="86"/>
      <c r="CQ306" s="86"/>
      <c r="CR306" s="86"/>
      <c r="CS306" s="86"/>
      <c r="CT306" s="86"/>
      <c r="CU306" s="86"/>
      <c r="CV306" s="86"/>
      <c r="CW306" s="86"/>
      <c r="CX306" s="86"/>
      <c r="CY306" s="86"/>
      <c r="CZ306" s="86"/>
      <c r="DA306" s="86"/>
      <c r="DB306" s="86"/>
      <c r="DC306" s="86"/>
      <c r="DD306" s="86"/>
      <c r="DE306" s="86"/>
      <c r="DF306" s="86"/>
      <c r="DG306" s="86"/>
      <c r="DH306" s="86"/>
      <c r="DI306" s="86"/>
      <c r="DJ306" s="86"/>
      <c r="DK306" s="86"/>
      <c r="DL306" s="86"/>
      <c r="DM306" s="86"/>
      <c r="DN306" s="86"/>
      <c r="DO306" s="86"/>
      <c r="DP306" s="86"/>
      <c r="DQ306" s="86"/>
      <c r="DR306" s="86"/>
      <c r="DS306" s="86"/>
      <c r="DT306" s="86"/>
      <c r="DU306" s="86"/>
      <c r="DV306" s="86"/>
      <c r="DW306" s="86"/>
      <c r="DX306" s="86"/>
      <c r="DY306" s="86"/>
      <c r="DZ306" s="86"/>
      <c r="EA306" s="86"/>
      <c r="EB306" s="86"/>
      <c r="EC306" s="86"/>
      <c r="ED306" s="86"/>
      <c r="EE306" s="86"/>
      <c r="EF306" s="86"/>
      <c r="EG306" s="86"/>
      <c r="EH306" s="86"/>
      <c r="EI306" s="86"/>
      <c r="EJ306" s="86"/>
      <c r="EK306" s="86"/>
      <c r="EL306" s="86"/>
      <c r="EM306" s="86"/>
      <c r="EN306" s="86"/>
      <c r="EO306" s="86"/>
      <c r="EP306" s="86"/>
      <c r="EQ306" s="86"/>
    </row>
    <row r="307" spans="1:147" ht="12.75">
      <c r="A307" s="86"/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  <c r="AM307" s="86"/>
      <c r="AN307" s="86"/>
      <c r="AO307" s="86"/>
      <c r="AP307" s="86"/>
      <c r="AQ307" s="86"/>
      <c r="AR307" s="86"/>
      <c r="AS307" s="86"/>
      <c r="AT307" s="86"/>
      <c r="AU307" s="86"/>
      <c r="AV307" s="86"/>
      <c r="AW307" s="86"/>
      <c r="AX307" s="86"/>
      <c r="AY307" s="86"/>
      <c r="AZ307" s="86"/>
      <c r="BA307" s="86"/>
      <c r="BB307" s="86"/>
      <c r="BC307" s="86"/>
      <c r="BD307" s="86"/>
      <c r="BE307" s="86"/>
      <c r="BF307" s="86"/>
      <c r="BG307" s="86"/>
      <c r="BH307" s="86"/>
      <c r="BI307" s="86"/>
      <c r="BJ307" s="86"/>
      <c r="BK307" s="86"/>
      <c r="BL307" s="86"/>
      <c r="BM307" s="86"/>
      <c r="BN307" s="86"/>
      <c r="BO307" s="86"/>
      <c r="BP307" s="86"/>
      <c r="BQ307" s="86"/>
      <c r="BR307" s="86"/>
      <c r="BS307" s="86"/>
      <c r="BT307" s="86"/>
      <c r="BU307" s="86"/>
      <c r="BV307" s="86"/>
      <c r="BW307" s="86"/>
      <c r="BX307" s="86"/>
      <c r="BY307" s="86"/>
      <c r="BZ307" s="86"/>
      <c r="CA307" s="86"/>
      <c r="CB307" s="86"/>
      <c r="CC307" s="86"/>
      <c r="CD307" s="86"/>
      <c r="CE307" s="86"/>
      <c r="CF307" s="86"/>
      <c r="CG307" s="86"/>
      <c r="CH307" s="86"/>
      <c r="CI307" s="86"/>
      <c r="CJ307" s="86"/>
      <c r="CK307" s="86"/>
      <c r="CL307" s="86"/>
      <c r="CM307" s="86"/>
      <c r="CN307" s="86"/>
      <c r="CO307" s="86"/>
      <c r="CP307" s="86"/>
      <c r="CQ307" s="86"/>
      <c r="CR307" s="86"/>
      <c r="CS307" s="86"/>
      <c r="CT307" s="86"/>
      <c r="CU307" s="86"/>
      <c r="CV307" s="86"/>
      <c r="CW307" s="86"/>
      <c r="CX307" s="86"/>
      <c r="CY307" s="86"/>
      <c r="CZ307" s="86"/>
      <c r="DA307" s="86"/>
      <c r="DB307" s="86"/>
      <c r="DC307" s="86"/>
      <c r="DD307" s="86"/>
      <c r="DE307" s="86"/>
      <c r="DF307" s="86"/>
      <c r="DG307" s="86"/>
      <c r="DH307" s="86"/>
      <c r="DI307" s="86"/>
      <c r="DJ307" s="86"/>
      <c r="DK307" s="86"/>
      <c r="DL307" s="86"/>
      <c r="DM307" s="86"/>
      <c r="DN307" s="86"/>
      <c r="DO307" s="86"/>
      <c r="DP307" s="86"/>
      <c r="DQ307" s="86"/>
      <c r="DR307" s="86"/>
      <c r="DS307" s="86"/>
      <c r="DT307" s="86"/>
      <c r="DU307" s="86"/>
      <c r="DV307" s="86"/>
      <c r="DW307" s="86"/>
      <c r="DX307" s="86"/>
      <c r="DY307" s="86"/>
      <c r="DZ307" s="86"/>
      <c r="EA307" s="86"/>
      <c r="EB307" s="86"/>
      <c r="EC307" s="86"/>
      <c r="ED307" s="86"/>
      <c r="EE307" s="86"/>
      <c r="EF307" s="86"/>
      <c r="EG307" s="86"/>
      <c r="EH307" s="86"/>
      <c r="EI307" s="86"/>
      <c r="EJ307" s="86"/>
      <c r="EK307" s="86"/>
      <c r="EL307" s="86"/>
      <c r="EM307" s="86"/>
      <c r="EN307" s="86"/>
      <c r="EO307" s="86"/>
      <c r="EP307" s="86"/>
      <c r="EQ307" s="86"/>
    </row>
    <row r="308" spans="1:147" ht="12.75">
      <c r="A308" s="86"/>
      <c r="B308" s="86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6"/>
      <c r="AK308" s="86"/>
      <c r="AL308" s="86"/>
      <c r="AM308" s="86"/>
      <c r="AN308" s="86"/>
      <c r="AO308" s="86"/>
      <c r="AP308" s="86"/>
      <c r="AQ308" s="86"/>
      <c r="AR308" s="86"/>
      <c r="AS308" s="86"/>
      <c r="AT308" s="86"/>
      <c r="AU308" s="86"/>
      <c r="AV308" s="86"/>
      <c r="AW308" s="86"/>
      <c r="AX308" s="86"/>
      <c r="AY308" s="86"/>
      <c r="AZ308" s="86"/>
      <c r="BA308" s="86"/>
      <c r="BB308" s="86"/>
      <c r="BC308" s="86"/>
      <c r="BD308" s="86"/>
      <c r="BE308" s="86"/>
      <c r="BF308" s="86"/>
      <c r="BG308" s="86"/>
      <c r="BH308" s="86"/>
      <c r="BI308" s="86"/>
      <c r="BJ308" s="86"/>
      <c r="BK308" s="86"/>
      <c r="BL308" s="86"/>
      <c r="BM308" s="86"/>
      <c r="BN308" s="86"/>
      <c r="BO308" s="86"/>
      <c r="BP308" s="86"/>
      <c r="BQ308" s="86"/>
      <c r="BR308" s="86"/>
      <c r="BS308" s="86"/>
      <c r="BT308" s="86"/>
      <c r="BU308" s="86"/>
      <c r="BV308" s="86"/>
      <c r="BW308" s="86"/>
      <c r="BX308" s="86"/>
      <c r="BY308" s="86"/>
      <c r="BZ308" s="86"/>
      <c r="CA308" s="86"/>
      <c r="CB308" s="86"/>
      <c r="CC308" s="86"/>
      <c r="CD308" s="86"/>
      <c r="CE308" s="86"/>
      <c r="CF308" s="86"/>
      <c r="CG308" s="86"/>
      <c r="CH308" s="86"/>
      <c r="CI308" s="86"/>
      <c r="CJ308" s="86"/>
      <c r="CK308" s="86"/>
      <c r="CL308" s="86"/>
      <c r="CM308" s="86"/>
      <c r="CN308" s="86"/>
      <c r="CO308" s="86"/>
      <c r="CP308" s="86"/>
      <c r="CQ308" s="86"/>
      <c r="CR308" s="86"/>
      <c r="CS308" s="86"/>
      <c r="CT308" s="86"/>
      <c r="CU308" s="86"/>
      <c r="CV308" s="86"/>
      <c r="CW308" s="86"/>
      <c r="CX308" s="86"/>
      <c r="CY308" s="86"/>
      <c r="CZ308" s="86"/>
      <c r="DA308" s="86"/>
      <c r="DB308" s="86"/>
      <c r="DC308" s="86"/>
      <c r="DD308" s="86"/>
      <c r="DE308" s="86"/>
      <c r="DF308" s="86"/>
      <c r="DG308" s="86"/>
      <c r="DH308" s="86"/>
      <c r="DI308" s="86"/>
      <c r="DJ308" s="86"/>
      <c r="DK308" s="86"/>
      <c r="DL308" s="86"/>
      <c r="DM308" s="86"/>
      <c r="DN308" s="86"/>
      <c r="DO308" s="86"/>
      <c r="DP308" s="86"/>
      <c r="DQ308" s="86"/>
      <c r="DR308" s="86"/>
      <c r="DS308" s="86"/>
      <c r="DT308" s="86"/>
      <c r="DU308" s="86"/>
      <c r="DV308" s="86"/>
      <c r="DW308" s="86"/>
      <c r="DX308" s="86"/>
      <c r="DY308" s="86"/>
      <c r="DZ308" s="86"/>
      <c r="EA308" s="86"/>
      <c r="EB308" s="86"/>
      <c r="EC308" s="86"/>
      <c r="ED308" s="86"/>
      <c r="EE308" s="86"/>
      <c r="EF308" s="86"/>
      <c r="EG308" s="86"/>
      <c r="EH308" s="86"/>
      <c r="EI308" s="86"/>
      <c r="EJ308" s="86"/>
      <c r="EK308" s="86"/>
      <c r="EL308" s="86"/>
      <c r="EM308" s="86"/>
      <c r="EN308" s="86"/>
      <c r="EO308" s="86"/>
      <c r="EP308" s="86"/>
      <c r="EQ308" s="86"/>
    </row>
    <row r="309" spans="1:147" ht="12.75">
      <c r="A309" s="86"/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  <c r="AI309" s="86"/>
      <c r="AJ309" s="86"/>
      <c r="AK309" s="86"/>
      <c r="AL309" s="86"/>
      <c r="AM309" s="86"/>
      <c r="AN309" s="86"/>
      <c r="AO309" s="86"/>
      <c r="AP309" s="86"/>
      <c r="AQ309" s="86"/>
      <c r="AR309" s="86"/>
      <c r="AS309" s="86"/>
      <c r="AT309" s="86"/>
      <c r="AU309" s="86"/>
      <c r="AV309" s="86"/>
      <c r="AW309" s="86"/>
      <c r="AX309" s="86"/>
      <c r="AY309" s="86"/>
      <c r="AZ309" s="86"/>
      <c r="BA309" s="86"/>
      <c r="BB309" s="86"/>
      <c r="BC309" s="86"/>
      <c r="BD309" s="86"/>
      <c r="BE309" s="86"/>
      <c r="BF309" s="86"/>
      <c r="BG309" s="86"/>
      <c r="BH309" s="86"/>
      <c r="BI309" s="86"/>
      <c r="BJ309" s="86"/>
      <c r="BK309" s="86"/>
      <c r="BL309" s="86"/>
      <c r="BM309" s="86"/>
      <c r="BN309" s="86"/>
      <c r="BO309" s="86"/>
      <c r="BP309" s="86"/>
      <c r="BQ309" s="86"/>
      <c r="BR309" s="86"/>
      <c r="BS309" s="86"/>
      <c r="BT309" s="86"/>
      <c r="BU309" s="86"/>
      <c r="BV309" s="86"/>
      <c r="BW309" s="86"/>
      <c r="BX309" s="86"/>
      <c r="BY309" s="86"/>
      <c r="BZ309" s="86"/>
      <c r="CA309" s="86"/>
      <c r="CB309" s="86"/>
      <c r="CC309" s="86"/>
      <c r="CD309" s="86"/>
      <c r="CE309" s="86"/>
      <c r="CF309" s="86"/>
      <c r="CG309" s="86"/>
      <c r="CH309" s="86"/>
      <c r="CI309" s="86"/>
      <c r="CJ309" s="86"/>
      <c r="CK309" s="86"/>
      <c r="CL309" s="86"/>
      <c r="CM309" s="86"/>
      <c r="CN309" s="86"/>
      <c r="CO309" s="86"/>
      <c r="CP309" s="86"/>
      <c r="CQ309" s="86"/>
      <c r="CR309" s="86"/>
      <c r="CS309" s="86"/>
      <c r="CT309" s="86"/>
      <c r="CU309" s="86"/>
      <c r="CV309" s="86"/>
      <c r="CW309" s="86"/>
      <c r="CX309" s="86"/>
      <c r="CY309" s="86"/>
      <c r="CZ309" s="86"/>
      <c r="DA309" s="86"/>
      <c r="DB309" s="86"/>
      <c r="DC309" s="86"/>
      <c r="DD309" s="86"/>
      <c r="DE309" s="86"/>
      <c r="DF309" s="86"/>
      <c r="DG309" s="86"/>
      <c r="DH309" s="86"/>
      <c r="DI309" s="86"/>
      <c r="DJ309" s="86"/>
      <c r="DK309" s="86"/>
      <c r="DL309" s="86"/>
      <c r="DM309" s="86"/>
      <c r="DN309" s="86"/>
      <c r="DO309" s="86"/>
      <c r="DP309" s="86"/>
      <c r="DQ309" s="86"/>
      <c r="DR309" s="86"/>
      <c r="DS309" s="86"/>
      <c r="DT309" s="86"/>
      <c r="DU309" s="86"/>
      <c r="DV309" s="86"/>
      <c r="DW309" s="86"/>
      <c r="DX309" s="86"/>
      <c r="DY309" s="86"/>
      <c r="DZ309" s="86"/>
      <c r="EA309" s="86"/>
      <c r="EB309" s="86"/>
      <c r="EC309" s="86"/>
      <c r="ED309" s="86"/>
      <c r="EE309" s="86"/>
      <c r="EF309" s="86"/>
      <c r="EG309" s="86"/>
      <c r="EH309" s="86"/>
      <c r="EI309" s="86"/>
      <c r="EJ309" s="86"/>
      <c r="EK309" s="86"/>
      <c r="EL309" s="86"/>
      <c r="EM309" s="86"/>
      <c r="EN309" s="86"/>
      <c r="EO309" s="86"/>
      <c r="EP309" s="86"/>
      <c r="EQ309" s="86"/>
    </row>
    <row r="310" spans="1:147" ht="12.75">
      <c r="A310" s="86"/>
      <c r="B310" s="86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86"/>
      <c r="U310" s="86"/>
      <c r="V310" s="86"/>
      <c r="W310" s="86"/>
      <c r="X310" s="86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  <c r="AI310" s="86"/>
      <c r="AJ310" s="86"/>
      <c r="AK310" s="86"/>
      <c r="AL310" s="86"/>
      <c r="AM310" s="86"/>
      <c r="AN310" s="86"/>
      <c r="AO310" s="86"/>
      <c r="AP310" s="86"/>
      <c r="AQ310" s="86"/>
      <c r="AR310" s="86"/>
      <c r="AS310" s="86"/>
      <c r="AT310" s="86"/>
      <c r="AU310" s="86"/>
      <c r="AV310" s="86"/>
      <c r="AW310" s="86"/>
      <c r="AX310" s="86"/>
      <c r="AY310" s="86"/>
      <c r="AZ310" s="86"/>
      <c r="BA310" s="86"/>
      <c r="BB310" s="86"/>
      <c r="BC310" s="86"/>
      <c r="BD310" s="86"/>
      <c r="BE310" s="86"/>
      <c r="BF310" s="86"/>
      <c r="BG310" s="86"/>
      <c r="BH310" s="86"/>
      <c r="BI310" s="86"/>
      <c r="BJ310" s="86"/>
      <c r="BK310" s="86"/>
      <c r="BL310" s="86"/>
      <c r="BM310" s="86"/>
      <c r="BN310" s="86"/>
      <c r="BO310" s="86"/>
      <c r="BP310" s="86"/>
      <c r="BQ310" s="86"/>
      <c r="BR310" s="86"/>
      <c r="BS310" s="86"/>
      <c r="BT310" s="86"/>
      <c r="BU310" s="86"/>
      <c r="BV310" s="86"/>
      <c r="BW310" s="86"/>
      <c r="BX310" s="86"/>
      <c r="BY310" s="86"/>
      <c r="BZ310" s="86"/>
      <c r="CA310" s="86"/>
      <c r="CB310" s="86"/>
      <c r="CC310" s="86"/>
      <c r="CD310" s="86"/>
      <c r="CE310" s="86"/>
      <c r="CF310" s="86"/>
      <c r="CG310" s="86"/>
      <c r="CH310" s="86"/>
      <c r="CI310" s="86"/>
      <c r="CJ310" s="86"/>
      <c r="CK310" s="86"/>
      <c r="CL310" s="86"/>
      <c r="CM310" s="86"/>
      <c r="CN310" s="86"/>
      <c r="CO310" s="86"/>
      <c r="CP310" s="86"/>
      <c r="CQ310" s="86"/>
      <c r="CR310" s="86"/>
      <c r="CS310" s="86"/>
      <c r="CT310" s="86"/>
      <c r="CU310" s="86"/>
      <c r="CV310" s="86"/>
      <c r="CW310" s="86"/>
      <c r="CX310" s="86"/>
      <c r="CY310" s="86"/>
      <c r="CZ310" s="86"/>
      <c r="DA310" s="86"/>
      <c r="DB310" s="86"/>
      <c r="DC310" s="86"/>
      <c r="DD310" s="86"/>
      <c r="DE310" s="86"/>
      <c r="DF310" s="86"/>
      <c r="DG310" s="86"/>
      <c r="DH310" s="86"/>
      <c r="DI310" s="86"/>
      <c r="DJ310" s="86"/>
      <c r="DK310" s="86"/>
      <c r="DL310" s="86"/>
      <c r="DM310" s="86"/>
      <c r="DN310" s="86"/>
      <c r="DO310" s="86"/>
      <c r="DP310" s="86"/>
      <c r="DQ310" s="86"/>
      <c r="DR310" s="86"/>
      <c r="DS310" s="86"/>
      <c r="DT310" s="86"/>
      <c r="DU310" s="86"/>
      <c r="DV310" s="86"/>
      <c r="DW310" s="86"/>
      <c r="DX310" s="86"/>
      <c r="DY310" s="86"/>
      <c r="DZ310" s="86"/>
      <c r="EA310" s="86"/>
      <c r="EB310" s="86"/>
      <c r="EC310" s="86"/>
      <c r="ED310" s="86"/>
      <c r="EE310" s="86"/>
      <c r="EF310" s="86"/>
      <c r="EG310" s="86"/>
      <c r="EH310" s="86"/>
      <c r="EI310" s="86"/>
      <c r="EJ310" s="86"/>
      <c r="EK310" s="86"/>
      <c r="EL310" s="86"/>
      <c r="EM310" s="86"/>
      <c r="EN310" s="86"/>
      <c r="EO310" s="86"/>
      <c r="EP310" s="86"/>
      <c r="EQ310" s="86"/>
    </row>
    <row r="311" spans="1:147" ht="12.75">
      <c r="A311" s="86"/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6"/>
      <c r="AK311" s="86"/>
      <c r="AL311" s="86"/>
      <c r="AM311" s="86"/>
      <c r="AN311" s="86"/>
      <c r="AO311" s="86"/>
      <c r="AP311" s="86"/>
      <c r="AQ311" s="86"/>
      <c r="AR311" s="86"/>
      <c r="AS311" s="86"/>
      <c r="AT311" s="86"/>
      <c r="AU311" s="86"/>
      <c r="AV311" s="86"/>
      <c r="AW311" s="86"/>
      <c r="AX311" s="86"/>
      <c r="AY311" s="86"/>
      <c r="AZ311" s="86"/>
      <c r="BA311" s="86"/>
      <c r="BB311" s="86"/>
      <c r="BC311" s="86"/>
      <c r="BD311" s="86"/>
      <c r="BE311" s="86"/>
      <c r="BF311" s="86"/>
      <c r="BG311" s="86"/>
      <c r="BH311" s="86"/>
      <c r="BI311" s="86"/>
      <c r="BJ311" s="86"/>
      <c r="BK311" s="86"/>
      <c r="BL311" s="86"/>
      <c r="BM311" s="86"/>
      <c r="BN311" s="86"/>
      <c r="BO311" s="86"/>
      <c r="BP311" s="86"/>
      <c r="BQ311" s="86"/>
      <c r="BR311" s="86"/>
      <c r="BS311" s="86"/>
      <c r="BT311" s="86"/>
      <c r="BU311" s="86"/>
      <c r="BV311" s="86"/>
      <c r="BW311" s="86"/>
      <c r="BX311" s="86"/>
      <c r="BY311" s="86"/>
      <c r="BZ311" s="86"/>
      <c r="CA311" s="86"/>
      <c r="CB311" s="86"/>
      <c r="CC311" s="86"/>
      <c r="CD311" s="86"/>
      <c r="CE311" s="86"/>
      <c r="CF311" s="86"/>
      <c r="CG311" s="86"/>
      <c r="CH311" s="86"/>
      <c r="CI311" s="86"/>
      <c r="CJ311" s="86"/>
      <c r="CK311" s="86"/>
      <c r="CL311" s="86"/>
      <c r="CM311" s="86"/>
      <c r="CN311" s="86"/>
      <c r="CO311" s="86"/>
      <c r="CP311" s="86"/>
      <c r="CQ311" s="86"/>
      <c r="CR311" s="86"/>
      <c r="CS311" s="86"/>
      <c r="CT311" s="86"/>
      <c r="CU311" s="86"/>
      <c r="CV311" s="86"/>
      <c r="CW311" s="86"/>
      <c r="CX311" s="86"/>
      <c r="CY311" s="86"/>
      <c r="CZ311" s="86"/>
      <c r="DA311" s="86"/>
      <c r="DB311" s="86"/>
      <c r="DC311" s="86"/>
      <c r="DD311" s="86"/>
      <c r="DE311" s="86"/>
      <c r="DF311" s="86"/>
      <c r="DG311" s="86"/>
      <c r="DH311" s="86"/>
      <c r="DI311" s="86"/>
      <c r="DJ311" s="86"/>
      <c r="DK311" s="86"/>
      <c r="DL311" s="86"/>
      <c r="DM311" s="86"/>
      <c r="DN311" s="86"/>
      <c r="DO311" s="86"/>
      <c r="DP311" s="86"/>
      <c r="DQ311" s="86"/>
      <c r="DR311" s="86"/>
      <c r="DS311" s="86"/>
      <c r="DT311" s="86"/>
      <c r="DU311" s="86"/>
      <c r="DV311" s="86"/>
      <c r="DW311" s="86"/>
      <c r="DX311" s="86"/>
      <c r="DY311" s="86"/>
      <c r="DZ311" s="86"/>
      <c r="EA311" s="86"/>
      <c r="EB311" s="86"/>
      <c r="EC311" s="86"/>
      <c r="ED311" s="86"/>
      <c r="EE311" s="86"/>
      <c r="EF311" s="86"/>
      <c r="EG311" s="86"/>
      <c r="EH311" s="86"/>
      <c r="EI311" s="86"/>
      <c r="EJ311" s="86"/>
      <c r="EK311" s="86"/>
      <c r="EL311" s="86"/>
      <c r="EM311" s="86"/>
      <c r="EN311" s="86"/>
      <c r="EO311" s="86"/>
      <c r="EP311" s="86"/>
      <c r="EQ311" s="86"/>
    </row>
    <row r="312" spans="1:147" ht="12.75">
      <c r="A312" s="86"/>
      <c r="B312" s="86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  <c r="AI312" s="86"/>
      <c r="AJ312" s="86"/>
      <c r="AK312" s="86"/>
      <c r="AL312" s="86"/>
      <c r="AM312" s="86"/>
      <c r="AN312" s="86"/>
      <c r="AO312" s="86"/>
      <c r="AP312" s="86"/>
      <c r="AQ312" s="86"/>
      <c r="AR312" s="86"/>
      <c r="AS312" s="86"/>
      <c r="AT312" s="86"/>
      <c r="AU312" s="86"/>
      <c r="AV312" s="86"/>
      <c r="AW312" s="86"/>
      <c r="AX312" s="86"/>
      <c r="AY312" s="86"/>
      <c r="AZ312" s="86"/>
      <c r="BA312" s="86"/>
      <c r="BB312" s="86"/>
      <c r="BC312" s="86"/>
      <c r="BD312" s="86"/>
      <c r="BE312" s="86"/>
      <c r="BF312" s="86"/>
      <c r="BG312" s="86"/>
      <c r="BH312" s="86"/>
      <c r="BI312" s="86"/>
      <c r="BJ312" s="86"/>
      <c r="BK312" s="86"/>
      <c r="BL312" s="86"/>
      <c r="BM312" s="86"/>
      <c r="BN312" s="86"/>
      <c r="BO312" s="86"/>
      <c r="BP312" s="86"/>
      <c r="BQ312" s="86"/>
      <c r="BR312" s="86"/>
      <c r="BS312" s="86"/>
      <c r="BT312" s="86"/>
      <c r="BU312" s="86"/>
      <c r="BV312" s="86"/>
      <c r="BW312" s="86"/>
      <c r="BX312" s="86"/>
      <c r="BY312" s="86"/>
      <c r="BZ312" s="86"/>
      <c r="CA312" s="86"/>
      <c r="CB312" s="86"/>
      <c r="CC312" s="86"/>
      <c r="CD312" s="86"/>
      <c r="CE312" s="86"/>
      <c r="CF312" s="86"/>
      <c r="CG312" s="86"/>
      <c r="CH312" s="86"/>
      <c r="CI312" s="86"/>
      <c r="CJ312" s="86"/>
      <c r="CK312" s="86"/>
      <c r="CL312" s="86"/>
      <c r="CM312" s="86"/>
      <c r="CN312" s="86"/>
      <c r="CO312" s="86"/>
      <c r="CP312" s="86"/>
      <c r="CQ312" s="86"/>
      <c r="CR312" s="86"/>
      <c r="CS312" s="86"/>
      <c r="CT312" s="86"/>
      <c r="CU312" s="86"/>
      <c r="CV312" s="86"/>
      <c r="CW312" s="86"/>
      <c r="CX312" s="86"/>
      <c r="CY312" s="86"/>
      <c r="CZ312" s="86"/>
      <c r="DA312" s="86"/>
      <c r="DB312" s="86"/>
      <c r="DC312" s="86"/>
      <c r="DD312" s="86"/>
      <c r="DE312" s="86"/>
      <c r="DF312" s="86"/>
      <c r="DG312" s="86"/>
      <c r="DH312" s="86"/>
      <c r="DI312" s="86"/>
      <c r="DJ312" s="86"/>
      <c r="DK312" s="86"/>
      <c r="DL312" s="86"/>
      <c r="DM312" s="86"/>
      <c r="DN312" s="86"/>
      <c r="DO312" s="86"/>
      <c r="DP312" s="86"/>
      <c r="DQ312" s="86"/>
      <c r="DR312" s="86"/>
      <c r="DS312" s="86"/>
      <c r="DT312" s="86"/>
      <c r="DU312" s="86"/>
      <c r="DV312" s="86"/>
      <c r="DW312" s="86"/>
      <c r="DX312" s="86"/>
      <c r="DY312" s="86"/>
      <c r="DZ312" s="86"/>
      <c r="EA312" s="86"/>
      <c r="EB312" s="86"/>
      <c r="EC312" s="86"/>
      <c r="ED312" s="86"/>
      <c r="EE312" s="86"/>
      <c r="EF312" s="86"/>
      <c r="EG312" s="86"/>
      <c r="EH312" s="86"/>
      <c r="EI312" s="86"/>
      <c r="EJ312" s="86"/>
      <c r="EK312" s="86"/>
      <c r="EL312" s="86"/>
      <c r="EM312" s="86"/>
      <c r="EN312" s="86"/>
      <c r="EO312" s="86"/>
      <c r="EP312" s="86"/>
      <c r="EQ312" s="86"/>
    </row>
    <row r="313" spans="1:147" ht="12.75">
      <c r="A313" s="86"/>
      <c r="B313" s="86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6"/>
      <c r="AK313" s="86"/>
      <c r="AL313" s="86"/>
      <c r="AM313" s="86"/>
      <c r="AN313" s="86"/>
      <c r="AO313" s="86"/>
      <c r="AP313" s="86"/>
      <c r="AQ313" s="86"/>
      <c r="AR313" s="86"/>
      <c r="AS313" s="86"/>
      <c r="AT313" s="86"/>
      <c r="AU313" s="86"/>
      <c r="AV313" s="86"/>
      <c r="AW313" s="86"/>
      <c r="AX313" s="86"/>
      <c r="AY313" s="86"/>
      <c r="AZ313" s="86"/>
      <c r="BA313" s="86"/>
      <c r="BB313" s="86"/>
      <c r="BC313" s="86"/>
      <c r="BD313" s="86"/>
      <c r="BE313" s="86"/>
      <c r="BF313" s="86"/>
      <c r="BG313" s="86"/>
      <c r="BH313" s="86"/>
      <c r="BI313" s="86"/>
      <c r="BJ313" s="86"/>
      <c r="BK313" s="86"/>
      <c r="BL313" s="86"/>
      <c r="BM313" s="86"/>
      <c r="BN313" s="86"/>
      <c r="BO313" s="86"/>
      <c r="BP313" s="86"/>
      <c r="BQ313" s="86"/>
      <c r="BR313" s="86"/>
      <c r="BS313" s="86"/>
      <c r="BT313" s="86"/>
      <c r="BU313" s="86"/>
      <c r="BV313" s="86"/>
      <c r="BW313" s="86"/>
      <c r="BX313" s="86"/>
      <c r="BY313" s="86"/>
      <c r="BZ313" s="86"/>
      <c r="CA313" s="86"/>
      <c r="CB313" s="86"/>
      <c r="CC313" s="86"/>
      <c r="CD313" s="86"/>
      <c r="CE313" s="86"/>
      <c r="CF313" s="86"/>
      <c r="CG313" s="86"/>
      <c r="CH313" s="86"/>
      <c r="CI313" s="86"/>
      <c r="CJ313" s="86"/>
      <c r="CK313" s="86"/>
      <c r="CL313" s="86"/>
      <c r="CM313" s="86"/>
      <c r="CN313" s="86"/>
      <c r="CO313" s="86"/>
      <c r="CP313" s="86"/>
      <c r="CQ313" s="86"/>
      <c r="CR313" s="86"/>
      <c r="CS313" s="86"/>
      <c r="CT313" s="86"/>
      <c r="CU313" s="86"/>
      <c r="CV313" s="86"/>
      <c r="CW313" s="86"/>
      <c r="CX313" s="86"/>
      <c r="CY313" s="86"/>
      <c r="CZ313" s="86"/>
      <c r="DA313" s="86"/>
      <c r="DB313" s="86"/>
      <c r="DC313" s="86"/>
      <c r="DD313" s="86"/>
      <c r="DE313" s="86"/>
      <c r="DF313" s="86"/>
      <c r="DG313" s="86"/>
      <c r="DH313" s="86"/>
      <c r="DI313" s="86"/>
      <c r="DJ313" s="86"/>
      <c r="DK313" s="86"/>
      <c r="DL313" s="86"/>
      <c r="DM313" s="86"/>
      <c r="DN313" s="86"/>
      <c r="DO313" s="86"/>
      <c r="DP313" s="86"/>
      <c r="DQ313" s="86"/>
      <c r="DR313" s="86"/>
      <c r="DS313" s="86"/>
      <c r="DT313" s="86"/>
      <c r="DU313" s="86"/>
      <c r="DV313" s="86"/>
      <c r="DW313" s="86"/>
      <c r="DX313" s="86"/>
      <c r="DY313" s="86"/>
      <c r="DZ313" s="86"/>
      <c r="EA313" s="86"/>
      <c r="EB313" s="86"/>
      <c r="EC313" s="86"/>
      <c r="ED313" s="86"/>
      <c r="EE313" s="86"/>
      <c r="EF313" s="86"/>
      <c r="EG313" s="86"/>
      <c r="EH313" s="86"/>
      <c r="EI313" s="86"/>
      <c r="EJ313" s="86"/>
      <c r="EK313" s="86"/>
      <c r="EL313" s="86"/>
      <c r="EM313" s="86"/>
      <c r="EN313" s="86"/>
      <c r="EO313" s="86"/>
      <c r="EP313" s="86"/>
      <c r="EQ313" s="86"/>
    </row>
    <row r="314" spans="1:147" ht="12.75">
      <c r="A314" s="86"/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6"/>
      <c r="AK314" s="86"/>
      <c r="AL314" s="86"/>
      <c r="AM314" s="86"/>
      <c r="AN314" s="86"/>
      <c r="AO314" s="86"/>
      <c r="AP314" s="86"/>
      <c r="AQ314" s="86"/>
      <c r="AR314" s="86"/>
      <c r="AS314" s="86"/>
      <c r="AT314" s="86"/>
      <c r="AU314" s="86"/>
      <c r="AV314" s="86"/>
      <c r="AW314" s="86"/>
      <c r="AX314" s="86"/>
      <c r="AY314" s="86"/>
      <c r="AZ314" s="86"/>
      <c r="BA314" s="86"/>
      <c r="BB314" s="86"/>
      <c r="BC314" s="86"/>
      <c r="BD314" s="86"/>
      <c r="BE314" s="86"/>
      <c r="BF314" s="86"/>
      <c r="BG314" s="86"/>
      <c r="BH314" s="86"/>
      <c r="BI314" s="86"/>
      <c r="BJ314" s="86"/>
      <c r="BK314" s="86"/>
      <c r="BL314" s="86"/>
      <c r="BM314" s="86"/>
      <c r="BN314" s="86"/>
      <c r="BO314" s="86"/>
      <c r="BP314" s="86"/>
      <c r="BQ314" s="86"/>
      <c r="BR314" s="86"/>
      <c r="BS314" s="86"/>
      <c r="BT314" s="86"/>
      <c r="BU314" s="86"/>
      <c r="BV314" s="86"/>
      <c r="BW314" s="86"/>
      <c r="BX314" s="86"/>
      <c r="BY314" s="86"/>
      <c r="BZ314" s="86"/>
      <c r="CA314" s="86"/>
      <c r="CB314" s="86"/>
      <c r="CC314" s="86"/>
      <c r="CD314" s="86"/>
      <c r="CE314" s="86"/>
      <c r="CF314" s="86"/>
      <c r="CG314" s="86"/>
      <c r="CH314" s="86"/>
      <c r="CI314" s="86"/>
      <c r="CJ314" s="86"/>
      <c r="CK314" s="86"/>
      <c r="CL314" s="86"/>
      <c r="CM314" s="86"/>
      <c r="CN314" s="86"/>
      <c r="CO314" s="86"/>
      <c r="CP314" s="86"/>
      <c r="CQ314" s="86"/>
      <c r="CR314" s="86"/>
      <c r="CS314" s="86"/>
      <c r="CT314" s="86"/>
      <c r="CU314" s="86"/>
      <c r="CV314" s="86"/>
      <c r="CW314" s="86"/>
      <c r="CX314" s="86"/>
      <c r="CY314" s="86"/>
      <c r="CZ314" s="86"/>
      <c r="DA314" s="86"/>
      <c r="DB314" s="86"/>
      <c r="DC314" s="86"/>
      <c r="DD314" s="86"/>
      <c r="DE314" s="86"/>
      <c r="DF314" s="86"/>
      <c r="DG314" s="86"/>
      <c r="DH314" s="86"/>
      <c r="DI314" s="86"/>
      <c r="DJ314" s="86"/>
      <c r="DK314" s="86"/>
      <c r="DL314" s="86"/>
      <c r="DM314" s="86"/>
      <c r="DN314" s="86"/>
      <c r="DO314" s="86"/>
      <c r="DP314" s="86"/>
      <c r="DQ314" s="86"/>
      <c r="DR314" s="86"/>
      <c r="DS314" s="86"/>
      <c r="DT314" s="86"/>
      <c r="DU314" s="86"/>
      <c r="DV314" s="86"/>
      <c r="DW314" s="86"/>
      <c r="DX314" s="86"/>
      <c r="DY314" s="86"/>
      <c r="DZ314" s="86"/>
      <c r="EA314" s="86"/>
      <c r="EB314" s="86"/>
      <c r="EC314" s="86"/>
      <c r="ED314" s="86"/>
      <c r="EE314" s="86"/>
      <c r="EF314" s="86"/>
      <c r="EG314" s="86"/>
      <c r="EH314" s="86"/>
      <c r="EI314" s="86"/>
      <c r="EJ314" s="86"/>
      <c r="EK314" s="86"/>
      <c r="EL314" s="86"/>
      <c r="EM314" s="86"/>
      <c r="EN314" s="86"/>
      <c r="EO314" s="86"/>
      <c r="EP314" s="86"/>
      <c r="EQ314" s="86"/>
    </row>
    <row r="315" spans="1:147" ht="12.75">
      <c r="A315" s="86"/>
      <c r="B315" s="86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  <c r="AM315" s="86"/>
      <c r="AN315" s="86"/>
      <c r="AO315" s="86"/>
      <c r="AP315" s="86"/>
      <c r="AQ315" s="86"/>
      <c r="AR315" s="86"/>
      <c r="AS315" s="86"/>
      <c r="AT315" s="86"/>
      <c r="AU315" s="86"/>
      <c r="AV315" s="86"/>
      <c r="AW315" s="86"/>
      <c r="AX315" s="86"/>
      <c r="AY315" s="86"/>
      <c r="AZ315" s="86"/>
      <c r="BA315" s="86"/>
      <c r="BB315" s="86"/>
      <c r="BC315" s="86"/>
      <c r="BD315" s="86"/>
      <c r="BE315" s="86"/>
      <c r="BF315" s="86"/>
      <c r="BG315" s="86"/>
      <c r="BH315" s="86"/>
      <c r="BI315" s="86"/>
      <c r="BJ315" s="86"/>
      <c r="BK315" s="86"/>
      <c r="BL315" s="86"/>
      <c r="BM315" s="86"/>
      <c r="BN315" s="86"/>
      <c r="BO315" s="86"/>
      <c r="BP315" s="86"/>
      <c r="BQ315" s="86"/>
      <c r="BR315" s="86"/>
      <c r="BS315" s="86"/>
      <c r="BT315" s="86"/>
      <c r="BU315" s="86"/>
      <c r="BV315" s="86"/>
      <c r="BW315" s="86"/>
      <c r="BX315" s="86"/>
      <c r="BY315" s="86"/>
      <c r="BZ315" s="86"/>
      <c r="CA315" s="86"/>
      <c r="CB315" s="86"/>
      <c r="CC315" s="86"/>
      <c r="CD315" s="86"/>
      <c r="CE315" s="86"/>
      <c r="CF315" s="86"/>
      <c r="CG315" s="86"/>
      <c r="CH315" s="86"/>
      <c r="CI315" s="86"/>
      <c r="CJ315" s="86"/>
      <c r="CK315" s="86"/>
      <c r="CL315" s="86"/>
      <c r="CM315" s="86"/>
      <c r="CN315" s="86"/>
      <c r="CO315" s="86"/>
      <c r="CP315" s="86"/>
      <c r="CQ315" s="86"/>
      <c r="CR315" s="86"/>
      <c r="CS315" s="86"/>
      <c r="CT315" s="86"/>
      <c r="CU315" s="86"/>
      <c r="CV315" s="86"/>
      <c r="CW315" s="86"/>
      <c r="CX315" s="86"/>
      <c r="CY315" s="86"/>
      <c r="CZ315" s="86"/>
      <c r="DA315" s="86"/>
      <c r="DB315" s="86"/>
      <c r="DC315" s="86"/>
      <c r="DD315" s="86"/>
      <c r="DE315" s="86"/>
      <c r="DF315" s="86"/>
      <c r="DG315" s="86"/>
      <c r="DH315" s="86"/>
      <c r="DI315" s="86"/>
      <c r="DJ315" s="86"/>
      <c r="DK315" s="86"/>
      <c r="DL315" s="86"/>
      <c r="DM315" s="86"/>
      <c r="DN315" s="86"/>
      <c r="DO315" s="86"/>
      <c r="DP315" s="86"/>
      <c r="DQ315" s="86"/>
      <c r="DR315" s="86"/>
      <c r="DS315" s="86"/>
      <c r="DT315" s="86"/>
      <c r="DU315" s="86"/>
      <c r="DV315" s="86"/>
      <c r="DW315" s="86"/>
      <c r="DX315" s="86"/>
      <c r="DY315" s="86"/>
      <c r="DZ315" s="86"/>
      <c r="EA315" s="86"/>
      <c r="EB315" s="86"/>
      <c r="EC315" s="86"/>
      <c r="ED315" s="86"/>
      <c r="EE315" s="86"/>
      <c r="EF315" s="86"/>
      <c r="EG315" s="86"/>
      <c r="EH315" s="86"/>
      <c r="EI315" s="86"/>
      <c r="EJ315" s="86"/>
      <c r="EK315" s="86"/>
      <c r="EL315" s="86"/>
      <c r="EM315" s="86"/>
      <c r="EN315" s="86"/>
      <c r="EO315" s="86"/>
      <c r="EP315" s="86"/>
      <c r="EQ315" s="86"/>
    </row>
    <row r="316" spans="1:147" ht="12.75">
      <c r="A316" s="86"/>
      <c r="B316" s="86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  <c r="AM316" s="86"/>
      <c r="AN316" s="86"/>
      <c r="AO316" s="86"/>
      <c r="AP316" s="86"/>
      <c r="AQ316" s="86"/>
      <c r="AR316" s="86"/>
      <c r="AS316" s="86"/>
      <c r="AT316" s="86"/>
      <c r="AU316" s="86"/>
      <c r="AV316" s="86"/>
      <c r="AW316" s="86"/>
      <c r="AX316" s="86"/>
      <c r="AY316" s="86"/>
      <c r="AZ316" s="86"/>
      <c r="BA316" s="86"/>
      <c r="BB316" s="86"/>
      <c r="BC316" s="86"/>
      <c r="BD316" s="86"/>
      <c r="BE316" s="86"/>
      <c r="BF316" s="86"/>
      <c r="BG316" s="86"/>
      <c r="BH316" s="86"/>
      <c r="BI316" s="86"/>
      <c r="BJ316" s="86"/>
      <c r="BK316" s="86"/>
      <c r="BL316" s="86"/>
      <c r="BM316" s="86"/>
      <c r="BN316" s="86"/>
      <c r="BO316" s="86"/>
      <c r="BP316" s="86"/>
      <c r="BQ316" s="86"/>
      <c r="BR316" s="86"/>
      <c r="BS316" s="86"/>
      <c r="BT316" s="86"/>
      <c r="BU316" s="86"/>
      <c r="BV316" s="86"/>
      <c r="BW316" s="86"/>
      <c r="BX316" s="86"/>
      <c r="BY316" s="86"/>
      <c r="BZ316" s="86"/>
      <c r="CA316" s="86"/>
      <c r="CB316" s="86"/>
      <c r="CC316" s="86"/>
      <c r="CD316" s="86"/>
      <c r="CE316" s="86"/>
      <c r="CF316" s="86"/>
      <c r="CG316" s="86"/>
      <c r="CH316" s="86"/>
      <c r="CI316" s="86"/>
      <c r="CJ316" s="86"/>
      <c r="CK316" s="86"/>
      <c r="CL316" s="86"/>
      <c r="CM316" s="86"/>
      <c r="CN316" s="86"/>
      <c r="CO316" s="86"/>
      <c r="CP316" s="86"/>
      <c r="CQ316" s="86"/>
      <c r="CR316" s="86"/>
      <c r="CS316" s="86"/>
      <c r="CT316" s="86"/>
      <c r="CU316" s="86"/>
      <c r="CV316" s="86"/>
      <c r="CW316" s="86"/>
      <c r="CX316" s="86"/>
      <c r="CY316" s="86"/>
      <c r="CZ316" s="86"/>
      <c r="DA316" s="86"/>
      <c r="DB316" s="86"/>
      <c r="DC316" s="86"/>
      <c r="DD316" s="86"/>
      <c r="DE316" s="86"/>
      <c r="DF316" s="86"/>
      <c r="DG316" s="86"/>
      <c r="DH316" s="86"/>
      <c r="DI316" s="86"/>
      <c r="DJ316" s="86"/>
      <c r="DK316" s="86"/>
      <c r="DL316" s="86"/>
      <c r="DM316" s="86"/>
      <c r="DN316" s="86"/>
      <c r="DO316" s="86"/>
      <c r="DP316" s="86"/>
      <c r="DQ316" s="86"/>
      <c r="DR316" s="86"/>
      <c r="DS316" s="86"/>
      <c r="DT316" s="86"/>
      <c r="DU316" s="86"/>
      <c r="DV316" s="86"/>
      <c r="DW316" s="86"/>
      <c r="DX316" s="86"/>
      <c r="DY316" s="86"/>
      <c r="DZ316" s="86"/>
      <c r="EA316" s="86"/>
      <c r="EB316" s="86"/>
      <c r="EC316" s="86"/>
      <c r="ED316" s="86"/>
      <c r="EE316" s="86"/>
      <c r="EF316" s="86"/>
      <c r="EG316" s="86"/>
      <c r="EH316" s="86"/>
      <c r="EI316" s="86"/>
      <c r="EJ316" s="86"/>
      <c r="EK316" s="86"/>
      <c r="EL316" s="86"/>
      <c r="EM316" s="86"/>
      <c r="EN316" s="86"/>
      <c r="EO316" s="86"/>
      <c r="EP316" s="86"/>
      <c r="EQ316" s="86"/>
    </row>
    <row r="317" spans="1:147" ht="12.75">
      <c r="A317" s="86"/>
      <c r="B317" s="86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86"/>
      <c r="AO317" s="86"/>
      <c r="AP317" s="86"/>
      <c r="AQ317" s="86"/>
      <c r="AR317" s="86"/>
      <c r="AS317" s="86"/>
      <c r="AT317" s="86"/>
      <c r="AU317" s="86"/>
      <c r="AV317" s="86"/>
      <c r="AW317" s="86"/>
      <c r="AX317" s="86"/>
      <c r="AY317" s="86"/>
      <c r="AZ317" s="86"/>
      <c r="BA317" s="86"/>
      <c r="BB317" s="86"/>
      <c r="BC317" s="86"/>
      <c r="BD317" s="86"/>
      <c r="BE317" s="86"/>
      <c r="BF317" s="86"/>
      <c r="BG317" s="86"/>
      <c r="BH317" s="86"/>
      <c r="BI317" s="86"/>
      <c r="BJ317" s="86"/>
      <c r="BK317" s="86"/>
      <c r="BL317" s="86"/>
      <c r="BM317" s="86"/>
      <c r="BN317" s="86"/>
      <c r="BO317" s="86"/>
      <c r="BP317" s="86"/>
      <c r="BQ317" s="86"/>
      <c r="BR317" s="86"/>
      <c r="BS317" s="86"/>
      <c r="BT317" s="86"/>
      <c r="BU317" s="86"/>
      <c r="BV317" s="86"/>
      <c r="BW317" s="86"/>
      <c r="BX317" s="86"/>
      <c r="BY317" s="86"/>
      <c r="BZ317" s="86"/>
      <c r="CA317" s="86"/>
      <c r="CB317" s="86"/>
      <c r="CC317" s="86"/>
      <c r="CD317" s="86"/>
      <c r="CE317" s="86"/>
      <c r="CF317" s="86"/>
      <c r="CG317" s="86"/>
      <c r="CH317" s="86"/>
      <c r="CI317" s="86"/>
      <c r="CJ317" s="86"/>
      <c r="CK317" s="86"/>
      <c r="CL317" s="86"/>
      <c r="CM317" s="86"/>
      <c r="CN317" s="86"/>
      <c r="CO317" s="86"/>
      <c r="CP317" s="86"/>
      <c r="CQ317" s="86"/>
      <c r="CR317" s="86"/>
      <c r="CS317" s="86"/>
      <c r="CT317" s="86"/>
      <c r="CU317" s="86"/>
      <c r="CV317" s="86"/>
      <c r="CW317" s="86"/>
      <c r="CX317" s="86"/>
      <c r="CY317" s="86"/>
      <c r="CZ317" s="86"/>
      <c r="DA317" s="86"/>
      <c r="DB317" s="86"/>
      <c r="DC317" s="86"/>
      <c r="DD317" s="86"/>
      <c r="DE317" s="86"/>
      <c r="DF317" s="86"/>
      <c r="DG317" s="86"/>
      <c r="DH317" s="86"/>
      <c r="DI317" s="86"/>
      <c r="DJ317" s="86"/>
      <c r="DK317" s="86"/>
      <c r="DL317" s="86"/>
      <c r="DM317" s="86"/>
      <c r="DN317" s="86"/>
      <c r="DO317" s="86"/>
      <c r="DP317" s="86"/>
      <c r="DQ317" s="86"/>
      <c r="DR317" s="86"/>
      <c r="DS317" s="86"/>
      <c r="DT317" s="86"/>
      <c r="DU317" s="86"/>
      <c r="DV317" s="86"/>
      <c r="DW317" s="86"/>
      <c r="DX317" s="86"/>
      <c r="DY317" s="86"/>
      <c r="DZ317" s="86"/>
      <c r="EA317" s="86"/>
      <c r="EB317" s="86"/>
      <c r="EC317" s="86"/>
      <c r="ED317" s="86"/>
      <c r="EE317" s="86"/>
      <c r="EF317" s="86"/>
      <c r="EG317" s="86"/>
      <c r="EH317" s="86"/>
      <c r="EI317" s="86"/>
      <c r="EJ317" s="86"/>
      <c r="EK317" s="86"/>
      <c r="EL317" s="86"/>
      <c r="EM317" s="86"/>
      <c r="EN317" s="86"/>
      <c r="EO317" s="86"/>
      <c r="EP317" s="86"/>
      <c r="EQ317" s="86"/>
    </row>
    <row r="318" spans="1:147" ht="12.75">
      <c r="A318" s="86"/>
      <c r="B318" s="86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86"/>
      <c r="AI318" s="86"/>
      <c r="AJ318" s="86"/>
      <c r="AK318" s="86"/>
      <c r="AL318" s="86"/>
      <c r="AM318" s="86"/>
      <c r="AN318" s="86"/>
      <c r="AO318" s="86"/>
      <c r="AP318" s="86"/>
      <c r="AQ318" s="86"/>
      <c r="AR318" s="86"/>
      <c r="AS318" s="86"/>
      <c r="AT318" s="86"/>
      <c r="AU318" s="86"/>
      <c r="AV318" s="86"/>
      <c r="AW318" s="86"/>
      <c r="AX318" s="86"/>
      <c r="AY318" s="86"/>
      <c r="AZ318" s="86"/>
      <c r="BA318" s="86"/>
      <c r="BB318" s="86"/>
      <c r="BC318" s="86"/>
      <c r="BD318" s="86"/>
      <c r="BE318" s="86"/>
      <c r="BF318" s="86"/>
      <c r="BG318" s="86"/>
      <c r="BH318" s="86"/>
      <c r="BI318" s="86"/>
      <c r="BJ318" s="86"/>
      <c r="BK318" s="86"/>
      <c r="BL318" s="86"/>
      <c r="BM318" s="86"/>
      <c r="BN318" s="86"/>
      <c r="BO318" s="86"/>
      <c r="BP318" s="86"/>
      <c r="BQ318" s="86"/>
      <c r="BR318" s="86"/>
      <c r="BS318" s="86"/>
      <c r="BT318" s="86"/>
      <c r="BU318" s="86"/>
      <c r="BV318" s="86"/>
      <c r="BW318" s="86"/>
      <c r="BX318" s="86"/>
      <c r="BY318" s="86"/>
      <c r="BZ318" s="86"/>
      <c r="CA318" s="86"/>
      <c r="CB318" s="86"/>
      <c r="CC318" s="86"/>
      <c r="CD318" s="86"/>
      <c r="CE318" s="86"/>
      <c r="CF318" s="86"/>
      <c r="CG318" s="86"/>
      <c r="CH318" s="86"/>
      <c r="CI318" s="86"/>
      <c r="CJ318" s="86"/>
      <c r="CK318" s="86"/>
      <c r="CL318" s="86"/>
      <c r="CM318" s="86"/>
      <c r="CN318" s="86"/>
      <c r="CO318" s="86"/>
      <c r="CP318" s="86"/>
      <c r="CQ318" s="86"/>
      <c r="CR318" s="86"/>
      <c r="CS318" s="86"/>
      <c r="CT318" s="86"/>
      <c r="CU318" s="86"/>
      <c r="CV318" s="86"/>
      <c r="CW318" s="86"/>
      <c r="CX318" s="86"/>
      <c r="CY318" s="86"/>
      <c r="CZ318" s="86"/>
      <c r="DA318" s="86"/>
      <c r="DB318" s="86"/>
      <c r="DC318" s="86"/>
      <c r="DD318" s="86"/>
      <c r="DE318" s="86"/>
      <c r="DF318" s="86"/>
      <c r="DG318" s="86"/>
      <c r="DH318" s="86"/>
      <c r="DI318" s="86"/>
      <c r="DJ318" s="86"/>
      <c r="DK318" s="86"/>
      <c r="DL318" s="86"/>
      <c r="DM318" s="86"/>
      <c r="DN318" s="86"/>
      <c r="DO318" s="86"/>
      <c r="DP318" s="86"/>
      <c r="DQ318" s="86"/>
      <c r="DR318" s="86"/>
      <c r="DS318" s="86"/>
      <c r="DT318" s="86"/>
      <c r="DU318" s="86"/>
      <c r="DV318" s="86"/>
      <c r="DW318" s="86"/>
      <c r="DX318" s="86"/>
      <c r="DY318" s="86"/>
      <c r="DZ318" s="86"/>
      <c r="EA318" s="86"/>
      <c r="EB318" s="86"/>
      <c r="EC318" s="86"/>
      <c r="ED318" s="86"/>
      <c r="EE318" s="86"/>
      <c r="EF318" s="86"/>
      <c r="EG318" s="86"/>
      <c r="EH318" s="86"/>
      <c r="EI318" s="86"/>
      <c r="EJ318" s="86"/>
      <c r="EK318" s="86"/>
      <c r="EL318" s="86"/>
      <c r="EM318" s="86"/>
      <c r="EN318" s="86"/>
      <c r="EO318" s="86"/>
      <c r="EP318" s="86"/>
      <c r="EQ318" s="86"/>
    </row>
    <row r="319" spans="1:147" ht="12.75">
      <c r="A319" s="86"/>
      <c r="B319" s="86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6"/>
      <c r="AK319" s="86"/>
      <c r="AL319" s="86"/>
      <c r="AM319" s="86"/>
      <c r="AN319" s="86"/>
      <c r="AO319" s="86"/>
      <c r="AP319" s="86"/>
      <c r="AQ319" s="86"/>
      <c r="AR319" s="86"/>
      <c r="AS319" s="86"/>
      <c r="AT319" s="86"/>
      <c r="AU319" s="86"/>
      <c r="AV319" s="86"/>
      <c r="AW319" s="86"/>
      <c r="AX319" s="86"/>
      <c r="AY319" s="86"/>
      <c r="AZ319" s="86"/>
      <c r="BA319" s="86"/>
      <c r="BB319" s="86"/>
      <c r="BC319" s="86"/>
      <c r="BD319" s="86"/>
      <c r="BE319" s="86"/>
      <c r="BF319" s="86"/>
      <c r="BG319" s="86"/>
      <c r="BH319" s="86"/>
      <c r="BI319" s="86"/>
      <c r="BJ319" s="86"/>
      <c r="BK319" s="86"/>
      <c r="BL319" s="86"/>
      <c r="BM319" s="86"/>
      <c r="BN319" s="86"/>
      <c r="BO319" s="86"/>
      <c r="BP319" s="86"/>
      <c r="BQ319" s="86"/>
      <c r="BR319" s="86"/>
      <c r="BS319" s="86"/>
      <c r="BT319" s="86"/>
      <c r="BU319" s="86"/>
      <c r="BV319" s="86"/>
      <c r="BW319" s="86"/>
      <c r="BX319" s="86"/>
      <c r="BY319" s="86"/>
      <c r="BZ319" s="86"/>
      <c r="CA319" s="86"/>
      <c r="CB319" s="86"/>
      <c r="CC319" s="86"/>
      <c r="CD319" s="86"/>
      <c r="CE319" s="86"/>
      <c r="CF319" s="86"/>
      <c r="CG319" s="86"/>
      <c r="CH319" s="86"/>
      <c r="CI319" s="86"/>
      <c r="CJ319" s="86"/>
      <c r="CK319" s="86"/>
      <c r="CL319" s="86"/>
      <c r="CM319" s="86"/>
      <c r="CN319" s="86"/>
      <c r="CO319" s="86"/>
      <c r="CP319" s="86"/>
      <c r="CQ319" s="86"/>
      <c r="CR319" s="86"/>
      <c r="CS319" s="86"/>
      <c r="CT319" s="86"/>
      <c r="CU319" s="86"/>
      <c r="CV319" s="86"/>
      <c r="CW319" s="86"/>
      <c r="CX319" s="86"/>
      <c r="CY319" s="86"/>
      <c r="CZ319" s="86"/>
      <c r="DA319" s="86"/>
      <c r="DB319" s="86"/>
      <c r="DC319" s="86"/>
      <c r="DD319" s="86"/>
      <c r="DE319" s="86"/>
      <c r="DF319" s="86"/>
      <c r="DG319" s="86"/>
      <c r="DH319" s="86"/>
      <c r="DI319" s="86"/>
      <c r="DJ319" s="86"/>
      <c r="DK319" s="86"/>
      <c r="DL319" s="86"/>
      <c r="DM319" s="86"/>
      <c r="DN319" s="86"/>
      <c r="DO319" s="86"/>
      <c r="DP319" s="86"/>
      <c r="DQ319" s="86"/>
      <c r="DR319" s="86"/>
      <c r="DS319" s="86"/>
      <c r="DT319" s="86"/>
      <c r="DU319" s="86"/>
      <c r="DV319" s="86"/>
      <c r="DW319" s="86"/>
      <c r="DX319" s="86"/>
      <c r="DY319" s="86"/>
      <c r="DZ319" s="86"/>
      <c r="EA319" s="86"/>
      <c r="EB319" s="86"/>
      <c r="EC319" s="86"/>
      <c r="ED319" s="86"/>
      <c r="EE319" s="86"/>
      <c r="EF319" s="86"/>
      <c r="EG319" s="86"/>
      <c r="EH319" s="86"/>
      <c r="EI319" s="86"/>
      <c r="EJ319" s="86"/>
      <c r="EK319" s="86"/>
      <c r="EL319" s="86"/>
      <c r="EM319" s="86"/>
      <c r="EN319" s="86"/>
      <c r="EO319" s="86"/>
      <c r="EP319" s="86"/>
      <c r="EQ319" s="86"/>
    </row>
    <row r="320" spans="1:147" ht="12.75">
      <c r="A320" s="86"/>
      <c r="B320" s="86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6"/>
      <c r="AK320" s="86"/>
      <c r="AL320" s="86"/>
      <c r="AM320" s="86"/>
      <c r="AN320" s="86"/>
      <c r="AO320" s="86"/>
      <c r="AP320" s="86"/>
      <c r="AQ320" s="86"/>
      <c r="AR320" s="86"/>
      <c r="AS320" s="86"/>
      <c r="AT320" s="86"/>
      <c r="AU320" s="86"/>
      <c r="AV320" s="86"/>
      <c r="AW320" s="86"/>
      <c r="AX320" s="86"/>
      <c r="AY320" s="86"/>
      <c r="AZ320" s="86"/>
      <c r="BA320" s="86"/>
      <c r="BB320" s="86"/>
      <c r="BC320" s="86"/>
      <c r="BD320" s="86"/>
      <c r="BE320" s="86"/>
      <c r="BF320" s="86"/>
      <c r="BG320" s="86"/>
      <c r="BH320" s="86"/>
      <c r="BI320" s="86"/>
      <c r="BJ320" s="86"/>
      <c r="BK320" s="86"/>
      <c r="BL320" s="86"/>
      <c r="BM320" s="86"/>
      <c r="BN320" s="86"/>
      <c r="BO320" s="86"/>
      <c r="BP320" s="86"/>
      <c r="BQ320" s="86"/>
      <c r="BR320" s="86"/>
      <c r="BS320" s="86"/>
      <c r="BT320" s="86"/>
      <c r="BU320" s="86"/>
      <c r="BV320" s="86"/>
      <c r="BW320" s="86"/>
      <c r="BX320" s="86"/>
      <c r="BY320" s="86"/>
      <c r="BZ320" s="86"/>
      <c r="CA320" s="86"/>
      <c r="CB320" s="86"/>
      <c r="CC320" s="86"/>
      <c r="CD320" s="86"/>
      <c r="CE320" s="86"/>
      <c r="CF320" s="86"/>
      <c r="CG320" s="86"/>
      <c r="CH320" s="86"/>
      <c r="CI320" s="86"/>
      <c r="CJ320" s="86"/>
      <c r="CK320" s="86"/>
      <c r="CL320" s="86"/>
      <c r="CM320" s="86"/>
      <c r="CN320" s="86"/>
      <c r="CO320" s="86"/>
      <c r="CP320" s="86"/>
      <c r="CQ320" s="86"/>
      <c r="CR320" s="86"/>
      <c r="CS320" s="86"/>
      <c r="CT320" s="86"/>
      <c r="CU320" s="86"/>
      <c r="CV320" s="86"/>
      <c r="CW320" s="86"/>
      <c r="CX320" s="86"/>
      <c r="CY320" s="86"/>
      <c r="CZ320" s="86"/>
      <c r="DA320" s="86"/>
      <c r="DB320" s="86"/>
      <c r="DC320" s="86"/>
      <c r="DD320" s="86"/>
      <c r="DE320" s="86"/>
      <c r="DF320" s="86"/>
      <c r="DG320" s="86"/>
      <c r="DH320" s="86"/>
      <c r="DI320" s="86"/>
      <c r="DJ320" s="86"/>
      <c r="DK320" s="86"/>
      <c r="DL320" s="86"/>
      <c r="DM320" s="86"/>
      <c r="DN320" s="86"/>
      <c r="DO320" s="86"/>
      <c r="DP320" s="86"/>
      <c r="DQ320" s="86"/>
      <c r="DR320" s="86"/>
      <c r="DS320" s="86"/>
      <c r="DT320" s="86"/>
      <c r="DU320" s="86"/>
      <c r="DV320" s="86"/>
      <c r="DW320" s="86"/>
      <c r="DX320" s="86"/>
      <c r="DY320" s="86"/>
      <c r="DZ320" s="86"/>
      <c r="EA320" s="86"/>
      <c r="EB320" s="86"/>
      <c r="EC320" s="86"/>
      <c r="ED320" s="86"/>
      <c r="EE320" s="86"/>
      <c r="EF320" s="86"/>
      <c r="EG320" s="86"/>
      <c r="EH320" s="86"/>
      <c r="EI320" s="86"/>
      <c r="EJ320" s="86"/>
      <c r="EK320" s="86"/>
      <c r="EL320" s="86"/>
      <c r="EM320" s="86"/>
      <c r="EN320" s="86"/>
      <c r="EO320" s="86"/>
      <c r="EP320" s="86"/>
      <c r="EQ320" s="86"/>
    </row>
    <row r="321" spans="1:147" ht="12.75">
      <c r="A321" s="86"/>
      <c r="B321" s="86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6"/>
      <c r="AK321" s="86"/>
      <c r="AL321" s="86"/>
      <c r="AM321" s="86"/>
      <c r="AN321" s="86"/>
      <c r="AO321" s="86"/>
      <c r="AP321" s="86"/>
      <c r="AQ321" s="86"/>
      <c r="AR321" s="86"/>
      <c r="AS321" s="86"/>
      <c r="AT321" s="86"/>
      <c r="AU321" s="86"/>
      <c r="AV321" s="86"/>
      <c r="AW321" s="86"/>
      <c r="AX321" s="86"/>
      <c r="AY321" s="86"/>
      <c r="AZ321" s="86"/>
      <c r="BA321" s="86"/>
      <c r="BB321" s="86"/>
      <c r="BC321" s="86"/>
      <c r="BD321" s="86"/>
      <c r="BE321" s="86"/>
      <c r="BF321" s="86"/>
      <c r="BG321" s="86"/>
      <c r="BH321" s="86"/>
      <c r="BI321" s="86"/>
      <c r="BJ321" s="86"/>
      <c r="BK321" s="86"/>
      <c r="BL321" s="86"/>
      <c r="BM321" s="86"/>
      <c r="BN321" s="86"/>
      <c r="BO321" s="86"/>
      <c r="BP321" s="86"/>
      <c r="BQ321" s="86"/>
      <c r="BR321" s="86"/>
      <c r="BS321" s="86"/>
      <c r="BT321" s="86"/>
      <c r="BU321" s="86"/>
      <c r="BV321" s="86"/>
      <c r="BW321" s="86"/>
      <c r="BX321" s="86"/>
      <c r="BY321" s="86"/>
      <c r="BZ321" s="86"/>
      <c r="CA321" s="86"/>
      <c r="CB321" s="86"/>
      <c r="CC321" s="86"/>
      <c r="CD321" s="86"/>
      <c r="CE321" s="86"/>
      <c r="CF321" s="86"/>
      <c r="CG321" s="86"/>
      <c r="CH321" s="86"/>
      <c r="CI321" s="86"/>
      <c r="CJ321" s="86"/>
      <c r="CK321" s="86"/>
      <c r="CL321" s="86"/>
      <c r="CM321" s="86"/>
      <c r="CN321" s="86"/>
      <c r="CO321" s="86"/>
      <c r="CP321" s="86"/>
      <c r="CQ321" s="86"/>
      <c r="CR321" s="86"/>
      <c r="CS321" s="86"/>
      <c r="CT321" s="86"/>
      <c r="CU321" s="86"/>
      <c r="CV321" s="86"/>
      <c r="CW321" s="86"/>
      <c r="CX321" s="86"/>
      <c r="CY321" s="86"/>
      <c r="CZ321" s="86"/>
      <c r="DA321" s="86"/>
      <c r="DB321" s="86"/>
      <c r="DC321" s="86"/>
      <c r="DD321" s="86"/>
      <c r="DE321" s="86"/>
      <c r="DF321" s="86"/>
      <c r="DG321" s="86"/>
      <c r="DH321" s="86"/>
      <c r="DI321" s="86"/>
      <c r="DJ321" s="86"/>
      <c r="DK321" s="86"/>
      <c r="DL321" s="86"/>
      <c r="DM321" s="86"/>
      <c r="DN321" s="86"/>
      <c r="DO321" s="86"/>
      <c r="DP321" s="86"/>
      <c r="DQ321" s="86"/>
      <c r="DR321" s="86"/>
      <c r="DS321" s="86"/>
      <c r="DT321" s="86"/>
      <c r="DU321" s="86"/>
      <c r="DV321" s="86"/>
      <c r="DW321" s="86"/>
      <c r="DX321" s="86"/>
      <c r="DY321" s="86"/>
      <c r="DZ321" s="86"/>
      <c r="EA321" s="86"/>
      <c r="EB321" s="86"/>
      <c r="EC321" s="86"/>
      <c r="ED321" s="86"/>
      <c r="EE321" s="86"/>
      <c r="EF321" s="86"/>
      <c r="EG321" s="86"/>
      <c r="EH321" s="86"/>
      <c r="EI321" s="86"/>
      <c r="EJ321" s="86"/>
      <c r="EK321" s="86"/>
      <c r="EL321" s="86"/>
      <c r="EM321" s="86"/>
      <c r="EN321" s="86"/>
      <c r="EO321" s="86"/>
      <c r="EP321" s="86"/>
      <c r="EQ321" s="86"/>
    </row>
    <row r="322" spans="1:147" ht="12.75">
      <c r="A322" s="86"/>
      <c r="B322" s="86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  <c r="AI322" s="86"/>
      <c r="AJ322" s="86"/>
      <c r="AK322" s="86"/>
      <c r="AL322" s="86"/>
      <c r="AM322" s="86"/>
      <c r="AN322" s="86"/>
      <c r="AO322" s="86"/>
      <c r="AP322" s="86"/>
      <c r="AQ322" s="86"/>
      <c r="AR322" s="86"/>
      <c r="AS322" s="86"/>
      <c r="AT322" s="86"/>
      <c r="AU322" s="86"/>
      <c r="AV322" s="86"/>
      <c r="AW322" s="86"/>
      <c r="AX322" s="86"/>
      <c r="AY322" s="86"/>
      <c r="AZ322" s="86"/>
      <c r="BA322" s="86"/>
      <c r="BB322" s="86"/>
      <c r="BC322" s="86"/>
      <c r="BD322" s="86"/>
      <c r="BE322" s="86"/>
      <c r="BF322" s="86"/>
      <c r="BG322" s="86"/>
      <c r="BH322" s="86"/>
      <c r="BI322" s="86"/>
      <c r="BJ322" s="86"/>
      <c r="BK322" s="86"/>
      <c r="BL322" s="86"/>
      <c r="BM322" s="86"/>
      <c r="BN322" s="86"/>
      <c r="BO322" s="86"/>
      <c r="BP322" s="86"/>
      <c r="BQ322" s="86"/>
      <c r="BR322" s="86"/>
      <c r="BS322" s="86"/>
      <c r="BT322" s="86"/>
      <c r="BU322" s="86"/>
      <c r="BV322" s="86"/>
      <c r="BW322" s="86"/>
      <c r="BX322" s="86"/>
      <c r="BY322" s="86"/>
      <c r="BZ322" s="86"/>
      <c r="CA322" s="86"/>
      <c r="CB322" s="86"/>
      <c r="CC322" s="86"/>
      <c r="CD322" s="86"/>
      <c r="CE322" s="86"/>
      <c r="CF322" s="86"/>
      <c r="CG322" s="86"/>
      <c r="CH322" s="86"/>
      <c r="CI322" s="86"/>
      <c r="CJ322" s="86"/>
      <c r="CK322" s="86"/>
      <c r="CL322" s="86"/>
      <c r="CM322" s="86"/>
      <c r="CN322" s="86"/>
      <c r="CO322" s="86"/>
      <c r="CP322" s="86"/>
      <c r="CQ322" s="86"/>
      <c r="CR322" s="86"/>
      <c r="CS322" s="86"/>
      <c r="CT322" s="86"/>
      <c r="CU322" s="86"/>
      <c r="CV322" s="86"/>
      <c r="CW322" s="86"/>
      <c r="CX322" s="86"/>
      <c r="CY322" s="86"/>
      <c r="CZ322" s="86"/>
      <c r="DA322" s="86"/>
      <c r="DB322" s="86"/>
      <c r="DC322" s="86"/>
      <c r="DD322" s="86"/>
      <c r="DE322" s="86"/>
      <c r="DF322" s="86"/>
      <c r="DG322" s="86"/>
      <c r="DH322" s="86"/>
      <c r="DI322" s="86"/>
      <c r="DJ322" s="86"/>
      <c r="DK322" s="86"/>
      <c r="DL322" s="86"/>
      <c r="DM322" s="86"/>
      <c r="DN322" s="86"/>
      <c r="DO322" s="86"/>
      <c r="DP322" s="86"/>
      <c r="DQ322" s="86"/>
      <c r="DR322" s="86"/>
      <c r="DS322" s="86"/>
      <c r="DT322" s="86"/>
      <c r="DU322" s="86"/>
      <c r="DV322" s="86"/>
      <c r="DW322" s="86"/>
      <c r="DX322" s="86"/>
      <c r="DY322" s="86"/>
      <c r="DZ322" s="86"/>
      <c r="EA322" s="86"/>
      <c r="EB322" s="86"/>
      <c r="EC322" s="86"/>
      <c r="ED322" s="86"/>
      <c r="EE322" s="86"/>
      <c r="EF322" s="86"/>
      <c r="EG322" s="86"/>
      <c r="EH322" s="86"/>
      <c r="EI322" s="86"/>
      <c r="EJ322" s="86"/>
      <c r="EK322" s="86"/>
      <c r="EL322" s="86"/>
      <c r="EM322" s="86"/>
      <c r="EN322" s="86"/>
      <c r="EO322" s="86"/>
      <c r="EP322" s="86"/>
      <c r="EQ322" s="86"/>
    </row>
    <row r="323" spans="1:147" ht="12.75">
      <c r="A323" s="86"/>
      <c r="B323" s="86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/>
      <c r="W323" s="86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6"/>
      <c r="AK323" s="86"/>
      <c r="AL323" s="86"/>
      <c r="AM323" s="86"/>
      <c r="AN323" s="86"/>
      <c r="AO323" s="86"/>
      <c r="AP323" s="86"/>
      <c r="AQ323" s="86"/>
      <c r="AR323" s="86"/>
      <c r="AS323" s="86"/>
      <c r="AT323" s="86"/>
      <c r="AU323" s="86"/>
      <c r="AV323" s="86"/>
      <c r="AW323" s="86"/>
      <c r="AX323" s="86"/>
      <c r="AY323" s="86"/>
      <c r="AZ323" s="86"/>
      <c r="BA323" s="86"/>
      <c r="BB323" s="86"/>
      <c r="BC323" s="86"/>
      <c r="BD323" s="86"/>
      <c r="BE323" s="86"/>
      <c r="BF323" s="86"/>
      <c r="BG323" s="86"/>
      <c r="BH323" s="86"/>
      <c r="BI323" s="86"/>
      <c r="BJ323" s="86"/>
      <c r="BK323" s="86"/>
      <c r="BL323" s="86"/>
      <c r="BM323" s="86"/>
      <c r="BN323" s="86"/>
      <c r="BO323" s="86"/>
      <c r="BP323" s="86"/>
      <c r="BQ323" s="86"/>
      <c r="BR323" s="86"/>
      <c r="BS323" s="86"/>
      <c r="BT323" s="86"/>
      <c r="BU323" s="86"/>
      <c r="BV323" s="86"/>
      <c r="BW323" s="86"/>
      <c r="BX323" s="86"/>
      <c r="BY323" s="86"/>
      <c r="BZ323" s="86"/>
      <c r="CA323" s="86"/>
      <c r="CB323" s="86"/>
      <c r="CC323" s="86"/>
      <c r="CD323" s="86"/>
      <c r="CE323" s="86"/>
      <c r="CF323" s="86"/>
      <c r="CG323" s="86"/>
      <c r="CH323" s="86"/>
      <c r="CI323" s="86"/>
      <c r="CJ323" s="86"/>
      <c r="CK323" s="86"/>
      <c r="CL323" s="86"/>
      <c r="CM323" s="86"/>
      <c r="CN323" s="86"/>
      <c r="CO323" s="86"/>
      <c r="CP323" s="86"/>
      <c r="CQ323" s="86"/>
      <c r="CR323" s="86"/>
      <c r="CS323" s="86"/>
      <c r="CT323" s="86"/>
      <c r="CU323" s="86"/>
      <c r="CV323" s="86"/>
      <c r="CW323" s="86"/>
      <c r="CX323" s="86"/>
      <c r="CY323" s="86"/>
      <c r="CZ323" s="86"/>
      <c r="DA323" s="86"/>
      <c r="DB323" s="86"/>
      <c r="DC323" s="86"/>
      <c r="DD323" s="86"/>
      <c r="DE323" s="86"/>
      <c r="DF323" s="86"/>
      <c r="DG323" s="86"/>
      <c r="DH323" s="86"/>
      <c r="DI323" s="86"/>
      <c r="DJ323" s="86"/>
      <c r="DK323" s="86"/>
      <c r="DL323" s="86"/>
      <c r="DM323" s="86"/>
      <c r="DN323" s="86"/>
      <c r="DO323" s="86"/>
      <c r="DP323" s="86"/>
      <c r="DQ323" s="86"/>
      <c r="DR323" s="86"/>
      <c r="DS323" s="86"/>
      <c r="DT323" s="86"/>
      <c r="DU323" s="86"/>
      <c r="DV323" s="86"/>
      <c r="DW323" s="86"/>
      <c r="DX323" s="86"/>
      <c r="DY323" s="86"/>
      <c r="DZ323" s="86"/>
      <c r="EA323" s="86"/>
      <c r="EB323" s="86"/>
      <c r="EC323" s="86"/>
      <c r="ED323" s="86"/>
      <c r="EE323" s="86"/>
      <c r="EF323" s="86"/>
      <c r="EG323" s="86"/>
      <c r="EH323" s="86"/>
      <c r="EI323" s="86"/>
      <c r="EJ323" s="86"/>
      <c r="EK323" s="86"/>
      <c r="EL323" s="86"/>
      <c r="EM323" s="86"/>
      <c r="EN323" s="86"/>
      <c r="EO323" s="86"/>
      <c r="EP323" s="86"/>
      <c r="EQ323" s="86"/>
    </row>
    <row r="324" spans="1:147" ht="12.75">
      <c r="A324" s="86"/>
      <c r="B324" s="86"/>
      <c r="C324" s="86"/>
      <c r="D324" s="86"/>
      <c r="E324" s="86"/>
      <c r="F324" s="86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  <c r="S324" s="86"/>
      <c r="T324" s="86"/>
      <c r="U324" s="86"/>
      <c r="V324" s="86"/>
      <c r="W324" s="86"/>
      <c r="X324" s="86"/>
      <c r="Y324" s="86"/>
      <c r="Z324" s="86"/>
      <c r="AA324" s="86"/>
      <c r="AB324" s="86"/>
      <c r="AC324" s="86"/>
      <c r="AD324" s="86"/>
      <c r="AE324" s="86"/>
      <c r="AF324" s="86"/>
      <c r="AG324" s="86"/>
      <c r="AH324" s="86"/>
      <c r="AI324" s="86"/>
      <c r="AJ324" s="86"/>
      <c r="AK324" s="86"/>
      <c r="AL324" s="86"/>
      <c r="AM324" s="86"/>
      <c r="AN324" s="86"/>
      <c r="AO324" s="86"/>
      <c r="AP324" s="86"/>
      <c r="AQ324" s="86"/>
      <c r="AR324" s="86"/>
      <c r="AS324" s="86"/>
      <c r="AT324" s="86"/>
      <c r="AU324" s="86"/>
      <c r="AV324" s="86"/>
      <c r="AW324" s="86"/>
      <c r="AX324" s="86"/>
      <c r="AY324" s="86"/>
      <c r="AZ324" s="86"/>
      <c r="BA324" s="86"/>
      <c r="BB324" s="86"/>
      <c r="BC324" s="86"/>
      <c r="BD324" s="86"/>
      <c r="BE324" s="86"/>
      <c r="BF324" s="86"/>
      <c r="BG324" s="86"/>
      <c r="BH324" s="86"/>
      <c r="BI324" s="86"/>
      <c r="BJ324" s="86"/>
      <c r="BK324" s="86"/>
      <c r="BL324" s="86"/>
      <c r="BM324" s="86"/>
      <c r="BN324" s="86"/>
      <c r="BO324" s="86"/>
      <c r="BP324" s="86"/>
      <c r="BQ324" s="86"/>
      <c r="BR324" s="86"/>
      <c r="BS324" s="86"/>
      <c r="BT324" s="86"/>
      <c r="BU324" s="86"/>
      <c r="BV324" s="86"/>
      <c r="BW324" s="86"/>
      <c r="BX324" s="86"/>
      <c r="BY324" s="86"/>
      <c r="BZ324" s="86"/>
      <c r="CA324" s="86"/>
      <c r="CB324" s="86"/>
      <c r="CC324" s="86"/>
      <c r="CD324" s="86"/>
      <c r="CE324" s="86"/>
      <c r="CF324" s="86"/>
      <c r="CG324" s="86"/>
      <c r="CH324" s="86"/>
      <c r="CI324" s="86"/>
      <c r="CJ324" s="86"/>
      <c r="CK324" s="86"/>
      <c r="CL324" s="86"/>
      <c r="CM324" s="86"/>
      <c r="CN324" s="86"/>
      <c r="CO324" s="86"/>
      <c r="CP324" s="86"/>
      <c r="CQ324" s="86"/>
      <c r="CR324" s="86"/>
      <c r="CS324" s="86"/>
      <c r="CT324" s="86"/>
      <c r="CU324" s="86"/>
      <c r="CV324" s="86"/>
      <c r="CW324" s="86"/>
      <c r="CX324" s="86"/>
      <c r="CY324" s="86"/>
      <c r="CZ324" s="86"/>
      <c r="DA324" s="86"/>
      <c r="DB324" s="86"/>
      <c r="DC324" s="86"/>
      <c r="DD324" s="86"/>
      <c r="DE324" s="86"/>
      <c r="DF324" s="86"/>
      <c r="DG324" s="86"/>
      <c r="DH324" s="86"/>
      <c r="DI324" s="86"/>
      <c r="DJ324" s="86"/>
      <c r="DK324" s="86"/>
      <c r="DL324" s="86"/>
      <c r="DM324" s="86"/>
      <c r="DN324" s="86"/>
      <c r="DO324" s="86"/>
      <c r="DP324" s="86"/>
      <c r="DQ324" s="86"/>
      <c r="DR324" s="86"/>
      <c r="DS324" s="86"/>
      <c r="DT324" s="86"/>
      <c r="DU324" s="86"/>
      <c r="DV324" s="86"/>
      <c r="DW324" s="86"/>
      <c r="DX324" s="86"/>
      <c r="DY324" s="86"/>
      <c r="DZ324" s="86"/>
      <c r="EA324" s="86"/>
      <c r="EB324" s="86"/>
      <c r="EC324" s="86"/>
      <c r="ED324" s="86"/>
      <c r="EE324" s="86"/>
      <c r="EF324" s="86"/>
      <c r="EG324" s="86"/>
      <c r="EH324" s="86"/>
      <c r="EI324" s="86"/>
      <c r="EJ324" s="86"/>
      <c r="EK324" s="86"/>
      <c r="EL324" s="86"/>
      <c r="EM324" s="86"/>
      <c r="EN324" s="86"/>
      <c r="EO324" s="86"/>
      <c r="EP324" s="86"/>
      <c r="EQ324" s="86"/>
    </row>
    <row r="325" spans="1:147" ht="12.75">
      <c r="A325" s="86"/>
      <c r="B325" s="86"/>
      <c r="C325" s="86"/>
      <c r="D325" s="86"/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  <c r="AI325" s="86"/>
      <c r="AJ325" s="86"/>
      <c r="AK325" s="86"/>
      <c r="AL325" s="86"/>
      <c r="AM325" s="86"/>
      <c r="AN325" s="86"/>
      <c r="AO325" s="86"/>
      <c r="AP325" s="86"/>
      <c r="AQ325" s="86"/>
      <c r="AR325" s="86"/>
      <c r="AS325" s="86"/>
      <c r="AT325" s="86"/>
      <c r="AU325" s="86"/>
      <c r="AV325" s="86"/>
      <c r="AW325" s="86"/>
      <c r="AX325" s="86"/>
      <c r="AY325" s="86"/>
      <c r="AZ325" s="86"/>
      <c r="BA325" s="86"/>
      <c r="BB325" s="86"/>
      <c r="BC325" s="86"/>
      <c r="BD325" s="86"/>
      <c r="BE325" s="86"/>
      <c r="BF325" s="86"/>
      <c r="BG325" s="86"/>
      <c r="BH325" s="86"/>
      <c r="BI325" s="86"/>
      <c r="BJ325" s="86"/>
      <c r="BK325" s="86"/>
      <c r="BL325" s="86"/>
      <c r="BM325" s="86"/>
      <c r="BN325" s="86"/>
      <c r="BO325" s="86"/>
      <c r="BP325" s="86"/>
      <c r="BQ325" s="86"/>
      <c r="BR325" s="86"/>
      <c r="BS325" s="86"/>
      <c r="BT325" s="86"/>
      <c r="BU325" s="86"/>
      <c r="BV325" s="86"/>
      <c r="BW325" s="86"/>
      <c r="BX325" s="86"/>
      <c r="BY325" s="86"/>
      <c r="BZ325" s="86"/>
      <c r="CA325" s="86"/>
      <c r="CB325" s="86"/>
      <c r="CC325" s="86"/>
      <c r="CD325" s="86"/>
      <c r="CE325" s="86"/>
      <c r="CF325" s="86"/>
      <c r="CG325" s="86"/>
      <c r="CH325" s="86"/>
      <c r="CI325" s="86"/>
      <c r="CJ325" s="86"/>
      <c r="CK325" s="86"/>
      <c r="CL325" s="86"/>
      <c r="CM325" s="86"/>
      <c r="CN325" s="86"/>
      <c r="CO325" s="86"/>
      <c r="CP325" s="86"/>
      <c r="CQ325" s="86"/>
      <c r="CR325" s="86"/>
      <c r="CS325" s="86"/>
      <c r="CT325" s="86"/>
      <c r="CU325" s="86"/>
      <c r="CV325" s="86"/>
      <c r="CW325" s="86"/>
      <c r="CX325" s="86"/>
      <c r="CY325" s="86"/>
      <c r="CZ325" s="86"/>
      <c r="DA325" s="86"/>
      <c r="DB325" s="86"/>
      <c r="DC325" s="86"/>
      <c r="DD325" s="86"/>
      <c r="DE325" s="86"/>
      <c r="DF325" s="86"/>
      <c r="DG325" s="86"/>
      <c r="DH325" s="86"/>
      <c r="DI325" s="86"/>
      <c r="DJ325" s="86"/>
      <c r="DK325" s="86"/>
      <c r="DL325" s="86"/>
      <c r="DM325" s="86"/>
      <c r="DN325" s="86"/>
      <c r="DO325" s="86"/>
      <c r="DP325" s="86"/>
      <c r="DQ325" s="86"/>
      <c r="DR325" s="86"/>
      <c r="DS325" s="86"/>
      <c r="DT325" s="86"/>
      <c r="DU325" s="86"/>
      <c r="DV325" s="86"/>
      <c r="DW325" s="86"/>
      <c r="DX325" s="86"/>
      <c r="DY325" s="86"/>
      <c r="DZ325" s="86"/>
      <c r="EA325" s="86"/>
      <c r="EB325" s="86"/>
      <c r="EC325" s="86"/>
      <c r="ED325" s="86"/>
      <c r="EE325" s="86"/>
      <c r="EF325" s="86"/>
      <c r="EG325" s="86"/>
      <c r="EH325" s="86"/>
      <c r="EI325" s="86"/>
      <c r="EJ325" s="86"/>
      <c r="EK325" s="86"/>
      <c r="EL325" s="86"/>
      <c r="EM325" s="86"/>
      <c r="EN325" s="86"/>
      <c r="EO325" s="86"/>
      <c r="EP325" s="86"/>
      <c r="EQ325" s="86"/>
    </row>
    <row r="326" spans="1:147" ht="12.75">
      <c r="A326" s="86"/>
      <c r="B326" s="86"/>
      <c r="C326" s="86"/>
      <c r="D326" s="86"/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  <c r="S326" s="86"/>
      <c r="T326" s="86"/>
      <c r="U326" s="86"/>
      <c r="V326" s="86"/>
      <c r="W326" s="86"/>
      <c r="X326" s="86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  <c r="AI326" s="86"/>
      <c r="AJ326" s="86"/>
      <c r="AK326" s="86"/>
      <c r="AL326" s="86"/>
      <c r="AM326" s="86"/>
      <c r="AN326" s="86"/>
      <c r="AO326" s="86"/>
      <c r="AP326" s="86"/>
      <c r="AQ326" s="86"/>
      <c r="AR326" s="86"/>
      <c r="AS326" s="86"/>
      <c r="AT326" s="86"/>
      <c r="AU326" s="86"/>
      <c r="AV326" s="86"/>
      <c r="AW326" s="86"/>
      <c r="AX326" s="86"/>
      <c r="AY326" s="86"/>
      <c r="AZ326" s="86"/>
      <c r="BA326" s="86"/>
      <c r="BB326" s="86"/>
      <c r="BC326" s="86"/>
      <c r="BD326" s="86"/>
      <c r="BE326" s="86"/>
      <c r="BF326" s="86"/>
      <c r="BG326" s="86"/>
      <c r="BH326" s="86"/>
      <c r="BI326" s="86"/>
      <c r="BJ326" s="86"/>
      <c r="BK326" s="86"/>
      <c r="BL326" s="86"/>
      <c r="BM326" s="86"/>
      <c r="BN326" s="86"/>
      <c r="BO326" s="86"/>
      <c r="BP326" s="86"/>
      <c r="BQ326" s="86"/>
      <c r="BR326" s="86"/>
      <c r="BS326" s="86"/>
      <c r="BT326" s="86"/>
      <c r="BU326" s="86"/>
      <c r="BV326" s="86"/>
      <c r="BW326" s="86"/>
      <c r="BX326" s="86"/>
      <c r="BY326" s="86"/>
      <c r="BZ326" s="86"/>
      <c r="CA326" s="86"/>
      <c r="CB326" s="86"/>
      <c r="CC326" s="86"/>
      <c r="CD326" s="86"/>
      <c r="CE326" s="86"/>
      <c r="CF326" s="86"/>
      <c r="CG326" s="86"/>
      <c r="CH326" s="86"/>
      <c r="CI326" s="86"/>
      <c r="CJ326" s="86"/>
      <c r="CK326" s="86"/>
      <c r="CL326" s="86"/>
      <c r="CM326" s="86"/>
      <c r="CN326" s="86"/>
      <c r="CO326" s="86"/>
      <c r="CP326" s="86"/>
      <c r="CQ326" s="86"/>
      <c r="CR326" s="86"/>
      <c r="CS326" s="86"/>
      <c r="CT326" s="86"/>
      <c r="CU326" s="86"/>
      <c r="CV326" s="86"/>
      <c r="CW326" s="86"/>
      <c r="CX326" s="86"/>
      <c r="CY326" s="86"/>
      <c r="CZ326" s="86"/>
      <c r="DA326" s="86"/>
      <c r="DB326" s="86"/>
      <c r="DC326" s="86"/>
      <c r="DD326" s="86"/>
      <c r="DE326" s="86"/>
      <c r="DF326" s="86"/>
      <c r="DG326" s="86"/>
      <c r="DH326" s="86"/>
      <c r="DI326" s="86"/>
      <c r="DJ326" s="86"/>
      <c r="DK326" s="86"/>
      <c r="DL326" s="86"/>
      <c r="DM326" s="86"/>
      <c r="DN326" s="86"/>
      <c r="DO326" s="86"/>
      <c r="DP326" s="86"/>
      <c r="DQ326" s="86"/>
      <c r="DR326" s="86"/>
      <c r="DS326" s="86"/>
      <c r="DT326" s="86"/>
      <c r="DU326" s="86"/>
      <c r="DV326" s="86"/>
      <c r="DW326" s="86"/>
      <c r="DX326" s="86"/>
      <c r="DY326" s="86"/>
      <c r="DZ326" s="86"/>
      <c r="EA326" s="86"/>
      <c r="EB326" s="86"/>
      <c r="EC326" s="86"/>
      <c r="ED326" s="86"/>
      <c r="EE326" s="86"/>
      <c r="EF326" s="86"/>
      <c r="EG326" s="86"/>
      <c r="EH326" s="86"/>
      <c r="EI326" s="86"/>
      <c r="EJ326" s="86"/>
      <c r="EK326" s="86"/>
      <c r="EL326" s="86"/>
      <c r="EM326" s="86"/>
      <c r="EN326" s="86"/>
      <c r="EO326" s="86"/>
      <c r="EP326" s="86"/>
      <c r="EQ326" s="86"/>
    </row>
    <row r="327" spans="1:147" ht="12.75">
      <c r="A327" s="86"/>
      <c r="B327" s="86"/>
      <c r="C327" s="86"/>
      <c r="D327" s="86"/>
      <c r="E327" s="86"/>
      <c r="F327" s="86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  <c r="AA327" s="86"/>
      <c r="AB327" s="86"/>
      <c r="AC327" s="86"/>
      <c r="AD327" s="86"/>
      <c r="AE327" s="86"/>
      <c r="AF327" s="86"/>
      <c r="AG327" s="86"/>
      <c r="AH327" s="86"/>
      <c r="AI327" s="86"/>
      <c r="AJ327" s="86"/>
      <c r="AK327" s="86"/>
      <c r="AL327" s="86"/>
      <c r="AM327" s="86"/>
      <c r="AN327" s="86"/>
      <c r="AO327" s="86"/>
      <c r="AP327" s="86"/>
      <c r="AQ327" s="86"/>
      <c r="AR327" s="86"/>
      <c r="AS327" s="86"/>
      <c r="AT327" s="86"/>
      <c r="AU327" s="86"/>
      <c r="AV327" s="86"/>
      <c r="AW327" s="86"/>
      <c r="AX327" s="86"/>
      <c r="AY327" s="86"/>
      <c r="AZ327" s="86"/>
      <c r="BA327" s="86"/>
      <c r="BB327" s="86"/>
      <c r="BC327" s="86"/>
      <c r="BD327" s="86"/>
      <c r="BE327" s="86"/>
      <c r="BF327" s="86"/>
      <c r="BG327" s="86"/>
      <c r="BH327" s="86"/>
      <c r="BI327" s="86"/>
      <c r="BJ327" s="86"/>
      <c r="BK327" s="86"/>
      <c r="BL327" s="86"/>
      <c r="BM327" s="86"/>
      <c r="BN327" s="86"/>
      <c r="BO327" s="86"/>
      <c r="BP327" s="86"/>
      <c r="BQ327" s="86"/>
      <c r="BR327" s="86"/>
      <c r="BS327" s="86"/>
      <c r="BT327" s="86"/>
      <c r="BU327" s="86"/>
      <c r="BV327" s="86"/>
      <c r="BW327" s="86"/>
      <c r="BX327" s="86"/>
      <c r="BY327" s="86"/>
      <c r="BZ327" s="86"/>
      <c r="CA327" s="86"/>
      <c r="CB327" s="86"/>
      <c r="CC327" s="86"/>
      <c r="CD327" s="86"/>
      <c r="CE327" s="86"/>
      <c r="CF327" s="86"/>
      <c r="CG327" s="86"/>
      <c r="CH327" s="86"/>
      <c r="CI327" s="86"/>
      <c r="CJ327" s="86"/>
      <c r="CK327" s="86"/>
      <c r="CL327" s="86"/>
      <c r="CM327" s="86"/>
      <c r="CN327" s="86"/>
      <c r="CO327" s="86"/>
      <c r="CP327" s="86"/>
      <c r="CQ327" s="86"/>
      <c r="CR327" s="86"/>
      <c r="CS327" s="86"/>
      <c r="CT327" s="86"/>
      <c r="CU327" s="86"/>
      <c r="CV327" s="86"/>
      <c r="CW327" s="86"/>
      <c r="CX327" s="86"/>
      <c r="CY327" s="86"/>
      <c r="CZ327" s="86"/>
      <c r="DA327" s="86"/>
      <c r="DB327" s="86"/>
      <c r="DC327" s="86"/>
      <c r="DD327" s="86"/>
      <c r="DE327" s="86"/>
      <c r="DF327" s="86"/>
      <c r="DG327" s="86"/>
      <c r="DH327" s="86"/>
      <c r="DI327" s="86"/>
      <c r="DJ327" s="86"/>
      <c r="DK327" s="86"/>
      <c r="DL327" s="86"/>
      <c r="DM327" s="86"/>
      <c r="DN327" s="86"/>
      <c r="DO327" s="86"/>
      <c r="DP327" s="86"/>
      <c r="DQ327" s="86"/>
      <c r="DR327" s="86"/>
      <c r="DS327" s="86"/>
      <c r="DT327" s="86"/>
      <c r="DU327" s="86"/>
      <c r="DV327" s="86"/>
      <c r="DW327" s="86"/>
      <c r="DX327" s="86"/>
      <c r="DY327" s="86"/>
      <c r="DZ327" s="86"/>
      <c r="EA327" s="86"/>
      <c r="EB327" s="86"/>
      <c r="EC327" s="86"/>
      <c r="ED327" s="86"/>
      <c r="EE327" s="86"/>
      <c r="EF327" s="86"/>
      <c r="EG327" s="86"/>
      <c r="EH327" s="86"/>
      <c r="EI327" s="86"/>
      <c r="EJ327" s="86"/>
      <c r="EK327" s="86"/>
      <c r="EL327" s="86"/>
      <c r="EM327" s="86"/>
      <c r="EN327" s="86"/>
      <c r="EO327" s="86"/>
      <c r="EP327" s="86"/>
      <c r="EQ327" s="86"/>
    </row>
    <row r="328" spans="1:147" ht="12.75">
      <c r="A328" s="86"/>
      <c r="B328" s="86"/>
      <c r="C328" s="86"/>
      <c r="D328" s="86"/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  <c r="S328" s="86"/>
      <c r="T328" s="86"/>
      <c r="U328" s="86"/>
      <c r="V328" s="86"/>
      <c r="W328" s="86"/>
      <c r="X328" s="86"/>
      <c r="Y328" s="86"/>
      <c r="Z328" s="86"/>
      <c r="AA328" s="86"/>
      <c r="AB328" s="86"/>
      <c r="AC328" s="86"/>
      <c r="AD328" s="86"/>
      <c r="AE328" s="86"/>
      <c r="AF328" s="86"/>
      <c r="AG328" s="86"/>
      <c r="AH328" s="86"/>
      <c r="AI328" s="86"/>
      <c r="AJ328" s="86"/>
      <c r="AK328" s="86"/>
      <c r="AL328" s="86"/>
      <c r="AM328" s="86"/>
      <c r="AN328" s="86"/>
      <c r="AO328" s="86"/>
      <c r="AP328" s="86"/>
      <c r="AQ328" s="86"/>
      <c r="AR328" s="86"/>
      <c r="AS328" s="86"/>
      <c r="AT328" s="86"/>
      <c r="AU328" s="86"/>
      <c r="AV328" s="86"/>
      <c r="AW328" s="86"/>
      <c r="AX328" s="86"/>
      <c r="AY328" s="86"/>
      <c r="AZ328" s="86"/>
      <c r="BA328" s="86"/>
      <c r="BB328" s="86"/>
      <c r="BC328" s="86"/>
      <c r="BD328" s="86"/>
      <c r="BE328" s="86"/>
      <c r="BF328" s="86"/>
      <c r="BG328" s="86"/>
      <c r="BH328" s="86"/>
      <c r="BI328" s="86"/>
      <c r="BJ328" s="86"/>
      <c r="BK328" s="86"/>
      <c r="BL328" s="86"/>
      <c r="BM328" s="86"/>
      <c r="BN328" s="86"/>
      <c r="BO328" s="86"/>
      <c r="BP328" s="86"/>
      <c r="BQ328" s="86"/>
      <c r="BR328" s="86"/>
      <c r="BS328" s="86"/>
      <c r="BT328" s="86"/>
      <c r="BU328" s="86"/>
      <c r="BV328" s="86"/>
      <c r="BW328" s="86"/>
      <c r="BX328" s="86"/>
      <c r="BY328" s="86"/>
      <c r="BZ328" s="86"/>
      <c r="CA328" s="86"/>
      <c r="CB328" s="86"/>
      <c r="CC328" s="86"/>
      <c r="CD328" s="86"/>
      <c r="CE328" s="86"/>
      <c r="CF328" s="86"/>
      <c r="CG328" s="86"/>
      <c r="CH328" s="86"/>
      <c r="CI328" s="86"/>
      <c r="CJ328" s="86"/>
      <c r="CK328" s="86"/>
      <c r="CL328" s="86"/>
      <c r="CM328" s="86"/>
      <c r="CN328" s="86"/>
      <c r="CO328" s="86"/>
      <c r="CP328" s="86"/>
      <c r="CQ328" s="86"/>
      <c r="CR328" s="86"/>
      <c r="CS328" s="86"/>
      <c r="CT328" s="86"/>
      <c r="CU328" s="86"/>
      <c r="CV328" s="86"/>
      <c r="CW328" s="86"/>
      <c r="CX328" s="86"/>
      <c r="CY328" s="86"/>
      <c r="CZ328" s="86"/>
      <c r="DA328" s="86"/>
      <c r="DB328" s="86"/>
      <c r="DC328" s="86"/>
      <c r="DD328" s="86"/>
      <c r="DE328" s="86"/>
      <c r="DF328" s="86"/>
      <c r="DG328" s="86"/>
      <c r="DH328" s="86"/>
      <c r="DI328" s="86"/>
      <c r="DJ328" s="86"/>
      <c r="DK328" s="86"/>
      <c r="DL328" s="86"/>
      <c r="DM328" s="86"/>
      <c r="DN328" s="86"/>
      <c r="DO328" s="86"/>
      <c r="DP328" s="86"/>
      <c r="DQ328" s="86"/>
      <c r="DR328" s="86"/>
      <c r="DS328" s="86"/>
      <c r="DT328" s="86"/>
      <c r="DU328" s="86"/>
      <c r="DV328" s="86"/>
      <c r="DW328" s="86"/>
      <c r="DX328" s="86"/>
      <c r="DY328" s="86"/>
      <c r="DZ328" s="86"/>
      <c r="EA328" s="86"/>
      <c r="EB328" s="86"/>
      <c r="EC328" s="86"/>
      <c r="ED328" s="86"/>
      <c r="EE328" s="86"/>
      <c r="EF328" s="86"/>
      <c r="EG328" s="86"/>
      <c r="EH328" s="86"/>
      <c r="EI328" s="86"/>
      <c r="EJ328" s="86"/>
      <c r="EK328" s="86"/>
      <c r="EL328" s="86"/>
      <c r="EM328" s="86"/>
      <c r="EN328" s="86"/>
      <c r="EO328" s="86"/>
      <c r="EP328" s="86"/>
      <c r="EQ328" s="86"/>
    </row>
    <row r="329" spans="1:147" ht="12.75">
      <c r="A329" s="86"/>
      <c r="B329" s="86"/>
      <c r="C329" s="86"/>
      <c r="D329" s="86"/>
      <c r="E329" s="86"/>
      <c r="F329" s="86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86"/>
      <c r="U329" s="86"/>
      <c r="V329" s="86"/>
      <c r="W329" s="86"/>
      <c r="X329" s="86"/>
      <c r="Y329" s="86"/>
      <c r="Z329" s="86"/>
      <c r="AA329" s="86"/>
      <c r="AB329" s="86"/>
      <c r="AC329" s="86"/>
      <c r="AD329" s="86"/>
      <c r="AE329" s="86"/>
      <c r="AF329" s="86"/>
      <c r="AG329" s="86"/>
      <c r="AH329" s="86"/>
      <c r="AI329" s="86"/>
      <c r="AJ329" s="86"/>
      <c r="AK329" s="86"/>
      <c r="AL329" s="86"/>
      <c r="AM329" s="86"/>
      <c r="AN329" s="86"/>
      <c r="AO329" s="86"/>
      <c r="AP329" s="86"/>
      <c r="AQ329" s="86"/>
      <c r="AR329" s="86"/>
      <c r="AS329" s="86"/>
      <c r="AT329" s="86"/>
      <c r="AU329" s="86"/>
      <c r="AV329" s="86"/>
      <c r="AW329" s="86"/>
      <c r="AX329" s="86"/>
      <c r="AY329" s="86"/>
      <c r="AZ329" s="86"/>
      <c r="BA329" s="86"/>
      <c r="BB329" s="86"/>
      <c r="BC329" s="86"/>
      <c r="BD329" s="86"/>
      <c r="BE329" s="86"/>
      <c r="BF329" s="86"/>
      <c r="BG329" s="86"/>
      <c r="BH329" s="86"/>
      <c r="BI329" s="86"/>
      <c r="BJ329" s="86"/>
      <c r="BK329" s="86"/>
      <c r="BL329" s="86"/>
      <c r="BM329" s="86"/>
      <c r="BN329" s="86"/>
      <c r="BO329" s="86"/>
      <c r="BP329" s="86"/>
      <c r="BQ329" s="86"/>
      <c r="BR329" s="86"/>
      <c r="BS329" s="86"/>
      <c r="BT329" s="86"/>
      <c r="BU329" s="86"/>
      <c r="BV329" s="86"/>
      <c r="BW329" s="86"/>
      <c r="BX329" s="86"/>
      <c r="BY329" s="86"/>
      <c r="BZ329" s="86"/>
      <c r="CA329" s="86"/>
      <c r="CB329" s="86"/>
      <c r="CC329" s="86"/>
      <c r="CD329" s="86"/>
      <c r="CE329" s="86"/>
      <c r="CF329" s="86"/>
      <c r="CG329" s="86"/>
      <c r="CH329" s="86"/>
      <c r="CI329" s="86"/>
      <c r="CJ329" s="86"/>
      <c r="CK329" s="86"/>
      <c r="CL329" s="86"/>
      <c r="CM329" s="86"/>
      <c r="CN329" s="86"/>
      <c r="CO329" s="86"/>
      <c r="CP329" s="86"/>
      <c r="CQ329" s="86"/>
      <c r="CR329" s="86"/>
      <c r="CS329" s="86"/>
      <c r="CT329" s="86"/>
      <c r="CU329" s="86"/>
      <c r="CV329" s="86"/>
      <c r="CW329" s="86"/>
      <c r="CX329" s="86"/>
      <c r="CY329" s="86"/>
      <c r="CZ329" s="86"/>
      <c r="DA329" s="86"/>
      <c r="DB329" s="86"/>
      <c r="DC329" s="86"/>
      <c r="DD329" s="86"/>
      <c r="DE329" s="86"/>
      <c r="DF329" s="86"/>
      <c r="DG329" s="86"/>
      <c r="DH329" s="86"/>
      <c r="DI329" s="86"/>
      <c r="DJ329" s="86"/>
      <c r="DK329" s="86"/>
      <c r="DL329" s="86"/>
      <c r="DM329" s="86"/>
      <c r="DN329" s="86"/>
      <c r="DO329" s="86"/>
      <c r="DP329" s="86"/>
      <c r="DQ329" s="86"/>
      <c r="DR329" s="86"/>
      <c r="DS329" s="86"/>
      <c r="DT329" s="86"/>
      <c r="DU329" s="86"/>
      <c r="DV329" s="86"/>
      <c r="DW329" s="86"/>
      <c r="DX329" s="86"/>
      <c r="DY329" s="86"/>
      <c r="DZ329" s="86"/>
      <c r="EA329" s="86"/>
      <c r="EB329" s="86"/>
      <c r="EC329" s="86"/>
      <c r="ED329" s="86"/>
      <c r="EE329" s="86"/>
      <c r="EF329" s="86"/>
      <c r="EG329" s="86"/>
      <c r="EH329" s="86"/>
      <c r="EI329" s="86"/>
      <c r="EJ329" s="86"/>
      <c r="EK329" s="86"/>
      <c r="EL329" s="86"/>
      <c r="EM329" s="86"/>
      <c r="EN329" s="86"/>
      <c r="EO329" s="86"/>
      <c r="EP329" s="86"/>
      <c r="EQ329" s="86"/>
    </row>
    <row r="330" spans="1:147" ht="12.75">
      <c r="A330" s="86"/>
      <c r="B330" s="86"/>
      <c r="C330" s="86"/>
      <c r="D330" s="86"/>
      <c r="E330" s="86"/>
      <c r="F330" s="86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  <c r="S330" s="86"/>
      <c r="T330" s="86"/>
      <c r="U330" s="86"/>
      <c r="V330" s="86"/>
      <c r="W330" s="86"/>
      <c r="X330" s="86"/>
      <c r="Y330" s="86"/>
      <c r="Z330" s="86"/>
      <c r="AA330" s="86"/>
      <c r="AB330" s="86"/>
      <c r="AC330" s="86"/>
      <c r="AD330" s="86"/>
      <c r="AE330" s="86"/>
      <c r="AF330" s="86"/>
      <c r="AG330" s="86"/>
      <c r="AH330" s="86"/>
      <c r="AI330" s="86"/>
      <c r="AJ330" s="86"/>
      <c r="AK330" s="86"/>
      <c r="AL330" s="86"/>
      <c r="AM330" s="86"/>
      <c r="AN330" s="86"/>
      <c r="AO330" s="86"/>
      <c r="AP330" s="86"/>
      <c r="AQ330" s="86"/>
      <c r="AR330" s="86"/>
      <c r="AS330" s="86"/>
      <c r="AT330" s="86"/>
      <c r="AU330" s="86"/>
      <c r="AV330" s="86"/>
      <c r="AW330" s="86"/>
      <c r="AX330" s="86"/>
      <c r="AY330" s="86"/>
      <c r="AZ330" s="86"/>
      <c r="BA330" s="86"/>
      <c r="BB330" s="86"/>
      <c r="BC330" s="86"/>
      <c r="BD330" s="86"/>
      <c r="BE330" s="86"/>
      <c r="BF330" s="86"/>
      <c r="BG330" s="86"/>
      <c r="BH330" s="86"/>
      <c r="BI330" s="86"/>
      <c r="BJ330" s="86"/>
      <c r="BK330" s="86"/>
      <c r="BL330" s="86"/>
      <c r="BM330" s="86"/>
      <c r="BN330" s="86"/>
      <c r="BO330" s="86"/>
      <c r="BP330" s="86"/>
      <c r="BQ330" s="86"/>
      <c r="BR330" s="86"/>
      <c r="BS330" s="86"/>
      <c r="BT330" s="86"/>
      <c r="BU330" s="86"/>
      <c r="BV330" s="86"/>
      <c r="BW330" s="86"/>
      <c r="BX330" s="86"/>
      <c r="BY330" s="86"/>
      <c r="BZ330" s="86"/>
      <c r="CA330" s="86"/>
      <c r="CB330" s="86"/>
      <c r="CC330" s="86"/>
      <c r="CD330" s="86"/>
      <c r="CE330" s="86"/>
      <c r="CF330" s="86"/>
      <c r="CG330" s="86"/>
      <c r="CH330" s="86"/>
      <c r="CI330" s="86"/>
      <c r="CJ330" s="86"/>
      <c r="CK330" s="86"/>
      <c r="CL330" s="86"/>
      <c r="CM330" s="86"/>
      <c r="CN330" s="86"/>
      <c r="CO330" s="86"/>
      <c r="CP330" s="86"/>
      <c r="CQ330" s="86"/>
      <c r="CR330" s="86"/>
      <c r="CS330" s="86"/>
      <c r="CT330" s="86"/>
      <c r="CU330" s="86"/>
      <c r="CV330" s="86"/>
      <c r="CW330" s="86"/>
      <c r="CX330" s="86"/>
      <c r="CY330" s="86"/>
      <c r="CZ330" s="86"/>
      <c r="DA330" s="86"/>
      <c r="DB330" s="86"/>
      <c r="DC330" s="86"/>
      <c r="DD330" s="86"/>
      <c r="DE330" s="86"/>
      <c r="DF330" s="86"/>
      <c r="DG330" s="86"/>
      <c r="DH330" s="86"/>
      <c r="DI330" s="86"/>
      <c r="DJ330" s="86"/>
      <c r="DK330" s="86"/>
      <c r="DL330" s="86"/>
      <c r="DM330" s="86"/>
      <c r="DN330" s="86"/>
      <c r="DO330" s="86"/>
      <c r="DP330" s="86"/>
      <c r="DQ330" s="86"/>
      <c r="DR330" s="86"/>
      <c r="DS330" s="86"/>
      <c r="DT330" s="86"/>
      <c r="DU330" s="86"/>
      <c r="DV330" s="86"/>
      <c r="DW330" s="86"/>
      <c r="DX330" s="86"/>
      <c r="DY330" s="86"/>
      <c r="DZ330" s="86"/>
      <c r="EA330" s="86"/>
      <c r="EB330" s="86"/>
      <c r="EC330" s="86"/>
      <c r="ED330" s="86"/>
      <c r="EE330" s="86"/>
      <c r="EF330" s="86"/>
      <c r="EG330" s="86"/>
      <c r="EH330" s="86"/>
      <c r="EI330" s="86"/>
      <c r="EJ330" s="86"/>
      <c r="EK330" s="86"/>
      <c r="EL330" s="86"/>
      <c r="EM330" s="86"/>
      <c r="EN330" s="86"/>
      <c r="EO330" s="86"/>
      <c r="EP330" s="86"/>
      <c r="EQ330" s="86"/>
    </row>
    <row r="331" spans="1:147" ht="12.75">
      <c r="A331" s="86"/>
      <c r="B331" s="86"/>
      <c r="C331" s="86"/>
      <c r="D331" s="86"/>
      <c r="E331" s="86"/>
      <c r="F331" s="86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  <c r="S331" s="86"/>
      <c r="T331" s="86"/>
      <c r="U331" s="86"/>
      <c r="V331" s="86"/>
      <c r="W331" s="86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6"/>
      <c r="AK331" s="86"/>
      <c r="AL331" s="86"/>
      <c r="AM331" s="86"/>
      <c r="AN331" s="86"/>
      <c r="AO331" s="86"/>
      <c r="AP331" s="86"/>
      <c r="AQ331" s="86"/>
      <c r="AR331" s="86"/>
      <c r="AS331" s="86"/>
      <c r="AT331" s="86"/>
      <c r="AU331" s="86"/>
      <c r="AV331" s="86"/>
      <c r="AW331" s="86"/>
      <c r="AX331" s="86"/>
      <c r="AY331" s="86"/>
      <c r="AZ331" s="86"/>
      <c r="BA331" s="86"/>
      <c r="BB331" s="86"/>
      <c r="BC331" s="86"/>
      <c r="BD331" s="86"/>
      <c r="BE331" s="86"/>
      <c r="BF331" s="86"/>
      <c r="BG331" s="86"/>
      <c r="BH331" s="86"/>
      <c r="BI331" s="86"/>
      <c r="BJ331" s="86"/>
      <c r="BK331" s="86"/>
      <c r="BL331" s="86"/>
      <c r="BM331" s="86"/>
      <c r="BN331" s="86"/>
      <c r="BO331" s="86"/>
      <c r="BP331" s="86"/>
      <c r="BQ331" s="86"/>
      <c r="BR331" s="86"/>
      <c r="BS331" s="86"/>
      <c r="BT331" s="86"/>
      <c r="BU331" s="86"/>
      <c r="BV331" s="86"/>
      <c r="BW331" s="86"/>
      <c r="BX331" s="86"/>
      <c r="BY331" s="86"/>
      <c r="BZ331" s="86"/>
      <c r="CA331" s="86"/>
      <c r="CB331" s="86"/>
      <c r="CC331" s="86"/>
      <c r="CD331" s="86"/>
      <c r="CE331" s="86"/>
      <c r="CF331" s="86"/>
      <c r="CG331" s="86"/>
      <c r="CH331" s="86"/>
      <c r="CI331" s="86"/>
      <c r="CJ331" s="86"/>
      <c r="CK331" s="86"/>
      <c r="CL331" s="86"/>
      <c r="CM331" s="86"/>
      <c r="CN331" s="86"/>
      <c r="CO331" s="86"/>
      <c r="CP331" s="86"/>
      <c r="CQ331" s="86"/>
      <c r="CR331" s="86"/>
      <c r="CS331" s="86"/>
      <c r="CT331" s="86"/>
      <c r="CU331" s="86"/>
      <c r="CV331" s="86"/>
      <c r="CW331" s="86"/>
      <c r="CX331" s="86"/>
      <c r="CY331" s="86"/>
      <c r="CZ331" s="86"/>
      <c r="DA331" s="86"/>
      <c r="DB331" s="86"/>
      <c r="DC331" s="86"/>
      <c r="DD331" s="86"/>
      <c r="DE331" s="86"/>
      <c r="DF331" s="86"/>
      <c r="DG331" s="86"/>
      <c r="DH331" s="86"/>
      <c r="DI331" s="86"/>
      <c r="DJ331" s="86"/>
      <c r="DK331" s="86"/>
      <c r="DL331" s="86"/>
      <c r="DM331" s="86"/>
      <c r="DN331" s="86"/>
      <c r="DO331" s="86"/>
      <c r="DP331" s="86"/>
      <c r="DQ331" s="86"/>
      <c r="DR331" s="86"/>
      <c r="DS331" s="86"/>
      <c r="DT331" s="86"/>
      <c r="DU331" s="86"/>
      <c r="DV331" s="86"/>
      <c r="DW331" s="86"/>
      <c r="DX331" s="86"/>
      <c r="DY331" s="86"/>
      <c r="DZ331" s="86"/>
      <c r="EA331" s="86"/>
      <c r="EB331" s="86"/>
      <c r="EC331" s="86"/>
      <c r="ED331" s="86"/>
      <c r="EE331" s="86"/>
      <c r="EF331" s="86"/>
      <c r="EG331" s="86"/>
      <c r="EH331" s="86"/>
      <c r="EI331" s="86"/>
      <c r="EJ331" s="86"/>
      <c r="EK331" s="86"/>
      <c r="EL331" s="86"/>
      <c r="EM331" s="86"/>
      <c r="EN331" s="86"/>
      <c r="EO331" s="86"/>
      <c r="EP331" s="86"/>
      <c r="EQ331" s="86"/>
    </row>
    <row r="332" spans="1:147" ht="12.75">
      <c r="A332" s="86"/>
      <c r="B332" s="86"/>
      <c r="C332" s="86"/>
      <c r="D332" s="86"/>
      <c r="E332" s="86"/>
      <c r="F332" s="86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  <c r="S332" s="86"/>
      <c r="T332" s="86"/>
      <c r="U332" s="86"/>
      <c r="V332" s="86"/>
      <c r="W332" s="86"/>
      <c r="X332" s="86"/>
      <c r="Y332" s="86"/>
      <c r="Z332" s="86"/>
      <c r="AA332" s="86"/>
      <c r="AB332" s="86"/>
      <c r="AC332" s="86"/>
      <c r="AD332" s="86"/>
      <c r="AE332" s="86"/>
      <c r="AF332" s="86"/>
      <c r="AG332" s="86"/>
      <c r="AH332" s="86"/>
      <c r="AI332" s="86"/>
      <c r="AJ332" s="86"/>
      <c r="AK332" s="86"/>
      <c r="AL332" s="86"/>
      <c r="AM332" s="86"/>
      <c r="AN332" s="86"/>
      <c r="AO332" s="86"/>
      <c r="AP332" s="86"/>
      <c r="AQ332" s="86"/>
      <c r="AR332" s="86"/>
      <c r="AS332" s="86"/>
      <c r="AT332" s="86"/>
      <c r="AU332" s="86"/>
      <c r="AV332" s="86"/>
      <c r="AW332" s="86"/>
      <c r="AX332" s="86"/>
      <c r="AY332" s="86"/>
      <c r="AZ332" s="86"/>
      <c r="BA332" s="86"/>
      <c r="BB332" s="86"/>
      <c r="BC332" s="86"/>
      <c r="BD332" s="86"/>
      <c r="BE332" s="86"/>
      <c r="BF332" s="86"/>
      <c r="BG332" s="86"/>
      <c r="BH332" s="86"/>
      <c r="BI332" s="86"/>
      <c r="BJ332" s="86"/>
      <c r="BK332" s="86"/>
      <c r="BL332" s="86"/>
      <c r="BM332" s="86"/>
      <c r="BN332" s="86"/>
      <c r="BO332" s="86"/>
      <c r="BP332" s="86"/>
      <c r="BQ332" s="86"/>
      <c r="BR332" s="86"/>
      <c r="BS332" s="86"/>
      <c r="BT332" s="86"/>
      <c r="BU332" s="86"/>
      <c r="BV332" s="86"/>
      <c r="BW332" s="86"/>
      <c r="BX332" s="86"/>
      <c r="BY332" s="86"/>
      <c r="BZ332" s="86"/>
      <c r="CA332" s="86"/>
      <c r="CB332" s="86"/>
      <c r="CC332" s="86"/>
      <c r="CD332" s="86"/>
      <c r="CE332" s="86"/>
      <c r="CF332" s="86"/>
      <c r="CG332" s="86"/>
      <c r="CH332" s="86"/>
      <c r="CI332" s="86"/>
      <c r="CJ332" s="86"/>
      <c r="CK332" s="86"/>
      <c r="CL332" s="86"/>
      <c r="CM332" s="86"/>
      <c r="CN332" s="86"/>
      <c r="CO332" s="86"/>
      <c r="CP332" s="86"/>
      <c r="CQ332" s="86"/>
      <c r="CR332" s="86"/>
      <c r="CS332" s="86"/>
      <c r="CT332" s="86"/>
      <c r="CU332" s="86"/>
      <c r="CV332" s="86"/>
      <c r="CW332" s="86"/>
      <c r="CX332" s="86"/>
      <c r="CY332" s="86"/>
      <c r="CZ332" s="86"/>
      <c r="DA332" s="86"/>
      <c r="DB332" s="86"/>
      <c r="DC332" s="86"/>
      <c r="DD332" s="86"/>
      <c r="DE332" s="86"/>
      <c r="DF332" s="86"/>
      <c r="DG332" s="86"/>
      <c r="DH332" s="86"/>
      <c r="DI332" s="86"/>
      <c r="DJ332" s="86"/>
      <c r="DK332" s="86"/>
      <c r="DL332" s="86"/>
      <c r="DM332" s="86"/>
      <c r="DN332" s="86"/>
      <c r="DO332" s="86"/>
      <c r="DP332" s="86"/>
      <c r="DQ332" s="86"/>
      <c r="DR332" s="86"/>
      <c r="DS332" s="86"/>
      <c r="DT332" s="86"/>
      <c r="DU332" s="86"/>
      <c r="DV332" s="86"/>
      <c r="DW332" s="86"/>
      <c r="DX332" s="86"/>
      <c r="DY332" s="86"/>
      <c r="DZ332" s="86"/>
      <c r="EA332" s="86"/>
      <c r="EB332" s="86"/>
      <c r="EC332" s="86"/>
      <c r="ED332" s="86"/>
      <c r="EE332" s="86"/>
      <c r="EF332" s="86"/>
      <c r="EG332" s="86"/>
      <c r="EH332" s="86"/>
      <c r="EI332" s="86"/>
      <c r="EJ332" s="86"/>
      <c r="EK332" s="86"/>
      <c r="EL332" s="86"/>
      <c r="EM332" s="86"/>
      <c r="EN332" s="86"/>
      <c r="EO332" s="86"/>
      <c r="EP332" s="86"/>
      <c r="EQ332" s="86"/>
    </row>
    <row r="333" spans="1:147" ht="12.75">
      <c r="A333" s="86"/>
      <c r="B333" s="86"/>
      <c r="C333" s="86"/>
      <c r="D333" s="86"/>
      <c r="E333" s="86"/>
      <c r="F333" s="86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  <c r="S333" s="86"/>
      <c r="T333" s="86"/>
      <c r="U333" s="86"/>
      <c r="V333" s="86"/>
      <c r="W333" s="86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  <c r="AI333" s="86"/>
      <c r="AJ333" s="86"/>
      <c r="AK333" s="86"/>
      <c r="AL333" s="86"/>
      <c r="AM333" s="86"/>
      <c r="AN333" s="86"/>
      <c r="AO333" s="86"/>
      <c r="AP333" s="86"/>
      <c r="AQ333" s="86"/>
      <c r="AR333" s="86"/>
      <c r="AS333" s="86"/>
      <c r="AT333" s="86"/>
      <c r="AU333" s="86"/>
      <c r="AV333" s="86"/>
      <c r="AW333" s="86"/>
      <c r="AX333" s="86"/>
      <c r="AY333" s="86"/>
      <c r="AZ333" s="86"/>
      <c r="BA333" s="86"/>
      <c r="BB333" s="86"/>
      <c r="BC333" s="86"/>
      <c r="BD333" s="86"/>
      <c r="BE333" s="86"/>
      <c r="BF333" s="86"/>
      <c r="BG333" s="86"/>
      <c r="BH333" s="86"/>
      <c r="BI333" s="86"/>
      <c r="BJ333" s="86"/>
      <c r="BK333" s="86"/>
      <c r="BL333" s="86"/>
      <c r="BM333" s="86"/>
      <c r="BN333" s="86"/>
      <c r="BO333" s="86"/>
      <c r="BP333" s="86"/>
      <c r="BQ333" s="86"/>
      <c r="BR333" s="86"/>
      <c r="BS333" s="86"/>
      <c r="BT333" s="86"/>
      <c r="BU333" s="86"/>
      <c r="BV333" s="86"/>
      <c r="BW333" s="86"/>
      <c r="BX333" s="86"/>
      <c r="BY333" s="86"/>
      <c r="BZ333" s="86"/>
      <c r="CA333" s="86"/>
      <c r="CB333" s="86"/>
      <c r="CC333" s="86"/>
      <c r="CD333" s="86"/>
      <c r="CE333" s="86"/>
      <c r="CF333" s="86"/>
      <c r="CG333" s="86"/>
      <c r="CH333" s="86"/>
      <c r="CI333" s="86"/>
      <c r="CJ333" s="86"/>
      <c r="CK333" s="86"/>
      <c r="CL333" s="86"/>
      <c r="CM333" s="86"/>
      <c r="CN333" s="86"/>
      <c r="CO333" s="86"/>
      <c r="CP333" s="86"/>
      <c r="CQ333" s="86"/>
      <c r="CR333" s="86"/>
      <c r="CS333" s="86"/>
      <c r="CT333" s="86"/>
      <c r="CU333" s="86"/>
      <c r="CV333" s="86"/>
      <c r="CW333" s="86"/>
      <c r="CX333" s="86"/>
      <c r="CY333" s="86"/>
      <c r="CZ333" s="86"/>
      <c r="DA333" s="86"/>
      <c r="DB333" s="86"/>
      <c r="DC333" s="86"/>
      <c r="DD333" s="86"/>
      <c r="DE333" s="86"/>
      <c r="DF333" s="86"/>
      <c r="DG333" s="86"/>
      <c r="DH333" s="86"/>
      <c r="DI333" s="86"/>
      <c r="DJ333" s="86"/>
      <c r="DK333" s="86"/>
      <c r="DL333" s="86"/>
      <c r="DM333" s="86"/>
      <c r="DN333" s="86"/>
      <c r="DO333" s="86"/>
      <c r="DP333" s="86"/>
      <c r="DQ333" s="86"/>
      <c r="DR333" s="86"/>
      <c r="DS333" s="86"/>
      <c r="DT333" s="86"/>
      <c r="DU333" s="86"/>
      <c r="DV333" s="86"/>
      <c r="DW333" s="86"/>
      <c r="DX333" s="86"/>
      <c r="DY333" s="86"/>
      <c r="DZ333" s="86"/>
      <c r="EA333" s="86"/>
      <c r="EB333" s="86"/>
      <c r="EC333" s="86"/>
      <c r="ED333" s="86"/>
      <c r="EE333" s="86"/>
      <c r="EF333" s="86"/>
      <c r="EG333" s="86"/>
      <c r="EH333" s="86"/>
      <c r="EI333" s="86"/>
      <c r="EJ333" s="86"/>
      <c r="EK333" s="86"/>
      <c r="EL333" s="86"/>
      <c r="EM333" s="86"/>
      <c r="EN333" s="86"/>
      <c r="EO333" s="86"/>
      <c r="EP333" s="86"/>
      <c r="EQ333" s="86"/>
    </row>
    <row r="334" spans="1:147" ht="12.75">
      <c r="A334" s="86"/>
      <c r="B334" s="86"/>
      <c r="C334" s="86"/>
      <c r="D334" s="86"/>
      <c r="E334" s="86"/>
      <c r="F334" s="86"/>
      <c r="G334" s="86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  <c r="S334" s="86"/>
      <c r="T334" s="86"/>
      <c r="U334" s="86"/>
      <c r="V334" s="86"/>
      <c r="W334" s="86"/>
      <c r="X334" s="86"/>
      <c r="Y334" s="86"/>
      <c r="Z334" s="86"/>
      <c r="AA334" s="86"/>
      <c r="AB334" s="86"/>
      <c r="AC334" s="86"/>
      <c r="AD334" s="86"/>
      <c r="AE334" s="86"/>
      <c r="AF334" s="86"/>
      <c r="AG334" s="86"/>
      <c r="AH334" s="86"/>
      <c r="AI334" s="86"/>
      <c r="AJ334" s="86"/>
      <c r="AK334" s="86"/>
      <c r="AL334" s="86"/>
      <c r="AM334" s="86"/>
      <c r="AN334" s="86"/>
      <c r="AO334" s="86"/>
      <c r="AP334" s="86"/>
      <c r="AQ334" s="86"/>
      <c r="AR334" s="86"/>
      <c r="AS334" s="86"/>
      <c r="AT334" s="86"/>
      <c r="AU334" s="86"/>
      <c r="AV334" s="86"/>
      <c r="AW334" s="86"/>
      <c r="AX334" s="86"/>
      <c r="AY334" s="86"/>
      <c r="AZ334" s="86"/>
      <c r="BA334" s="86"/>
      <c r="BB334" s="86"/>
      <c r="BC334" s="86"/>
      <c r="BD334" s="86"/>
      <c r="BE334" s="86"/>
      <c r="BF334" s="86"/>
      <c r="BG334" s="86"/>
      <c r="BH334" s="86"/>
      <c r="BI334" s="86"/>
      <c r="BJ334" s="86"/>
      <c r="BK334" s="86"/>
      <c r="BL334" s="86"/>
      <c r="BM334" s="86"/>
      <c r="BN334" s="86"/>
      <c r="BO334" s="86"/>
      <c r="BP334" s="86"/>
      <c r="BQ334" s="86"/>
      <c r="BR334" s="86"/>
      <c r="BS334" s="86"/>
      <c r="BT334" s="86"/>
      <c r="BU334" s="86"/>
      <c r="BV334" s="86"/>
      <c r="BW334" s="86"/>
      <c r="BX334" s="86"/>
      <c r="BY334" s="86"/>
      <c r="BZ334" s="86"/>
      <c r="CA334" s="86"/>
      <c r="CB334" s="86"/>
      <c r="CC334" s="86"/>
      <c r="CD334" s="86"/>
      <c r="CE334" s="86"/>
      <c r="CF334" s="86"/>
      <c r="CG334" s="86"/>
      <c r="CH334" s="86"/>
      <c r="CI334" s="86"/>
      <c r="CJ334" s="86"/>
      <c r="CK334" s="86"/>
      <c r="CL334" s="86"/>
      <c r="CM334" s="86"/>
      <c r="CN334" s="86"/>
      <c r="CO334" s="86"/>
      <c r="CP334" s="86"/>
      <c r="CQ334" s="86"/>
      <c r="CR334" s="86"/>
      <c r="CS334" s="86"/>
      <c r="CT334" s="86"/>
      <c r="CU334" s="86"/>
      <c r="CV334" s="86"/>
      <c r="CW334" s="86"/>
      <c r="CX334" s="86"/>
      <c r="CY334" s="86"/>
      <c r="CZ334" s="86"/>
      <c r="DA334" s="86"/>
      <c r="DB334" s="86"/>
      <c r="DC334" s="86"/>
      <c r="DD334" s="86"/>
      <c r="DE334" s="86"/>
      <c r="DF334" s="86"/>
      <c r="DG334" s="86"/>
      <c r="DH334" s="86"/>
      <c r="DI334" s="86"/>
      <c r="DJ334" s="86"/>
      <c r="DK334" s="86"/>
      <c r="DL334" s="86"/>
      <c r="DM334" s="86"/>
      <c r="DN334" s="86"/>
      <c r="DO334" s="86"/>
      <c r="DP334" s="86"/>
      <c r="DQ334" s="86"/>
      <c r="DR334" s="86"/>
      <c r="DS334" s="86"/>
      <c r="DT334" s="86"/>
      <c r="DU334" s="86"/>
      <c r="DV334" s="86"/>
      <c r="DW334" s="86"/>
      <c r="DX334" s="86"/>
      <c r="DY334" s="86"/>
      <c r="DZ334" s="86"/>
      <c r="EA334" s="86"/>
      <c r="EB334" s="86"/>
      <c r="EC334" s="86"/>
      <c r="ED334" s="86"/>
      <c r="EE334" s="86"/>
      <c r="EF334" s="86"/>
      <c r="EG334" s="86"/>
      <c r="EH334" s="86"/>
      <c r="EI334" s="86"/>
      <c r="EJ334" s="86"/>
      <c r="EK334" s="86"/>
      <c r="EL334" s="86"/>
      <c r="EM334" s="86"/>
      <c r="EN334" s="86"/>
      <c r="EO334" s="86"/>
      <c r="EP334" s="86"/>
      <c r="EQ334" s="86"/>
    </row>
    <row r="335" spans="1:147" ht="12.75">
      <c r="A335" s="86"/>
      <c r="B335" s="86"/>
      <c r="C335" s="86"/>
      <c r="D335" s="86"/>
      <c r="E335" s="86"/>
      <c r="F335" s="86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6"/>
      <c r="AK335" s="86"/>
      <c r="AL335" s="86"/>
      <c r="AM335" s="86"/>
      <c r="AN335" s="86"/>
      <c r="AO335" s="86"/>
      <c r="AP335" s="86"/>
      <c r="AQ335" s="86"/>
      <c r="AR335" s="86"/>
      <c r="AS335" s="86"/>
      <c r="AT335" s="86"/>
      <c r="AU335" s="86"/>
      <c r="AV335" s="86"/>
      <c r="AW335" s="86"/>
      <c r="AX335" s="86"/>
      <c r="AY335" s="86"/>
      <c r="AZ335" s="86"/>
      <c r="BA335" s="86"/>
      <c r="BB335" s="86"/>
      <c r="BC335" s="86"/>
      <c r="BD335" s="86"/>
      <c r="BE335" s="86"/>
      <c r="BF335" s="86"/>
      <c r="BG335" s="86"/>
      <c r="BH335" s="86"/>
      <c r="BI335" s="86"/>
      <c r="BJ335" s="86"/>
      <c r="BK335" s="86"/>
      <c r="BL335" s="86"/>
      <c r="BM335" s="86"/>
      <c r="BN335" s="86"/>
      <c r="BO335" s="86"/>
      <c r="BP335" s="86"/>
      <c r="BQ335" s="86"/>
      <c r="BR335" s="86"/>
      <c r="BS335" s="86"/>
      <c r="BT335" s="86"/>
      <c r="BU335" s="86"/>
      <c r="BV335" s="86"/>
      <c r="BW335" s="86"/>
      <c r="BX335" s="86"/>
      <c r="BY335" s="86"/>
      <c r="BZ335" s="86"/>
      <c r="CA335" s="86"/>
      <c r="CB335" s="86"/>
      <c r="CC335" s="86"/>
      <c r="CD335" s="86"/>
      <c r="CE335" s="86"/>
      <c r="CF335" s="86"/>
      <c r="CG335" s="86"/>
      <c r="CH335" s="86"/>
      <c r="CI335" s="86"/>
      <c r="CJ335" s="86"/>
      <c r="CK335" s="86"/>
      <c r="CL335" s="86"/>
      <c r="CM335" s="86"/>
      <c r="CN335" s="86"/>
      <c r="CO335" s="86"/>
      <c r="CP335" s="86"/>
      <c r="CQ335" s="86"/>
      <c r="CR335" s="86"/>
      <c r="CS335" s="86"/>
      <c r="CT335" s="86"/>
      <c r="CU335" s="86"/>
      <c r="CV335" s="86"/>
      <c r="CW335" s="86"/>
      <c r="CX335" s="86"/>
      <c r="CY335" s="86"/>
      <c r="CZ335" s="86"/>
      <c r="DA335" s="86"/>
      <c r="DB335" s="86"/>
      <c r="DC335" s="86"/>
      <c r="DD335" s="86"/>
      <c r="DE335" s="86"/>
      <c r="DF335" s="86"/>
      <c r="DG335" s="86"/>
      <c r="DH335" s="86"/>
      <c r="DI335" s="86"/>
      <c r="DJ335" s="86"/>
      <c r="DK335" s="86"/>
      <c r="DL335" s="86"/>
      <c r="DM335" s="86"/>
      <c r="DN335" s="86"/>
      <c r="DO335" s="86"/>
      <c r="DP335" s="86"/>
      <c r="DQ335" s="86"/>
      <c r="DR335" s="86"/>
      <c r="DS335" s="86"/>
      <c r="DT335" s="86"/>
      <c r="DU335" s="86"/>
      <c r="DV335" s="86"/>
      <c r="DW335" s="86"/>
      <c r="DX335" s="86"/>
      <c r="DY335" s="86"/>
      <c r="DZ335" s="86"/>
      <c r="EA335" s="86"/>
      <c r="EB335" s="86"/>
      <c r="EC335" s="86"/>
      <c r="ED335" s="86"/>
      <c r="EE335" s="86"/>
      <c r="EF335" s="86"/>
      <c r="EG335" s="86"/>
      <c r="EH335" s="86"/>
      <c r="EI335" s="86"/>
      <c r="EJ335" s="86"/>
      <c r="EK335" s="86"/>
      <c r="EL335" s="86"/>
      <c r="EM335" s="86"/>
      <c r="EN335" s="86"/>
      <c r="EO335" s="86"/>
      <c r="EP335" s="86"/>
      <c r="EQ335" s="86"/>
    </row>
    <row r="336" spans="1:147" ht="12.75">
      <c r="A336" s="86"/>
      <c r="B336" s="86"/>
      <c r="C336" s="86"/>
      <c r="D336" s="86"/>
      <c r="E336" s="86"/>
      <c r="F336" s="86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  <c r="AI336" s="86"/>
      <c r="AJ336" s="86"/>
      <c r="AK336" s="86"/>
      <c r="AL336" s="86"/>
      <c r="AM336" s="86"/>
      <c r="AN336" s="86"/>
      <c r="AO336" s="86"/>
      <c r="AP336" s="86"/>
      <c r="AQ336" s="86"/>
      <c r="AR336" s="86"/>
      <c r="AS336" s="86"/>
      <c r="AT336" s="86"/>
      <c r="AU336" s="86"/>
      <c r="AV336" s="86"/>
      <c r="AW336" s="86"/>
      <c r="AX336" s="86"/>
      <c r="AY336" s="86"/>
      <c r="AZ336" s="86"/>
      <c r="BA336" s="86"/>
      <c r="BB336" s="86"/>
      <c r="BC336" s="86"/>
      <c r="BD336" s="86"/>
      <c r="BE336" s="86"/>
      <c r="BF336" s="86"/>
      <c r="BG336" s="86"/>
      <c r="BH336" s="86"/>
      <c r="BI336" s="86"/>
      <c r="BJ336" s="86"/>
      <c r="BK336" s="86"/>
      <c r="BL336" s="86"/>
      <c r="BM336" s="86"/>
      <c r="BN336" s="86"/>
      <c r="BO336" s="86"/>
      <c r="BP336" s="86"/>
      <c r="BQ336" s="86"/>
      <c r="BR336" s="86"/>
      <c r="BS336" s="86"/>
      <c r="BT336" s="86"/>
      <c r="BU336" s="86"/>
      <c r="BV336" s="86"/>
      <c r="BW336" s="86"/>
      <c r="BX336" s="86"/>
      <c r="BY336" s="86"/>
      <c r="BZ336" s="86"/>
      <c r="CA336" s="86"/>
      <c r="CB336" s="86"/>
      <c r="CC336" s="86"/>
      <c r="CD336" s="86"/>
      <c r="CE336" s="86"/>
      <c r="CF336" s="86"/>
      <c r="CG336" s="86"/>
      <c r="CH336" s="86"/>
      <c r="CI336" s="86"/>
      <c r="CJ336" s="86"/>
      <c r="CK336" s="86"/>
      <c r="CL336" s="86"/>
      <c r="CM336" s="86"/>
      <c r="CN336" s="86"/>
      <c r="CO336" s="86"/>
      <c r="CP336" s="86"/>
      <c r="CQ336" s="86"/>
      <c r="CR336" s="86"/>
      <c r="CS336" s="86"/>
      <c r="CT336" s="86"/>
      <c r="CU336" s="86"/>
      <c r="CV336" s="86"/>
      <c r="CW336" s="86"/>
      <c r="CX336" s="86"/>
      <c r="CY336" s="86"/>
      <c r="CZ336" s="86"/>
      <c r="DA336" s="86"/>
      <c r="DB336" s="86"/>
      <c r="DC336" s="86"/>
      <c r="DD336" s="86"/>
      <c r="DE336" s="86"/>
      <c r="DF336" s="86"/>
      <c r="DG336" s="86"/>
      <c r="DH336" s="86"/>
      <c r="DI336" s="86"/>
      <c r="DJ336" s="86"/>
      <c r="DK336" s="86"/>
      <c r="DL336" s="86"/>
      <c r="DM336" s="86"/>
      <c r="DN336" s="86"/>
      <c r="DO336" s="86"/>
      <c r="DP336" s="86"/>
      <c r="DQ336" s="86"/>
      <c r="DR336" s="86"/>
      <c r="DS336" s="86"/>
      <c r="DT336" s="86"/>
      <c r="DU336" s="86"/>
      <c r="DV336" s="86"/>
      <c r="DW336" s="86"/>
      <c r="DX336" s="86"/>
      <c r="DY336" s="86"/>
      <c r="DZ336" s="86"/>
      <c r="EA336" s="86"/>
      <c r="EB336" s="86"/>
      <c r="EC336" s="86"/>
      <c r="ED336" s="86"/>
      <c r="EE336" s="86"/>
      <c r="EF336" s="86"/>
      <c r="EG336" s="86"/>
      <c r="EH336" s="86"/>
      <c r="EI336" s="86"/>
      <c r="EJ336" s="86"/>
      <c r="EK336" s="86"/>
      <c r="EL336" s="86"/>
      <c r="EM336" s="86"/>
      <c r="EN336" s="86"/>
      <c r="EO336" s="86"/>
      <c r="EP336" s="86"/>
      <c r="EQ336" s="86"/>
    </row>
    <row r="337" spans="1:147" ht="12.75">
      <c r="A337" s="86"/>
      <c r="B337" s="86"/>
      <c r="C337" s="86"/>
      <c r="D337" s="86"/>
      <c r="E337" s="86"/>
      <c r="F337" s="86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  <c r="S337" s="86"/>
      <c r="T337" s="86"/>
      <c r="U337" s="86"/>
      <c r="V337" s="86"/>
      <c r="W337" s="86"/>
      <c r="X337" s="86"/>
      <c r="Y337" s="86"/>
      <c r="Z337" s="86"/>
      <c r="AA337" s="86"/>
      <c r="AB337" s="86"/>
      <c r="AC337" s="86"/>
      <c r="AD337" s="86"/>
      <c r="AE337" s="86"/>
      <c r="AF337" s="86"/>
      <c r="AG337" s="86"/>
      <c r="AH337" s="86"/>
      <c r="AI337" s="86"/>
      <c r="AJ337" s="86"/>
      <c r="AK337" s="86"/>
      <c r="AL337" s="86"/>
      <c r="AM337" s="86"/>
      <c r="AN337" s="86"/>
      <c r="AO337" s="86"/>
      <c r="AP337" s="86"/>
      <c r="AQ337" s="86"/>
      <c r="AR337" s="86"/>
      <c r="AS337" s="86"/>
      <c r="AT337" s="86"/>
      <c r="AU337" s="86"/>
      <c r="AV337" s="86"/>
      <c r="AW337" s="86"/>
      <c r="AX337" s="86"/>
      <c r="AY337" s="86"/>
      <c r="AZ337" s="86"/>
      <c r="BA337" s="86"/>
      <c r="BB337" s="86"/>
      <c r="BC337" s="86"/>
      <c r="BD337" s="86"/>
      <c r="BE337" s="86"/>
      <c r="BF337" s="86"/>
      <c r="BG337" s="86"/>
      <c r="BH337" s="86"/>
      <c r="BI337" s="86"/>
      <c r="BJ337" s="86"/>
      <c r="BK337" s="86"/>
      <c r="BL337" s="86"/>
      <c r="BM337" s="86"/>
      <c r="BN337" s="86"/>
      <c r="BO337" s="86"/>
      <c r="BP337" s="86"/>
      <c r="BQ337" s="86"/>
      <c r="BR337" s="86"/>
      <c r="BS337" s="86"/>
      <c r="BT337" s="86"/>
      <c r="BU337" s="86"/>
      <c r="BV337" s="86"/>
      <c r="BW337" s="86"/>
      <c r="BX337" s="86"/>
      <c r="BY337" s="86"/>
      <c r="BZ337" s="86"/>
      <c r="CA337" s="86"/>
      <c r="CB337" s="86"/>
      <c r="CC337" s="86"/>
      <c r="CD337" s="86"/>
      <c r="CE337" s="86"/>
      <c r="CF337" s="86"/>
      <c r="CG337" s="86"/>
      <c r="CH337" s="86"/>
      <c r="CI337" s="86"/>
      <c r="CJ337" s="86"/>
      <c r="CK337" s="86"/>
      <c r="CL337" s="86"/>
      <c r="CM337" s="86"/>
      <c r="CN337" s="86"/>
      <c r="CO337" s="86"/>
      <c r="CP337" s="86"/>
      <c r="CQ337" s="86"/>
      <c r="CR337" s="86"/>
      <c r="CS337" s="86"/>
      <c r="CT337" s="86"/>
      <c r="CU337" s="86"/>
      <c r="CV337" s="86"/>
      <c r="CW337" s="86"/>
      <c r="CX337" s="86"/>
      <c r="CY337" s="86"/>
      <c r="CZ337" s="86"/>
      <c r="DA337" s="86"/>
      <c r="DB337" s="86"/>
      <c r="DC337" s="86"/>
      <c r="DD337" s="86"/>
      <c r="DE337" s="86"/>
      <c r="DF337" s="86"/>
      <c r="DG337" s="86"/>
      <c r="DH337" s="86"/>
      <c r="DI337" s="86"/>
      <c r="DJ337" s="86"/>
      <c r="DK337" s="86"/>
      <c r="DL337" s="86"/>
      <c r="DM337" s="86"/>
      <c r="DN337" s="86"/>
      <c r="DO337" s="86"/>
      <c r="DP337" s="86"/>
      <c r="DQ337" s="86"/>
      <c r="DR337" s="86"/>
      <c r="DS337" s="86"/>
      <c r="DT337" s="86"/>
      <c r="DU337" s="86"/>
      <c r="DV337" s="86"/>
      <c r="DW337" s="86"/>
      <c r="DX337" s="86"/>
      <c r="DY337" s="86"/>
      <c r="DZ337" s="86"/>
      <c r="EA337" s="86"/>
      <c r="EB337" s="86"/>
      <c r="EC337" s="86"/>
      <c r="ED337" s="86"/>
      <c r="EE337" s="86"/>
      <c r="EF337" s="86"/>
      <c r="EG337" s="86"/>
      <c r="EH337" s="86"/>
      <c r="EI337" s="86"/>
      <c r="EJ337" s="86"/>
      <c r="EK337" s="86"/>
      <c r="EL337" s="86"/>
      <c r="EM337" s="86"/>
      <c r="EN337" s="86"/>
      <c r="EO337" s="86"/>
      <c r="EP337" s="86"/>
      <c r="EQ337" s="86"/>
    </row>
    <row r="338" spans="1:147" ht="12.75">
      <c r="A338" s="86"/>
      <c r="B338" s="86"/>
      <c r="C338" s="86"/>
      <c r="D338" s="86"/>
      <c r="E338" s="86"/>
      <c r="F338" s="86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  <c r="S338" s="86"/>
      <c r="T338" s="86"/>
      <c r="U338" s="86"/>
      <c r="V338" s="86"/>
      <c r="W338" s="86"/>
      <c r="X338" s="86"/>
      <c r="Y338" s="86"/>
      <c r="Z338" s="86"/>
      <c r="AA338" s="86"/>
      <c r="AB338" s="86"/>
      <c r="AC338" s="86"/>
      <c r="AD338" s="86"/>
      <c r="AE338" s="86"/>
      <c r="AF338" s="86"/>
      <c r="AG338" s="86"/>
      <c r="AH338" s="86"/>
      <c r="AI338" s="86"/>
      <c r="AJ338" s="86"/>
      <c r="AK338" s="86"/>
      <c r="AL338" s="86"/>
      <c r="AM338" s="86"/>
      <c r="AN338" s="86"/>
      <c r="AO338" s="86"/>
      <c r="AP338" s="86"/>
      <c r="AQ338" s="86"/>
      <c r="AR338" s="86"/>
      <c r="AS338" s="86"/>
      <c r="AT338" s="86"/>
      <c r="AU338" s="86"/>
      <c r="AV338" s="86"/>
      <c r="AW338" s="86"/>
      <c r="AX338" s="86"/>
      <c r="AY338" s="86"/>
      <c r="AZ338" s="86"/>
      <c r="BA338" s="86"/>
      <c r="BB338" s="86"/>
      <c r="BC338" s="86"/>
      <c r="BD338" s="86"/>
      <c r="BE338" s="86"/>
      <c r="BF338" s="86"/>
      <c r="BG338" s="86"/>
      <c r="BH338" s="86"/>
      <c r="BI338" s="86"/>
      <c r="BJ338" s="86"/>
      <c r="BK338" s="86"/>
      <c r="BL338" s="86"/>
      <c r="BM338" s="86"/>
      <c r="BN338" s="86"/>
      <c r="BO338" s="86"/>
      <c r="BP338" s="86"/>
      <c r="BQ338" s="86"/>
      <c r="BR338" s="86"/>
      <c r="BS338" s="86"/>
      <c r="BT338" s="86"/>
      <c r="BU338" s="86"/>
      <c r="BV338" s="86"/>
      <c r="BW338" s="86"/>
      <c r="BX338" s="86"/>
      <c r="BY338" s="86"/>
      <c r="BZ338" s="86"/>
      <c r="CA338" s="86"/>
      <c r="CB338" s="86"/>
      <c r="CC338" s="86"/>
      <c r="CD338" s="86"/>
      <c r="CE338" s="86"/>
      <c r="CF338" s="86"/>
      <c r="CG338" s="86"/>
      <c r="CH338" s="86"/>
      <c r="CI338" s="86"/>
      <c r="CJ338" s="86"/>
      <c r="CK338" s="86"/>
      <c r="CL338" s="86"/>
      <c r="CM338" s="86"/>
      <c r="CN338" s="86"/>
      <c r="CO338" s="86"/>
      <c r="CP338" s="86"/>
      <c r="CQ338" s="86"/>
      <c r="CR338" s="86"/>
      <c r="CS338" s="86"/>
      <c r="CT338" s="86"/>
      <c r="CU338" s="86"/>
      <c r="CV338" s="86"/>
      <c r="CW338" s="86"/>
      <c r="CX338" s="86"/>
      <c r="CY338" s="86"/>
      <c r="CZ338" s="86"/>
      <c r="DA338" s="86"/>
      <c r="DB338" s="86"/>
      <c r="DC338" s="86"/>
      <c r="DD338" s="86"/>
      <c r="DE338" s="86"/>
      <c r="DF338" s="86"/>
      <c r="DG338" s="86"/>
      <c r="DH338" s="86"/>
      <c r="DI338" s="86"/>
      <c r="DJ338" s="86"/>
      <c r="DK338" s="86"/>
      <c r="DL338" s="86"/>
      <c r="DM338" s="86"/>
      <c r="DN338" s="86"/>
      <c r="DO338" s="86"/>
      <c r="DP338" s="86"/>
      <c r="DQ338" s="86"/>
      <c r="DR338" s="86"/>
      <c r="DS338" s="86"/>
      <c r="DT338" s="86"/>
      <c r="DU338" s="86"/>
      <c r="DV338" s="86"/>
      <c r="DW338" s="86"/>
      <c r="DX338" s="86"/>
      <c r="DY338" s="86"/>
      <c r="DZ338" s="86"/>
      <c r="EA338" s="86"/>
      <c r="EB338" s="86"/>
      <c r="EC338" s="86"/>
      <c r="ED338" s="86"/>
      <c r="EE338" s="86"/>
      <c r="EF338" s="86"/>
      <c r="EG338" s="86"/>
      <c r="EH338" s="86"/>
      <c r="EI338" s="86"/>
      <c r="EJ338" s="86"/>
      <c r="EK338" s="86"/>
      <c r="EL338" s="86"/>
      <c r="EM338" s="86"/>
      <c r="EN338" s="86"/>
      <c r="EO338" s="86"/>
      <c r="EP338" s="86"/>
      <c r="EQ338" s="86"/>
    </row>
    <row r="339" spans="1:147" ht="12.75">
      <c r="A339" s="86"/>
      <c r="B339" s="86"/>
      <c r="C339" s="86"/>
      <c r="D339" s="86"/>
      <c r="E339" s="86"/>
      <c r="F339" s="86"/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  <c r="AA339" s="86"/>
      <c r="AB339" s="86"/>
      <c r="AC339" s="86"/>
      <c r="AD339" s="86"/>
      <c r="AE339" s="86"/>
      <c r="AF339" s="86"/>
      <c r="AG339" s="86"/>
      <c r="AH339" s="86"/>
      <c r="AI339" s="86"/>
      <c r="AJ339" s="86"/>
      <c r="AK339" s="86"/>
      <c r="AL339" s="86"/>
      <c r="AM339" s="86"/>
      <c r="AN339" s="86"/>
      <c r="AO339" s="86"/>
      <c r="AP339" s="86"/>
      <c r="AQ339" s="86"/>
      <c r="AR339" s="86"/>
      <c r="AS339" s="86"/>
      <c r="AT339" s="86"/>
      <c r="AU339" s="86"/>
      <c r="AV339" s="86"/>
      <c r="AW339" s="86"/>
      <c r="AX339" s="86"/>
      <c r="AY339" s="86"/>
      <c r="AZ339" s="86"/>
      <c r="BA339" s="86"/>
      <c r="BB339" s="86"/>
      <c r="BC339" s="86"/>
      <c r="BD339" s="86"/>
      <c r="BE339" s="86"/>
      <c r="BF339" s="86"/>
      <c r="BG339" s="86"/>
      <c r="BH339" s="86"/>
      <c r="BI339" s="86"/>
      <c r="BJ339" s="86"/>
      <c r="BK339" s="86"/>
      <c r="BL339" s="86"/>
      <c r="BM339" s="86"/>
      <c r="BN339" s="86"/>
      <c r="BO339" s="86"/>
      <c r="BP339" s="86"/>
      <c r="BQ339" s="86"/>
      <c r="BR339" s="86"/>
      <c r="BS339" s="86"/>
      <c r="BT339" s="86"/>
      <c r="BU339" s="86"/>
      <c r="BV339" s="86"/>
      <c r="BW339" s="86"/>
      <c r="BX339" s="86"/>
      <c r="BY339" s="86"/>
      <c r="BZ339" s="86"/>
      <c r="CA339" s="86"/>
      <c r="CB339" s="86"/>
      <c r="CC339" s="86"/>
      <c r="CD339" s="86"/>
      <c r="CE339" s="86"/>
      <c r="CF339" s="86"/>
      <c r="CG339" s="86"/>
      <c r="CH339" s="86"/>
      <c r="CI339" s="86"/>
      <c r="CJ339" s="86"/>
      <c r="CK339" s="86"/>
      <c r="CL339" s="86"/>
      <c r="CM339" s="86"/>
      <c r="CN339" s="86"/>
      <c r="CO339" s="86"/>
      <c r="CP339" s="86"/>
      <c r="CQ339" s="86"/>
      <c r="CR339" s="86"/>
      <c r="CS339" s="86"/>
      <c r="CT339" s="86"/>
      <c r="CU339" s="86"/>
      <c r="CV339" s="86"/>
      <c r="CW339" s="86"/>
      <c r="CX339" s="86"/>
      <c r="CY339" s="86"/>
      <c r="CZ339" s="86"/>
      <c r="DA339" s="86"/>
      <c r="DB339" s="86"/>
      <c r="DC339" s="86"/>
      <c r="DD339" s="86"/>
      <c r="DE339" s="86"/>
      <c r="DF339" s="86"/>
      <c r="DG339" s="86"/>
      <c r="DH339" s="86"/>
      <c r="DI339" s="86"/>
      <c r="DJ339" s="86"/>
      <c r="DK339" s="86"/>
      <c r="DL339" s="86"/>
      <c r="DM339" s="86"/>
      <c r="DN339" s="86"/>
      <c r="DO339" s="86"/>
      <c r="DP339" s="86"/>
      <c r="DQ339" s="86"/>
      <c r="DR339" s="86"/>
      <c r="DS339" s="86"/>
      <c r="DT339" s="86"/>
      <c r="DU339" s="86"/>
      <c r="DV339" s="86"/>
      <c r="DW339" s="86"/>
      <c r="DX339" s="86"/>
      <c r="DY339" s="86"/>
      <c r="DZ339" s="86"/>
      <c r="EA339" s="86"/>
      <c r="EB339" s="86"/>
      <c r="EC339" s="86"/>
      <c r="ED339" s="86"/>
      <c r="EE339" s="86"/>
      <c r="EF339" s="86"/>
      <c r="EG339" s="86"/>
      <c r="EH339" s="86"/>
      <c r="EI339" s="86"/>
      <c r="EJ339" s="86"/>
      <c r="EK339" s="86"/>
      <c r="EL339" s="86"/>
      <c r="EM339" s="86"/>
      <c r="EN339" s="86"/>
      <c r="EO339" s="86"/>
      <c r="EP339" s="86"/>
      <c r="EQ339" s="86"/>
    </row>
  </sheetData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1"/>
  <sheetViews>
    <sheetView workbookViewId="0" topLeftCell="A5">
      <selection activeCell="C29" sqref="C29"/>
    </sheetView>
  </sheetViews>
  <sheetFormatPr defaultColWidth="8.796875" defaultRowHeight="12"/>
  <cols>
    <col min="1" max="1" width="4.296875" style="57" customWidth="1"/>
    <col min="2" max="2" width="12.09765625" style="57" customWidth="1"/>
    <col min="3" max="3" width="8.8984375" style="57" customWidth="1"/>
    <col min="4" max="4" width="9.09765625" style="57" bestFit="1" customWidth="1"/>
    <col min="5" max="16384" width="8.8984375" style="57" customWidth="1"/>
  </cols>
  <sheetData>
    <row r="1" spans="1:29" ht="14.25">
      <c r="A1" s="16"/>
      <c r="B1" s="223" t="s">
        <v>275</v>
      </c>
      <c r="C1" s="223"/>
      <c r="D1" s="110"/>
      <c r="E1" s="110"/>
      <c r="F1" s="110"/>
      <c r="G1" s="110"/>
      <c r="H1" s="110"/>
      <c r="I1" s="110"/>
      <c r="J1" s="111"/>
      <c r="K1" s="110"/>
      <c r="L1" s="112"/>
      <c r="M1" s="110"/>
      <c r="N1" s="110"/>
      <c r="O1" s="110"/>
      <c r="P1" s="110"/>
      <c r="Q1" s="110"/>
      <c r="R1" s="110"/>
      <c r="S1" s="111"/>
      <c r="T1" s="110"/>
      <c r="U1" s="110"/>
      <c r="V1" s="110"/>
      <c r="W1" s="110"/>
      <c r="X1" s="110"/>
      <c r="Y1" s="110"/>
      <c r="Z1" s="110"/>
      <c r="AA1" s="110"/>
      <c r="AB1" s="110"/>
      <c r="AC1" s="110"/>
    </row>
    <row r="2" spans="1:29" ht="14.25">
      <c r="A2" s="16"/>
      <c r="B2" s="223"/>
      <c r="C2" s="223"/>
      <c r="D2" s="110"/>
      <c r="E2" s="110"/>
      <c r="F2" s="110"/>
      <c r="G2" s="110"/>
      <c r="H2" s="110"/>
      <c r="I2" s="110"/>
      <c r="J2" s="111"/>
      <c r="K2" s="110"/>
      <c r="L2" s="112"/>
      <c r="M2" s="110"/>
      <c r="N2" s="110"/>
      <c r="O2" s="110"/>
      <c r="P2" s="110"/>
      <c r="Q2" s="110"/>
      <c r="R2" s="110"/>
      <c r="S2" s="111"/>
      <c r="T2" s="110"/>
      <c r="U2" s="110"/>
      <c r="V2" s="110"/>
      <c r="W2" s="110"/>
      <c r="X2" s="110"/>
      <c r="Y2" s="110"/>
      <c r="Z2" s="110"/>
      <c r="AA2" s="110"/>
      <c r="AB2" s="110"/>
      <c r="AC2" s="110"/>
    </row>
    <row r="3" spans="1:29" ht="11.25">
      <c r="A3" s="16"/>
      <c r="B3" s="110"/>
      <c r="C3" s="110"/>
      <c r="D3" s="110"/>
      <c r="E3" s="110"/>
      <c r="F3" s="110"/>
      <c r="G3" s="110"/>
      <c r="H3" s="110"/>
      <c r="I3" s="113" t="s">
        <v>276</v>
      </c>
      <c r="J3" s="114" t="s">
        <v>277</v>
      </c>
      <c r="K3" s="113" t="s">
        <v>3</v>
      </c>
      <c r="L3" s="112"/>
      <c r="M3" s="110"/>
      <c r="N3" s="110" t="s">
        <v>0</v>
      </c>
      <c r="O3" s="111" t="s">
        <v>0</v>
      </c>
      <c r="P3" s="110"/>
      <c r="Q3" s="110"/>
      <c r="R3" s="110"/>
      <c r="S3" s="111"/>
      <c r="T3" s="110"/>
      <c r="U3" s="110"/>
      <c r="V3" s="110"/>
      <c r="W3" s="110"/>
      <c r="X3" s="110"/>
      <c r="Y3" s="110"/>
      <c r="Z3" s="110"/>
      <c r="AA3" s="110"/>
      <c r="AB3" s="110"/>
      <c r="AC3" s="110"/>
    </row>
    <row r="4" spans="1:29" ht="11.25">
      <c r="A4" s="16"/>
      <c r="B4" s="110"/>
      <c r="C4" s="110"/>
      <c r="D4" s="110"/>
      <c r="E4" s="110"/>
      <c r="F4" s="110"/>
      <c r="G4" s="115" t="s">
        <v>278</v>
      </c>
      <c r="H4" s="110" t="s">
        <v>279</v>
      </c>
      <c r="I4" s="116">
        <v>1420.8</v>
      </c>
      <c r="J4" s="116">
        <v>4039</v>
      </c>
      <c r="K4" s="117">
        <f>I4+J4</f>
        <v>5459.8</v>
      </c>
      <c r="L4" s="112"/>
      <c r="M4" s="110"/>
      <c r="N4" s="110"/>
      <c r="O4" s="111"/>
      <c r="P4" s="110"/>
      <c r="Q4" s="110"/>
      <c r="R4" s="110"/>
      <c r="S4" s="111"/>
      <c r="T4" s="110"/>
      <c r="U4" s="110"/>
      <c r="V4" s="110"/>
      <c r="W4" s="110"/>
      <c r="X4" s="110"/>
      <c r="Y4" s="110"/>
      <c r="Z4" s="110"/>
      <c r="AA4" s="110"/>
      <c r="AB4" s="110"/>
      <c r="AC4" s="110"/>
    </row>
    <row r="5" spans="1:29" ht="11.25">
      <c r="A5" s="16"/>
      <c r="B5" s="110" t="s">
        <v>280</v>
      </c>
      <c r="C5" s="110"/>
      <c r="D5" s="110"/>
      <c r="E5" s="110"/>
      <c r="F5" s="110"/>
      <c r="G5" s="115" t="s">
        <v>281</v>
      </c>
      <c r="H5" s="110" t="s">
        <v>282</v>
      </c>
      <c r="I5" s="118"/>
      <c r="J5" s="116"/>
      <c r="K5" s="117">
        <f>J5</f>
        <v>0</v>
      </c>
      <c r="L5" s="112"/>
      <c r="M5" s="119"/>
      <c r="N5" s="110"/>
      <c r="O5" s="111"/>
      <c r="P5" s="110"/>
      <c r="Q5" s="110"/>
      <c r="R5" s="110"/>
      <c r="S5" s="111"/>
      <c r="T5" s="110"/>
      <c r="U5" s="110"/>
      <c r="V5" s="110"/>
      <c r="W5" s="110"/>
      <c r="X5" s="110"/>
      <c r="Y5" s="110"/>
      <c r="Z5" s="110"/>
      <c r="AA5" s="110"/>
      <c r="AB5" s="110"/>
      <c r="AC5" s="110"/>
    </row>
    <row r="6" spans="1:29" ht="11.25">
      <c r="A6" s="16"/>
      <c r="B6" s="110" t="s">
        <v>283</v>
      </c>
      <c r="C6" s="110"/>
      <c r="D6" s="110"/>
      <c r="E6" s="110"/>
      <c r="F6" s="110"/>
      <c r="G6" s="110"/>
      <c r="H6" s="110" t="s">
        <v>284</v>
      </c>
      <c r="I6" s="118"/>
      <c r="J6" s="116">
        <f>O145</f>
        <v>0</v>
      </c>
      <c r="K6" s="117">
        <f>J6</f>
        <v>0</v>
      </c>
      <c r="L6" s="112"/>
      <c r="M6" s="110"/>
      <c r="N6" s="112"/>
      <c r="O6" s="111"/>
      <c r="P6" s="110"/>
      <c r="Q6" s="110"/>
      <c r="R6" s="110"/>
      <c r="S6" s="111"/>
      <c r="T6" s="110"/>
      <c r="U6" s="110"/>
      <c r="V6" s="110"/>
      <c r="W6" s="110"/>
      <c r="X6" s="110"/>
      <c r="Y6" s="110"/>
      <c r="Z6" s="110"/>
      <c r="AA6" s="110"/>
      <c r="AB6" s="110"/>
      <c r="AC6" s="110"/>
    </row>
    <row r="7" spans="1:29" ht="11.25">
      <c r="A7" s="16"/>
      <c r="B7" s="110"/>
      <c r="C7" s="110"/>
      <c r="D7" s="110"/>
      <c r="E7" s="110"/>
      <c r="F7" s="110"/>
      <c r="G7" s="110"/>
      <c r="H7" s="110" t="s">
        <v>285</v>
      </c>
      <c r="I7" s="118"/>
      <c r="J7" s="120">
        <v>0</v>
      </c>
      <c r="K7" s="117">
        <f>J7</f>
        <v>0</v>
      </c>
      <c r="L7" s="112"/>
      <c r="M7" s="111"/>
      <c r="N7" s="110"/>
      <c r="O7" s="111"/>
      <c r="P7" s="110"/>
      <c r="Q7" s="110"/>
      <c r="R7" s="110"/>
      <c r="S7" s="111"/>
      <c r="T7" s="110"/>
      <c r="U7" s="110"/>
      <c r="V7" s="110"/>
      <c r="W7" s="110"/>
      <c r="X7" s="110"/>
      <c r="Y7" s="110"/>
      <c r="Z7" s="110"/>
      <c r="AA7" s="110"/>
      <c r="AB7" s="110"/>
      <c r="AC7" s="110"/>
    </row>
    <row r="8" spans="1:29" ht="11.25">
      <c r="A8" s="16"/>
      <c r="B8" s="115" t="s">
        <v>365</v>
      </c>
      <c r="C8" s="110"/>
      <c r="D8" s="110"/>
      <c r="E8" s="110"/>
      <c r="F8" s="110"/>
      <c r="G8" s="110"/>
      <c r="H8" s="113" t="s">
        <v>287</v>
      </c>
      <c r="I8" s="121">
        <f>N146</f>
        <v>0</v>
      </c>
      <c r="J8" s="121"/>
      <c r="K8" s="122">
        <f>SUM(I8:J8)</f>
        <v>0</v>
      </c>
      <c r="L8" s="112"/>
      <c r="M8" s="123"/>
      <c r="N8" s="110"/>
      <c r="O8" s="111"/>
      <c r="P8" s="110"/>
      <c r="Q8" s="110"/>
      <c r="R8" s="110"/>
      <c r="S8" s="111"/>
      <c r="T8" s="110"/>
      <c r="U8" s="110"/>
      <c r="V8" s="110"/>
      <c r="W8" s="110"/>
      <c r="X8" s="110"/>
      <c r="Y8" s="110"/>
      <c r="Z8" s="110"/>
      <c r="AA8" s="110"/>
      <c r="AB8" s="110"/>
      <c r="AC8" s="110"/>
    </row>
    <row r="9" spans="1:29" ht="11.25">
      <c r="A9" s="16"/>
      <c r="B9" s="110"/>
      <c r="C9" s="110"/>
      <c r="D9" s="110"/>
      <c r="E9" s="110"/>
      <c r="F9" s="110"/>
      <c r="G9" s="110"/>
      <c r="H9" s="110"/>
      <c r="I9" s="120">
        <f>SUM(I4:I8)</f>
        <v>1420.8</v>
      </c>
      <c r="J9" s="121">
        <f>SUM(J4:J8)</f>
        <v>4039</v>
      </c>
      <c r="K9" s="122">
        <f>SUM(K4:K8)</f>
        <v>5459.8</v>
      </c>
      <c r="L9" s="112"/>
      <c r="M9" s="110"/>
      <c r="N9" s="110"/>
      <c r="O9" s="111"/>
      <c r="P9" s="110"/>
      <c r="Q9" s="110"/>
      <c r="R9" s="110"/>
      <c r="S9" s="111"/>
      <c r="T9" s="110"/>
      <c r="U9" s="110"/>
      <c r="V9" s="110"/>
      <c r="W9" s="110"/>
      <c r="X9" s="110"/>
      <c r="Y9" s="110"/>
      <c r="Z9" s="110"/>
      <c r="AA9" s="110"/>
      <c r="AB9" s="110"/>
      <c r="AC9" s="110"/>
    </row>
    <row r="10" spans="1:29" ht="11.25">
      <c r="A10" s="16"/>
      <c r="B10" s="110"/>
      <c r="C10" s="110"/>
      <c r="D10" s="110"/>
      <c r="E10" s="110"/>
      <c r="F10" s="110"/>
      <c r="G10" s="110"/>
      <c r="H10" s="110"/>
      <c r="I10" s="110"/>
      <c r="J10" s="124"/>
      <c r="K10" s="125"/>
      <c r="L10" s="112"/>
      <c r="M10" s="110"/>
      <c r="N10" s="110"/>
      <c r="O10" s="111"/>
      <c r="P10" s="110"/>
      <c r="Q10" s="110"/>
      <c r="R10" s="110"/>
      <c r="S10" s="111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</row>
    <row r="11" spans="1:29" ht="11.25">
      <c r="A11" s="16"/>
      <c r="B11" s="110"/>
      <c r="C11" s="110"/>
      <c r="D11" s="110"/>
      <c r="E11" s="110"/>
      <c r="F11" s="110"/>
      <c r="G11" s="110"/>
      <c r="H11" s="110"/>
      <c r="I11" s="110"/>
      <c r="J11" s="124"/>
      <c r="K11" s="125"/>
      <c r="L11" s="112"/>
      <c r="M11" s="110"/>
      <c r="N11" s="110"/>
      <c r="O11" s="111"/>
      <c r="P11" s="110"/>
      <c r="Q11" s="110"/>
      <c r="R11" s="110"/>
      <c r="S11" s="111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</row>
    <row r="12" spans="1:29" ht="11.25">
      <c r="A12" s="16"/>
      <c r="B12" s="110"/>
      <c r="C12" s="110" t="s">
        <v>286</v>
      </c>
      <c r="D12" s="126">
        <f>Proforma!C11/I23</f>
        <v>1.0003456037519298</v>
      </c>
      <c r="E12" s="110"/>
      <c r="F12" s="110"/>
      <c r="G12" s="110"/>
      <c r="H12" s="110"/>
      <c r="I12" s="125"/>
      <c r="J12" s="124"/>
      <c r="K12" s="125"/>
      <c r="L12" s="112"/>
      <c r="M12" s="110"/>
      <c r="N12" s="110"/>
      <c r="O12" s="110"/>
      <c r="P12" s="110"/>
      <c r="Q12" s="110"/>
      <c r="R12" s="110"/>
      <c r="S12" s="111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</row>
    <row r="13" spans="1:29" ht="11.25">
      <c r="A13" s="16"/>
      <c r="B13" s="110"/>
      <c r="C13" s="110"/>
      <c r="D13" s="126"/>
      <c r="E13" s="110"/>
      <c r="F13" s="110"/>
      <c r="G13" s="110"/>
      <c r="H13" s="110"/>
      <c r="I13" s="110"/>
      <c r="J13" s="111"/>
      <c r="K13" s="110"/>
      <c r="L13" s="112"/>
      <c r="M13" s="110"/>
      <c r="N13" s="110"/>
      <c r="O13" s="110"/>
      <c r="P13" s="110"/>
      <c r="Q13" s="110"/>
      <c r="R13" s="110"/>
      <c r="S13" s="114" t="s">
        <v>288</v>
      </c>
      <c r="T13" s="113" t="s">
        <v>289</v>
      </c>
      <c r="U13" s="110"/>
      <c r="V13" s="110"/>
      <c r="W13" s="110"/>
      <c r="X13" s="110"/>
      <c r="Y13" s="110"/>
      <c r="Z13" s="110"/>
      <c r="AA13" s="110"/>
      <c r="AB13" s="110"/>
      <c r="AC13" s="110"/>
    </row>
    <row r="14" spans="1:29" ht="11.25">
      <c r="A14" s="16"/>
      <c r="B14" s="110"/>
      <c r="C14" s="110"/>
      <c r="D14" s="126"/>
      <c r="E14" s="110"/>
      <c r="F14" s="110"/>
      <c r="G14" s="110"/>
      <c r="H14" s="110"/>
      <c r="I14" s="113" t="s">
        <v>290</v>
      </c>
      <c r="J14" s="114" t="s">
        <v>291</v>
      </c>
      <c r="K14" s="110"/>
      <c r="L14" s="112"/>
      <c r="M14" s="110"/>
      <c r="N14" s="110"/>
      <c r="O14" s="110"/>
      <c r="P14" s="110"/>
      <c r="Q14" s="110"/>
      <c r="R14" s="110"/>
      <c r="S14" s="114" t="s">
        <v>292</v>
      </c>
      <c r="T14" s="113" t="s">
        <v>292</v>
      </c>
      <c r="U14" s="110"/>
      <c r="V14" s="110"/>
      <c r="W14" s="110"/>
      <c r="X14" s="110"/>
      <c r="Y14" s="113" t="s">
        <v>293</v>
      </c>
      <c r="Z14" s="110"/>
      <c r="AA14" s="110"/>
      <c r="AB14" s="110"/>
      <c r="AC14" s="110"/>
    </row>
    <row r="15" spans="1:29" ht="11.25">
      <c r="A15" s="16"/>
      <c r="B15" s="110"/>
      <c r="C15" s="110"/>
      <c r="D15" s="113" t="s">
        <v>291</v>
      </c>
      <c r="E15" s="113" t="s">
        <v>294</v>
      </c>
      <c r="F15" s="113" t="s">
        <v>295</v>
      </c>
      <c r="G15" s="113" t="s">
        <v>296</v>
      </c>
      <c r="H15" s="110"/>
      <c r="I15" s="113" t="s">
        <v>75</v>
      </c>
      <c r="J15" s="114" t="s">
        <v>75</v>
      </c>
      <c r="K15" s="113" t="s">
        <v>297</v>
      </c>
      <c r="L15" s="127" t="s">
        <v>298</v>
      </c>
      <c r="M15" s="110" t="s">
        <v>299</v>
      </c>
      <c r="N15" s="113" t="s">
        <v>300</v>
      </c>
      <c r="O15" s="113" t="s">
        <v>301</v>
      </c>
      <c r="P15" s="113" t="s">
        <v>302</v>
      </c>
      <c r="Q15" s="113" t="s">
        <v>303</v>
      </c>
      <c r="R15" s="113" t="s">
        <v>304</v>
      </c>
      <c r="S15" s="114" t="s">
        <v>305</v>
      </c>
      <c r="T15" s="113" t="s">
        <v>306</v>
      </c>
      <c r="U15" s="113" t="s">
        <v>307</v>
      </c>
      <c r="V15" s="113" t="s">
        <v>308</v>
      </c>
      <c r="W15" s="113" t="s">
        <v>282</v>
      </c>
      <c r="X15" s="113" t="s">
        <v>309</v>
      </c>
      <c r="Y15" s="113" t="s">
        <v>310</v>
      </c>
      <c r="Z15" s="113" t="s">
        <v>311</v>
      </c>
      <c r="AA15" s="113" t="s">
        <v>312</v>
      </c>
      <c r="AB15" s="110" t="s">
        <v>313</v>
      </c>
      <c r="AC15" s="113" t="s">
        <v>314</v>
      </c>
    </row>
    <row r="16" spans="1:29" ht="11.25">
      <c r="A16" s="16"/>
      <c r="B16" s="110" t="s">
        <v>315</v>
      </c>
      <c r="C16" s="113" t="s">
        <v>316</v>
      </c>
      <c r="D16" s="113" t="s">
        <v>316</v>
      </c>
      <c r="E16" s="113" t="s">
        <v>317</v>
      </c>
      <c r="F16" s="113" t="s">
        <v>318</v>
      </c>
      <c r="G16" s="113" t="s">
        <v>319</v>
      </c>
      <c r="H16" s="113" t="s">
        <v>51</v>
      </c>
      <c r="I16" s="113" t="s">
        <v>320</v>
      </c>
      <c r="J16" s="114" t="s">
        <v>320</v>
      </c>
      <c r="K16" s="110"/>
      <c r="L16" s="127" t="s">
        <v>321</v>
      </c>
      <c r="M16" s="113" t="s">
        <v>322</v>
      </c>
      <c r="N16" s="113" t="s">
        <v>323</v>
      </c>
      <c r="O16" s="110"/>
      <c r="P16" s="110"/>
      <c r="Q16" s="113" t="s">
        <v>324</v>
      </c>
      <c r="R16" s="110"/>
      <c r="S16" s="111"/>
      <c r="T16" s="110"/>
      <c r="U16" s="110"/>
      <c r="V16" s="111"/>
      <c r="W16" s="111"/>
      <c r="X16" s="113" t="s">
        <v>325</v>
      </c>
      <c r="Y16" s="110"/>
      <c r="Z16" s="111"/>
      <c r="AA16" s="110"/>
      <c r="AB16" s="113" t="s">
        <v>51</v>
      </c>
      <c r="AC16" s="110"/>
    </row>
    <row r="17" spans="1:29" ht="11.25">
      <c r="A17" s="16"/>
      <c r="B17" s="110"/>
      <c r="C17" s="110"/>
      <c r="D17" s="110"/>
      <c r="E17" s="110"/>
      <c r="F17" s="110"/>
      <c r="G17" s="110"/>
      <c r="H17" s="110"/>
      <c r="I17" s="110"/>
      <c r="J17" s="111"/>
      <c r="K17" s="110"/>
      <c r="L17" s="112"/>
      <c r="M17" s="110"/>
      <c r="N17" s="113" t="s">
        <v>326</v>
      </c>
      <c r="O17" s="110"/>
      <c r="P17" s="110"/>
      <c r="Q17" s="128">
        <v>0</v>
      </c>
      <c r="R17" s="124">
        <f>Proforma!C24+Proforma!C25+Proforma!C28+Proforma!C29+Proforma!C31+Proforma!C32</f>
        <v>57127.692571428575</v>
      </c>
      <c r="S17" s="111">
        <f>Proforma!C17+Proforma!C18+Proforma!C19+Proforma!C35+Proforma!C37+Depr!Q19+Proforma!C26+Proforma!C27+Proforma!C22+Proforma!C23+Proforma!C16</f>
        <v>397361.50537237246</v>
      </c>
      <c r="T17" s="128">
        <v>0</v>
      </c>
      <c r="U17" s="128">
        <f>Proforma!C15+Proforma!C38+Proforma!C20</f>
        <v>269350.6160823925</v>
      </c>
      <c r="V17" s="128">
        <f>Depr!Q23+Depr!Q34+Proforma!C36</f>
        <v>62969.735400000005</v>
      </c>
      <c r="W17" s="128"/>
      <c r="X17" s="124">
        <f>R17+S17+U17+V17</f>
        <v>786809.5494261936</v>
      </c>
      <c r="Y17" s="128">
        <f>Proforma!C21+Proforma!C34</f>
        <v>19879.1392580521</v>
      </c>
      <c r="Z17" s="130">
        <f>X17+Y17</f>
        <v>806688.6886842457</v>
      </c>
      <c r="AA17" s="131">
        <f>LG!H15/100</f>
        <v>0.7973558866450119</v>
      </c>
      <c r="AB17" s="110"/>
      <c r="AC17" s="110"/>
    </row>
    <row r="18" spans="1:29" ht="11.25">
      <c r="A18" s="16"/>
      <c r="B18" s="115" t="s">
        <v>327</v>
      </c>
      <c r="C18" s="110"/>
      <c r="D18" s="110"/>
      <c r="E18" s="110"/>
      <c r="F18" s="110"/>
      <c r="G18" s="110"/>
      <c r="H18" s="110"/>
      <c r="I18" s="110"/>
      <c r="J18" s="111"/>
      <c r="K18" s="111">
        <f>L91</f>
        <v>0</v>
      </c>
      <c r="L18" s="112">
        <f>L93</f>
        <v>0</v>
      </c>
      <c r="M18" s="110"/>
      <c r="N18" s="132" t="s">
        <v>328</v>
      </c>
      <c r="O18" s="132" t="s">
        <v>329</v>
      </c>
      <c r="P18" s="115" t="s">
        <v>330</v>
      </c>
      <c r="Q18" s="132" t="s">
        <v>329</v>
      </c>
      <c r="R18" s="132" t="s">
        <v>331</v>
      </c>
      <c r="S18" s="133" t="s">
        <v>332</v>
      </c>
      <c r="T18" s="132" t="s">
        <v>333</v>
      </c>
      <c r="U18" s="132" t="s">
        <v>302</v>
      </c>
      <c r="V18" s="132" t="s">
        <v>334</v>
      </c>
      <c r="W18" s="132" t="s">
        <v>335</v>
      </c>
      <c r="X18" s="110"/>
      <c r="Y18" s="132" t="s">
        <v>336</v>
      </c>
      <c r="Z18" s="132" t="s">
        <v>3</v>
      </c>
      <c r="AA18" s="110"/>
      <c r="AB18" s="134"/>
      <c r="AC18" s="134"/>
    </row>
    <row r="19" spans="1:29" ht="11.25">
      <c r="A19" s="16"/>
      <c r="B19" s="113" t="s">
        <v>337</v>
      </c>
      <c r="C19" s="113" t="s">
        <v>338</v>
      </c>
      <c r="D19" s="113" t="s">
        <v>339</v>
      </c>
      <c r="E19" s="113" t="s">
        <v>340</v>
      </c>
      <c r="F19" s="113" t="s">
        <v>341</v>
      </c>
      <c r="G19" s="113" t="s">
        <v>342</v>
      </c>
      <c r="H19" s="113" t="s">
        <v>343</v>
      </c>
      <c r="I19" s="113" t="s">
        <v>344</v>
      </c>
      <c r="J19" s="114" t="s">
        <v>345</v>
      </c>
      <c r="K19" s="113" t="s">
        <v>346</v>
      </c>
      <c r="L19" s="127" t="s">
        <v>347</v>
      </c>
      <c r="M19" s="113" t="s">
        <v>348</v>
      </c>
      <c r="N19" s="113" t="s">
        <v>349</v>
      </c>
      <c r="O19" s="113" t="s">
        <v>350</v>
      </c>
      <c r="P19" s="113" t="s">
        <v>351</v>
      </c>
      <c r="Q19" s="113" t="s">
        <v>352</v>
      </c>
      <c r="R19" s="113" t="s">
        <v>353</v>
      </c>
      <c r="S19" s="114" t="s">
        <v>354</v>
      </c>
      <c r="T19" s="113" t="s">
        <v>355</v>
      </c>
      <c r="U19" s="113" t="s">
        <v>356</v>
      </c>
      <c r="V19" s="113" t="s">
        <v>357</v>
      </c>
      <c r="W19" s="113" t="s">
        <v>358</v>
      </c>
      <c r="X19" s="113" t="s">
        <v>359</v>
      </c>
      <c r="Y19" s="113" t="s">
        <v>360</v>
      </c>
      <c r="Z19" s="113" t="s">
        <v>361</v>
      </c>
      <c r="AA19" s="113" t="s">
        <v>362</v>
      </c>
      <c r="AB19" s="135" t="s">
        <v>363</v>
      </c>
      <c r="AC19" s="134"/>
    </row>
    <row r="20" spans="1:29" ht="11.25">
      <c r="A20" s="20">
        <f>AB20</f>
        <v>8.20239383669245</v>
      </c>
      <c r="B20" s="110" t="s">
        <v>428</v>
      </c>
      <c r="C20" s="136">
        <v>10275</v>
      </c>
      <c r="D20" s="137">
        <f>C20*$D$12</f>
        <v>10278.55107855108</v>
      </c>
      <c r="E20" s="110">
        <v>1</v>
      </c>
      <c r="F20" s="129">
        <f>(E20*D20)/2.17</f>
        <v>4736.659483203262</v>
      </c>
      <c r="G20" s="112">
        <f>D20*E20</f>
        <v>10278.55107855108</v>
      </c>
      <c r="H20" s="138">
        <v>8.19</v>
      </c>
      <c r="I20" s="111">
        <f>H20*C20*12</f>
        <v>1009827</v>
      </c>
      <c r="J20" s="124">
        <f>H20*D20*12</f>
        <v>1010176.0000000001</v>
      </c>
      <c r="K20" s="110">
        <v>16</v>
      </c>
      <c r="L20" s="139">
        <f>K20*26*D20/2000</f>
        <v>2137.9386243386243</v>
      </c>
      <c r="M20" s="110">
        <v>20</v>
      </c>
      <c r="N20" s="125">
        <f>M20*26*D20/3600</f>
        <v>1484.679600235156</v>
      </c>
      <c r="O20" s="140">
        <f>$J$4*(L20)/($L$23)</f>
        <v>4039</v>
      </c>
      <c r="P20" s="125">
        <f>O20+N20</f>
        <v>5523.679600235156</v>
      </c>
      <c r="Q20" s="110"/>
      <c r="R20" s="129">
        <f>$R$17*F20/$F$23</f>
        <v>57127.692571428575</v>
      </c>
      <c r="S20" s="124">
        <f>$S$17*P20/$P$23</f>
        <v>397361.50537237246</v>
      </c>
      <c r="T20" s="110"/>
      <c r="U20" s="129">
        <f>$U$17*P20/$P$23</f>
        <v>269350.6160823925</v>
      </c>
      <c r="V20" s="129">
        <f>$V$17*G20/$G$23</f>
        <v>62969.7354</v>
      </c>
      <c r="W20" s="110"/>
      <c r="X20" s="125">
        <f>R20+S20+U20+V20</f>
        <v>786809.5494261936</v>
      </c>
      <c r="Y20" s="139">
        <f>$Y$17*(J20/$J$23)</f>
        <v>19879.1392580521</v>
      </c>
      <c r="Z20" s="130">
        <f>X20+Y20</f>
        <v>806688.6886842457</v>
      </c>
      <c r="AA20" s="124">
        <f>Z20/$AA$17</f>
        <v>1011704.688202031</v>
      </c>
      <c r="AB20" s="141">
        <f>(AA20/D20)/12</f>
        <v>8.20239383669245</v>
      </c>
      <c r="AC20" s="142">
        <f>(AB20-H20)/H20</f>
        <v>0.0015132889734371022</v>
      </c>
    </row>
    <row r="21" spans="1:29" ht="11.25">
      <c r="A21" s="20"/>
      <c r="B21" s="110" t="s">
        <v>364</v>
      </c>
      <c r="C21" s="143">
        <v>0</v>
      </c>
      <c r="D21" s="137">
        <f>C21*$D$12</f>
        <v>0</v>
      </c>
      <c r="E21" s="110">
        <v>2</v>
      </c>
      <c r="F21" s="129">
        <f>(E21*D21)/2.17</f>
        <v>0</v>
      </c>
      <c r="G21" s="112">
        <f>D21*E21</f>
        <v>0</v>
      </c>
      <c r="H21" s="144">
        <v>16</v>
      </c>
      <c r="I21" s="111">
        <f>H21*C21*12</f>
        <v>0</v>
      </c>
      <c r="J21" s="124">
        <f>H21*D21*12</f>
        <v>0</v>
      </c>
      <c r="K21" s="110">
        <v>0</v>
      </c>
      <c r="L21" s="139">
        <f>K21*26*D21/2000</f>
        <v>0</v>
      </c>
      <c r="M21" s="110">
        <v>0</v>
      </c>
      <c r="N21" s="125">
        <f>M21*26*D21/3600</f>
        <v>0</v>
      </c>
      <c r="O21" s="140">
        <f>$J$4*(L21)/($L$23)</f>
        <v>0</v>
      </c>
      <c r="P21" s="125">
        <f>O21+N21</f>
        <v>0</v>
      </c>
      <c r="Q21" s="110"/>
      <c r="R21" s="129">
        <f>$R$17*F21/$F$23</f>
        <v>0</v>
      </c>
      <c r="S21" s="124">
        <f>$S$17*P21/$P$23</f>
        <v>0</v>
      </c>
      <c r="T21" s="110"/>
      <c r="U21" s="129">
        <f>$U$17*P21/$P$23</f>
        <v>0</v>
      </c>
      <c r="V21" s="129">
        <f>$V$17*G21/$G$23</f>
        <v>0</v>
      </c>
      <c r="W21" s="110"/>
      <c r="X21" s="125">
        <f>R21+S21+U21+V21</f>
        <v>0</v>
      </c>
      <c r="Y21" s="139">
        <f>$Y$17*(J21/$J$23)</f>
        <v>0</v>
      </c>
      <c r="Z21" s="130">
        <f>X21+Y21</f>
        <v>0</v>
      </c>
      <c r="AA21" s="124">
        <f>Z21/$AA$17</f>
        <v>0</v>
      </c>
      <c r="AB21" s="145"/>
      <c r="AC21" s="142"/>
    </row>
    <row r="22" spans="1:29" ht="11.25">
      <c r="A22" s="16"/>
      <c r="B22" s="110" t="s">
        <v>3</v>
      </c>
      <c r="C22" s="136"/>
      <c r="D22" s="137"/>
      <c r="E22" s="110"/>
      <c r="F22" s="129"/>
      <c r="G22" s="110"/>
      <c r="H22" s="144"/>
      <c r="I22" s="111"/>
      <c r="J22" s="124"/>
      <c r="K22" s="110"/>
      <c r="L22" s="139"/>
      <c r="M22" s="110"/>
      <c r="N22" s="125"/>
      <c r="O22" s="140"/>
      <c r="P22" s="125"/>
      <c r="Q22" s="110"/>
      <c r="R22" s="129"/>
      <c r="S22" s="124"/>
      <c r="T22" s="110"/>
      <c r="U22" s="129"/>
      <c r="V22" s="110"/>
      <c r="W22" s="110"/>
      <c r="X22" s="125"/>
      <c r="Y22" s="139"/>
      <c r="Z22" s="125"/>
      <c r="AA22" s="129"/>
      <c r="AB22" s="145"/>
      <c r="AC22" s="142"/>
    </row>
    <row r="23" spans="1:29" ht="11.25">
      <c r="A23" s="161"/>
      <c r="B23" s="146"/>
      <c r="C23" s="147">
        <f>SUM(C20:C21)</f>
        <v>10275</v>
      </c>
      <c r="D23" s="148">
        <f>SUM(D20:D21)</f>
        <v>10278.55107855108</v>
      </c>
      <c r="E23" s="146"/>
      <c r="F23" s="148">
        <f>SUM(F20:F21)</f>
        <v>4736.659483203262</v>
      </c>
      <c r="G23" s="148">
        <f>SUM(G20:G21)</f>
        <v>10278.55107855108</v>
      </c>
      <c r="H23" s="149"/>
      <c r="I23" s="150">
        <f aca="true" t="shared" si="0" ref="I23:P23">SUM(I20:I22)</f>
        <v>1009827</v>
      </c>
      <c r="J23" s="150">
        <f t="shared" si="0"/>
        <v>1010176.0000000001</v>
      </c>
      <c r="K23" s="151">
        <f t="shared" si="0"/>
        <v>16</v>
      </c>
      <c r="L23" s="150">
        <f t="shared" si="0"/>
        <v>2137.9386243386243</v>
      </c>
      <c r="M23" s="150">
        <f t="shared" si="0"/>
        <v>20</v>
      </c>
      <c r="N23" s="150">
        <f t="shared" si="0"/>
        <v>1484.679600235156</v>
      </c>
      <c r="O23" s="150">
        <f t="shared" si="0"/>
        <v>4039</v>
      </c>
      <c r="P23" s="150">
        <f t="shared" si="0"/>
        <v>5523.679600235156</v>
      </c>
      <c r="Q23" s="146"/>
      <c r="R23" s="150">
        <f>SUM(R20:R22)</f>
        <v>57127.692571428575</v>
      </c>
      <c r="S23" s="150">
        <f>SUM(S20:S22)</f>
        <v>397361.50537237246</v>
      </c>
      <c r="T23" s="146"/>
      <c r="U23" s="150">
        <f>SUM(U20:U22)</f>
        <v>269350.6160823925</v>
      </c>
      <c r="V23" s="150">
        <f>SUM(V20:V22)</f>
        <v>62969.7354</v>
      </c>
      <c r="W23" s="146"/>
      <c r="X23" s="150">
        <f>SUM(X20:X22)</f>
        <v>786809.5494261936</v>
      </c>
      <c r="Y23" s="150">
        <f>SUM(Y20:Y22)</f>
        <v>19879.1392580521</v>
      </c>
      <c r="Z23" s="150">
        <f>SUM(Z20:Z22)</f>
        <v>806688.6886842457</v>
      </c>
      <c r="AA23" s="150"/>
      <c r="AB23" s="152"/>
      <c r="AC23" s="153"/>
    </row>
    <row r="24" spans="1:29" ht="11.25">
      <c r="A24" s="16"/>
      <c r="B24" s="110"/>
      <c r="C24" s="154"/>
      <c r="D24" s="137"/>
      <c r="E24" s="110"/>
      <c r="F24" s="129"/>
      <c r="G24" s="110"/>
      <c r="H24" s="155"/>
      <c r="I24" s="111"/>
      <c r="J24" s="124"/>
      <c r="K24" s="110"/>
      <c r="L24" s="139" t="s">
        <v>0</v>
      </c>
      <c r="M24" s="110"/>
      <c r="N24" s="125"/>
      <c r="O24" s="125"/>
      <c r="P24" s="125"/>
      <c r="Q24" s="110"/>
      <c r="R24" s="129"/>
      <c r="S24" s="124"/>
      <c r="T24" s="110"/>
      <c r="U24" s="129"/>
      <c r="V24" s="110"/>
      <c r="W24" s="110"/>
      <c r="X24" s="125"/>
      <c r="Y24" s="139"/>
      <c r="Z24" s="125"/>
      <c r="AA24" s="129"/>
      <c r="AB24" s="145"/>
      <c r="AC24" s="142"/>
    </row>
    <row r="25" spans="1:29" ht="11.25">
      <c r="A25" s="16"/>
      <c r="B25" s="110"/>
      <c r="C25" s="154"/>
      <c r="D25" s="137"/>
      <c r="E25" s="156"/>
      <c r="F25" s="129"/>
      <c r="G25" s="110"/>
      <c r="H25" s="155"/>
      <c r="I25" s="111"/>
      <c r="J25" s="124"/>
      <c r="K25" s="110"/>
      <c r="L25" s="139"/>
      <c r="M25" s="110"/>
      <c r="N25" s="125"/>
      <c r="O25" s="125"/>
      <c r="P25" s="125"/>
      <c r="Q25" s="110"/>
      <c r="R25" s="129"/>
      <c r="S25" s="124"/>
      <c r="T25" s="110"/>
      <c r="U25" s="129"/>
      <c r="V25" s="110"/>
      <c r="W25" s="110"/>
      <c r="X25" s="125"/>
      <c r="Y25" s="139"/>
      <c r="Z25" s="125"/>
      <c r="AA25" s="157"/>
      <c r="AB25" s="158"/>
      <c r="AC25" s="142"/>
    </row>
    <row r="26" spans="1:29" ht="11.25">
      <c r="A26" s="16"/>
      <c r="B26" s="110"/>
      <c r="C26" s="110"/>
      <c r="D26" s="137"/>
      <c r="E26" s="110"/>
      <c r="F26" s="174" t="s">
        <v>429</v>
      </c>
      <c r="G26" s="157">
        <v>8.56</v>
      </c>
      <c r="H26" s="144">
        <f>H20</f>
        <v>8.19</v>
      </c>
      <c r="I26" s="144">
        <v>8.4</v>
      </c>
      <c r="J26" s="124"/>
      <c r="K26" s="110"/>
      <c r="L26" s="160"/>
      <c r="M26" s="111"/>
      <c r="N26" s="125"/>
      <c r="O26" s="125"/>
      <c r="P26" s="125"/>
      <c r="Q26" s="110"/>
      <c r="R26" s="129"/>
      <c r="S26" s="124"/>
      <c r="T26" s="110"/>
      <c r="U26" s="129"/>
      <c r="V26" s="111"/>
      <c r="W26" s="110"/>
      <c r="X26" s="125"/>
      <c r="Y26" s="125"/>
      <c r="Z26" s="125"/>
      <c r="AA26" s="157"/>
      <c r="AB26" s="158"/>
      <c r="AC26" s="134"/>
    </row>
    <row r="27" spans="1:29" ht="11.25">
      <c r="A27" s="16"/>
      <c r="B27" s="110"/>
      <c r="C27" s="110"/>
      <c r="D27" s="137"/>
      <c r="E27" s="168"/>
      <c r="F27" s="129"/>
      <c r="G27" s="125"/>
      <c r="H27" s="144">
        <v>-1.15</v>
      </c>
      <c r="I27" s="144">
        <v>-1.65</v>
      </c>
      <c r="J27" s="124"/>
      <c r="K27" s="110"/>
      <c r="L27" s="139"/>
      <c r="M27" s="159"/>
      <c r="N27" s="125"/>
      <c r="O27" s="125"/>
      <c r="P27" s="125"/>
      <c r="Q27" s="110"/>
      <c r="R27" s="129"/>
      <c r="S27" s="124"/>
      <c r="T27" s="110"/>
      <c r="U27" s="129"/>
      <c r="V27" s="111"/>
      <c r="W27" s="110"/>
      <c r="X27" s="125"/>
      <c r="Y27" s="139"/>
      <c r="Z27" s="125"/>
      <c r="AA27" s="157"/>
      <c r="AB27" s="158"/>
      <c r="AC27" s="134"/>
    </row>
    <row r="28" spans="1:29" ht="11.25">
      <c r="A28" s="16"/>
      <c r="B28" s="110"/>
      <c r="C28" s="110"/>
      <c r="D28" s="137"/>
      <c r="E28" s="110"/>
      <c r="F28" s="129"/>
      <c r="G28" s="125"/>
      <c r="H28" s="144">
        <f>SUM(H26:H27)</f>
        <v>7.039999999999999</v>
      </c>
      <c r="I28" s="144">
        <f>SUM(I26:I27)</f>
        <v>6.75</v>
      </c>
      <c r="J28" s="124"/>
      <c r="K28" s="110"/>
      <c r="L28" s="139"/>
      <c r="M28" s="110"/>
      <c r="N28" s="125"/>
      <c r="O28" s="125"/>
      <c r="P28" s="125"/>
      <c r="Q28" s="110"/>
      <c r="R28" s="129"/>
      <c r="S28" s="124"/>
      <c r="T28" s="110"/>
      <c r="U28" s="129"/>
      <c r="V28" s="111"/>
      <c r="W28" s="110"/>
      <c r="X28" s="125"/>
      <c r="Y28" s="139"/>
      <c r="Z28" s="125"/>
      <c r="AA28" s="129"/>
      <c r="AB28" s="158"/>
      <c r="AC28" s="134"/>
    </row>
    <row r="29" spans="1:29" ht="11.25">
      <c r="A29" s="16"/>
      <c r="B29" s="110"/>
      <c r="C29" s="110"/>
      <c r="D29" s="137"/>
      <c r="E29" s="110"/>
      <c r="F29" s="129"/>
      <c r="G29" s="125"/>
      <c r="H29" s="144"/>
      <c r="I29" s="111"/>
      <c r="J29" s="124"/>
      <c r="K29" s="110"/>
      <c r="L29" s="139"/>
      <c r="M29" s="110"/>
      <c r="N29" s="125"/>
      <c r="O29" s="125"/>
      <c r="P29" s="125"/>
      <c r="Q29" s="110"/>
      <c r="R29" s="129"/>
      <c r="S29" s="124"/>
      <c r="T29" s="110"/>
      <c r="U29" s="129"/>
      <c r="V29" s="111"/>
      <c r="W29" s="110"/>
      <c r="X29" s="125"/>
      <c r="Y29" s="139"/>
      <c r="Z29" s="125"/>
      <c r="AA29" s="157"/>
      <c r="AB29" s="145"/>
      <c r="AC29" s="134"/>
    </row>
    <row r="30" spans="1:29" ht="11.25">
      <c r="A30" s="16"/>
      <c r="B30" s="110"/>
      <c r="C30" s="110"/>
      <c r="D30" s="137"/>
      <c r="E30" s="110"/>
      <c r="F30" s="129" t="s">
        <v>430</v>
      </c>
      <c r="G30" s="125" t="s">
        <v>432</v>
      </c>
      <c r="H30" s="157">
        <v>19.22</v>
      </c>
      <c r="I30" s="159"/>
      <c r="J30" s="124"/>
      <c r="K30" s="110"/>
      <c r="L30" s="139"/>
      <c r="M30" s="110"/>
      <c r="N30" s="125"/>
      <c r="O30" s="125"/>
      <c r="P30" s="125"/>
      <c r="Q30" s="110"/>
      <c r="R30" s="129"/>
      <c r="S30" s="124"/>
      <c r="T30" s="110"/>
      <c r="U30" s="129"/>
      <c r="V30" s="111"/>
      <c r="W30" s="110"/>
      <c r="X30" s="125"/>
      <c r="Y30" s="139"/>
      <c r="Z30" s="125"/>
      <c r="AA30" s="129"/>
      <c r="AB30" s="145"/>
      <c r="AC30" s="134"/>
    </row>
    <row r="31" spans="1:29" ht="11.25">
      <c r="A31" s="16"/>
      <c r="B31" s="16"/>
      <c r="C31" s="16"/>
      <c r="D31" s="16"/>
      <c r="E31" s="16"/>
      <c r="F31" s="16"/>
      <c r="G31" s="16" t="s">
        <v>431</v>
      </c>
      <c r="H31" s="20">
        <v>-6.3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</row>
    <row r="32" spans="1:29" ht="11.25">
      <c r="A32" s="16"/>
      <c r="B32" s="16"/>
      <c r="C32" s="16"/>
      <c r="D32" s="16"/>
      <c r="E32" s="16"/>
      <c r="F32" s="16"/>
      <c r="G32" s="16"/>
      <c r="H32" s="20">
        <f>SUM(H30:H31)</f>
        <v>12.919999999999998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 spans="1:29" ht="11.25">
      <c r="A33" s="16"/>
      <c r="B33" s="16"/>
      <c r="C33" s="16"/>
      <c r="D33" s="16"/>
      <c r="E33" s="16"/>
      <c r="F33" s="16"/>
      <c r="G33" s="16"/>
      <c r="H33" s="20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</row>
    <row r="34" spans="1:29" ht="11.25">
      <c r="A34" s="16"/>
      <c r="B34" s="16"/>
      <c r="C34" s="16"/>
      <c r="D34" s="16"/>
      <c r="E34" s="16"/>
      <c r="F34" s="16"/>
      <c r="G34" s="16"/>
      <c r="H34" s="20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</row>
    <row r="35" spans="1:29" ht="11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</row>
    <row r="36" spans="1:29" ht="11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</row>
    <row r="37" spans="1:29" ht="11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1:29" ht="11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11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1:29" ht="11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1:29" ht="11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</sheetData>
  <mergeCells count="2">
    <mergeCell ref="B1:C1"/>
    <mergeCell ref="B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Irmgard Wilcox</cp:lastModifiedBy>
  <cp:lastPrinted>2009-11-23T18:19:22Z</cp:lastPrinted>
  <dcterms:created xsi:type="dcterms:W3CDTF">2003-09-11T05:30:40Z</dcterms:created>
  <dcterms:modified xsi:type="dcterms:W3CDTF">2009-11-23T18:39:29Z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090899</vt:lpwstr>
  </property>
  <property fmtid="{D5CDD505-2E9C-101B-9397-08002B2CF9AE}" pid="6" name="IsConfidenti">
    <vt:lpwstr>0</vt:lpwstr>
  </property>
  <property fmtid="{D5CDD505-2E9C-101B-9397-08002B2CF9AE}" pid="7" name="Dat">
    <vt:lpwstr>2009-11-23T00:00:00Z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2009-06-12T00:00:00Z</vt:lpwstr>
  </property>
  <property fmtid="{D5CDD505-2E9C-101B-9397-08002B2CF9AE}" pid="10" name="Pref">
    <vt:lpwstr>TG</vt:lpwstr>
  </property>
  <property fmtid="{D5CDD505-2E9C-101B-9397-08002B2CF9AE}" pid="11" name="CaseCompanyNam">
    <vt:lpwstr>Mason County Garbage Co.,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